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ASUS PC\AppData\Local\Temp\VNPT Plugin\c6ff90f4-2a42-4b47-bf67-90aba43595dc\"/>
    </mc:Choice>
  </mc:AlternateContent>
  <xr:revisionPtr revIDLastSave="0" documentId="13_ncr:1_{9763A3A8-D6AD-4813-BA3A-C89EB65ACF34}" xr6:coauthVersionLast="47" xr6:coauthVersionMax="47" xr10:uidLastSave="{00000000-0000-0000-0000-000000000000}"/>
  <bookViews>
    <workbookView xWindow="-110" yWindow="-110" windowWidth="19420" windowHeight="10420" tabRatio="836" firstSheet="2" activeTab="3" xr2:uid="{00000000-000D-0000-FFFF-FFFF00000000}"/>
  </bookViews>
  <sheets>
    <sheet name="foxz" sheetId="14" state="veryHidden" r:id="rId1"/>
    <sheet name="Gốc" sheetId="2" state="hidden" r:id="rId2"/>
    <sheet name="Biểu TH" sheetId="29" r:id="rId3"/>
    <sheet name="B1-Tổng hợp DTTS" sheetId="26" r:id="rId4"/>
    <sheet name="B1.1-DTTS-Pbổ lại NSĐP" sheetId="21" state="hidden" r:id="rId5"/>
    <sheet name="B1.2-DTTS-Pbổ DAPTSX" sheetId="22" state="hidden" r:id="rId6"/>
    <sheet name="B2-Tổng hợp GN" sheetId="27" r:id="rId7"/>
    <sheet name="B2.1-GN-Pbổ lại NSĐP" sheetId="23" state="hidden" r:id="rId8"/>
    <sheet name="B2.2-GN-Pbổ DAPTSX" sheetId="24" state="hidden" r:id="rId9"/>
    <sheet name="B3-Tổng hợp NTM" sheetId="28" r:id="rId10"/>
    <sheet name=" B4-CĐS" sheetId="30" r:id="rId11"/>
    <sheet name="B5-NVK" sheetId="31" r:id="rId12"/>
    <sheet name="B3.1-NTM-Pbổ lại NSĐP" sheetId="25" state="hidden" r:id="rId13"/>
  </sheets>
  <definedNames>
    <definedName name="_xlnm.Print_Titles" localSheetId="1">Gốc!#REF!</definedName>
    <definedName name="_xlnm.Print_Area" localSheetId="10">' B4-CĐS'!$A$1:$F$32</definedName>
    <definedName name="_xlnm.Print_Area" localSheetId="3">'B1-Tổng hợp DTTS'!$A$1:$T$34</definedName>
    <definedName name="_xlnm.Print_Area" localSheetId="6">'B2-Tổng hợp GN'!$A$1:$R$24</definedName>
    <definedName name="_xlnm.Print_Area" localSheetId="9">'B3-Tổng hợp NTM'!$A$1:$N$23</definedName>
    <definedName name="_xlnm.Print_Area" localSheetId="11">'B5-NVK'!$A$1:$D$18</definedName>
    <definedName name="_xlnm.Print_Area" localSheetId="2">'Biểu TH'!$A$1:$D$16</definedName>
    <definedName name="_xlnm.Print_Area" localSheetId="1">Gốc!#REF!</definedName>
  </definedNames>
  <calcPr calcId="191029"/>
</workbook>
</file>

<file path=xl/calcChain.xml><?xml version="1.0" encoding="utf-8"?>
<calcChain xmlns="http://schemas.openxmlformats.org/spreadsheetml/2006/main">
  <c r="D18" i="31" l="1"/>
  <c r="C16" i="29" s="1"/>
  <c r="D17" i="31"/>
  <c r="D16" i="31"/>
  <c r="D15" i="31"/>
  <c r="D14" i="31"/>
  <c r="D13" i="31"/>
  <c r="D12" i="31"/>
  <c r="D11" i="31"/>
  <c r="D10" i="31"/>
  <c r="C15" i="29" s="1"/>
  <c r="D9" i="31"/>
  <c r="C14" i="29" s="1"/>
  <c r="D8" i="31"/>
  <c r="C13" i="29" s="1"/>
  <c r="D7" i="31"/>
  <c r="C12" i="29" s="1"/>
  <c r="A3" i="30"/>
  <c r="A4" i="26"/>
  <c r="C11" i="29" l="1"/>
  <c r="D6" i="31"/>
  <c r="C29" i="30" l="1"/>
  <c r="C30" i="30"/>
  <c r="C31" i="30"/>
  <c r="C32" i="30"/>
  <c r="C28" i="30"/>
  <c r="C26" i="30"/>
  <c r="C27" i="30"/>
  <c r="C25" i="30"/>
  <c r="C10" i="30"/>
  <c r="C11" i="30"/>
  <c r="C12" i="30"/>
  <c r="C13" i="30"/>
  <c r="C14" i="30"/>
  <c r="C15" i="30"/>
  <c r="C16" i="30"/>
  <c r="C17" i="30"/>
  <c r="C18" i="30"/>
  <c r="C19" i="30"/>
  <c r="C20" i="30"/>
  <c r="C21" i="30"/>
  <c r="C22" i="30"/>
  <c r="C23" i="30"/>
  <c r="C9" i="30"/>
  <c r="D24" i="30"/>
  <c r="D8" i="30"/>
  <c r="D7" i="30" s="1"/>
  <c r="E8" i="30"/>
  <c r="E7" i="30" s="1"/>
  <c r="F8" i="30"/>
  <c r="F7" i="30" s="1"/>
  <c r="C8" i="30" l="1"/>
  <c r="C24" i="30"/>
  <c r="C7" i="30" s="1"/>
  <c r="C10" i="29" s="1"/>
  <c r="A3" i="22" l="1"/>
  <c r="J12" i="21" l="1"/>
  <c r="A3" i="27" l="1"/>
  <c r="P11" i="24"/>
  <c r="Q11" i="24"/>
  <c r="R12" i="24"/>
  <c r="E48" i="25"/>
  <c r="F48" i="25"/>
  <c r="G48" i="25"/>
  <c r="H48" i="25"/>
  <c r="G29" i="25"/>
  <c r="E10" i="25"/>
  <c r="F10" i="25"/>
  <c r="G10" i="25"/>
  <c r="H10" i="25"/>
  <c r="D10" i="25"/>
  <c r="G37" i="23"/>
  <c r="H35" i="25" l="1"/>
  <c r="G35" i="25"/>
  <c r="F35" i="25"/>
  <c r="E35" i="25"/>
  <c r="D35" i="25"/>
  <c r="H25" i="25"/>
  <c r="C9" i="25"/>
  <c r="C11" i="28" l="1"/>
  <c r="D18" i="27"/>
  <c r="D19" i="27"/>
  <c r="D20" i="27"/>
  <c r="D21" i="27"/>
  <c r="D22" i="27"/>
  <c r="D23" i="27"/>
  <c r="D24" i="27"/>
  <c r="D17" i="27"/>
  <c r="D14" i="27"/>
  <c r="D15" i="27"/>
  <c r="D13" i="27"/>
  <c r="I18" i="27"/>
  <c r="E18" i="27" s="1"/>
  <c r="I19" i="27"/>
  <c r="E19" i="27" s="1"/>
  <c r="I20" i="27"/>
  <c r="E20" i="27" s="1"/>
  <c r="I21" i="27"/>
  <c r="E21" i="27" s="1"/>
  <c r="I22" i="27"/>
  <c r="E22" i="27" s="1"/>
  <c r="I23" i="27"/>
  <c r="E23" i="27" s="1"/>
  <c r="I24" i="27"/>
  <c r="E24" i="27" s="1"/>
  <c r="I17" i="27"/>
  <c r="E17" i="27" s="1"/>
  <c r="I14" i="27"/>
  <c r="E14" i="27" s="1"/>
  <c r="I15" i="27"/>
  <c r="E15" i="27" s="1"/>
  <c r="I13" i="27"/>
  <c r="E13" i="27" s="1"/>
  <c r="F18" i="27"/>
  <c r="F19" i="27"/>
  <c r="F20" i="27"/>
  <c r="F21" i="27"/>
  <c r="F22" i="27"/>
  <c r="F23" i="27"/>
  <c r="F24" i="27"/>
  <c r="F17" i="27"/>
  <c r="F14" i="27"/>
  <c r="F15" i="27"/>
  <c r="F13" i="27"/>
  <c r="C23" i="28"/>
  <c r="C22" i="28"/>
  <c r="C20" i="28"/>
  <c r="C19" i="28"/>
  <c r="C18" i="28"/>
  <c r="C17" i="28"/>
  <c r="N15" i="28"/>
  <c r="M15" i="28"/>
  <c r="L15" i="28"/>
  <c r="K15" i="28"/>
  <c r="I15" i="28"/>
  <c r="H15" i="28"/>
  <c r="G15" i="28"/>
  <c r="F15" i="28"/>
  <c r="E15" i="28"/>
  <c r="D15" i="28"/>
  <c r="C14" i="28"/>
  <c r="C13" i="28"/>
  <c r="C12" i="28"/>
  <c r="N10" i="28"/>
  <c r="M10" i="28"/>
  <c r="M9" i="28" s="1"/>
  <c r="L10" i="28"/>
  <c r="K10" i="28"/>
  <c r="J10" i="28"/>
  <c r="J9" i="28" s="1"/>
  <c r="I10" i="28"/>
  <c r="H10" i="28"/>
  <c r="G10" i="28"/>
  <c r="F10" i="28"/>
  <c r="E10" i="28"/>
  <c r="D10" i="28"/>
  <c r="R16" i="27"/>
  <c r="Q16" i="27"/>
  <c r="P16" i="27"/>
  <c r="O16" i="27"/>
  <c r="N16" i="27"/>
  <c r="M16" i="27"/>
  <c r="L16" i="27"/>
  <c r="K16" i="27"/>
  <c r="J16" i="27"/>
  <c r="H16" i="27"/>
  <c r="G16" i="27"/>
  <c r="R12" i="27"/>
  <c r="Q12" i="27"/>
  <c r="P12" i="27"/>
  <c r="O12" i="27"/>
  <c r="N12" i="27"/>
  <c r="M12" i="27"/>
  <c r="L12" i="27"/>
  <c r="K12" i="27"/>
  <c r="J12" i="27"/>
  <c r="H12" i="27"/>
  <c r="G12" i="27"/>
  <c r="N11" i="27" l="1"/>
  <c r="C14" i="27"/>
  <c r="C18" i="27"/>
  <c r="C22" i="27"/>
  <c r="E9" i="28"/>
  <c r="G11" i="27"/>
  <c r="P11" i="27"/>
  <c r="C19" i="27"/>
  <c r="C15" i="27"/>
  <c r="O11" i="27"/>
  <c r="C23" i="27"/>
  <c r="H9" i="28"/>
  <c r="C17" i="27"/>
  <c r="C21" i="27"/>
  <c r="C20" i="27"/>
  <c r="C13" i="27"/>
  <c r="C24" i="27"/>
  <c r="N9" i="28"/>
  <c r="D9" i="28"/>
  <c r="J11" i="27"/>
  <c r="R11" i="27"/>
  <c r="G9" i="28"/>
  <c r="M11" i="27"/>
  <c r="K9" i="28"/>
  <c r="I9" i="28"/>
  <c r="F9" i="28"/>
  <c r="C15" i="28"/>
  <c r="C10" i="28"/>
  <c r="Q11" i="27"/>
  <c r="L11" i="27"/>
  <c r="K11" i="27"/>
  <c r="I16" i="27"/>
  <c r="D12" i="27"/>
  <c r="I12" i="27"/>
  <c r="H11" i="27"/>
  <c r="F16" i="27"/>
  <c r="F12" i="27"/>
  <c r="L9" i="28"/>
  <c r="E12" i="27"/>
  <c r="E16" i="27"/>
  <c r="D16" i="27"/>
  <c r="D11" i="27" l="1"/>
  <c r="C9" i="28"/>
  <c r="C9" i="29" s="1"/>
  <c r="F11" i="27"/>
  <c r="I11" i="27"/>
  <c r="C12" i="27"/>
  <c r="C16" i="27"/>
  <c r="E11" i="27"/>
  <c r="C11" i="27" l="1"/>
  <c r="C8" i="29" s="1"/>
  <c r="Q28" i="26" l="1"/>
  <c r="P28" i="26"/>
  <c r="P30" i="26"/>
  <c r="P31" i="26"/>
  <c r="P33" i="26"/>
  <c r="P34" i="26"/>
  <c r="O28" i="26"/>
  <c r="O30" i="26"/>
  <c r="O32" i="26"/>
  <c r="O33" i="26"/>
  <c r="O34" i="26"/>
  <c r="N28" i="26"/>
  <c r="N32" i="26"/>
  <c r="N34" i="26"/>
  <c r="M17" i="26"/>
  <c r="M12" i="26" s="1"/>
  <c r="L28" i="26"/>
  <c r="L29" i="26"/>
  <c r="L31" i="26"/>
  <c r="L32" i="26"/>
  <c r="L33" i="26"/>
  <c r="K30" i="26"/>
  <c r="K32" i="26"/>
  <c r="K34" i="26"/>
  <c r="J28" i="26"/>
  <c r="J33" i="26"/>
  <c r="I29" i="26"/>
  <c r="I32" i="26"/>
  <c r="I33" i="26"/>
  <c r="I27" i="26"/>
  <c r="G32" i="26"/>
  <c r="G34" i="26"/>
  <c r="M26" i="26"/>
  <c r="G12" i="26"/>
  <c r="I12" i="26"/>
  <c r="O12" i="26"/>
  <c r="P12" i="26"/>
  <c r="S12" i="26"/>
  <c r="T12" i="26"/>
  <c r="R14" i="26"/>
  <c r="R15" i="26"/>
  <c r="R16" i="26"/>
  <c r="R17" i="26"/>
  <c r="R18" i="26"/>
  <c r="R19" i="26"/>
  <c r="R20" i="26"/>
  <c r="R21" i="26"/>
  <c r="R22" i="26"/>
  <c r="R23" i="26"/>
  <c r="R24" i="26"/>
  <c r="R25" i="26"/>
  <c r="R30" i="26"/>
  <c r="R32" i="26"/>
  <c r="R28" i="26"/>
  <c r="R31" i="26"/>
  <c r="R33" i="26"/>
  <c r="R34" i="26"/>
  <c r="R13" i="26"/>
  <c r="D14" i="26"/>
  <c r="D15" i="26"/>
  <c r="D16" i="26"/>
  <c r="D17" i="26"/>
  <c r="D18" i="26"/>
  <c r="D19" i="26"/>
  <c r="D20" i="26"/>
  <c r="D21" i="26"/>
  <c r="D22" i="26"/>
  <c r="D23" i="26"/>
  <c r="D24" i="26"/>
  <c r="D25" i="26"/>
  <c r="D30" i="26"/>
  <c r="D32" i="26"/>
  <c r="D28" i="26"/>
  <c r="D31" i="26"/>
  <c r="D33" i="26"/>
  <c r="D34" i="26"/>
  <c r="D13" i="26"/>
  <c r="R12" i="26" l="1"/>
  <c r="D12" i="26"/>
  <c r="M11" i="26"/>
  <c r="R13" i="24"/>
  <c r="D51" i="25"/>
  <c r="D49" i="25"/>
  <c r="D48" i="25" s="1"/>
  <c r="D47" i="25"/>
  <c r="D46" i="25" s="1"/>
  <c r="H46" i="25"/>
  <c r="G46" i="25"/>
  <c r="F46" i="25"/>
  <c r="E46" i="25"/>
  <c r="D45" i="25"/>
  <c r="D44" i="25" s="1"/>
  <c r="H44" i="25"/>
  <c r="G44" i="25"/>
  <c r="F44" i="25"/>
  <c r="E44" i="25"/>
  <c r="D43" i="25"/>
  <c r="D42" i="25"/>
  <c r="H41" i="25"/>
  <c r="G41" i="25"/>
  <c r="F41" i="25"/>
  <c r="E41" i="25"/>
  <c r="H38" i="25"/>
  <c r="G38" i="25"/>
  <c r="F38" i="25"/>
  <c r="E38" i="25"/>
  <c r="D38" i="25"/>
  <c r="D31" i="25"/>
  <c r="D29" i="25" s="1"/>
  <c r="H29" i="25"/>
  <c r="F29" i="25"/>
  <c r="E29" i="25"/>
  <c r="D28" i="25"/>
  <c r="D27" i="25" s="1"/>
  <c r="H27" i="25"/>
  <c r="G27" i="25"/>
  <c r="F27" i="25"/>
  <c r="F15" i="25" s="1"/>
  <c r="E27" i="25"/>
  <c r="D24" i="25"/>
  <c r="D23" i="25"/>
  <c r="D22" i="25"/>
  <c r="H21" i="25"/>
  <c r="G21" i="25"/>
  <c r="F21" i="25"/>
  <c r="E21" i="25"/>
  <c r="D20" i="25"/>
  <c r="D19" i="25"/>
  <c r="D18" i="25"/>
  <c r="D17" i="25"/>
  <c r="H16" i="25"/>
  <c r="G16" i="25"/>
  <c r="F16" i="25"/>
  <c r="E16" i="25"/>
  <c r="D14" i="25"/>
  <c r="D12" i="25" s="1"/>
  <c r="D13" i="25"/>
  <c r="H12" i="25"/>
  <c r="G12" i="25"/>
  <c r="F12" i="25"/>
  <c r="E12" i="25"/>
  <c r="R19" i="24"/>
  <c r="L19" i="24"/>
  <c r="K19" i="24"/>
  <c r="E19" i="24"/>
  <c r="C19" i="24"/>
  <c r="R18" i="24"/>
  <c r="L18" i="24"/>
  <c r="K18" i="24"/>
  <c r="E18" i="24"/>
  <c r="C18" i="24"/>
  <c r="R17" i="24"/>
  <c r="L17" i="24"/>
  <c r="K17" i="24"/>
  <c r="M17" i="24" s="1"/>
  <c r="E17" i="24"/>
  <c r="C17" i="24"/>
  <c r="R16" i="24"/>
  <c r="L16" i="24"/>
  <c r="K16" i="24"/>
  <c r="M16" i="24" s="1"/>
  <c r="E16" i="24"/>
  <c r="C16" i="24"/>
  <c r="R15" i="24"/>
  <c r="L15" i="24"/>
  <c r="K15" i="24"/>
  <c r="M15" i="24" s="1"/>
  <c r="E15" i="24"/>
  <c r="C15" i="24"/>
  <c r="R14" i="24"/>
  <c r="L14" i="24"/>
  <c r="K14" i="24"/>
  <c r="E14" i="24"/>
  <c r="C14" i="24"/>
  <c r="L13" i="24"/>
  <c r="K13" i="24"/>
  <c r="E13" i="24"/>
  <c r="C13" i="24"/>
  <c r="L12" i="24"/>
  <c r="K12" i="24"/>
  <c r="E12" i="24"/>
  <c r="C12" i="24"/>
  <c r="S11" i="24"/>
  <c r="R10" i="24"/>
  <c r="Q9" i="24"/>
  <c r="Q8" i="24" s="1"/>
  <c r="P9" i="24"/>
  <c r="R9" i="24" s="1"/>
  <c r="M13" i="24" l="1"/>
  <c r="G15" i="25"/>
  <c r="E40" i="25"/>
  <c r="M18" i="24"/>
  <c r="R11" i="24"/>
  <c r="R8" i="24" s="1"/>
  <c r="M19" i="24"/>
  <c r="H15" i="25"/>
  <c r="E15" i="25"/>
  <c r="E9" i="25" s="1"/>
  <c r="D41" i="25"/>
  <c r="D40" i="25" s="1"/>
  <c r="G40" i="25"/>
  <c r="G9" i="25" s="1"/>
  <c r="H40" i="25"/>
  <c r="F40" i="25"/>
  <c r="F9" i="25" s="1"/>
  <c r="M12" i="24"/>
  <c r="M14" i="24"/>
  <c r="D16" i="25"/>
  <c r="D21" i="25"/>
  <c r="S9" i="24"/>
  <c r="S8" i="24" s="1"/>
  <c r="P8" i="24"/>
  <c r="U8" i="24" s="1"/>
  <c r="V8" i="24" s="1"/>
  <c r="A3" i="23"/>
  <c r="A3" i="24" s="1"/>
  <c r="D62" i="23"/>
  <c r="D61" i="23"/>
  <c r="D59" i="23"/>
  <c r="H58" i="23"/>
  <c r="G58" i="23"/>
  <c r="F58" i="23"/>
  <c r="E58" i="23"/>
  <c r="D57" i="23"/>
  <c r="D56" i="23"/>
  <c r="D54" i="23"/>
  <c r="D53" i="23"/>
  <c r="H52" i="23"/>
  <c r="H51" i="23" s="1"/>
  <c r="G52" i="23"/>
  <c r="G51" i="23" s="1"/>
  <c r="F52" i="23"/>
  <c r="E52" i="23"/>
  <c r="C51" i="23"/>
  <c r="D50" i="23"/>
  <c r="D49" i="23"/>
  <c r="D48" i="23"/>
  <c r="H47" i="23"/>
  <c r="G47" i="23"/>
  <c r="F47" i="23"/>
  <c r="E47" i="23"/>
  <c r="D46" i="23"/>
  <c r="D45" i="23"/>
  <c r="D44" i="23" s="1"/>
  <c r="H44" i="23"/>
  <c r="G44" i="23"/>
  <c r="F44" i="23"/>
  <c r="E44" i="23"/>
  <c r="C43" i="23"/>
  <c r="D42" i="23"/>
  <c r="D41" i="23"/>
  <c r="D40" i="23"/>
  <c r="D39" i="23"/>
  <c r="D38" i="23"/>
  <c r="H37" i="23"/>
  <c r="F37" i="23"/>
  <c r="E37" i="23"/>
  <c r="D36" i="23"/>
  <c r="D35" i="23" s="1"/>
  <c r="H35" i="23"/>
  <c r="G35" i="23"/>
  <c r="F35" i="23"/>
  <c r="E35" i="23"/>
  <c r="D33" i="23"/>
  <c r="D32" i="23"/>
  <c r="D31" i="23"/>
  <c r="D30" i="23"/>
  <c r="D29" i="23"/>
  <c r="D28" i="23"/>
  <c r="D27" i="23"/>
  <c r="H26" i="23"/>
  <c r="G26" i="23"/>
  <c r="F26" i="23"/>
  <c r="E26" i="23"/>
  <c r="C25" i="23"/>
  <c r="D24" i="23"/>
  <c r="D23" i="23" s="1"/>
  <c r="H23" i="23"/>
  <c r="G23" i="23"/>
  <c r="F23" i="23"/>
  <c r="E23" i="23"/>
  <c r="D22" i="23"/>
  <c r="D20" i="23"/>
  <c r="D19" i="23"/>
  <c r="D18" i="23"/>
  <c r="D17" i="23"/>
  <c r="D14" i="23"/>
  <c r="H13" i="23"/>
  <c r="G13" i="23"/>
  <c r="F13" i="23"/>
  <c r="E13" i="23"/>
  <c r="H9" i="25" l="1"/>
  <c r="C9" i="23"/>
  <c r="M11" i="24"/>
  <c r="O12" i="24" s="1"/>
  <c r="V12" i="24" s="1"/>
  <c r="E51" i="23"/>
  <c r="E43" i="23"/>
  <c r="G25" i="23"/>
  <c r="D15" i="25"/>
  <c r="D9" i="25" s="1"/>
  <c r="G43" i="23"/>
  <c r="D47" i="23"/>
  <c r="D43" i="23" s="1"/>
  <c r="D58" i="23"/>
  <c r="H43" i="23"/>
  <c r="D26" i="23"/>
  <c r="F43" i="23"/>
  <c r="F51" i="23"/>
  <c r="D13" i="23"/>
  <c r="E25" i="23"/>
  <c r="E9" i="23" s="1"/>
  <c r="D52" i="23"/>
  <c r="D37" i="23"/>
  <c r="F25" i="23"/>
  <c r="H25" i="23"/>
  <c r="A3" i="28"/>
  <c r="A3" i="25"/>
  <c r="N16" i="24"/>
  <c r="U16" i="24" s="1"/>
  <c r="N12" i="24"/>
  <c r="U12" i="24" s="1"/>
  <c r="O15" i="24"/>
  <c r="V15" i="24" s="1"/>
  <c r="N19" i="24"/>
  <c r="U19" i="24" s="1"/>
  <c r="O14" i="24"/>
  <c r="V14" i="24" s="1"/>
  <c r="N18" i="24"/>
  <c r="U18" i="24" s="1"/>
  <c r="O13" i="24"/>
  <c r="V13" i="24" s="1"/>
  <c r="N17" i="24"/>
  <c r="U17" i="24" s="1"/>
  <c r="O16" i="24" l="1"/>
  <c r="V16" i="24" s="1"/>
  <c r="O17" i="24"/>
  <c r="V17" i="24" s="1"/>
  <c r="O18" i="24"/>
  <c r="V18" i="24" s="1"/>
  <c r="O19" i="24"/>
  <c r="V19" i="24" s="1"/>
  <c r="G9" i="23"/>
  <c r="N13" i="24"/>
  <c r="U13" i="24" s="1"/>
  <c r="N14" i="24"/>
  <c r="U14" i="24" s="1"/>
  <c r="N15" i="24"/>
  <c r="U15" i="24" s="1"/>
  <c r="H9" i="23"/>
  <c r="F9" i="23"/>
  <c r="D51" i="23"/>
  <c r="D25" i="23"/>
  <c r="D9" i="23" l="1"/>
  <c r="N14" i="22"/>
  <c r="N13" i="22" s="1"/>
  <c r="Q14" i="22"/>
  <c r="Q13" i="22" s="1"/>
  <c r="N11" i="22"/>
  <c r="N10" i="22" s="1"/>
  <c r="O11" i="22"/>
  <c r="O10" i="22" s="1"/>
  <c r="Q11" i="22"/>
  <c r="Q10" i="22" s="1"/>
  <c r="P15" i="22"/>
  <c r="L16" i="22"/>
  <c r="L15" i="22"/>
  <c r="L12" i="22"/>
  <c r="N9" i="22" l="1"/>
  <c r="Q9" i="22"/>
  <c r="R16" i="22"/>
  <c r="T16" i="22" s="1"/>
  <c r="U16" i="22" s="1"/>
  <c r="O16" i="22"/>
  <c r="R15" i="22"/>
  <c r="R12" i="22"/>
  <c r="M12" i="22"/>
  <c r="T12" i="22" l="1"/>
  <c r="R11" i="22"/>
  <c r="R10" i="22" s="1"/>
  <c r="M16" i="22"/>
  <c r="O14" i="22"/>
  <c r="O13" i="22" s="1"/>
  <c r="O9" i="22" s="1"/>
  <c r="R14" i="22"/>
  <c r="R13" i="22" s="1"/>
  <c r="T15" i="22"/>
  <c r="S16" i="22"/>
  <c r="P12" i="22"/>
  <c r="M11" i="22"/>
  <c r="M10" i="22" s="1"/>
  <c r="M14" i="22" l="1"/>
  <c r="M13" i="22" s="1"/>
  <c r="M9" i="22" s="1"/>
  <c r="P16" i="22"/>
  <c r="R9" i="22"/>
  <c r="U15" i="22"/>
  <c r="U14" i="22" s="1"/>
  <c r="U13" i="22" s="1"/>
  <c r="T29" i="26" s="1"/>
  <c r="T14" i="22"/>
  <c r="T13" i="22" s="1"/>
  <c r="S29" i="26" s="1"/>
  <c r="U12" i="22"/>
  <c r="T11" i="22"/>
  <c r="J152" i="21"/>
  <c r="Q25" i="26" s="1"/>
  <c r="F25" i="26" s="1"/>
  <c r="E25" i="26" s="1"/>
  <c r="C25" i="26" s="1"/>
  <c r="J153" i="21"/>
  <c r="Q21" i="26" s="1"/>
  <c r="F21" i="26" s="1"/>
  <c r="E21" i="26" s="1"/>
  <c r="C21" i="26" s="1"/>
  <c r="J154" i="21"/>
  <c r="Q16" i="26" s="1"/>
  <c r="J155" i="21"/>
  <c r="Q22" i="26" s="1"/>
  <c r="F22" i="26" s="1"/>
  <c r="E22" i="26" s="1"/>
  <c r="C22" i="26" s="1"/>
  <c r="J157" i="21"/>
  <c r="Q18" i="26" s="1"/>
  <c r="J158" i="21"/>
  <c r="Q15" i="26" s="1"/>
  <c r="J159" i="21"/>
  <c r="Q19" i="26" s="1"/>
  <c r="F19" i="26" s="1"/>
  <c r="E19" i="26" s="1"/>
  <c r="C19" i="26" s="1"/>
  <c r="J161" i="21"/>
  <c r="Q23" i="26" s="1"/>
  <c r="F23" i="26" s="1"/>
  <c r="E23" i="26" s="1"/>
  <c r="C23" i="26" s="1"/>
  <c r="J162" i="21"/>
  <c r="Q24" i="26" s="1"/>
  <c r="F24" i="26" s="1"/>
  <c r="E24" i="26" s="1"/>
  <c r="C24" i="26" s="1"/>
  <c r="J164" i="21"/>
  <c r="Q17" i="26" s="1"/>
  <c r="F17" i="26" s="1"/>
  <c r="E17" i="26" s="1"/>
  <c r="C17" i="26" s="1"/>
  <c r="J166" i="21"/>
  <c r="Q27" i="26" s="1"/>
  <c r="J168" i="21"/>
  <c r="Q29" i="26" s="1"/>
  <c r="J169" i="21"/>
  <c r="Q30" i="26" s="1"/>
  <c r="J170" i="21"/>
  <c r="Q31" i="26" s="1"/>
  <c r="J171" i="21"/>
  <c r="Q32" i="26" s="1"/>
  <c r="J172" i="21"/>
  <c r="Q33" i="26" s="1"/>
  <c r="J173" i="21"/>
  <c r="Q34" i="26" s="1"/>
  <c r="J145" i="21"/>
  <c r="Q13" i="26" s="1"/>
  <c r="J133" i="21"/>
  <c r="J127" i="21"/>
  <c r="P29" i="26" s="1"/>
  <c r="J130" i="21"/>
  <c r="P32" i="26" s="1"/>
  <c r="J125" i="21"/>
  <c r="P27" i="26" s="1"/>
  <c r="J116" i="21"/>
  <c r="O29" i="26" s="1"/>
  <c r="J118" i="21"/>
  <c r="O31" i="26" s="1"/>
  <c r="J114" i="21"/>
  <c r="O27" i="26" s="1"/>
  <c r="J102" i="21"/>
  <c r="N27" i="26" s="1"/>
  <c r="J104" i="21"/>
  <c r="N29" i="26" s="1"/>
  <c r="J105" i="21"/>
  <c r="N30" i="26" s="1"/>
  <c r="J106" i="21"/>
  <c r="N31" i="26" s="1"/>
  <c r="J108" i="21"/>
  <c r="N33" i="26" s="1"/>
  <c r="J101" i="21"/>
  <c r="N14" i="26" s="1"/>
  <c r="J82" i="21"/>
  <c r="L27" i="26" s="1"/>
  <c r="J85" i="21"/>
  <c r="L30" i="26" s="1"/>
  <c r="J89" i="21"/>
  <c r="L34" i="26" s="1"/>
  <c r="J81" i="21"/>
  <c r="L20" i="26" s="1"/>
  <c r="I78" i="21"/>
  <c r="J78" i="21"/>
  <c r="J70" i="21"/>
  <c r="K27" i="26" s="1"/>
  <c r="J71" i="21"/>
  <c r="K28" i="26" s="1"/>
  <c r="J72" i="21"/>
  <c r="K29" i="26" s="1"/>
  <c r="J74" i="21"/>
  <c r="K31" i="26" s="1"/>
  <c r="J76" i="21"/>
  <c r="K33" i="26" s="1"/>
  <c r="J69" i="21"/>
  <c r="K18" i="26" s="1"/>
  <c r="I68" i="21"/>
  <c r="J58" i="21"/>
  <c r="J51" i="21"/>
  <c r="J27" i="26" s="1"/>
  <c r="J53" i="21"/>
  <c r="J29" i="26" s="1"/>
  <c r="J54" i="21"/>
  <c r="J30" i="26" s="1"/>
  <c r="J55" i="21"/>
  <c r="J31" i="26" s="1"/>
  <c r="J56" i="21"/>
  <c r="J32" i="26" s="1"/>
  <c r="J50" i="21"/>
  <c r="J16" i="26" s="1"/>
  <c r="J43" i="21"/>
  <c r="I30" i="26" s="1"/>
  <c r="J44" i="21"/>
  <c r="I31" i="26" s="1"/>
  <c r="J47" i="21"/>
  <c r="I34" i="26" s="1"/>
  <c r="J41" i="21"/>
  <c r="I28" i="26" s="1"/>
  <c r="J35" i="21"/>
  <c r="H31" i="26" s="1"/>
  <c r="H26" i="26" s="1"/>
  <c r="J30" i="21"/>
  <c r="H15" i="26" s="1"/>
  <c r="J21" i="21"/>
  <c r="J13" i="21"/>
  <c r="J14" i="21"/>
  <c r="G29" i="26" s="1"/>
  <c r="J15" i="21"/>
  <c r="G30" i="26" s="1"/>
  <c r="J16" i="21"/>
  <c r="G31" i="26" s="1"/>
  <c r="J18" i="21"/>
  <c r="G33" i="26" s="1"/>
  <c r="G27" i="26"/>
  <c r="F33" i="26" l="1"/>
  <c r="E33" i="26" s="1"/>
  <c r="C33" i="26" s="1"/>
  <c r="F31" i="26"/>
  <c r="E31" i="26" s="1"/>
  <c r="C31" i="26" s="1"/>
  <c r="F30" i="26"/>
  <c r="E30" i="26" s="1"/>
  <c r="C30" i="26" s="1"/>
  <c r="I26" i="26"/>
  <c r="I11" i="26" s="1"/>
  <c r="F34" i="26"/>
  <c r="E34" i="26" s="1"/>
  <c r="C34" i="26" s="1"/>
  <c r="S15" i="22"/>
  <c r="S14" i="22" s="1"/>
  <c r="S13" i="22" s="1"/>
  <c r="J26" i="26"/>
  <c r="K26" i="26"/>
  <c r="P26" i="26"/>
  <c r="P11" i="26" s="1"/>
  <c r="N12" i="26"/>
  <c r="F14" i="26"/>
  <c r="E14" i="26" s="1"/>
  <c r="C14" i="26" s="1"/>
  <c r="F29" i="26"/>
  <c r="E29" i="26" s="1"/>
  <c r="R29" i="26"/>
  <c r="D29" i="26"/>
  <c r="K12" i="26"/>
  <c r="F18" i="26"/>
  <c r="E18" i="26" s="1"/>
  <c r="C18" i="26" s="1"/>
  <c r="F20" i="26"/>
  <c r="E20" i="26" s="1"/>
  <c r="C20" i="26" s="1"/>
  <c r="L12" i="26"/>
  <c r="Q26" i="26"/>
  <c r="J12" i="26"/>
  <c r="F16" i="26"/>
  <c r="E16" i="26" s="1"/>
  <c r="F32" i="26"/>
  <c r="E32" i="26" s="1"/>
  <c r="C32" i="26" s="1"/>
  <c r="N26" i="26"/>
  <c r="F13" i="26"/>
  <c r="Q12" i="26"/>
  <c r="U11" i="22"/>
  <c r="S12" i="22"/>
  <c r="S11" i="22" s="1"/>
  <c r="S10" i="22" s="1"/>
  <c r="J11" i="21"/>
  <c r="J10" i="21" s="1"/>
  <c r="G28" i="26"/>
  <c r="F28" i="26" s="1"/>
  <c r="E28" i="26" s="1"/>
  <c r="C28" i="26" s="1"/>
  <c r="F15" i="26"/>
  <c r="E15" i="26" s="1"/>
  <c r="C15" i="26" s="1"/>
  <c r="H12" i="26"/>
  <c r="H11" i="26" s="1"/>
  <c r="O26" i="26"/>
  <c r="O11" i="26" s="1"/>
  <c r="F27" i="26"/>
  <c r="L26" i="26"/>
  <c r="T10" i="22"/>
  <c r="T9" i="22" s="1"/>
  <c r="S27" i="26"/>
  <c r="J39" i="21"/>
  <c r="J38" i="21" s="1"/>
  <c r="J49" i="21"/>
  <c r="J80" i="21"/>
  <c r="J100" i="21"/>
  <c r="J143" i="21"/>
  <c r="J90" i="21"/>
  <c r="J123" i="21"/>
  <c r="J122" i="21" s="1"/>
  <c r="J112" i="21"/>
  <c r="J110" i="21" s="1"/>
  <c r="J68" i="21"/>
  <c r="J29" i="21"/>
  <c r="J20" i="21" s="1"/>
  <c r="S9" i="22" l="1"/>
  <c r="J48" i="21"/>
  <c r="J11" i="26"/>
  <c r="C16" i="26"/>
  <c r="G26" i="26"/>
  <c r="G11" i="26" s="1"/>
  <c r="U10" i="22"/>
  <c r="U9" i="22" s="1"/>
  <c r="T27" i="26"/>
  <c r="T26" i="26" s="1"/>
  <c r="T11" i="26" s="1"/>
  <c r="L11" i="26"/>
  <c r="F26" i="26"/>
  <c r="Q11" i="26"/>
  <c r="C29" i="26"/>
  <c r="E13" i="26"/>
  <c r="C13" i="26" s="1"/>
  <c r="F12" i="26"/>
  <c r="K11" i="26"/>
  <c r="D27" i="26"/>
  <c r="S26" i="26"/>
  <c r="S11" i="26" s="1"/>
  <c r="N11" i="26"/>
  <c r="J9" i="21"/>
  <c r="F11" i="26" l="1"/>
  <c r="E27" i="26"/>
  <c r="E26" i="26" s="1"/>
  <c r="C12" i="26"/>
  <c r="R27" i="26"/>
  <c r="R26" i="26" s="1"/>
  <c r="R11" i="26" s="1"/>
  <c r="D26" i="26"/>
  <c r="D11" i="26" s="1"/>
  <c r="C27" i="26"/>
  <c r="C26" i="26" s="1"/>
  <c r="E12" i="26"/>
  <c r="E11" i="26" s="1"/>
  <c r="H143" i="21"/>
  <c r="G58" i="21"/>
  <c r="H58" i="21"/>
  <c r="H37" i="21"/>
  <c r="G37" i="21"/>
  <c r="H36" i="21"/>
  <c r="G36" i="21"/>
  <c r="H35" i="21"/>
  <c r="G35" i="21"/>
  <c r="H34" i="21"/>
  <c r="G34" i="21"/>
  <c r="H32" i="21"/>
  <c r="G32" i="21"/>
  <c r="C11" i="26" l="1"/>
  <c r="C7" i="29" s="1"/>
  <c r="C6" i="29" s="1"/>
  <c r="C5" i="29" s="1"/>
  <c r="F31" i="21"/>
  <c r="F145" i="21"/>
  <c r="F146" i="21"/>
  <c r="F147" i="21"/>
  <c r="F148" i="21"/>
  <c r="F149" i="21"/>
  <c r="F150" i="21"/>
  <c r="F151" i="21"/>
  <c r="F152" i="21"/>
  <c r="F153" i="21"/>
  <c r="F154" i="21"/>
  <c r="F155" i="21"/>
  <c r="F156" i="21"/>
  <c r="F157" i="21"/>
  <c r="F158" i="21"/>
  <c r="F159" i="21"/>
  <c r="F160" i="21"/>
  <c r="F161" i="21"/>
  <c r="F162" i="21"/>
  <c r="F163" i="21"/>
  <c r="F164" i="21"/>
  <c r="F165" i="21"/>
  <c r="F166" i="21"/>
  <c r="F167" i="21"/>
  <c r="F168" i="21"/>
  <c r="F169" i="21"/>
  <c r="F170" i="21"/>
  <c r="F171" i="21"/>
  <c r="F172" i="21"/>
  <c r="F173" i="21"/>
  <c r="F144" i="21"/>
  <c r="G143" i="21"/>
  <c r="I143" i="21"/>
  <c r="F135" i="21"/>
  <c r="F136" i="21"/>
  <c r="F137" i="21"/>
  <c r="F138" i="21"/>
  <c r="F139" i="21"/>
  <c r="F140" i="21"/>
  <c r="F141" i="21"/>
  <c r="F142" i="21"/>
  <c r="F134" i="21"/>
  <c r="G133" i="21"/>
  <c r="H133" i="21"/>
  <c r="I133" i="21"/>
  <c r="F125" i="21"/>
  <c r="F126" i="21"/>
  <c r="F127" i="21"/>
  <c r="F128" i="21"/>
  <c r="F129" i="21"/>
  <c r="F130" i="21"/>
  <c r="F131" i="21"/>
  <c r="F132" i="21"/>
  <c r="F124" i="21"/>
  <c r="G123" i="21"/>
  <c r="H123" i="21"/>
  <c r="I123" i="21"/>
  <c r="F114" i="21"/>
  <c r="F115" i="21"/>
  <c r="F116" i="21"/>
  <c r="F117" i="21"/>
  <c r="F118" i="21"/>
  <c r="F119" i="21"/>
  <c r="F120" i="21"/>
  <c r="F121" i="21"/>
  <c r="F113" i="21"/>
  <c r="G112" i="21"/>
  <c r="G110" i="21" s="1"/>
  <c r="H112" i="21"/>
  <c r="H110" i="21" s="1"/>
  <c r="I112" i="21"/>
  <c r="I110" i="21" s="1"/>
  <c r="F102" i="21"/>
  <c r="F103" i="21"/>
  <c r="F104" i="21"/>
  <c r="F105" i="21"/>
  <c r="F106" i="21"/>
  <c r="F107" i="21"/>
  <c r="F108" i="21"/>
  <c r="F109" i="21"/>
  <c r="F101" i="21"/>
  <c r="G100" i="21"/>
  <c r="H100" i="21"/>
  <c r="I100" i="21"/>
  <c r="F92" i="21"/>
  <c r="F93" i="21"/>
  <c r="F94" i="21"/>
  <c r="F95" i="21"/>
  <c r="F96" i="21"/>
  <c r="F97" i="21"/>
  <c r="F98" i="21"/>
  <c r="F99" i="21"/>
  <c r="F91" i="21"/>
  <c r="G90" i="21"/>
  <c r="H90" i="21"/>
  <c r="I90" i="21"/>
  <c r="F82" i="21"/>
  <c r="F83" i="21"/>
  <c r="F84" i="21"/>
  <c r="F85" i="21"/>
  <c r="F86" i="21"/>
  <c r="F87" i="21"/>
  <c r="F88" i="21"/>
  <c r="F89" i="21"/>
  <c r="F81" i="21"/>
  <c r="G80" i="21"/>
  <c r="H80" i="21"/>
  <c r="I80" i="21"/>
  <c r="F79" i="21"/>
  <c r="F78" i="21" s="1"/>
  <c r="G78" i="21"/>
  <c r="H78" i="21"/>
  <c r="F70" i="21"/>
  <c r="F71" i="21"/>
  <c r="F72" i="21"/>
  <c r="F73" i="21"/>
  <c r="F74" i="21"/>
  <c r="F75" i="21"/>
  <c r="F76" i="21"/>
  <c r="F77" i="21"/>
  <c r="F69" i="21"/>
  <c r="G68" i="21"/>
  <c r="H68" i="21"/>
  <c r="F60" i="21"/>
  <c r="F61" i="21"/>
  <c r="F62" i="21"/>
  <c r="F63" i="21"/>
  <c r="F64" i="21"/>
  <c r="F65" i="21"/>
  <c r="F66" i="21"/>
  <c r="F67" i="21"/>
  <c r="F59" i="21"/>
  <c r="I58" i="21"/>
  <c r="F51" i="21"/>
  <c r="F52" i="21"/>
  <c r="F53" i="21"/>
  <c r="F54" i="21"/>
  <c r="F55" i="21"/>
  <c r="F56" i="21"/>
  <c r="F57" i="21"/>
  <c r="F50" i="21"/>
  <c r="G49" i="21"/>
  <c r="H49" i="21"/>
  <c r="I49" i="21"/>
  <c r="F41" i="21"/>
  <c r="F42" i="21"/>
  <c r="F43" i="21"/>
  <c r="F44" i="21"/>
  <c r="F45" i="21"/>
  <c r="F46" i="21"/>
  <c r="F47" i="21"/>
  <c r="F40" i="21"/>
  <c r="G39" i="21"/>
  <c r="G38" i="21" s="1"/>
  <c r="H39" i="21"/>
  <c r="H38" i="21" s="1"/>
  <c r="I39" i="21"/>
  <c r="I38" i="21" s="1"/>
  <c r="F32" i="21"/>
  <c r="F33" i="21"/>
  <c r="F34" i="21"/>
  <c r="F35" i="21"/>
  <c r="F36" i="21"/>
  <c r="F37" i="21"/>
  <c r="F30" i="21"/>
  <c r="G29" i="21"/>
  <c r="H29" i="21"/>
  <c r="I29" i="21"/>
  <c r="G21" i="21"/>
  <c r="H21" i="21"/>
  <c r="I21" i="21"/>
  <c r="F28" i="21"/>
  <c r="F23" i="21"/>
  <c r="F24" i="21"/>
  <c r="F25" i="21"/>
  <c r="F26" i="21"/>
  <c r="F27" i="21"/>
  <c r="F22" i="21"/>
  <c r="I11" i="21"/>
  <c r="I10" i="21" s="1"/>
  <c r="G11" i="21"/>
  <c r="G10" i="21" s="1"/>
  <c r="H11" i="21"/>
  <c r="H10" i="21" s="1"/>
  <c r="F13" i="21"/>
  <c r="F14" i="21"/>
  <c r="F15" i="21"/>
  <c r="F16" i="21"/>
  <c r="F17" i="21"/>
  <c r="F18" i="21"/>
  <c r="F19" i="21"/>
  <c r="F12" i="21"/>
  <c r="H20" i="21" l="1"/>
  <c r="I20" i="21"/>
  <c r="I122" i="21"/>
  <c r="F143" i="21"/>
  <c r="G122" i="21"/>
  <c r="F112" i="21"/>
  <c r="F100" i="21"/>
  <c r="F90" i="21"/>
  <c r="F68" i="21"/>
  <c r="F58" i="21"/>
  <c r="H48" i="21"/>
  <c r="G20" i="21"/>
  <c r="F29" i="21"/>
  <c r="F11" i="21"/>
  <c r="H122" i="21"/>
  <c r="F133" i="21"/>
  <c r="F123" i="21"/>
  <c r="F80" i="21"/>
  <c r="I48" i="21"/>
  <c r="I9" i="21" s="1"/>
  <c r="G48" i="21"/>
  <c r="F49" i="21"/>
  <c r="F39" i="21"/>
  <c r="H9" i="21" l="1"/>
  <c r="F122" i="21"/>
  <c r="F110" i="21"/>
  <c r="F48" i="21"/>
  <c r="F38" i="21"/>
  <c r="G9" i="21"/>
  <c r="E110" i="21" l="1"/>
  <c r="F21" i="21"/>
  <c r="E122" i="21"/>
  <c r="E48" i="21"/>
  <c r="E38" i="21"/>
  <c r="E20" i="21"/>
  <c r="E10" i="21"/>
  <c r="F20" i="21" l="1"/>
  <c r="F10" i="21"/>
  <c r="E9" i="21"/>
  <c r="F9" i="21" l="1"/>
  <c r="G196" i="2"/>
  <c r="F196" i="2"/>
  <c r="E196" i="2" s="1"/>
  <c r="C196" i="2"/>
  <c r="C194" i="2" s="1"/>
  <c r="D214" i="2"/>
  <c r="F214" i="2"/>
  <c r="G214" i="2"/>
  <c r="I214" i="2"/>
  <c r="J214" i="2"/>
  <c r="C214" i="2"/>
  <c r="G136" i="2"/>
  <c r="F136" i="2"/>
  <c r="C136" i="2"/>
  <c r="G176" i="2"/>
  <c r="F176" i="2"/>
  <c r="E176" i="2" s="1"/>
  <c r="C176" i="2"/>
  <c r="G96" i="2"/>
  <c r="G94" i="2" s="1"/>
  <c r="F96" i="2"/>
  <c r="C156" i="2"/>
  <c r="C154" i="2" s="1"/>
  <c r="G156" i="2"/>
  <c r="G154" i="2" s="1"/>
  <c r="F156" i="2"/>
  <c r="F154" i="2" s="1"/>
  <c r="D154" i="2"/>
  <c r="I154" i="2"/>
  <c r="J154" i="2"/>
  <c r="H156" i="2"/>
  <c r="D114" i="2"/>
  <c r="E114" i="2"/>
  <c r="F114" i="2"/>
  <c r="G114" i="2"/>
  <c r="I114" i="2"/>
  <c r="J114" i="2"/>
  <c r="C114" i="2"/>
  <c r="H116" i="2"/>
  <c r="H114" i="2" s="1"/>
  <c r="D94" i="2"/>
  <c r="F94" i="2"/>
  <c r="I94" i="2"/>
  <c r="J94" i="2"/>
  <c r="C94" i="2"/>
  <c r="C98" i="2"/>
  <c r="C97" i="2" s="1"/>
  <c r="H96" i="2"/>
  <c r="E96" i="2" l="1"/>
  <c r="E156" i="2"/>
  <c r="E136" i="2"/>
  <c r="C242" i="2"/>
  <c r="D244" i="2"/>
  <c r="F244" i="2"/>
  <c r="G244" i="2"/>
  <c r="I244" i="2"/>
  <c r="J244" i="2"/>
  <c r="D242" i="2"/>
  <c r="E242" i="2"/>
  <c r="F242" i="2"/>
  <c r="G242" i="2"/>
  <c r="I242" i="2"/>
  <c r="J242" i="2"/>
  <c r="D236" i="2"/>
  <c r="F236" i="2"/>
  <c r="G236" i="2"/>
  <c r="I236" i="2"/>
  <c r="J236" i="2"/>
  <c r="C236" i="2"/>
  <c r="D234" i="2"/>
  <c r="F234" i="2"/>
  <c r="G234" i="2"/>
  <c r="G232" i="2" s="1"/>
  <c r="I234" i="2"/>
  <c r="J234" i="2"/>
  <c r="D228" i="2"/>
  <c r="F228" i="2"/>
  <c r="G228" i="2"/>
  <c r="I228" i="2"/>
  <c r="J228" i="2"/>
  <c r="D226" i="2"/>
  <c r="F226" i="2"/>
  <c r="G226" i="2"/>
  <c r="I226" i="2"/>
  <c r="J226" i="2"/>
  <c r="D219" i="2"/>
  <c r="F219" i="2"/>
  <c r="G219" i="2"/>
  <c r="I219" i="2"/>
  <c r="J219" i="2"/>
  <c r="D217" i="2"/>
  <c r="F217" i="2"/>
  <c r="G217" i="2"/>
  <c r="I217" i="2"/>
  <c r="J217" i="2"/>
  <c r="C217" i="2"/>
  <c r="D208" i="2"/>
  <c r="F208" i="2"/>
  <c r="G208" i="2"/>
  <c r="I208" i="2"/>
  <c r="J208" i="2"/>
  <c r="D206" i="2"/>
  <c r="F206" i="2"/>
  <c r="G206" i="2"/>
  <c r="I206" i="2"/>
  <c r="J206" i="2"/>
  <c r="C206" i="2"/>
  <c r="D199" i="2"/>
  <c r="F199" i="2"/>
  <c r="G199" i="2"/>
  <c r="I199" i="2"/>
  <c r="J199" i="2"/>
  <c r="D197" i="2"/>
  <c r="F197" i="2"/>
  <c r="G197" i="2"/>
  <c r="I197" i="2"/>
  <c r="J197" i="2"/>
  <c r="C197" i="2"/>
  <c r="D194" i="2"/>
  <c r="F194" i="2"/>
  <c r="G194" i="2"/>
  <c r="I194" i="2"/>
  <c r="J194" i="2"/>
  <c r="D188" i="2"/>
  <c r="E188" i="2"/>
  <c r="F188" i="2"/>
  <c r="G188" i="2"/>
  <c r="H188" i="2"/>
  <c r="I188" i="2"/>
  <c r="J188" i="2"/>
  <c r="D186" i="2"/>
  <c r="E186" i="2"/>
  <c r="F186" i="2"/>
  <c r="G186" i="2"/>
  <c r="H186" i="2"/>
  <c r="I186" i="2"/>
  <c r="J186" i="2"/>
  <c r="D179" i="2"/>
  <c r="E179" i="2"/>
  <c r="F179" i="2"/>
  <c r="G179" i="2"/>
  <c r="H179" i="2"/>
  <c r="I179" i="2"/>
  <c r="J179" i="2"/>
  <c r="D177" i="2"/>
  <c r="E177" i="2"/>
  <c r="F177" i="2"/>
  <c r="G177" i="2"/>
  <c r="H177" i="2"/>
  <c r="I177" i="2"/>
  <c r="J177" i="2"/>
  <c r="D174" i="2"/>
  <c r="E174" i="2"/>
  <c r="F174" i="2"/>
  <c r="G174" i="2"/>
  <c r="H174" i="2"/>
  <c r="I174" i="2"/>
  <c r="J174" i="2"/>
  <c r="D168" i="2"/>
  <c r="F168" i="2"/>
  <c r="G168" i="2"/>
  <c r="I168" i="2"/>
  <c r="J168" i="2"/>
  <c r="C168" i="2"/>
  <c r="D166" i="2"/>
  <c r="F166" i="2"/>
  <c r="G166" i="2"/>
  <c r="I166" i="2"/>
  <c r="J166" i="2"/>
  <c r="C166" i="2"/>
  <c r="D159" i="2"/>
  <c r="F159" i="2"/>
  <c r="G159" i="2"/>
  <c r="I159" i="2"/>
  <c r="J159" i="2"/>
  <c r="D157" i="2"/>
  <c r="F157" i="2"/>
  <c r="G157" i="2"/>
  <c r="I157" i="2"/>
  <c r="J157" i="2"/>
  <c r="D148" i="2"/>
  <c r="F148" i="2"/>
  <c r="G148" i="2"/>
  <c r="I148" i="2"/>
  <c r="J148" i="2"/>
  <c r="D146" i="2"/>
  <c r="F146" i="2"/>
  <c r="G146" i="2"/>
  <c r="I146" i="2"/>
  <c r="J146" i="2"/>
  <c r="C146" i="2"/>
  <c r="D139" i="2"/>
  <c r="F139" i="2"/>
  <c r="G139" i="2"/>
  <c r="I139" i="2"/>
  <c r="J139" i="2"/>
  <c r="D137" i="2"/>
  <c r="G137" i="2"/>
  <c r="I137" i="2"/>
  <c r="J137" i="2"/>
  <c r="C137" i="2"/>
  <c r="D134" i="2"/>
  <c r="F134" i="2"/>
  <c r="G134" i="2"/>
  <c r="I134" i="2"/>
  <c r="J134" i="2"/>
  <c r="C134" i="2"/>
  <c r="D128" i="2"/>
  <c r="E128" i="2"/>
  <c r="F128" i="2"/>
  <c r="G128" i="2"/>
  <c r="H128" i="2"/>
  <c r="I128" i="2"/>
  <c r="J128" i="2"/>
  <c r="D126" i="2"/>
  <c r="F126" i="2"/>
  <c r="G126" i="2"/>
  <c r="I126" i="2"/>
  <c r="J126" i="2"/>
  <c r="D119" i="2"/>
  <c r="E119" i="2"/>
  <c r="F119" i="2"/>
  <c r="G119" i="2"/>
  <c r="H119" i="2"/>
  <c r="I119" i="2"/>
  <c r="J119" i="2"/>
  <c r="D117" i="2"/>
  <c r="E117" i="2"/>
  <c r="F117" i="2"/>
  <c r="G117" i="2"/>
  <c r="H117" i="2"/>
  <c r="I117" i="2"/>
  <c r="J117" i="2"/>
  <c r="C117" i="2"/>
  <c r="D108" i="2"/>
  <c r="F108" i="2"/>
  <c r="G108" i="2"/>
  <c r="I108" i="2"/>
  <c r="J108" i="2"/>
  <c r="D106" i="2"/>
  <c r="F106" i="2"/>
  <c r="G106" i="2"/>
  <c r="I106" i="2"/>
  <c r="J106" i="2"/>
  <c r="C106" i="2"/>
  <c r="D99" i="2"/>
  <c r="E99" i="2"/>
  <c r="F99" i="2"/>
  <c r="G99" i="2"/>
  <c r="H99" i="2"/>
  <c r="I99" i="2"/>
  <c r="J99" i="2"/>
  <c r="D97" i="2"/>
  <c r="E97" i="2"/>
  <c r="G97" i="2"/>
  <c r="I97" i="2"/>
  <c r="J97" i="2"/>
  <c r="H98" i="2"/>
  <c r="H97" i="2" s="1"/>
  <c r="F98" i="2"/>
  <c r="F97" i="2" s="1"/>
  <c r="D89" i="2"/>
  <c r="D88" i="2" s="1"/>
  <c r="E89" i="2"/>
  <c r="E88" i="2" s="1"/>
  <c r="F89" i="2"/>
  <c r="F88" i="2" s="1"/>
  <c r="G89" i="2"/>
  <c r="G88" i="2" s="1"/>
  <c r="H89" i="2"/>
  <c r="H88" i="2" s="1"/>
  <c r="I89" i="2"/>
  <c r="I88" i="2" s="1"/>
  <c r="J89" i="2"/>
  <c r="J88" i="2" s="1"/>
  <c r="C89" i="2"/>
  <c r="C88" i="2" s="1"/>
  <c r="D86" i="2"/>
  <c r="D85" i="2" s="1"/>
  <c r="E86" i="2"/>
  <c r="E85" i="2" s="1"/>
  <c r="F86" i="2"/>
  <c r="F85" i="2" s="1"/>
  <c r="G86" i="2"/>
  <c r="G85" i="2" s="1"/>
  <c r="H86" i="2"/>
  <c r="H85" i="2" s="1"/>
  <c r="I86" i="2"/>
  <c r="I85" i="2" s="1"/>
  <c r="J86" i="2"/>
  <c r="J85" i="2" s="1"/>
  <c r="C86" i="2"/>
  <c r="C85" i="2" s="1"/>
  <c r="D83" i="2"/>
  <c r="D82" i="2" s="1"/>
  <c r="E83" i="2"/>
  <c r="E82" i="2" s="1"/>
  <c r="F83" i="2"/>
  <c r="F82" i="2" s="1"/>
  <c r="G83" i="2"/>
  <c r="G82" i="2" s="1"/>
  <c r="I83" i="2"/>
  <c r="I82" i="2" s="1"/>
  <c r="J83" i="2"/>
  <c r="J82" i="2" s="1"/>
  <c r="D80" i="2"/>
  <c r="D79" i="2" s="1"/>
  <c r="E80" i="2"/>
  <c r="E79" i="2" s="1"/>
  <c r="F80" i="2"/>
  <c r="F79" i="2" s="1"/>
  <c r="G80" i="2"/>
  <c r="G79" i="2" s="1"/>
  <c r="H80" i="2"/>
  <c r="H79" i="2" s="1"/>
  <c r="I80" i="2"/>
  <c r="I79" i="2" s="1"/>
  <c r="J80" i="2"/>
  <c r="J79" i="2" s="1"/>
  <c r="C80" i="2"/>
  <c r="C79" i="2" s="1"/>
  <c r="D77" i="2"/>
  <c r="D76" i="2" s="1"/>
  <c r="E77" i="2"/>
  <c r="E76" i="2" s="1"/>
  <c r="F77" i="2"/>
  <c r="F76" i="2" s="1"/>
  <c r="G77" i="2"/>
  <c r="G76" i="2" s="1"/>
  <c r="H77" i="2"/>
  <c r="H76" i="2" s="1"/>
  <c r="I77" i="2"/>
  <c r="I76" i="2" s="1"/>
  <c r="J77" i="2"/>
  <c r="J76" i="2" s="1"/>
  <c r="C77" i="2"/>
  <c r="C76" i="2" s="1"/>
  <c r="D74" i="2"/>
  <c r="E74" i="2"/>
  <c r="F74" i="2"/>
  <c r="G74" i="2"/>
  <c r="H74" i="2"/>
  <c r="I74" i="2"/>
  <c r="J74" i="2"/>
  <c r="D72" i="2"/>
  <c r="E72" i="2"/>
  <c r="F72" i="2"/>
  <c r="G72" i="2"/>
  <c r="H72" i="2"/>
  <c r="I72" i="2"/>
  <c r="J72" i="2"/>
  <c r="C72" i="2"/>
  <c r="D132" i="2" l="1"/>
  <c r="I232" i="2"/>
  <c r="F232" i="2"/>
  <c r="D232" i="2"/>
  <c r="J232" i="2"/>
  <c r="D192" i="2"/>
  <c r="J212" i="2"/>
  <c r="J172" i="2"/>
  <c r="I212" i="2"/>
  <c r="G212" i="2"/>
  <c r="F212" i="2"/>
  <c r="D212" i="2"/>
  <c r="J152" i="2"/>
  <c r="G192" i="2"/>
  <c r="F192" i="2"/>
  <c r="I172" i="2"/>
  <c r="H172" i="2"/>
  <c r="G172" i="2"/>
  <c r="F172" i="2"/>
  <c r="J192" i="2"/>
  <c r="I192" i="2"/>
  <c r="I152" i="2"/>
  <c r="G132" i="2"/>
  <c r="E172" i="2"/>
  <c r="D172" i="2"/>
  <c r="I112" i="2"/>
  <c r="D152" i="2"/>
  <c r="G152" i="2"/>
  <c r="F152" i="2"/>
  <c r="J132" i="2"/>
  <c r="F71" i="2"/>
  <c r="I132" i="2"/>
  <c r="G112" i="2"/>
  <c r="H71" i="2"/>
  <c r="F112" i="2"/>
  <c r="D112" i="2"/>
  <c r="J92" i="2"/>
  <c r="J112" i="2"/>
  <c r="I92" i="2"/>
  <c r="G92" i="2"/>
  <c r="D92" i="2"/>
  <c r="G71" i="2"/>
  <c r="D71" i="2"/>
  <c r="J71" i="2"/>
  <c r="I71" i="2"/>
  <c r="E71" i="2"/>
  <c r="I91" i="2" l="1"/>
  <c r="G91" i="2"/>
  <c r="J91" i="2"/>
  <c r="D91" i="2"/>
  <c r="D69" i="2"/>
  <c r="D68" i="2" s="1"/>
  <c r="E69" i="2"/>
  <c r="E68" i="2" s="1"/>
  <c r="F69" i="2"/>
  <c r="F68" i="2" s="1"/>
  <c r="G69" i="2"/>
  <c r="G68" i="2" s="1"/>
  <c r="H69" i="2"/>
  <c r="H68" i="2" s="1"/>
  <c r="I69" i="2"/>
  <c r="I68" i="2" s="1"/>
  <c r="J69" i="2"/>
  <c r="J68" i="2" s="1"/>
  <c r="C69" i="2"/>
  <c r="C68" i="2" s="1"/>
  <c r="D66" i="2"/>
  <c r="D65" i="2" s="1"/>
  <c r="F66" i="2"/>
  <c r="F65" i="2" s="1"/>
  <c r="G66" i="2"/>
  <c r="G65" i="2" s="1"/>
  <c r="I66" i="2"/>
  <c r="I65" i="2" s="1"/>
  <c r="J66" i="2"/>
  <c r="J65" i="2" s="1"/>
  <c r="D63" i="2"/>
  <c r="D62" i="2" s="1"/>
  <c r="E63" i="2"/>
  <c r="E62" i="2" s="1"/>
  <c r="G63" i="2"/>
  <c r="G62" i="2" s="1"/>
  <c r="I63" i="2"/>
  <c r="I62" i="2" s="1"/>
  <c r="J63" i="2"/>
  <c r="J62" i="2" s="1"/>
  <c r="D60" i="2"/>
  <c r="D59" i="2" s="1"/>
  <c r="E60" i="2"/>
  <c r="E59" i="2" s="1"/>
  <c r="F60" i="2"/>
  <c r="F59" i="2" s="1"/>
  <c r="G60" i="2"/>
  <c r="G59" i="2" s="1"/>
  <c r="H60" i="2"/>
  <c r="H59" i="2" s="1"/>
  <c r="I60" i="2"/>
  <c r="I59" i="2" s="1"/>
  <c r="J60" i="2"/>
  <c r="J59" i="2" s="1"/>
  <c r="D57" i="2"/>
  <c r="D56" i="2" s="1"/>
  <c r="E57" i="2"/>
  <c r="E56" i="2" s="1"/>
  <c r="F57" i="2"/>
  <c r="F56" i="2" s="1"/>
  <c r="G57" i="2"/>
  <c r="G56" i="2" s="1"/>
  <c r="H57" i="2"/>
  <c r="H56" i="2" s="1"/>
  <c r="I57" i="2"/>
  <c r="I56" i="2" s="1"/>
  <c r="J57" i="2"/>
  <c r="J56" i="2" s="1"/>
  <c r="C57" i="2"/>
  <c r="C56" i="2" s="1"/>
  <c r="D54" i="2"/>
  <c r="D53" i="2" s="1"/>
  <c r="E54" i="2"/>
  <c r="E53" i="2" s="1"/>
  <c r="F54" i="2"/>
  <c r="F53" i="2" s="1"/>
  <c r="G54" i="2"/>
  <c r="G53" i="2" s="1"/>
  <c r="H54" i="2"/>
  <c r="H53" i="2" s="1"/>
  <c r="I54" i="2"/>
  <c r="I53" i="2" s="1"/>
  <c r="J54" i="2"/>
  <c r="J53" i="2" s="1"/>
  <c r="C54" i="2"/>
  <c r="C53" i="2" s="1"/>
  <c r="D51" i="2"/>
  <c r="D50" i="2" s="1"/>
  <c r="E51" i="2"/>
  <c r="E50" i="2" s="1"/>
  <c r="F51" i="2"/>
  <c r="F50" i="2" s="1"/>
  <c r="G51" i="2"/>
  <c r="G50" i="2" s="1"/>
  <c r="H51" i="2"/>
  <c r="H50" i="2" s="1"/>
  <c r="I51" i="2"/>
  <c r="I50" i="2" s="1"/>
  <c r="J51" i="2"/>
  <c r="J50" i="2" s="1"/>
  <c r="C51" i="2"/>
  <c r="C50" i="2" s="1"/>
  <c r="D48" i="2"/>
  <c r="D46" i="2" s="1"/>
  <c r="E48" i="2"/>
  <c r="E46" i="2" s="1"/>
  <c r="F48" i="2"/>
  <c r="F46" i="2" s="1"/>
  <c r="G48" i="2"/>
  <c r="G46" i="2" s="1"/>
  <c r="H48" i="2"/>
  <c r="H46" i="2" s="1"/>
  <c r="I48" i="2"/>
  <c r="I46" i="2" s="1"/>
  <c r="J48" i="2"/>
  <c r="J46" i="2" s="1"/>
  <c r="C48" i="2"/>
  <c r="D44" i="2"/>
  <c r="D42" i="2" s="1"/>
  <c r="E44" i="2"/>
  <c r="E42" i="2" s="1"/>
  <c r="F44" i="2"/>
  <c r="F42" i="2" s="1"/>
  <c r="G44" i="2"/>
  <c r="G42" i="2" s="1"/>
  <c r="H44" i="2"/>
  <c r="H42" i="2" s="1"/>
  <c r="I44" i="2"/>
  <c r="I42" i="2" s="1"/>
  <c r="J44" i="2"/>
  <c r="J42" i="2" s="1"/>
  <c r="D40" i="2"/>
  <c r="D38" i="2" s="1"/>
  <c r="E40" i="2"/>
  <c r="F40" i="2"/>
  <c r="G40" i="2"/>
  <c r="G38" i="2" s="1"/>
  <c r="H40" i="2"/>
  <c r="I40" i="2"/>
  <c r="I38" i="2" s="1"/>
  <c r="J40" i="2"/>
  <c r="J38" i="2" s="1"/>
  <c r="C40" i="2"/>
  <c r="D36" i="2"/>
  <c r="E36" i="2"/>
  <c r="F36" i="2"/>
  <c r="G36" i="2"/>
  <c r="H36" i="2"/>
  <c r="I36" i="2"/>
  <c r="J36" i="2"/>
  <c r="D34" i="2"/>
  <c r="E34" i="2"/>
  <c r="F34" i="2"/>
  <c r="G34" i="2"/>
  <c r="H34" i="2"/>
  <c r="I34" i="2"/>
  <c r="J34" i="2"/>
  <c r="D31" i="2"/>
  <c r="D30" i="2" s="1"/>
  <c r="E31" i="2"/>
  <c r="E30" i="2" s="1"/>
  <c r="F31" i="2"/>
  <c r="F30" i="2" s="1"/>
  <c r="G31" i="2"/>
  <c r="G30" i="2" s="1"/>
  <c r="H31" i="2"/>
  <c r="H30" i="2" s="1"/>
  <c r="I31" i="2"/>
  <c r="I30" i="2" s="1"/>
  <c r="J31" i="2"/>
  <c r="J30" i="2" s="1"/>
  <c r="C31" i="2"/>
  <c r="C30" i="2" s="1"/>
  <c r="D28" i="2"/>
  <c r="E28" i="2"/>
  <c r="F28" i="2"/>
  <c r="G28" i="2"/>
  <c r="H28" i="2"/>
  <c r="I28" i="2"/>
  <c r="J28" i="2"/>
  <c r="D26" i="2"/>
  <c r="E26" i="2"/>
  <c r="F26" i="2"/>
  <c r="G26" i="2"/>
  <c r="H26" i="2"/>
  <c r="I26" i="2"/>
  <c r="J26" i="2"/>
  <c r="D23" i="2"/>
  <c r="E23" i="2"/>
  <c r="F23" i="2"/>
  <c r="G23" i="2"/>
  <c r="H23" i="2"/>
  <c r="I23" i="2"/>
  <c r="J23" i="2"/>
  <c r="D21" i="2"/>
  <c r="E21" i="2"/>
  <c r="F21" i="2"/>
  <c r="G21" i="2"/>
  <c r="H21" i="2"/>
  <c r="I21" i="2"/>
  <c r="J21" i="2"/>
  <c r="C22" i="2"/>
  <c r="C21" i="2" s="1"/>
  <c r="D18" i="2"/>
  <c r="D17" i="2" s="1"/>
  <c r="F18" i="2"/>
  <c r="F17" i="2" s="1"/>
  <c r="G18" i="2"/>
  <c r="G17" i="2" s="1"/>
  <c r="I18" i="2"/>
  <c r="I17" i="2" s="1"/>
  <c r="J18" i="2"/>
  <c r="J17" i="2" s="1"/>
  <c r="D14" i="2"/>
  <c r="F14" i="2"/>
  <c r="G14" i="2"/>
  <c r="H14" i="2"/>
  <c r="I14" i="2"/>
  <c r="J14" i="2"/>
  <c r="D12" i="2"/>
  <c r="D11" i="2" s="1"/>
  <c r="E12" i="2"/>
  <c r="F12" i="2"/>
  <c r="G12" i="2"/>
  <c r="H12" i="2"/>
  <c r="I12" i="2"/>
  <c r="I11" i="2" s="1"/>
  <c r="J12" i="2"/>
  <c r="C12" i="2"/>
  <c r="F93" i="2"/>
  <c r="F92" i="2" s="1"/>
  <c r="J25" i="2" l="1"/>
  <c r="H33" i="2"/>
  <c r="J11" i="2"/>
  <c r="F11" i="2"/>
  <c r="H11" i="2"/>
  <c r="G11" i="2"/>
  <c r="J20" i="2"/>
  <c r="H25" i="2"/>
  <c r="F33" i="2"/>
  <c r="F20" i="2"/>
  <c r="D25" i="2"/>
  <c r="J33" i="2"/>
  <c r="E25" i="2"/>
  <c r="G25" i="2"/>
  <c r="E33" i="2"/>
  <c r="H20" i="2"/>
  <c r="F25" i="2"/>
  <c r="D33" i="2"/>
  <c r="E20" i="2"/>
  <c r="G33" i="2"/>
  <c r="I25" i="2"/>
  <c r="I33" i="2"/>
  <c r="D20" i="2"/>
  <c r="G20" i="2"/>
  <c r="I20" i="2"/>
  <c r="J10" i="2" l="1"/>
  <c r="J9" i="2" s="1"/>
  <c r="D10" i="2"/>
  <c r="D9" i="2" s="1"/>
  <c r="G10" i="2"/>
  <c r="G9" i="2" s="1"/>
  <c r="I10" i="2"/>
  <c r="I9" i="2" s="1"/>
  <c r="C246" i="2" l="1"/>
  <c r="C244" i="2" s="1"/>
  <c r="C211" i="2"/>
  <c r="C208" i="2" s="1"/>
  <c r="C151" i="2"/>
  <c r="C191" i="2"/>
  <c r="C188" i="2" s="1"/>
  <c r="C111" i="2"/>
  <c r="C108" i="2" s="1"/>
  <c r="C131" i="2"/>
  <c r="C231" i="2"/>
  <c r="C45" i="2"/>
  <c r="C44" i="2" s="1"/>
  <c r="C42" i="2" s="1"/>
  <c r="C19" i="2"/>
  <c r="C18" i="2" s="1"/>
  <c r="C17" i="2" s="1"/>
  <c r="C84" i="2"/>
  <c r="C83" i="2" s="1"/>
  <c r="C82" i="2" s="1"/>
  <c r="C75" i="2"/>
  <c r="C74" i="2" s="1"/>
  <c r="C71" i="2" s="1"/>
  <c r="C24" i="2"/>
  <c r="C23" i="2" s="1"/>
  <c r="C20" i="2" s="1"/>
  <c r="C37" i="2"/>
  <c r="C36" i="2" s="1"/>
  <c r="C61" i="2"/>
  <c r="C60" i="2" s="1"/>
  <c r="C59" i="2" s="1"/>
  <c r="C29" i="2"/>
  <c r="C28" i="2" s="1"/>
  <c r="C64" i="2"/>
  <c r="C63" i="2" s="1"/>
  <c r="C62" i="2" s="1"/>
  <c r="C67" i="2"/>
  <c r="C66" i="2" s="1"/>
  <c r="C65" i="2" s="1"/>
  <c r="C16" i="2"/>
  <c r="C14" i="2" s="1"/>
  <c r="C11" i="2" s="1"/>
  <c r="C149" i="2"/>
  <c r="C148" i="2" s="1"/>
  <c r="C129" i="2"/>
  <c r="C229" i="2"/>
  <c r="C187" i="2"/>
  <c r="C186" i="2" s="1"/>
  <c r="C127" i="2"/>
  <c r="C126" i="2" s="1"/>
  <c r="C227" i="2"/>
  <c r="C226" i="2" s="1"/>
  <c r="C205" i="2"/>
  <c r="C185" i="2"/>
  <c r="C105" i="2"/>
  <c r="C125" i="2"/>
  <c r="C225" i="2"/>
  <c r="C47" i="2"/>
  <c r="C46" i="2" s="1"/>
  <c r="C124" i="2"/>
  <c r="C224" i="2"/>
  <c r="C239" i="2"/>
  <c r="C103" i="2"/>
  <c r="C223" i="2"/>
  <c r="C39" i="2"/>
  <c r="C38" i="2" s="1"/>
  <c r="C202" i="2"/>
  <c r="C199" i="2" s="1"/>
  <c r="C182" i="2"/>
  <c r="C122" i="2"/>
  <c r="C162" i="2"/>
  <c r="C159" i="2" s="1"/>
  <c r="C222" i="2"/>
  <c r="C35" i="2"/>
  <c r="C34" i="2" s="1"/>
  <c r="C140" i="2"/>
  <c r="C139" i="2" s="1"/>
  <c r="C180" i="2"/>
  <c r="C100" i="2"/>
  <c r="C99" i="2" s="1"/>
  <c r="C120" i="2"/>
  <c r="C220" i="2"/>
  <c r="C27" i="2"/>
  <c r="C26" i="2" s="1"/>
  <c r="C25" i="2" s="1"/>
  <c r="C235" i="2"/>
  <c r="C234" i="2" s="1"/>
  <c r="C178" i="2"/>
  <c r="C177" i="2" s="1"/>
  <c r="C158" i="2"/>
  <c r="C157" i="2" s="1"/>
  <c r="C174" i="2"/>
  <c r="C193" i="2"/>
  <c r="C173" i="2"/>
  <c r="C93" i="2"/>
  <c r="C113" i="2"/>
  <c r="C153" i="2"/>
  <c r="C213" i="2"/>
  <c r="C232" i="2" l="1"/>
  <c r="C228" i="2"/>
  <c r="C128" i="2"/>
  <c r="C179" i="2"/>
  <c r="C172" i="2" s="1"/>
  <c r="C192" i="2"/>
  <c r="C219" i="2"/>
  <c r="C212" i="2" s="1"/>
  <c r="C152" i="2"/>
  <c r="C119" i="2"/>
  <c r="C92" i="2"/>
  <c r="C33" i="2"/>
  <c r="C10" i="2" s="1"/>
  <c r="C112" i="2" l="1"/>
  <c r="E19" i="2"/>
  <c r="E18" i="2" s="1"/>
  <c r="E17" i="2" s="1"/>
  <c r="H19" i="2"/>
  <c r="H18" i="2" s="1"/>
  <c r="H17" i="2" s="1"/>
  <c r="H39" i="2" l="1"/>
  <c r="H38" i="2" s="1"/>
  <c r="F39" i="2"/>
  <c r="F38" i="2" s="1"/>
  <c r="E39" i="2" l="1"/>
  <c r="E38" i="2" s="1"/>
  <c r="F138" i="2" l="1"/>
  <c r="F137" i="2" s="1"/>
  <c r="F132" i="2" s="1"/>
  <c r="F91" i="2" s="1"/>
  <c r="E138" i="2"/>
  <c r="E137" i="2" s="1"/>
  <c r="H67" i="2" l="1"/>
  <c r="H66" i="2" s="1"/>
  <c r="H65" i="2" s="1"/>
  <c r="E67" i="2"/>
  <c r="E66" i="2" s="1"/>
  <c r="E65" i="2" s="1"/>
  <c r="E16" i="2"/>
  <c r="E14" i="2" s="1"/>
  <c r="E11" i="2" l="1"/>
  <c r="E10" i="2" s="1"/>
  <c r="H64" i="2"/>
  <c r="H63" i="2" s="1"/>
  <c r="H62" i="2" s="1"/>
  <c r="F64" i="2"/>
  <c r="F63" i="2" s="1"/>
  <c r="F62" i="2" s="1"/>
  <c r="F10" i="2" s="1"/>
  <c r="F9" i="2" s="1"/>
  <c r="H127" i="2" l="1"/>
  <c r="H126" i="2" s="1"/>
  <c r="H112" i="2" s="1"/>
  <c r="E127" i="2"/>
  <c r="E126" i="2" s="1"/>
  <c r="E112" i="2" s="1"/>
  <c r="H84" i="2" l="1"/>
  <c r="H83" i="2" s="1"/>
  <c r="H82" i="2" s="1"/>
  <c r="H10" i="2" s="1"/>
  <c r="H237" i="2" l="1"/>
  <c r="H238" i="2"/>
  <c r="H239" i="2"/>
  <c r="H240" i="2"/>
  <c r="H241" i="2"/>
  <c r="H243" i="2"/>
  <c r="H242" i="2" s="1"/>
  <c r="H245" i="2"/>
  <c r="H246" i="2"/>
  <c r="E237" i="2"/>
  <c r="E238" i="2"/>
  <c r="E239" i="2"/>
  <c r="E240" i="2"/>
  <c r="E241" i="2"/>
  <c r="E245" i="2"/>
  <c r="E246" i="2"/>
  <c r="H244" i="2" l="1"/>
  <c r="E244" i="2"/>
  <c r="E236" i="2"/>
  <c r="H236" i="2"/>
  <c r="H215" i="2"/>
  <c r="H216" i="2"/>
  <c r="H218" i="2"/>
  <c r="H217" i="2" s="1"/>
  <c r="H220" i="2"/>
  <c r="H221" i="2"/>
  <c r="H222" i="2"/>
  <c r="H223" i="2"/>
  <c r="H224" i="2"/>
  <c r="H225" i="2"/>
  <c r="H227" i="2"/>
  <c r="H226" i="2" s="1"/>
  <c r="H229" i="2"/>
  <c r="H230" i="2"/>
  <c r="H231" i="2"/>
  <c r="H213" i="2"/>
  <c r="E215" i="2"/>
  <c r="E216" i="2"/>
  <c r="E218" i="2"/>
  <c r="E217" i="2" s="1"/>
  <c r="E220" i="2"/>
  <c r="E221" i="2"/>
  <c r="E222" i="2"/>
  <c r="E223" i="2"/>
  <c r="E224" i="2"/>
  <c r="E225" i="2"/>
  <c r="E227" i="2"/>
  <c r="E226" i="2" s="1"/>
  <c r="E229" i="2"/>
  <c r="E230" i="2"/>
  <c r="E231" i="2"/>
  <c r="E213" i="2"/>
  <c r="H195" i="2"/>
  <c r="H196" i="2"/>
  <c r="H198" i="2"/>
  <c r="H197" i="2" s="1"/>
  <c r="H200" i="2"/>
  <c r="H201" i="2"/>
  <c r="H202" i="2"/>
  <c r="H203" i="2"/>
  <c r="H204" i="2"/>
  <c r="H205" i="2"/>
  <c r="H207" i="2"/>
  <c r="H206" i="2" s="1"/>
  <c r="H209" i="2"/>
  <c r="H210" i="2"/>
  <c r="H193" i="2"/>
  <c r="E195" i="2"/>
  <c r="E198" i="2"/>
  <c r="E197" i="2" s="1"/>
  <c r="E200" i="2"/>
  <c r="E201" i="2"/>
  <c r="E202" i="2"/>
  <c r="E203" i="2"/>
  <c r="E204" i="2"/>
  <c r="E205" i="2"/>
  <c r="E207" i="2"/>
  <c r="E206" i="2" s="1"/>
  <c r="E209" i="2"/>
  <c r="E210" i="2"/>
  <c r="E193" i="2"/>
  <c r="H155" i="2"/>
  <c r="H154" i="2" s="1"/>
  <c r="H158" i="2"/>
  <c r="H157" i="2" s="1"/>
  <c r="H160" i="2"/>
  <c r="H161" i="2"/>
  <c r="H162" i="2"/>
  <c r="H163" i="2"/>
  <c r="H164" i="2"/>
  <c r="H165" i="2"/>
  <c r="H167" i="2"/>
  <c r="H166" i="2" s="1"/>
  <c r="H169" i="2"/>
  <c r="H170" i="2"/>
  <c r="H171" i="2"/>
  <c r="H153" i="2"/>
  <c r="E155" i="2"/>
  <c r="E154" i="2" s="1"/>
  <c r="E158" i="2"/>
  <c r="E157" i="2" s="1"/>
  <c r="E160" i="2"/>
  <c r="E161" i="2"/>
  <c r="E162" i="2"/>
  <c r="E163" i="2"/>
  <c r="E164" i="2"/>
  <c r="E165" i="2"/>
  <c r="E167" i="2"/>
  <c r="E166" i="2" s="1"/>
  <c r="E169" i="2"/>
  <c r="E170" i="2"/>
  <c r="E171" i="2"/>
  <c r="E153" i="2"/>
  <c r="H135" i="2"/>
  <c r="H136" i="2"/>
  <c r="H138" i="2"/>
  <c r="H137" i="2" s="1"/>
  <c r="H140" i="2"/>
  <c r="H141" i="2"/>
  <c r="H142" i="2"/>
  <c r="H143" i="2"/>
  <c r="H144" i="2"/>
  <c r="H145" i="2"/>
  <c r="H147" i="2"/>
  <c r="H146" i="2" s="1"/>
  <c r="H149" i="2"/>
  <c r="H150" i="2"/>
  <c r="H151" i="2"/>
  <c r="H133" i="2"/>
  <c r="E135" i="2"/>
  <c r="E140" i="2"/>
  <c r="E141" i="2"/>
  <c r="E142" i="2"/>
  <c r="E143" i="2"/>
  <c r="E144" i="2"/>
  <c r="E145" i="2"/>
  <c r="E147" i="2"/>
  <c r="E146" i="2" s="1"/>
  <c r="E149" i="2"/>
  <c r="E150" i="2"/>
  <c r="E151" i="2"/>
  <c r="E133" i="2"/>
  <c r="C144" i="2"/>
  <c r="C132" i="2" s="1"/>
  <c r="C91" i="2" s="1"/>
  <c r="C9" i="2" s="1"/>
  <c r="H95" i="2"/>
  <c r="H94" i="2" s="1"/>
  <c r="H103" i="2"/>
  <c r="H104" i="2"/>
  <c r="H105" i="2"/>
  <c r="H107" i="2"/>
  <c r="H106" i="2" s="1"/>
  <c r="H109" i="2"/>
  <c r="H110" i="2"/>
  <c r="H111" i="2"/>
  <c r="H93" i="2"/>
  <c r="E95" i="2"/>
  <c r="E94" i="2" s="1"/>
  <c r="E103" i="2"/>
  <c r="E104" i="2"/>
  <c r="E105" i="2"/>
  <c r="E107" i="2"/>
  <c r="E106" i="2" s="1"/>
  <c r="E109" i="2"/>
  <c r="E110" i="2"/>
  <c r="E111" i="2"/>
  <c r="E93" i="2"/>
  <c r="E214" i="2" l="1"/>
  <c r="H214" i="2"/>
  <c r="E194" i="2"/>
  <c r="H219" i="2"/>
  <c r="H228" i="2"/>
  <c r="E219" i="2"/>
  <c r="E228" i="2"/>
  <c r="H199" i="2"/>
  <c r="E134" i="2"/>
  <c r="H208" i="2"/>
  <c r="E199" i="2"/>
  <c r="H194" i="2"/>
  <c r="E208" i="2"/>
  <c r="H159" i="2"/>
  <c r="E148" i="2"/>
  <c r="H168" i="2"/>
  <c r="E168" i="2"/>
  <c r="H134" i="2"/>
  <c r="E159" i="2"/>
  <c r="H139" i="2"/>
  <c r="H148" i="2"/>
  <c r="H108" i="2"/>
  <c r="H92" i="2" s="1"/>
  <c r="E139" i="2"/>
  <c r="E108" i="2"/>
  <c r="E92" i="2" s="1"/>
  <c r="E132" i="2" l="1"/>
  <c r="E212" i="2"/>
  <c r="H212" i="2"/>
  <c r="E152" i="2"/>
  <c r="H192" i="2"/>
  <c r="E192" i="2"/>
  <c r="H152" i="2"/>
  <c r="H132" i="2"/>
  <c r="H235" i="2" l="1"/>
  <c r="H234" i="2" l="1"/>
  <c r="H232" i="2" s="1"/>
  <c r="H91" i="2" s="1"/>
  <c r="H9" i="2" s="1"/>
  <c r="E235" i="2" l="1"/>
  <c r="E234" i="2" s="1"/>
  <c r="E232" i="2" s="1"/>
  <c r="E91" i="2" s="1"/>
  <c r="E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Bích Ngọc</author>
  </authors>
  <commentList>
    <comment ref="I137" authorId="0" shapeId="0" xr:uid="{00000000-0006-0000-0100-000001000000}">
      <text>
        <r>
          <rPr>
            <b/>
            <sz val="9"/>
            <color indexed="81"/>
            <rFont val="Tahoma"/>
            <family val="2"/>
          </rPr>
          <t>Bích Ngọc:</t>
        </r>
        <r>
          <rPr>
            <sz val="9"/>
            <color indexed="81"/>
            <rFont val="Tahoma"/>
            <family val="2"/>
          </rPr>
          <t xml:space="preserve">
Theo quy định đc chuyển nguồn thì cứ chuyển hết sang 2023 đi, hết thời hạn thanh toán, ko giải ngân hết thì thu hồi sau</t>
        </r>
      </text>
    </comment>
    <comment ref="I153" authorId="0" shapeId="0" xr:uid="{00000000-0006-0000-0100-000002000000}">
      <text>
        <r>
          <rPr>
            <b/>
            <sz val="9"/>
            <color indexed="81"/>
            <rFont val="Tahoma"/>
            <family val="2"/>
          </rPr>
          <t>Bích Ngọc:</t>
        </r>
        <r>
          <rPr>
            <sz val="9"/>
            <color indexed="81"/>
            <rFont val="Tahoma"/>
            <family val="2"/>
          </rPr>
          <t xml:space="preserve">
Theo quy định đc chuyển nguồn thì cứ chuyển hết sang 2023 đi, hết thời hạn thanh toán, ko giải ngân hết thì thu hồi sau</t>
        </r>
      </text>
    </comment>
    <comment ref="I175" authorId="0" shapeId="0" xr:uid="{00000000-0006-0000-0100-000003000000}">
      <text>
        <r>
          <rPr>
            <b/>
            <sz val="9"/>
            <color indexed="81"/>
            <rFont val="Tahoma"/>
            <family val="2"/>
          </rPr>
          <t>Bích Ngọc:</t>
        </r>
        <r>
          <rPr>
            <sz val="9"/>
            <color indexed="81"/>
            <rFont val="Tahoma"/>
            <family val="2"/>
          </rPr>
          <t xml:space="preserve">
Tại sao chuyển nguồn nhiều thế? Theo quy định đc chuyển nguồn thì cứ chuyển hết sng 2023 đi, hết thời hạn thanh toán, ko giải ngân hết thì thu hồi sau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Hien_PC</author>
  </authors>
  <commentList>
    <comment ref="A5" authorId="0" shapeId="0" xr:uid="{00000000-0006-0000-0A00-000001000000}">
      <text>
        <r>
          <rPr>
            <b/>
            <sz val="9"/>
            <color indexed="81"/>
            <rFont val="Tahoma"/>
            <family val="2"/>
          </rPr>
          <t>Hien_PC:</t>
        </r>
        <r>
          <rPr>
            <sz val="9"/>
            <color indexed="81"/>
            <rFont val="Tahoma"/>
            <family val="2"/>
          </rPr>
          <t xml:space="preserve">
</t>
        </r>
      </text>
    </comment>
  </commentList>
</comments>
</file>

<file path=xl/sharedStrings.xml><?xml version="1.0" encoding="utf-8"?>
<sst xmlns="http://schemas.openxmlformats.org/spreadsheetml/2006/main" count="1380" uniqueCount="402">
  <si>
    <t>STT</t>
  </si>
  <si>
    <t>I</t>
  </si>
  <si>
    <t>II</t>
  </si>
  <si>
    <t>Dự án/ Tiểu dự án</t>
  </si>
  <si>
    <t>A</t>
  </si>
  <si>
    <t>B</t>
  </si>
  <si>
    <t>TỔNG SỐ</t>
  </si>
  <si>
    <t>Dự án 1: Giải quyết tình trạng thiếu đất ở, nhà ở, đất sản xuất, nước sinh hoạt</t>
  </si>
  <si>
    <t>-</t>
  </si>
  <si>
    <t xml:space="preserve"> -</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</si>
  <si>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</si>
  <si>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</si>
  <si>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</si>
  <si>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</si>
  <si>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</si>
  <si>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</si>
  <si>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</si>
  <si>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</si>
  <si>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</si>
  <si>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</si>
  <si>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</si>
  <si>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</si>
  <si>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</si>
  <si>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</si>
  <si>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</si>
  <si>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</si>
  <si>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</si>
  <si>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</si>
  <si>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Huyện Chợ Mới</t>
  </si>
  <si>
    <t>Huyện Chợ Đồn</t>
  </si>
  <si>
    <t>Huyện Ngân Sơn</t>
  </si>
  <si>
    <t>Huyện Bạch Thông</t>
  </si>
  <si>
    <t>Huyện Na Rì</t>
  </si>
  <si>
    <t>Huyện Pác Nặm</t>
  </si>
  <si>
    <t>Huyện Ba Bể</t>
  </si>
  <si>
    <t>Thành phố Bắc Kạn</t>
  </si>
  <si>
    <t>Sở Nông nghiệp và Phát triển Nông thôn</t>
  </si>
  <si>
    <t>Sở Giáo dục và Đào tạo</t>
  </si>
  <si>
    <t>Sở Nội vụ</t>
  </si>
  <si>
    <t>Sở Lao động, Thương binh và Xã hội</t>
  </si>
  <si>
    <t>Sở Văn hóa, Thể thao và Du lịch</t>
  </si>
  <si>
    <t>Sở Y tế</t>
  </si>
  <si>
    <t>Hội liên hiệp phụ nữ tỉnh</t>
  </si>
  <si>
    <t>Sở Thông tin và Truyền thông</t>
  </si>
  <si>
    <t>Bộ Chỉ huy Quân sự tỉnh</t>
  </si>
  <si>
    <t>Sở Tài chính</t>
  </si>
  <si>
    <t>Ủy ban Mặt trận tổ quốc Việt Nam tỉnh</t>
  </si>
  <si>
    <t>Sở Kế hoạch và Đầu tư</t>
  </si>
  <si>
    <t>Sở Giao thông vận tải</t>
  </si>
  <si>
    <t>Ngân hàng nhà nước Việt Nam</t>
  </si>
  <si>
    <t>Ngân hàng Chính sách xã hội tỉnh</t>
  </si>
  <si>
    <t>Công an tỉnh</t>
  </si>
  <si>
    <t>Sở Tư pháp</t>
  </si>
  <si>
    <t>Liên minh Hợp tác xã</t>
  </si>
  <si>
    <t>Hội Nông dân tỉnh</t>
  </si>
  <si>
    <t>Đơn vị, địa phương:</t>
  </si>
  <si>
    <t>Ban Dân tộc tỉnh</t>
  </si>
  <si>
    <t>1.2</t>
  </si>
  <si>
    <t>1.3</t>
  </si>
  <si>
    <t>3.1</t>
  </si>
  <si>
    <t>3.2</t>
  </si>
  <si>
    <t>II.1</t>
  </si>
  <si>
    <t>II.2</t>
  </si>
  <si>
    <t>II.3</t>
  </si>
  <si>
    <t>II.4</t>
  </si>
  <si>
    <t>II.5</t>
  </si>
  <si>
    <t>II.6</t>
  </si>
  <si>
    <t>II.7</t>
  </si>
  <si>
    <t>II.8</t>
  </si>
  <si>
    <t xml:space="preserve"> Thành phố Bắc Kạn</t>
  </si>
  <si>
    <t>Sở Công Thương</t>
  </si>
  <si>
    <t>Hội Liên hiệp phụ nữ tỉnh</t>
  </si>
  <si>
    <t>Dự toán tỉnh giao năm 2022</t>
  </si>
  <si>
    <t>Trong đó</t>
  </si>
  <si>
    <t>NSTW</t>
  </si>
  <si>
    <t>NS tỉnh</t>
  </si>
  <si>
    <t>BÁO CÁO KẾT QUẢ THỰC HIỆN KINH PHÍ SỰ NGHIỆP CHƯƠNG TRÌNH MỤC TIÊU QUỐC GIA PHÁT TRIỂN KINH TẾ - XÃ HỘI VÙNG ĐỒNG BÀO DÂN TỘC THIỂU SỐ VÀ MIỀN NÚI NĂM 2022</t>
  </si>
  <si>
    <t>Biểu số 01</t>
  </si>
  <si>
    <t>Đơn vị tính: Đồng</t>
  </si>
  <si>
    <t>Số KP dư chuyển trả NS tỉnh (tính đến hết tháng 01/2023)</t>
  </si>
  <si>
    <t>Số KP còn dư đề nghị chuyển nguồn sang năm 2023</t>
  </si>
  <si>
    <t>(Kèm theo Công văn số          STC-TCHCSN ngày      tháng 01 năm 2023 của Sở Tài chính)</t>
  </si>
  <si>
    <t xml:space="preserve">NSTW </t>
  </si>
  <si>
    <t xml:space="preserve">Kết quả thực hiện đến 31/01/2023 </t>
  </si>
  <si>
    <t>CẤP TỈNH</t>
  </si>
  <si>
    <t>CẤP HUYỆN</t>
  </si>
  <si>
    <t>Văn phòng Tỉnh ủy (Ban Dân vận Tỉnh ủy)</t>
  </si>
  <si>
    <t>Tiểu dự án 2: Hỗ trợ phát triển sản xuất theo chuỗi giá trị, vùng trồng dược liệu quý, thúc đẩy khởi sự kinh doanh, khởi nghiệp và thu hút đầu tư vùng đồng bào dân tộc thiểu số và miền núi - Hỗ trợ phát triển trồng vùng dược liệu quý</t>
  </si>
  <si>
    <t xml:space="preserve"> - </t>
  </si>
  <si>
    <t>9DA2</t>
  </si>
  <si>
    <t>10da1</t>
  </si>
  <si>
    <t>10da3</t>
  </si>
  <si>
    <t>bdt</t>
  </si>
  <si>
    <t>stttt</t>
  </si>
  <si>
    <t>3da2</t>
  </si>
  <si>
    <t>snn</t>
  </si>
  <si>
    <t>5da1</t>
  </si>
  <si>
    <t>sgd</t>
  </si>
  <si>
    <t>bchqs</t>
  </si>
  <si>
    <t>5da3</t>
  </si>
  <si>
    <t>slđ</t>
  </si>
  <si>
    <t>6da</t>
  </si>
  <si>
    <t>svh</t>
  </si>
  <si>
    <t>7da</t>
  </si>
  <si>
    <t>syt</t>
  </si>
  <si>
    <t>8da</t>
  </si>
  <si>
    <t>hpn</t>
  </si>
  <si>
    <t>stc</t>
  </si>
  <si>
    <t>mttq</t>
  </si>
  <si>
    <t>hnd</t>
  </si>
  <si>
    <t>htx</t>
  </si>
  <si>
    <t>stp</t>
  </si>
  <si>
    <t>vptu</t>
  </si>
  <si>
    <t>cat</t>
  </si>
  <si>
    <t>snv</t>
  </si>
  <si>
    <t>5da2</t>
  </si>
  <si>
    <t>nhcs</t>
  </si>
  <si>
    <t>nhnn</t>
  </si>
  <si>
    <t>sct</t>
  </si>
  <si>
    <t>sgt</t>
  </si>
  <si>
    <t>skh</t>
  </si>
  <si>
    <t>1da</t>
  </si>
  <si>
    <t>3da1</t>
  </si>
  <si>
    <t>4da1</t>
  </si>
  <si>
    <t>9da2</t>
  </si>
  <si>
    <t>10da2</t>
  </si>
  <si>
    <t>zcm</t>
  </si>
  <si>
    <t>zcđ</t>
  </si>
  <si>
    <t>zns</t>
  </si>
  <si>
    <t>zbt</t>
  </si>
  <si>
    <t>znr</t>
  </si>
  <si>
    <t>zpn</t>
  </si>
  <si>
    <t>zbb</t>
  </si>
  <si>
    <t>ztp</t>
  </si>
  <si>
    <t>Sở Nông nghiệp và PTNT</t>
  </si>
  <si>
    <t>III</t>
  </si>
  <si>
    <t>IV</t>
  </si>
  <si>
    <t>V</t>
  </si>
  <si>
    <t>VI</t>
  </si>
  <si>
    <t>VII</t>
  </si>
  <si>
    <t>VIII</t>
  </si>
  <si>
    <t>IX</t>
  </si>
  <si>
    <t>Tiểu dự án 4: Đào tạo nâng cao năng lực cho cộng đồng và cán bộ triển khai Chương trình ở các cấp</t>
  </si>
  <si>
    <t>Tổng kinh phí sự nghiệp năm 2022</t>
  </si>
  <si>
    <t>Nội dung 3, 4: Hỗ trợ chuyển đổi nghề, nước sinh hoạt phân tán</t>
  </si>
  <si>
    <t>Tiểu dự án 1: Đầu tư phát triển kinh tế xã hội các dân tộc còn gặp nhiều khó khăn</t>
  </si>
  <si>
    <t>Tổng số kinh phí đã phân bổ và giao dự toán đến ngày 31/12/2022</t>
  </si>
  <si>
    <t xml:space="preserve">Tổng số </t>
  </si>
  <si>
    <t>NSĐP đối ứng (đảm bảo theo đúng tỷ lệ quy định, có làm tròn số)</t>
  </si>
  <si>
    <t>2=3+4</t>
  </si>
  <si>
    <t>6=5</t>
  </si>
  <si>
    <t>Đơn vị: Đồng</t>
  </si>
  <si>
    <t>Số kinh phí nguồn NSĐP đối ứng đề nghị phân bổ lại để đảm bảo tỷ lệ vốn đối ứng theo đúng quy định của Chương trình</t>
  </si>
  <si>
    <t>TT</t>
  </si>
  <si>
    <t>Chủ đầu tư</t>
  </si>
  <si>
    <t>Quyết định phê duyệt dự án/phê duyệt danh mục</t>
  </si>
  <si>
    <t>Nội dung dự án</t>
  </si>
  <si>
    <t>Tỷ lệ kinh phí NSNN trên tổng KP thực hiện DA (%)</t>
  </si>
  <si>
    <t>Tổng số lao động</t>
  </si>
  <si>
    <t>Số lao động là người dân tộc thiểu số</t>
  </si>
  <si>
    <t>Tỷ lệ
 (Lao động là người dân tộc thiểu số/Tổng số lao động)</t>
  </si>
  <si>
    <t>Tổng cộng</t>
  </si>
  <si>
    <t>Đề nghị NSNN hỗ trợ</t>
  </si>
  <si>
    <t>Đối ứng của HTX và người dân</t>
  </si>
  <si>
    <t>Vốn NSTW</t>
  </si>
  <si>
    <t>Vốn đối ứng NSĐP</t>
  </si>
  <si>
    <t>UBND xã Phúc Lộc</t>
  </si>
  <si>
    <t>Thôn Khuổi Trà, xã Phúc Lộc, huyện Ba Bể, tỉnh Bắc Kạn</t>
  </si>
  <si>
    <t>Dự án liên kết sản xuất gắn với tiêu thụ sản phẩm Dong riềng</t>
  </si>
  <si>
    <t>QĐ số 1856/QĐ-UBND ngày 03/10/2022 của UBND tỉnh Bắc Kạn</t>
  </si>
  <si>
    <t>Hỗ trợ giống, vật tư và máy móc, trang thiết bị phục vụ sản xuất</t>
  </si>
  <si>
    <t>UBND xã Bằng Lãng</t>
  </si>
  <si>
    <t>Nhóm hộ</t>
  </si>
  <si>
    <t>Thôn Bản Cưa, xã Bằng Lãng</t>
  </si>
  <si>
    <t>Dự án nuôi lợn thịt</t>
  </si>
  <si>
    <t>UBND xã Nam Cường</t>
  </si>
  <si>
    <t>Thôn Bản Quá, xã Nam Cường</t>
  </si>
  <si>
    <t>Đơn vị chủ trì liên kết/Cộng đồng dân cư (Nhóm, hộ, tổ hợp tác)</t>
  </si>
  <si>
    <t>Địa chỉ đơn vị chủ trì liên kết/Cộng đồng dân cư</t>
  </si>
  <si>
    <t>Địa bàn thực hiện dự án</t>
  </si>
  <si>
    <t>Tên dự án/Kế hoạch/Phương án sản xuất</t>
  </si>
  <si>
    <t>Thời gian thực hiện dự án</t>
  </si>
  <si>
    <t>DỰ ÁN HỖ TRỢ PHÁT TRIỂN SẢN XUẤT CỘNG ĐỒNG</t>
  </si>
  <si>
    <t>DỰ ÁN HỖ TRỢ PHÁT TRIỂN SẢN XUẤT LIÊN KẾT THEO CHUỖI GIÁ TRỊ</t>
  </si>
  <si>
    <t>Lao động của các DN, HTX, cộng đồng dân cư tham gia dự án</t>
  </si>
  <si>
    <t>Sở NNPTNT đề nghị bố trí năm 2023 từ nguồn NSNN</t>
  </si>
  <si>
    <t>Sở Tài chính thẩm định kinh phí cấp năm 2023 từ nguồn NSNN</t>
  </si>
  <si>
    <t>Thôn Bản Quá, Lũng Noong, xã Nam Cường</t>
  </si>
  <si>
    <t>HTX nông lâm nghiệp tổng hợp Tân Phước</t>
  </si>
  <si>
    <t>Xã Phúc Lộc và các xã trong huyện Ba Bể</t>
  </si>
  <si>
    <t>3 năm 2023-2025</t>
  </si>
  <si>
    <t>Hỗ trợ con giống, vacxin, thức ăn hỗn hợp; chi phí quản lý dự án, lựa chọn nhà thầu</t>
  </si>
  <si>
    <t>Nhu cầu kinh phí thực hiện các dự án năm 2023</t>
  </si>
  <si>
    <t>12=11/10</t>
  </si>
  <si>
    <t>13=14+15</t>
  </si>
  <si>
    <t>16=14/13</t>
  </si>
  <si>
    <t>19=20+21</t>
  </si>
  <si>
    <t>Ghi chú</t>
  </si>
  <si>
    <r>
      <t>Tại khoản 3 Điều 1 Nghị quyết số 18/2022/NQ-HĐND quy định: "</t>
    </r>
    <r>
      <rPr>
        <i/>
        <sz val="12"/>
        <rFont val="Times New Roman"/>
        <family val="1"/>
      </rPr>
      <t>Phân bổ cho Sở Y tế: 100% vốn sự nghiệp của dự án 7</t>
    </r>
    <r>
      <rPr>
        <sz val="12"/>
        <rFont val="Times New Roman"/>
        <family val="1"/>
      </rPr>
      <t>". Hiện nay, phần vốn NSTW thu hồi của các huyện đã phân bổ lại cho Sở Y tế theo quy định tại Nghị quyết 18/2022/NQ-HĐND, theo đó phần vốn NSĐP đối ứng không giải ngân, thu hồi của các huyện sẽ thực hiện phân bổ lại cho Sở Y tế để thực hiện (45 triệu đồng), hiện tại UBND tỉnh đã trình kỳ họp thứ 12 HĐND tỉnh phân bổ 28 triệu đồng cho Sở Y tế, do đó tại lần phân bổ này chỉ thực hiện phân bổ 17 triệu đồng.</t>
    </r>
  </si>
  <si>
    <t>BIỂU PHÂN BỔ VÀ GIAO DỰ TOÁN NGUỒN NGÂN SÁCH ĐỊA PHƯƠNG ĐỐI ỨNG ĐÃ THU HỒI VỀ NGÂN SÁCH CẤP TỈNH CHO CÁC ĐƠN VỊ, ĐỊA PHƯƠNG 
ĐỂ ĐẢM BẢO TỶ LỆ VỐN ĐỐI ỨNG THEO ĐÚNG QUY ĐỊNH THUỘC CHƯƠNG TRÌNH MTQG PHÁT TRIỂN KINH TẾ - XÃ HỘI VÙNG ĐỒNG BÀO DÂN TỘC THIỂU SỐ VÀ MIỀN NÚI</t>
  </si>
  <si>
    <t>Kinh phí đã phân bổ và giao dự toán đến ngày 31/12/2022</t>
  </si>
  <si>
    <t>Tổng</t>
  </si>
  <si>
    <t>2 = 3+4</t>
  </si>
  <si>
    <t>TỔNG CỘNG</t>
  </si>
  <si>
    <t xml:space="preserve">Dự án 2. Đa dạng hóa sinh kế, phát triển mô hình giảm nghèo </t>
  </si>
  <si>
    <t>Sở Lao động- TB&amp;XH</t>
  </si>
  <si>
    <t>Dự án 3. Hỗ trợ phát triển sản xuất</t>
  </si>
  <si>
    <t>Dự án 4.  Phát triển giáo dục nghề nghiệp, việc làm bền vững</t>
  </si>
  <si>
    <t>Tiểu dự án 1. Phát triển giáo dục nghề nghiệp vùng nghèo, vùng khó khăn</t>
  </si>
  <si>
    <t>Trường Cao đẳng Bắc Kạn</t>
  </si>
  <si>
    <t>Tiểu dự án 2. Hỗ trợ người LĐ đi làm việc ở nước ngoài theo hợp đồng</t>
  </si>
  <si>
    <t>Tiểu dự án 3. Hỗ trợ việc làm bền vững</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</si>
  <si>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</si>
  <si>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</si>
  <si>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</si>
  <si>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</si>
  <si>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</si>
  <si>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</si>
  <si>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Kinh phí năm 2022 đã phân bổ và giao dự toán đến ngày 31/12/2022</t>
  </si>
  <si>
    <t>Tổng kinh phí sự nghiệp năm 2022 được giao</t>
  </si>
  <si>
    <t>BIỂU PHÂN BỔ VÀ GIAO DỰ TOÁN NGUỒN NGÂN SÁCH ĐỊA PHƯƠNG ĐỐI ỨNG ĐÃ THU HỒI VỀ NGÂN SÁCH CẤP TỈNH ĐỂ ĐẢM BẢO TỶ LỆ 
VỐN ĐỐI ỨNG THEO ĐÚNG QUY ĐỊNH THUỘC CHƯƠNG TRÌNH MỤC TIÊU QUỐC GIA GIẢM NGHÈO BỀN VỮNG</t>
  </si>
  <si>
    <t>Đơn vị</t>
  </si>
  <si>
    <t>Tiêu chí 1: Tổng tỷ lệ hộ nghèo và hộ cận nghèo</t>
  </si>
  <si>
    <t>Tiêu chí 2: Tổng số hộ nghèo và hộ cận nghèo</t>
  </si>
  <si>
    <t>Tiêu chí 3: Địa bàn khó khăn</t>
  </si>
  <si>
    <t>Tiêu chí 4: Số đơn vị hành chính cấp xã</t>
  </si>
  <si>
    <t>Tổng số các hệ số tiêu chí 1 và 2 (Xi)</t>
  </si>
  <si>
    <t>Tổng hệ số tiêu chí vùng khó khăn</t>
  </si>
  <si>
    <t>Tổng điểm</t>
  </si>
  <si>
    <t xml:space="preserve">Vốn NSTW bình quân (Q)
</t>
  </si>
  <si>
    <t>Vốn NSĐP bình quân (Q)</t>
  </si>
  <si>
    <t>KH vốn NSTW năm 2023 (Triệu đồng)</t>
  </si>
  <si>
    <t>KH vốn NSĐP năm 2023 (triệu đồng)</t>
  </si>
  <si>
    <t>Sở Lao động trình thẩm định (triệu đồng)</t>
  </si>
  <si>
    <t>Sở Tài chính thẩm định (triệu đồng)</t>
  </si>
  <si>
    <t>Số liệu thống kê</t>
  </si>
  <si>
    <t>Quy đổi ra Hệ số</t>
  </si>
  <si>
    <t>Số liệu thống kê huyện nghèo</t>
  </si>
  <si>
    <t>Quy đổi ra Hệ số (HNi)</t>
  </si>
  <si>
    <t>Quy đổi ra Hệ số (ĐVi)</t>
  </si>
  <si>
    <t>Yi = HNi * 2,5 + ĐVi</t>
  </si>
  <si>
    <t>C</t>
  </si>
  <si>
    <t>D</t>
  </si>
  <si>
    <t>E</t>
  </si>
  <si>
    <t>F</t>
  </si>
  <si>
    <t>5 = 2+4</t>
  </si>
  <si>
    <t>6 = 3*2,5+4</t>
  </si>
  <si>
    <t>7=5*6</t>
  </si>
  <si>
    <t>10 = 7*8</t>
  </si>
  <si>
    <t>11 = 7*9</t>
  </si>
  <si>
    <t>12=10+11</t>
  </si>
  <si>
    <t>TW</t>
  </si>
  <si>
    <t>ĐP</t>
  </si>
  <si>
    <t>X</t>
  </si>
  <si>
    <t>Ghi chú: Phương pháp tính, xác định phân bổ vốn cho địa phương</t>
  </si>
  <si>
    <t xml:space="preserve"> - Phân bổ vốn ngân sách nhà nước cho dự án: Phân bổ tối đa 10% cho các Sở, ban, ngành cấp tỉnh; phân bổ tối thiểu 90% cho các địa phương</t>
  </si>
  <si>
    <t xml:space="preserve"> - Vốn ngân sách nhà nước phân bổ cho từng địa phương được tính theo công thức: </t>
  </si>
  <si>
    <r>
      <t>C</t>
    </r>
    <r>
      <rPr>
        <b/>
        <vertAlign val="subscript"/>
        <sz val="14"/>
        <color rgb="FF000000"/>
        <rFont val="Times New Roman"/>
        <family val="1"/>
      </rPr>
      <t>i</t>
    </r>
    <r>
      <rPr>
        <b/>
        <sz val="14"/>
        <color rgb="FF000000"/>
        <rFont val="Times New Roman"/>
        <family val="1"/>
      </rPr>
      <t xml:space="preserve"> = Q.X</t>
    </r>
    <r>
      <rPr>
        <b/>
        <vertAlign val="subscript"/>
        <sz val="14"/>
        <color rgb="FF000000"/>
        <rFont val="Times New Roman"/>
        <family val="1"/>
      </rPr>
      <t>i</t>
    </r>
    <r>
      <rPr>
        <b/>
        <sz val="14"/>
        <color rgb="FF000000"/>
        <rFont val="Times New Roman"/>
        <family val="1"/>
      </rPr>
      <t>.Y</t>
    </r>
    <r>
      <rPr>
        <b/>
        <vertAlign val="subscript"/>
        <sz val="14"/>
        <color rgb="FF000000"/>
        <rFont val="Times New Roman"/>
        <family val="1"/>
      </rPr>
      <t>i</t>
    </r>
  </si>
  <si>
    <t>Trong đó:</t>
  </si>
  <si>
    <r>
      <t>C</t>
    </r>
    <r>
      <rPr>
        <b/>
        <vertAlign val="subscript"/>
        <sz val="14"/>
        <color rgb="FF000000"/>
        <rFont val="Times New Roman"/>
        <family val="1"/>
      </rPr>
      <t>i</t>
    </r>
    <r>
      <rPr>
        <b/>
        <sz val="14"/>
        <color rgb="FF000000"/>
        <rFont val="Times New Roman"/>
        <family val="1"/>
      </rPr>
      <t xml:space="preserve"> </t>
    </r>
    <r>
      <rPr>
        <sz val="14"/>
        <color rgb="FF000000"/>
        <rFont val="Times New Roman"/>
        <family val="1"/>
      </rPr>
      <t>là vốn ngân sách nhà nước phân bổ cho địa phương thứ i.</t>
    </r>
  </si>
  <si>
    <r>
      <t>X</t>
    </r>
    <r>
      <rPr>
        <b/>
        <vertAlign val="subscript"/>
        <sz val="14"/>
        <color rgb="FF000000"/>
        <rFont val="Times New Roman"/>
        <family val="1"/>
      </rPr>
      <t>i</t>
    </r>
    <r>
      <rPr>
        <sz val="14"/>
        <color rgb="FF000000"/>
        <rFont val="Times New Roman"/>
        <family val="1"/>
      </rPr>
      <t xml:space="preserve"> là tổng số các hệ số tiêu chí tổng tỷ lệ hộ nghèo và hộ cận nghèo; tổng số hộ nghèo và hộ cận nghèo của địa phương thứ i.</t>
    </r>
  </si>
  <si>
    <r>
      <t>Y</t>
    </r>
    <r>
      <rPr>
        <b/>
        <vertAlign val="subscript"/>
        <sz val="14"/>
        <color rgb="FF000000"/>
        <rFont val="Times New Roman"/>
        <family val="1"/>
      </rPr>
      <t>i</t>
    </r>
    <r>
      <rPr>
        <sz val="14"/>
        <color rgb="FF000000"/>
        <rFont val="Times New Roman"/>
        <family val="1"/>
      </rPr>
      <t xml:space="preserve"> là tổng hệ số tiêu chí vùng khó khăn, số đơn vị hành chính cấp xã của địa phương thứ i, được tính theo công thức: </t>
    </r>
    <r>
      <rPr>
        <b/>
        <sz val="14"/>
        <color rgb="FF000000"/>
        <rFont val="Times New Roman"/>
        <family val="1"/>
      </rPr>
      <t>Y</t>
    </r>
    <r>
      <rPr>
        <b/>
        <vertAlign val="subscript"/>
        <sz val="14"/>
        <color rgb="FF000000"/>
        <rFont val="Times New Roman"/>
        <family val="1"/>
      </rPr>
      <t>i</t>
    </r>
    <r>
      <rPr>
        <sz val="14"/>
        <color rgb="FF000000"/>
        <rFont val="Times New Roman"/>
        <family val="1"/>
      </rPr>
      <t xml:space="preserve"> = HN</t>
    </r>
    <r>
      <rPr>
        <vertAlign val="subscript"/>
        <sz val="14"/>
        <color rgb="FF000000"/>
        <rFont val="Times New Roman"/>
        <family val="1"/>
      </rPr>
      <t>i</t>
    </r>
    <r>
      <rPr>
        <sz val="14"/>
        <color rgb="FF000000"/>
        <rFont val="Times New Roman"/>
        <family val="1"/>
      </rPr>
      <t xml:space="preserve"> x 2,5 + ĐV</t>
    </r>
    <r>
      <rPr>
        <vertAlign val="subscript"/>
        <sz val="14"/>
        <color rgb="FF000000"/>
        <rFont val="Times New Roman"/>
        <family val="1"/>
      </rPr>
      <t>i</t>
    </r>
  </si>
  <si>
    <r>
      <t>HN</t>
    </r>
    <r>
      <rPr>
        <vertAlign val="subscript"/>
        <sz val="14"/>
        <color rgb="FF000000"/>
        <rFont val="Times New Roman"/>
        <family val="1"/>
      </rPr>
      <t>i</t>
    </r>
    <r>
      <rPr>
        <sz val="14"/>
        <color rgb="FF000000"/>
        <rFont val="Times New Roman"/>
        <family val="1"/>
      </rPr>
      <t xml:space="preserve"> là hệ số của địa bàn khó khăn (huyện nghèo) của địa phương thứ i.</t>
    </r>
  </si>
  <si>
    <r>
      <t>ĐV</t>
    </r>
    <r>
      <rPr>
        <vertAlign val="subscript"/>
        <sz val="14"/>
        <color rgb="FF000000"/>
        <rFont val="Times New Roman"/>
        <family val="1"/>
      </rPr>
      <t>i</t>
    </r>
    <r>
      <rPr>
        <sz val="14"/>
        <color rgb="FF000000"/>
        <rFont val="Times New Roman"/>
        <family val="1"/>
      </rPr>
      <t xml:space="preserve"> là hệ số đơn vị hành chính cấp xã của địa phương thứ i.</t>
    </r>
  </si>
  <si>
    <r>
      <t xml:space="preserve">Q </t>
    </r>
    <r>
      <rPr>
        <sz val="14"/>
        <color rgb="FF000000"/>
        <rFont val="Times New Roman"/>
        <family val="1"/>
      </rPr>
      <t>là vốn bình quân của một huyện, được tính theo công thức:</t>
    </r>
  </si>
  <si>
    <t>G là tổng số vốn ngân sách nhà nước (bao gồm vốn NSTW là 4.228,214 triệu đồng và vốn NSĐP đối ứng: 126,816 triệu đồng) phân bổ cho các địa phương để thực hiện Tiểu dự án 1, Dự án 3.</t>
  </si>
  <si>
    <t>PHƯƠNG ÁN PHÂN BỔ TIỂU DỰ ÁN 1, DỰ ÁN 3: HỖ TRỢ PHÁT TRIỂN SẢN XUẤT TRONG LĨNH VỰC NÔNG NGHIỆP NGUỒN NĂM 2022 CHUYỂN SANG 2023</t>
  </si>
  <si>
    <t xml:space="preserve"> BIỂU TRÌNH PHÂN BỔ KINH PHÍ CHO CÁC DỰ ÁN HỖ TRỢ PHÁT TRIỂN SẢN XUẤT 
THUỘC CHƯƠNG TRÌNH MỤC TIÊU QUỐC GIA PHÁT TRIỂN KINH TẾ - XÃ HỘI VÙNG ĐỒNG BÀO DÂN TỘC THIỂU SỐ VÀ MIÊN NÚI NGUỒN NĂM 2022 CHUYỂN SANG NĂM 2023</t>
  </si>
  <si>
    <t>Nội dung thành phần/ Nội dung</t>
  </si>
  <si>
    <t>Nội dung thành phần số 02: Phát triển hạ tầng kinh tế - xã hội, cơ bản đồng bộ, hiện đại, đảm bảo kết nối nông thôn - đô thị và kết nối các vùng miền</t>
  </si>
  <si>
    <t>Nội dung thành phần số 03: Tiếp tục thực hiện có hiệu quả cơ cấu lại ngành nông nghiệp, phát triển kinh tế nông thôn</t>
  </si>
  <si>
    <t>Triển khai Chương trình OCOP</t>
  </si>
  <si>
    <t>Văn phòng điều phối nông thôn mới tỉnh Bắc Kạn</t>
  </si>
  <si>
    <t>Hỗ trợ các dự án liên kết, kế hoạch liên kết chuỗi giá trị sản phẩm nông nghiệp</t>
  </si>
  <si>
    <t>Thực hiện Chương trình Phát triển du lịch nông thôn trong xây dựng nông thôn mới gắn với bảo tồn và phát huy các giá trị văn hóa truyền thống theo hướng bền vững, bao trùm và đa giá trị.</t>
  </si>
  <si>
    <t>Sở Văn hóa Thể thao và du lịch</t>
  </si>
  <si>
    <t>Nội dung thành phần số 06: Nâng cao chất lượng đời sống văn hóa nông thôn; bảo tồn và phát huy các giá trị văn hóa truyền thống gắn với phát triển du lịch nông thôn</t>
  </si>
  <si>
    <t>Nội dung thành phần số 08: Nâng cao chất lượng dịch vụ hành chính công, hoạt động của chính quyền cơ sở; thúc đấy chuyển đổi số trong nông thôn mới, ứng dụng công nghệ thông tin, công nghệ số, tăng cường khả năng tiếp cận pháp luật cho người dân, bình đẳng giới và phòng chống bạo lực trên cơ sở giới</t>
  </si>
  <si>
    <t>Nội dung thành phần số 10: Tăng cường công tác giám sát, đánh giá thực hiện chương trình; Nâng cao năng lực, truyền thông xây dựng nông thôn mới; thực hiện phong trào thi đua cả nước chung sức xây dựng nông thôn mới</t>
  </si>
  <si>
    <t>Chi nâng cao chất lượng và hiệu quả công tác kiểm tra, giám sát, đánh giá kết quả thực hiện Chương trình; xây dựng hệ thống giám sát, đánh giá; nhân rộng mô hình giám sát an ninh hiện đại và giám sát của cộng đồng</t>
  </si>
  <si>
    <t>Đẩy mạnh, đa dạng hình thức thông tin, truyền thông; triển khai phong trào “Cả nước thi đua xây dựng nông thôn mới”.</t>
  </si>
  <si>
    <t>Đào tạo nâng cao năng lực đội ngũ cán bộ làm công tác xây dựng nông thôn mới các cấp, nâng cao nhận thức và chuyển đổi tư duy của người dân và cộng đồng</t>
  </si>
  <si>
    <t>Nội dung thành phần số 11: Duy tu bảo dưỡng các công trình sau đầu tư trên địa bàn</t>
  </si>
  <si>
    <t>BIỂU PHÂN BỔ VÀ GIAO DỰ TOÁN NGUỒN NGÂN SÁCH ĐỊA PHƯƠNG ĐỐI ỨNG ĐÃ THU HỒI VỀ NGÂN SÁCH CẤP TỈNH ĐỂ ĐẢM BẢO TỶ LỆ VỐN ĐỐI ỨNG THEO ĐÚNG QUY ĐỊNH THUỘC CHƯƠNG TRÌNH MỤC TIÊU QUỐC GIA XÂY DỰNG NÔNG THÔN MỚI</t>
  </si>
  <si>
    <t>Nội dung thành phần số 07: Nâng cao chất lượng môi trường; xây dựng cảnh quan nông thôn sáng - xanh - sạch - đẹp, an toàn; giữ gìn và khôi phục cảnh quan truyền thống nông thôn</t>
  </si>
  <si>
    <t>BIỂU PHÂN BỔ VÀ GIAO DỰ TOÁN NGUỒN KINH PHÍ SỰ NGHIỆP CHO CÁC ĐƠN VỊ, ĐỊA PHƯƠNG THỰC HIỆN CHƯƠNG TRÌNH MỤC TIÊU QUỐC GIA PHÁT TRIỂN KINH TẾ -  XÃ HỘI 
VÙNG ĐỒNG BÀO DÂN TỘC THIỂU SỐ VÀ MIỀN NÚI NĂM 2023</t>
  </si>
  <si>
    <t>Đơn vị,/địa phương</t>
  </si>
  <si>
    <t>Tổng dự toán phân bổ cho các đơn vị/địa phương năm 2023</t>
  </si>
  <si>
    <t>Dự án 7</t>
  </si>
  <si>
    <t>Sự nghiệp kinh tế</t>
  </si>
  <si>
    <t>Tổng số</t>
  </si>
  <si>
    <t>Tổng cộng</t>
  </si>
  <si>
    <t>NSĐP đối ứng</t>
  </si>
  <si>
    <t>Cấp tỉnh</t>
  </si>
  <si>
    <t>Các huyện, thành phố</t>
  </si>
  <si>
    <t>Sở Thông tin Truyền thông</t>
  </si>
  <si>
    <t>Nguồn năm 2022 chưa phân bổ đã chuyển nguồn sang năm 2023</t>
  </si>
  <si>
    <t>Nội dung 3, 4 thuộc Dự án 1</t>
  </si>
  <si>
    <t>Tiểu dự án 2 thuộc Dự án 3</t>
  </si>
  <si>
    <t>Tiểu dự án 1 thuộc Dự án 4</t>
  </si>
  <si>
    <t>Tiểu dự án 1 thuộc Dự án 5</t>
  </si>
  <si>
    <t>Tiểu dự án 3 thuộc Dự án 5</t>
  </si>
  <si>
    <t>Dự án 6</t>
  </si>
  <si>
    <t>Dự án 8</t>
  </si>
  <si>
    <t>Tiểu dự án 2 thuộc Dự án 9</t>
  </si>
  <si>
    <t>Tiểu dự án 1 thuộc Dự án 10</t>
  </si>
  <si>
    <t>Tiểu dự án 3 thuộc Dự án 10</t>
  </si>
  <si>
    <t>Bao gồm</t>
  </si>
  <si>
    <t>Nguồn kinh phí năm 2022 chưa phân bổ, chuyển nguồn sang năm 2023</t>
  </si>
  <si>
    <t>Dự án 3 - Hỗ trợ phát triển sản xuất, cải thiện dinh dưỡng</t>
  </si>
  <si>
    <t xml:space="preserve">Dự án 2 - Đa dạng hóa sinh kế, phát triển mô hình giảm nghèo </t>
  </si>
  <si>
    <t>Dự án 4-  Phát triển giáo dục nghề nghiệp, việc làm bền vững</t>
  </si>
  <si>
    <t>Dự án 6 - Truyền thông và giảm nghèo về thông tin</t>
  </si>
  <si>
    <t>Dự án 7 -Nâng cao năng lực và giám sát, đánh giá Chương trình</t>
  </si>
  <si>
    <t>Sự nghiệp giáo dục - đào tạo và dạy nghề</t>
  </si>
  <si>
    <t>Tiểu dự án 1</t>
  </si>
  <si>
    <t>Tiểu dự án2</t>
  </si>
  <si>
    <t>Tiểu dự án 3</t>
  </si>
  <si>
    <t>Tiểu dự án 2</t>
  </si>
  <si>
    <t>Đơn vị, địa phương</t>
  </si>
  <si>
    <t xml:space="preserve">Nội dung thành phần số 02: Phát triển hạ tầng kinh tế - xã hội, cơ bản đồng bộ, hiện đại, đảm bảo kết nối nông thôn - đô thị và kết nối các vùng miền </t>
  </si>
  <si>
    <t xml:space="preserve"> Nội dung thành phần số 07: Nâng cao chất lượng môi trường; xây dựng cảnh quan nông thôn sáng - xanh - sạch - đẹp, an toàn; giữ gìn và khôi phục cảnh quan truyền thống nông thôn</t>
  </si>
  <si>
    <t>Hỗ trợ các dự án liên kết chuỗi giá trị sản phẩm nông nghiệp</t>
  </si>
  <si>
    <t>Thực hiện Chương trình Phát triển du lịch nông thôn</t>
  </si>
  <si>
    <t>Sự nghiệp văn hóa</t>
  </si>
  <si>
    <t>Sự nghiệp môi trường</t>
  </si>
  <si>
    <t>Quản lý nhà nước, Đảng, đoàn thể</t>
  </si>
  <si>
    <t>Văn phòng điều phối nông thôn mới</t>
  </si>
  <si>
    <t>Sự nghiệp văn hóa thông tin</t>
  </si>
  <si>
    <t>Dự án 1. Hỗ trợ đầu tư phát triển hạ tầng KTXH các huyện nghèo, các xã ĐBKK vùng bãi ngang, ven biển và hải đảo</t>
  </si>
  <si>
    <t>TDA 1. Hỗ trợ đầu tư phát triển hạ tầng KTXH tại các huyện nghèo, xã ĐBKK vùng bãi ngang, ven biển và hải đảo</t>
  </si>
  <si>
    <t>Hỗ trợ xây dựng và phát triển hiệu quả các vùng nguyên liệu tập trung, chuyển đổi cơ cấu sản xuất, góp phần thúc đẩy chuyển đổi số trong nông nghiệp</t>
  </si>
  <si>
    <t xml:space="preserve">Sở Nông nghiệp và PTNT </t>
  </si>
  <si>
    <t>QĐ số 699/QD-UBND ngày 17/3/2023 của UBND huyện Chợ Đồn</t>
  </si>
  <si>
    <t>Phần ngân sách địa phương đối ứng năm 2022 chưa giải ngân, đã thu hồi về ngân sách cấp tỉnh để thực hiện phân bổ lại 
từ nguồn tăng thu, tiết kiệm chi năm 2022 chuyển sang 2023</t>
  </si>
  <si>
    <t>Phần NSĐP đối ứng đến hết niên độ 2022 chưa giải ngân, UBND tỉnh đã thu hồi về ngân sách cấp tỉnh tại QĐ 2662/QĐ-UBND ngày 30/12/2022 (là một phần kinh phí chưa giải ngân tại cột 4)</t>
  </si>
  <si>
    <t>Tổng kinh phí thuộc NSNN đã được bố trí từ thời điểm trình trở về trước</t>
  </si>
  <si>
    <t>Nguồn ngân sách tỉnh đối ứng đã phân bổ năm 2022 nhưng không thực hiện hoặc thực hiện không hết thu hồi về ngân sách tỉnh chuyển nguồn tăng thu, tiết kiệm chi năm 2022 sang năm 2023</t>
  </si>
  <si>
    <t>Phần NSĐP đối ứng chưa giải ngân, UBND tỉnh đã thu hồi về ngân sách tỉnh tại QĐ 2662/QĐ-UBND ngày 30/12/2022 (thu hồi một phần kinh phí tại cột 4)</t>
  </si>
  <si>
    <t>BIỂU PHÂN BỔ VÀ GIAO DỰ TOÁN KINH PHÍ SỰ NGHIỆP CHO CÁC ĐƠN VỊ, ĐỊA PHƯƠNG THỰC HIỆN CHƯƠNG TRÌNH MỤC TIÊU QUỐC GIA GIẢM NGHÈO BỀN VỮNG NĂM 2023</t>
  </si>
  <si>
    <t>BIỂU PHÂN BỔ VÀ GIAO DỰ TOÁN KINH PHÍ SỰ NGHIỆP CHO CÁC ĐƠN VỊ, ĐỊA PHƯƠNG THỰC HIỆN CHƯƠNG TRÌNH MỤC TIÊU QUỐC GIA XÂY DỰNG NÔNG THÔN MỚI NĂM 2023</t>
  </si>
  <si>
    <t>(Kèm theo Tờ trình  số:            /TTr-UBND ngày      tháng 4 năm 2023 của UBND tỉnh)</t>
  </si>
  <si>
    <t>Biểu 1.1/MTQG</t>
  </si>
  <si>
    <t>Biểu 1.2/MTQG</t>
  </si>
  <si>
    <t>Biểu 2.1/MTQG</t>
  </si>
  <si>
    <t>Biểu 2.2/MTQG</t>
  </si>
  <si>
    <t>Biểu 3.1/MTQG</t>
  </si>
  <si>
    <t>Biểu số 1</t>
  </si>
  <si>
    <t>Biểu số 02</t>
  </si>
  <si>
    <t>Biểu số 03</t>
  </si>
  <si>
    <t>Biểu số 05</t>
  </si>
  <si>
    <t>BIỂU PHÂN BỔ VÀ GIAO DỰ TOÁN CHO CÁC ĐƠN VỊ, ĐỊA PHƯƠNG THỰC HIỆN
 NHIỆM VỤ CHUYỂN ĐỔI SỐ NĂM 2023</t>
  </si>
  <si>
    <t>Đơn vị tính: triệu đồng</t>
  </si>
  <si>
    <t>Sự nghiệp kinh tế tỉnh điều hành năm 2023</t>
  </si>
  <si>
    <t>Sự nghiệp giáo dục và đào tạo tỉnh điều hành năm 2023</t>
  </si>
  <si>
    <t>Nguồn thu tiền sử dụng đất thu từ bán trụ sở Sở Văn hóa, Thể thao và Du lịch</t>
  </si>
  <si>
    <t>Văn phòng Tỉnh ủy</t>
  </si>
  <si>
    <t>Văn phòng Ủy ban nhân dân tỉnh</t>
  </si>
  <si>
    <t>Sở Xây dựng</t>
  </si>
  <si>
    <t>Sở Công thương</t>
  </si>
  <si>
    <t>Sở Khoa học và Công nghệ</t>
  </si>
  <si>
    <t>Sở Tài nguyên và Môi trường</t>
  </si>
  <si>
    <t>Ban Dân tộc</t>
  </si>
  <si>
    <t>Cấp huyện</t>
  </si>
  <si>
    <t>Phân bổ và giao dự toán để thực hiện nhiệm vụ chuyển đổi số năm 2023</t>
  </si>
  <si>
    <t>Biểu số 04</t>
  </si>
  <si>
    <t>Nội dung</t>
  </si>
  <si>
    <t>Kinh phí</t>
  </si>
  <si>
    <t>Kinh phí tuyển dụng công chức tỉnh Bắc Kạn năm 2022</t>
  </si>
  <si>
    <t>Kinh phí thực hiện chi trả chính sách theo Nghị định số 108/2014/NĐ-CP, Nghị định số 113/2018/NĐ-CP và Nghị định số 143/2020/NĐ-CP của Chính phủ đợt 01/01, 01/02, 01/3 năm 2023</t>
  </si>
  <si>
    <t>Ủy ban nhân dân huyện Pác Nặm</t>
  </si>
  <si>
    <t>Ủy ban nhân dân huyện Ngân Sơn</t>
  </si>
  <si>
    <t>Ủy ban nhân dân huyện Bạch Thông</t>
  </si>
  <si>
    <t>Kinh phí thực hiện chính sách hỗ trợ quản lý, sử dụng đất trồng lúa theo nghị định số 35/2015/NĐ-CP của chính phủ năm 2023</t>
  </si>
  <si>
    <t>(Kèm theo Nghị quyết  số:            /NQ-HĐND ngày      tháng 4 năm 2023 của Hội đồng nhân dân tỉnh Bắc Kạn)</t>
  </si>
  <si>
    <t>PHÂN BỔ VÀ GIAO DỰ TOÁN CHO CÁC ĐƠN VỊ, ĐỊA PHƯƠNG THỰC HIỆN MỘT SỐ NHIỆM VỤ NĂM 2023</t>
  </si>
  <si>
    <t>BIỂU TỔNG HỢP PHÂN BỔ VÀ GIAO DỰ TOÁN KINH PHÍ SỰ NGHIỆP CHO CÁC ĐƠN VỊ, ĐỊA PHƯƠNG THỰC HIỆN NHIỆM VỤ NĂM 2023 (BỔ SUNG LẦN 2)</t>
  </si>
  <si>
    <t>(Kèm theo Nghị quyết số       /NQ-HĐND ngày     tháng 4 năm 2023 của Hội đồng nhân dân tỉnh Bắc Kạn)</t>
  </si>
  <si>
    <t>Đơn vị: Triệu đồng</t>
  </si>
  <si>
    <t>Nội dung nhiệm vụ</t>
  </si>
  <si>
    <t>Kinh phí bổ sung năm 2023</t>
  </si>
  <si>
    <t>Chương trình mục tiêu quốc gia (MTQG)</t>
  </si>
  <si>
    <t>Chương trình MTQG phát triển kinh tế-xã hội vùng đồng bào dân tộc thiểu số và miền núi</t>
  </si>
  <si>
    <t>Chương trình MTQG giảm nghèo bền vững</t>
  </si>
  <si>
    <t>Chương trình MTQG xây dựng nông thôn mới</t>
  </si>
  <si>
    <t>Nhiệm vụ chuyển đổi số</t>
  </si>
  <si>
    <t>Một số nhiệm vụ khác</t>
  </si>
  <si>
    <t xml:space="preserve">Kinh phí tuyển dụng công chức tỉnh Bắc Kạn năm 2022 </t>
  </si>
  <si>
    <t xml:space="preserve">Kinh phí thực hiện chế độ, chính sách theo Nghị định số 108/2014/NĐ-CP, Nghị định số 113/2018/NĐ-CP và Nghị định số 143/2020/NĐ-CP của Chính phủ </t>
  </si>
  <si>
    <t xml:space="preserve">Kinh phí thực hiện nhiệm vụ bảo vệ, phát triển đất trồng lúa năm 2023 theo Nghị định số 62/2019/NĐ-CP ngày 11/7/2019 của Chính phủ </t>
  </si>
  <si>
    <t>Kinh phí đào tạo, bồi dưỡng giáo viên trên địa bàn tỉnh theo Nghị quyết số 16/2022/NQ-HĐND của HĐND tỉnh</t>
  </si>
  <si>
    <t>Kinh phí thực hiện chính sách cấp bù miễn, giảm học phí theo Nghị định số 81/2021/NĐ-CP của Chính phủ</t>
  </si>
  <si>
    <t>Sở Lao động-Thương binh và Xã hội</t>
  </si>
  <si>
    <t>Sở Nông nghiệp và Phát triển nông thôn</t>
  </si>
  <si>
    <t>Hội Liên hiệp Phụ nữ tỉnh</t>
  </si>
  <si>
    <t>Ngân hàng Nhà nước Chi nhánh tỉnh</t>
  </si>
  <si>
    <t>Kinh phí thực hiện chính sách cấp bù miễn, giảm học phí theo Nghị định 81/2021/NĐ-CP của Chính phủ</t>
  </si>
  <si>
    <t xml:space="preserve">Nội dung thành phần số 08: Nâng cao chất lượng dịch vụ hành chính công, hoạt động của chính quyền cơ sở </t>
  </si>
  <si>
    <t xml:space="preserve">Chi nâng cao chất lượng và hiệu quả công tác kiểm tra, giám sát, đánh giá kết quả thực hiện Chương trình </t>
  </si>
  <si>
    <t xml:space="preserve">Đẩy mạnh, đa dạng hình thức thông tin, truyền thông </t>
  </si>
  <si>
    <t xml:space="preserve">Đào tạo nâng cao năng lực đội ngũ cán bộ làm công tác xây dựng nông thôn mới </t>
  </si>
  <si>
    <t>Ủy ban Mặt trận Tổ quốc Việt Nam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</si>
</sst>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 &quot;₫&quot;_-;\-* #,##0\ &quot;₫&quot;_-;_-* &quot;-&quot;\ &quot;₫&quot;_-;_-@_-"/>
    <numFmt numFmtId="165" formatCode="_-* #,##0\ _₫_-;\-* #,##0\ _₫_-;_-* &quot;-&quot;\ _₫_-;_-@_-"/>
    <numFmt numFmtId="166" formatCode="_-* #,##0.00\ _₫_-;\-* #,##0.00\ _₫_-;_-* &quot;-&quot;??\ _₫_-;_-@_-"/>
    <numFmt numFmtId="167" formatCode="_(* #,##0_);_(* \(#,##0\);_(* &quot;-&quot;_);_(@_)"/>
    <numFmt numFmtId="168" formatCode="_(* #,##0.00_);_(* \(#,##0.00\);_(* &quot;-&quot;??_);_(@_)"/>
    <numFmt numFmtId="169" formatCode="_-* #,##0\ _₫_-;\-* #,##0\ _₫_-;_-* &quot;-&quot;??\ _₫_-;_-@_-"/>
    <numFmt numFmtId="170" formatCode="_(* #,##0_);_(* \(#,##0\);_(* &quot;-&quot;??_);_(@_)"/>
    <numFmt numFmtId="171" formatCode="#,##0.0000000"/>
    <numFmt numFmtId="172" formatCode="_(* #,##0.0_);_(* \(#,##0.0\);_(* &quot;-&quot;??_);_(@_)"/>
    <numFmt numFmtId="173" formatCode="_-* #,##0.000\ _₫_-;\-* #,##0.000\ _₫_-;_-* &quot;-&quot;??\ _₫_-;_-@_-"/>
    <numFmt numFmtId="174" formatCode="_-* #,##0.0\ _₫_-;\-* #,##0.0\ _₫_-;_-* &quot;-&quot;?\ _₫_-;_-@_-"/>
    <numFmt numFmtId="175" formatCode="_(* #,##0.000_);_(* \(#,##0.000\);_(* &quot;-&quot;??_);_(@_)"/>
    <numFmt numFmtId="176" formatCode="0.0"/>
    <numFmt numFmtId="177" formatCode="_-* #,##0.000000\ _₫_-;\-* #,##0.000000\ _₫_-;_-* &quot;-&quot;??\ _₫_-;_-@_-"/>
    <numFmt numFmtId="178" formatCode="_-* #,##0.00000\ _₫_-;\-* #,##0.00000\ _₫_-;_-* &quot;-&quot;??\ _₫_-;_-@_-"/>
    <numFmt numFmtId="179" formatCode="#,##0.000000"/>
    <numFmt numFmtId="180" formatCode="#,##0.0"/>
    <numFmt numFmtId="181" formatCode="#,##0.000"/>
  </numFmts>
  <fonts count="46" x14ac:knownFonts="1">
    <font>
      <sz val="12"/>
      <color theme="1"/>
      <name val="Times New Roman"/>
      <family val="2"/>
    </font>
    <font>
      <sz val="12"/>
      <color theme="1"/>
      <name val="Times New Roman"/>
      <family val="2"/>
    </font>
    <font>
      <sz val="11"/>
      <color theme="1"/>
      <name val="Arial"/>
      <family val="2"/>
      <scheme val="minor"/>
    </font>
    <font>
      <sz val="12"/>
      <name val="Times New Roman"/>
      <family val="1"/>
    </font>
    <font>
      <b/>
      <sz val="12"/>
      <name val="Times New Roman"/>
      <family val="1"/>
    </font>
    <font>
      <i/>
      <sz val="12"/>
      <name val="Times New Roman"/>
      <family val="1"/>
    </font>
    <font>
      <b/>
      <i/>
      <sz val="12"/>
      <name val="Times New Roman"/>
      <family val="1"/>
    </font>
    <font>
      <sz val="12"/>
      <color indexed="8"/>
      <name val="Times New Roman"/>
      <family val="2"/>
    </font>
    <font>
      <sz val="11"/>
      <color theme="1"/>
      <name val="Calibri"/>
      <family val="2"/>
    </font>
    <font>
      <sz val="9"/>
      <color indexed="81"/>
      <name val="Tahoma"/>
      <family val="2"/>
    </font>
    <font>
      <b/>
      <sz val="9"/>
      <color indexed="81"/>
      <name val="Tahoma"/>
      <family val="2"/>
    </font>
    <font>
      <sz val="9"/>
      <name val="Times New Roman"/>
      <family val="1"/>
    </font>
    <font>
      <b/>
      <sz val="13"/>
      <name val="Times New Roman"/>
      <family val="1"/>
    </font>
    <font>
      <b/>
      <sz val="10"/>
      <name val="Times New Roman"/>
      <family val="1"/>
    </font>
    <font>
      <i/>
      <sz val="13"/>
      <name val="Times New Roman"/>
      <family val="1"/>
    </font>
    <font>
      <sz val="13"/>
      <name val="Times New Roman"/>
      <family val="1"/>
    </font>
    <font>
      <sz val="13"/>
      <color rgb="FFFF0000"/>
      <name val="Times New Roman"/>
      <family val="1"/>
    </font>
    <font>
      <sz val="14"/>
      <name val="Times New Roman"/>
      <family val="1"/>
    </font>
    <font>
      <sz val="14"/>
      <color theme="1"/>
      <name val="Times New Roman"/>
      <family val="1"/>
    </font>
    <font>
      <sz val="10"/>
      <name val="Times New Roman"/>
      <family val="1"/>
    </font>
    <font>
      <b/>
      <sz val="11"/>
      <name val="Times New Roman"/>
      <family val="1"/>
    </font>
    <font>
      <sz val="11"/>
      <name val="Times New Roman"/>
      <family val="1"/>
    </font>
    <font>
      <b/>
      <sz val="14"/>
      <name val="Times New Roman"/>
      <family val="1"/>
    </font>
    <font>
      <sz val="13"/>
      <color theme="1"/>
      <name val="Times New Roman"/>
      <family val="1"/>
    </font>
    <font>
      <sz val="12"/>
      <color theme="1"/>
      <name val="Times New Roman"/>
      <family val="1"/>
    </font>
    <font>
      <i/>
      <sz val="14"/>
      <color theme="1"/>
      <name val="Times New Roman"/>
      <family val="1"/>
    </font>
    <font>
      <b/>
      <sz val="14"/>
      <color theme="1"/>
      <name val="Times New Roman"/>
      <family val="1"/>
    </font>
    <font>
      <b/>
      <sz val="13"/>
      <color theme="1"/>
      <name val="Times New Roman"/>
      <family val="1"/>
    </font>
    <font>
      <b/>
      <sz val="12"/>
      <color theme="1"/>
      <name val="Times New Roman"/>
      <family val="1"/>
    </font>
    <font>
      <sz val="14"/>
      <color rgb="FF000000"/>
      <name val="Times New Roman"/>
      <family val="1"/>
    </font>
    <font>
      <b/>
      <sz val="14"/>
      <color rgb="FF000000"/>
      <name val="Times New Roman"/>
      <family val="1"/>
    </font>
    <font>
      <b/>
      <vertAlign val="subscript"/>
      <sz val="14"/>
      <color rgb="FF000000"/>
      <name val="Times New Roman"/>
      <family val="1"/>
    </font>
    <font>
      <vertAlign val="subscript"/>
      <sz val="14"/>
      <color rgb="FF000000"/>
      <name val="Times New Roman"/>
      <family val="1"/>
    </font>
    <font>
      <sz val="9"/>
      <color theme="1"/>
      <name val="Times New Roman"/>
      <family val="1"/>
    </font>
    <font>
      <sz val="12"/>
      <name val="Times New Roman"/>
      <family val="2"/>
    </font>
    <font>
      <b/>
      <sz val="12"/>
      <name val="Times New Roman"/>
      <family val="2"/>
    </font>
    <font>
      <b/>
      <sz val="15"/>
      <name val="Times New Roman"/>
      <family val="2"/>
    </font>
    <font>
      <i/>
      <sz val="14"/>
      <name val="Times New Roman"/>
      <family val="1"/>
    </font>
    <font>
      <b/>
      <sz val="12"/>
      <color theme="1"/>
      <name val="Times New Roman"/>
      <family val="2"/>
    </font>
    <font>
      <b/>
      <sz val="11"/>
      <name val="Times New Roman"/>
      <family val="2"/>
    </font>
    <font>
      <b/>
      <sz val="14"/>
      <name val="Times New Roman"/>
      <family val="2"/>
    </font>
    <font>
      <i/>
      <sz val="14"/>
      <name val="Times New Roman"/>
      <family val="2"/>
    </font>
    <font>
      <sz val="14"/>
      <name val="Times New Roman"/>
      <family val="2"/>
    </font>
    <font>
      <i/>
      <sz val="13"/>
      <name val="Times New Roman"/>
      <family val="2"/>
    </font>
    <font>
      <b/>
      <sz val="13"/>
      <name val="Times New Roman"/>
      <family val="2"/>
    </font>
    <font>
      <i/>
      <sz val="12"/>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diagonal/>
    </border>
  </borders>
  <cellStyleXfs count="33">
    <xf numFmtId="0" fontId="0" fillId="0" borderId="0"/>
    <xf numFmtId="0" fontId="2" fillId="0" borderId="0"/>
    <xf numFmtId="0" fontId="2" fillId="0" borderId="0"/>
    <xf numFmtId="0" fontId="1" fillId="0" borderId="0"/>
    <xf numFmtId="168" fontId="1"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7" fillId="0" borderId="0"/>
    <xf numFmtId="0" fontId="8" fillId="0" borderId="0"/>
    <xf numFmtId="0" fontId="8" fillId="0" borderId="0"/>
    <xf numFmtId="0" fontId="8" fillId="0" borderId="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cellStyleXfs>
  <cellXfs count="420">
    <xf numFmtId="0" fontId="0" fillId="0" borderId="0" xfId="0"/>
    <xf numFmtId="3" fontId="3" fillId="0" borderId="6" xfId="0" applyNumberFormat="1" applyFont="1" applyBorder="1" applyAlignment="1">
      <alignment vertical="center"/>
    </xf>
    <xf numFmtId="3" fontId="4" fillId="2" borderId="6" xfId="7" applyNumberFormat="1" applyFont="1" applyFill="1" applyBorder="1" applyAlignment="1">
      <alignment vertical="center"/>
    </xf>
    <xf numFmtId="0" fontId="4" fillId="0" borderId="0" xfId="0" applyFont="1" applyAlignment="1">
      <alignment vertical="center"/>
    </xf>
    <xf numFmtId="0" fontId="4" fillId="2" borderId="6" xfId="0" applyFont="1" applyFill="1" applyBorder="1" applyAlignment="1">
      <alignment horizontal="center" vertical="center"/>
    </xf>
    <xf numFmtId="0" fontId="4" fillId="2" borderId="6" xfId="0" applyFont="1" applyFill="1" applyBorder="1" applyAlignment="1">
      <alignment vertical="center" wrapText="1"/>
    </xf>
    <xf numFmtId="0" fontId="4" fillId="3" borderId="6" xfId="0" applyFont="1" applyFill="1" applyBorder="1" applyAlignment="1">
      <alignment vertical="center" wrapText="1"/>
    </xf>
    <xf numFmtId="0" fontId="4" fillId="3" borderId="6" xfId="0" applyFont="1" applyFill="1" applyBorder="1" applyAlignment="1">
      <alignment horizontal="center" vertical="center"/>
    </xf>
    <xf numFmtId="3" fontId="4" fillId="3" borderId="6" xfId="7" applyNumberFormat="1" applyFont="1" applyFill="1" applyBorder="1" applyAlignment="1">
      <alignment vertical="center"/>
    </xf>
    <xf numFmtId="0" fontId="6" fillId="0" borderId="0" xfId="0" applyFont="1" applyAlignment="1">
      <alignment vertical="center"/>
    </xf>
    <xf numFmtId="3" fontId="3" fillId="0" borderId="6" xfId="7" applyNumberFormat="1" applyFont="1" applyFill="1" applyBorder="1" applyAlignment="1">
      <alignment vertical="center"/>
    </xf>
    <xf numFmtId="0" fontId="3" fillId="0" borderId="0" xfId="0" applyFont="1" applyAlignment="1">
      <alignment vertical="center"/>
    </xf>
    <xf numFmtId="0" fontId="4" fillId="0" borderId="1" xfId="0" applyFont="1" applyBorder="1" applyAlignment="1">
      <alignment horizontal="center" vertical="center" wrapText="1"/>
    </xf>
    <xf numFmtId="3" fontId="4" fillId="0" borderId="4" xfId="7" applyNumberFormat="1" applyFont="1" applyFill="1" applyBorder="1" applyAlignment="1">
      <alignment vertical="center"/>
    </xf>
    <xf numFmtId="0" fontId="4" fillId="2" borderId="5" xfId="0" applyFont="1" applyFill="1" applyBorder="1" applyAlignment="1">
      <alignment horizontal="center" vertical="center"/>
    </xf>
    <xf numFmtId="0" fontId="4" fillId="2" borderId="5" xfId="0" applyFont="1" applyFill="1" applyBorder="1" applyAlignment="1">
      <alignment horizontal="left" vertical="center"/>
    </xf>
    <xf numFmtId="3" fontId="4" fillId="2" borderId="5" xfId="7" applyNumberFormat="1" applyFont="1" applyFill="1" applyBorder="1" applyAlignment="1">
      <alignment vertical="center"/>
    </xf>
    <xf numFmtId="0" fontId="4" fillId="3" borderId="6" xfId="0" applyFont="1" applyFill="1" applyBorder="1" applyAlignment="1">
      <alignment horizontal="left" vertical="center" wrapText="1"/>
    </xf>
    <xf numFmtId="0" fontId="3" fillId="0" borderId="6" xfId="0" applyFont="1" applyBorder="1" applyAlignment="1">
      <alignment horizontal="center" vertical="center"/>
    </xf>
    <xf numFmtId="0" fontId="3" fillId="0" borderId="6" xfId="0" applyFont="1" applyBorder="1" applyAlignment="1">
      <alignment vertical="center" wrapText="1"/>
    </xf>
    <xf numFmtId="3" fontId="3" fillId="0" borderId="6" xfId="20" applyNumberFormat="1" applyFont="1" applyFill="1" applyBorder="1" applyAlignment="1">
      <alignment vertical="center"/>
    </xf>
    <xf numFmtId="3" fontId="3" fillId="0" borderId="6" xfId="12" applyNumberFormat="1" applyFont="1" applyBorder="1" applyAlignment="1">
      <alignment vertical="center"/>
    </xf>
    <xf numFmtId="3" fontId="3" fillId="0" borderId="6" xfId="12" applyNumberFormat="1" applyFont="1" applyBorder="1" applyAlignment="1">
      <alignment vertical="center" wrapText="1"/>
    </xf>
    <xf numFmtId="3" fontId="4" fillId="3" borderId="6" xfId="0" applyNumberFormat="1" applyFont="1" applyFill="1" applyBorder="1" applyAlignment="1">
      <alignment vertical="center" wrapText="1"/>
    </xf>
    <xf numFmtId="3" fontId="3" fillId="0" borderId="6" xfId="11" applyNumberFormat="1" applyFont="1" applyFill="1" applyBorder="1" applyAlignment="1">
      <alignment horizontal="right" vertical="center"/>
    </xf>
    <xf numFmtId="3" fontId="4" fillId="3" borderId="8" xfId="0" applyNumberFormat="1" applyFont="1" applyFill="1" applyBorder="1" applyAlignment="1">
      <alignment vertical="center" wrapText="1"/>
    </xf>
    <xf numFmtId="3" fontId="3" fillId="0" borderId="6" xfId="7" applyNumberFormat="1" applyFont="1" applyFill="1" applyBorder="1" applyAlignment="1">
      <alignment horizontal="right" vertical="center"/>
    </xf>
    <xf numFmtId="3" fontId="3" fillId="0" borderId="9" xfId="7" applyNumberFormat="1" applyFont="1" applyFill="1" applyBorder="1" applyAlignment="1">
      <alignment vertical="center"/>
    </xf>
    <xf numFmtId="3" fontId="3" fillId="0" borderId="9" xfId="0" applyNumberFormat="1" applyFont="1" applyBorder="1" applyAlignment="1">
      <alignment vertical="center"/>
    </xf>
    <xf numFmtId="3" fontId="4" fillId="3" borderId="6" xfId="11" applyNumberFormat="1" applyFont="1" applyFill="1" applyBorder="1" applyAlignment="1">
      <alignment horizontal="right" vertical="center"/>
    </xf>
    <xf numFmtId="3" fontId="4" fillId="3" borderId="8" xfId="7" applyNumberFormat="1" applyFont="1" applyFill="1" applyBorder="1" applyAlignment="1">
      <alignment vertical="center"/>
    </xf>
    <xf numFmtId="3" fontId="4" fillId="3" borderId="6" xfId="0" applyNumberFormat="1" applyFont="1" applyFill="1" applyBorder="1" applyAlignment="1">
      <alignment horizontal="right" vertical="center"/>
    </xf>
    <xf numFmtId="3" fontId="3" fillId="0" borderId="6" xfId="0" applyNumberFormat="1" applyFont="1" applyBorder="1" applyAlignment="1">
      <alignment horizontal="right" vertical="center"/>
    </xf>
    <xf numFmtId="3" fontId="3" fillId="0" borderId="1" xfId="7" applyNumberFormat="1" applyFont="1" applyFill="1" applyBorder="1" applyAlignment="1">
      <alignment vertical="center"/>
    </xf>
    <xf numFmtId="169" fontId="3" fillId="0" borderId="6" xfId="11" applyNumberFormat="1" applyFont="1" applyFill="1" applyBorder="1" applyAlignment="1">
      <alignment vertical="center" wrapText="1"/>
    </xf>
    <xf numFmtId="169" fontId="3" fillId="0" borderId="6" xfId="11" applyNumberFormat="1" applyFont="1" applyFill="1" applyBorder="1" applyAlignment="1">
      <alignment vertical="center"/>
    </xf>
    <xf numFmtId="3" fontId="3" fillId="0" borderId="8" xfId="7" applyNumberFormat="1" applyFont="1" applyFill="1" applyBorder="1" applyAlignment="1">
      <alignment vertical="center"/>
    </xf>
    <xf numFmtId="0" fontId="3" fillId="0" borderId="6" xfId="0" applyFont="1" applyBorder="1" applyAlignment="1">
      <alignment vertical="center"/>
    </xf>
    <xf numFmtId="0" fontId="4" fillId="0" borderId="6" xfId="0" applyFont="1" applyBorder="1" applyAlignment="1">
      <alignment vertical="center"/>
    </xf>
    <xf numFmtId="169" fontId="4" fillId="0" borderId="6" xfId="11" applyNumberFormat="1" applyFont="1" applyFill="1" applyBorder="1" applyAlignment="1">
      <alignment vertical="center"/>
    </xf>
    <xf numFmtId="3" fontId="3" fillId="0" borderId="6" xfId="11" applyNumberFormat="1" applyFont="1" applyFill="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3" fontId="3" fillId="0" borderId="7" xfId="7" applyNumberFormat="1" applyFont="1" applyFill="1" applyBorder="1" applyAlignment="1">
      <alignment vertical="center"/>
    </xf>
    <xf numFmtId="3" fontId="3" fillId="0" borderId="7" xfId="0" applyNumberFormat="1" applyFont="1" applyBorder="1" applyAlignment="1">
      <alignment vertical="center"/>
    </xf>
    <xf numFmtId="3" fontId="3" fillId="0" borderId="0" xfId="0" applyNumberFormat="1" applyFont="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Alignment="1">
      <alignment vertical="center"/>
    </xf>
    <xf numFmtId="0" fontId="3"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wrapText="1"/>
    </xf>
    <xf numFmtId="170" fontId="18" fillId="0" borderId="0" xfId="11" applyNumberFormat="1" applyFont="1" applyFill="1" applyAlignment="1">
      <alignment horizontal="center" vertical="center" wrapText="1"/>
    </xf>
    <xf numFmtId="0" fontId="24" fillId="0" borderId="0" xfId="0" applyFont="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170" fontId="18" fillId="0" borderId="10" xfId="11" applyNumberFormat="1" applyFont="1" applyFill="1" applyBorder="1" applyAlignment="1">
      <alignment horizontal="center" vertical="center" wrapText="1"/>
    </xf>
    <xf numFmtId="0" fontId="26" fillId="0" borderId="0" xfId="0" applyFont="1" applyAlignment="1">
      <alignment horizontal="center" vertical="center" wrapText="1"/>
    </xf>
    <xf numFmtId="170" fontId="28" fillId="0" borderId="16" xfId="11" applyNumberFormat="1" applyFont="1" applyFill="1" applyBorder="1" applyAlignment="1">
      <alignment horizontal="center" vertical="center" wrapText="1"/>
    </xf>
    <xf numFmtId="0" fontId="33" fillId="0" borderId="4" xfId="0" applyFont="1" applyBorder="1" applyAlignment="1">
      <alignment horizontal="center" vertical="center" wrapText="1"/>
    </xf>
    <xf numFmtId="170" fontId="33" fillId="0" borderId="16" xfId="11" applyNumberFormat="1" applyFont="1" applyFill="1" applyBorder="1" applyAlignment="1">
      <alignment horizontal="center" vertical="center" wrapText="1"/>
    </xf>
    <xf numFmtId="0" fontId="33" fillId="0" borderId="1" xfId="0" applyFont="1" applyBorder="1" applyAlignment="1">
      <alignment horizontal="center" vertical="center" wrapText="1"/>
    </xf>
    <xf numFmtId="170" fontId="33" fillId="0" borderId="1" xfId="11" applyNumberFormat="1" applyFont="1" applyFill="1" applyBorder="1" applyAlignment="1">
      <alignment horizontal="center" vertical="center" wrapText="1"/>
    </xf>
    <xf numFmtId="172" fontId="33" fillId="0" borderId="0" xfId="0" applyNumberFormat="1" applyFont="1" applyAlignment="1">
      <alignment horizontal="center" vertical="center" wrapText="1"/>
    </xf>
    <xf numFmtId="0" fontId="33" fillId="0" borderId="0" xfId="0" applyFont="1" applyAlignment="1">
      <alignment horizontal="center" vertical="center" wrapText="1"/>
    </xf>
    <xf numFmtId="172" fontId="26" fillId="0" borderId="0" xfId="0" applyNumberFormat="1" applyFont="1" applyAlignment="1">
      <alignment horizontal="center" vertical="center" wrapText="1"/>
    </xf>
    <xf numFmtId="174" fontId="26" fillId="0" borderId="0" xfId="0" applyNumberFormat="1" applyFont="1" applyAlignment="1">
      <alignment horizontal="center" vertical="center" wrapText="1"/>
    </xf>
    <xf numFmtId="0" fontId="26" fillId="0" borderId="6" xfId="0" applyFont="1" applyBorder="1" applyAlignment="1">
      <alignment horizontal="center" vertical="center" wrapText="1"/>
    </xf>
    <xf numFmtId="0" fontId="26" fillId="0" borderId="6" xfId="0" applyFont="1" applyBorder="1" applyAlignment="1">
      <alignment horizontal="justify" vertical="center" wrapText="1"/>
    </xf>
    <xf numFmtId="170" fontId="26" fillId="0" borderId="6" xfId="11" applyNumberFormat="1" applyFont="1" applyFill="1" applyBorder="1" applyAlignment="1">
      <alignment horizontal="center" vertical="center" wrapText="1"/>
    </xf>
    <xf numFmtId="173" fontId="26" fillId="0" borderId="6" xfId="11" applyNumberFormat="1" applyFont="1" applyFill="1" applyBorder="1" applyAlignment="1">
      <alignment horizontal="right" vertical="center" wrapText="1"/>
    </xf>
    <xf numFmtId="173" fontId="26" fillId="0" borderId="0" xfId="11" applyNumberFormat="1" applyFont="1" applyFill="1" applyAlignment="1">
      <alignment vertical="center" wrapText="1"/>
    </xf>
    <xf numFmtId="0" fontId="26" fillId="0" borderId="0" xfId="0" applyFont="1" applyAlignment="1">
      <alignment vertical="center" wrapText="1"/>
    </xf>
    <xf numFmtId="0" fontId="18" fillId="0" borderId="6" xfId="0" applyFont="1" applyBorder="1" applyAlignment="1">
      <alignment horizontal="center" vertical="center" wrapText="1"/>
    </xf>
    <xf numFmtId="0" fontId="18" fillId="0" borderId="6" xfId="0" applyFont="1" applyBorder="1" applyAlignment="1">
      <alignment horizontal="justify" vertical="center" wrapText="1"/>
    </xf>
    <xf numFmtId="170" fontId="18" fillId="0" borderId="6" xfId="11" applyNumberFormat="1" applyFont="1" applyFill="1" applyBorder="1" applyAlignment="1">
      <alignment horizontal="center" vertical="center" wrapText="1"/>
    </xf>
    <xf numFmtId="173" fontId="18" fillId="0" borderId="6" xfId="11" applyNumberFormat="1" applyFont="1" applyFill="1" applyBorder="1" applyAlignment="1">
      <alignment horizontal="right" vertical="center" wrapText="1"/>
    </xf>
    <xf numFmtId="0" fontId="27" fillId="0" borderId="6" xfId="0" applyFont="1" applyBorder="1" applyAlignment="1">
      <alignment horizontal="center" vertical="center" wrapText="1"/>
    </xf>
    <xf numFmtId="2" fontId="26" fillId="0" borderId="6" xfId="0" applyNumberFormat="1" applyFont="1" applyBorder="1" applyAlignment="1">
      <alignment horizontal="center" vertical="center" wrapText="1"/>
    </xf>
    <xf numFmtId="170" fontId="26" fillId="0" borderId="0" xfId="0" applyNumberFormat="1" applyFont="1" applyAlignment="1">
      <alignment horizontal="center" vertical="center" wrapText="1"/>
    </xf>
    <xf numFmtId="175" fontId="26" fillId="0" borderId="0" xfId="0" applyNumberFormat="1" applyFont="1" applyAlignment="1">
      <alignment horizontal="center" vertical="center" wrapText="1"/>
    </xf>
    <xf numFmtId="0" fontId="17" fillId="0" borderId="6" xfId="0" applyFont="1" applyBorder="1" applyAlignment="1">
      <alignment horizontal="center" vertical="center" wrapText="1"/>
    </xf>
    <xf numFmtId="0" fontId="17" fillId="0" borderId="6" xfId="0" applyFont="1" applyBorder="1" applyAlignment="1">
      <alignment horizontal="justify" vertical="center" wrapText="1"/>
    </xf>
    <xf numFmtId="3" fontId="18" fillId="0" borderId="6" xfId="0" applyNumberFormat="1" applyFont="1" applyBorder="1" applyAlignment="1">
      <alignment horizontal="center" vertical="center" wrapText="1"/>
    </xf>
    <xf numFmtId="176" fontId="18" fillId="0" borderId="6" xfId="0" applyNumberFormat="1" applyFont="1" applyBorder="1" applyAlignment="1">
      <alignment horizontal="center" vertical="center" wrapText="1"/>
    </xf>
    <xf numFmtId="2" fontId="18" fillId="0" borderId="6" xfId="0" applyNumberFormat="1" applyFont="1" applyBorder="1" applyAlignment="1">
      <alignment horizontal="center" vertical="center" wrapText="1"/>
    </xf>
    <xf numFmtId="170" fontId="18" fillId="0" borderId="0" xfId="0" applyNumberFormat="1" applyFont="1" applyAlignment="1">
      <alignment vertical="center" wrapText="1"/>
    </xf>
    <xf numFmtId="166" fontId="18" fillId="0" borderId="0" xfId="0" applyNumberFormat="1" applyFont="1" applyAlignment="1">
      <alignment vertical="center" wrapText="1"/>
    </xf>
    <xf numFmtId="0" fontId="17" fillId="0" borderId="7" xfId="0" applyFont="1" applyBorder="1" applyAlignment="1">
      <alignment horizontal="center" vertical="center" wrapText="1"/>
    </xf>
    <xf numFmtId="0" fontId="17" fillId="0" borderId="7" xfId="0" applyFont="1" applyBorder="1" applyAlignment="1">
      <alignment horizontal="justify" vertical="center" wrapText="1"/>
    </xf>
    <xf numFmtId="0" fontId="18" fillId="0" borderId="7" xfId="0" applyFont="1" applyBorder="1" applyAlignment="1">
      <alignment horizontal="center" vertical="center" wrapText="1"/>
    </xf>
    <xf numFmtId="3" fontId="18" fillId="0" borderId="7" xfId="0" applyNumberFormat="1" applyFont="1" applyBorder="1" applyAlignment="1">
      <alignment horizontal="center" vertical="center" wrapText="1"/>
    </xf>
    <xf numFmtId="176" fontId="18" fillId="0" borderId="7" xfId="0" applyNumberFormat="1" applyFont="1" applyBorder="1" applyAlignment="1">
      <alignment horizontal="center" vertical="center" wrapText="1"/>
    </xf>
    <xf numFmtId="2" fontId="18" fillId="0" borderId="7" xfId="0" applyNumberFormat="1" applyFont="1" applyBorder="1" applyAlignment="1">
      <alignment horizontal="center" vertical="center" wrapText="1"/>
    </xf>
    <xf numFmtId="173" fontId="18" fillId="0" borderId="7" xfId="11" applyNumberFormat="1" applyFont="1" applyFill="1" applyBorder="1" applyAlignment="1">
      <alignment horizontal="right" vertical="center" wrapText="1"/>
    </xf>
    <xf numFmtId="0" fontId="25" fillId="0" borderId="0" xfId="0" applyFont="1" applyAlignment="1">
      <alignment vertical="center"/>
    </xf>
    <xf numFmtId="172" fontId="18" fillId="0" borderId="0" xfId="11" applyNumberFormat="1" applyFont="1" applyFill="1" applyAlignment="1">
      <alignment horizontal="center" vertical="center" wrapText="1"/>
    </xf>
    <xf numFmtId="167" fontId="18" fillId="0" borderId="0" xfId="0" applyNumberFormat="1" applyFont="1" applyAlignment="1">
      <alignment vertical="center" wrapText="1"/>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18" fillId="0" borderId="0" xfId="0" applyFont="1"/>
    <xf numFmtId="0" fontId="4" fillId="4" borderId="1" xfId="0" applyFont="1" applyFill="1" applyBorder="1" applyAlignment="1">
      <alignment horizontal="center" vertical="center" wrapText="1"/>
    </xf>
    <xf numFmtId="3" fontId="4" fillId="0" borderId="0" xfId="0" applyNumberFormat="1" applyFont="1" applyAlignment="1">
      <alignment vertical="center"/>
    </xf>
    <xf numFmtId="0" fontId="11" fillId="4" borderId="1" xfId="0" applyFont="1" applyFill="1" applyBorder="1" applyAlignment="1">
      <alignment horizontal="center" vertical="center"/>
    </xf>
    <xf numFmtId="170" fontId="26" fillId="3" borderId="5" xfId="11" applyNumberFormat="1" applyFont="1" applyFill="1" applyBorder="1" applyAlignment="1">
      <alignment horizontal="center" vertical="center" wrapText="1"/>
    </xf>
    <xf numFmtId="0" fontId="27" fillId="3" borderId="5" xfId="0" applyFont="1" applyFill="1" applyBorder="1" applyAlignment="1">
      <alignment horizontal="center" vertical="center" wrapText="1"/>
    </xf>
    <xf numFmtId="2" fontId="26" fillId="3" borderId="5" xfId="0" applyNumberFormat="1" applyFont="1" applyFill="1" applyBorder="1" applyAlignment="1">
      <alignment horizontal="center" vertical="center" wrapText="1"/>
    </xf>
    <xf numFmtId="173" fontId="26" fillId="3" borderId="5" xfId="11" applyNumberFormat="1" applyFont="1" applyFill="1" applyBorder="1" applyAlignment="1">
      <alignment horizontal="right" vertical="center" wrapText="1"/>
    </xf>
    <xf numFmtId="0" fontId="34" fillId="0" borderId="0" xfId="0" applyFont="1" applyAlignment="1">
      <alignment vertical="center"/>
    </xf>
    <xf numFmtId="0" fontId="35"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horizontal="center" vertical="center" wrapText="1"/>
    </xf>
    <xf numFmtId="3" fontId="34" fillId="0" borderId="0" xfId="0" applyNumberFormat="1" applyFont="1" applyAlignment="1">
      <alignment vertical="center"/>
    </xf>
    <xf numFmtId="177" fontId="34" fillId="0" borderId="0" xfId="11" applyNumberFormat="1" applyFont="1" applyAlignment="1">
      <alignment vertical="center"/>
    </xf>
    <xf numFmtId="178" fontId="34" fillId="0" borderId="0" xfId="11" applyNumberFormat="1" applyFont="1" applyAlignment="1">
      <alignment vertical="center"/>
    </xf>
    <xf numFmtId="3" fontId="35" fillId="0" borderId="0" xfId="0" applyNumberFormat="1" applyFont="1" applyAlignment="1">
      <alignment vertical="center"/>
    </xf>
    <xf numFmtId="179" fontId="34" fillId="0" borderId="0" xfId="0" applyNumberFormat="1" applyFont="1" applyAlignment="1">
      <alignment vertical="center"/>
    </xf>
    <xf numFmtId="0" fontId="42" fillId="0" borderId="0" xfId="0" applyFont="1" applyAlignment="1">
      <alignment vertical="center"/>
    </xf>
    <xf numFmtId="170" fontId="28" fillId="0" borderId="19" xfId="11" applyNumberFormat="1" applyFont="1" applyFill="1" applyBorder="1" applyAlignment="1">
      <alignment horizontal="center" vertical="center" wrapText="1"/>
    </xf>
    <xf numFmtId="0" fontId="28" fillId="0" borderId="0" xfId="0" applyFont="1" applyAlignment="1">
      <alignment horizontal="center" vertical="center" wrapText="1"/>
    </xf>
    <xf numFmtId="0" fontId="24" fillId="0" borderId="0" xfId="0" applyFont="1"/>
    <xf numFmtId="0" fontId="22" fillId="0" borderId="0" xfId="0" applyFont="1" applyAlignment="1">
      <alignment vertical="center"/>
    </xf>
    <xf numFmtId="4" fontId="18" fillId="0" borderId="6" xfId="11" applyNumberFormat="1" applyFont="1" applyFill="1" applyBorder="1" applyAlignment="1">
      <alignment horizontal="right" vertical="center" wrapText="1"/>
    </xf>
    <xf numFmtId="4" fontId="18" fillId="0" borderId="7" xfId="11" applyNumberFormat="1" applyFont="1" applyFill="1" applyBorder="1" applyAlignment="1">
      <alignment horizontal="right" vertical="center" wrapText="1"/>
    </xf>
    <xf numFmtId="0" fontId="20" fillId="4" borderId="1" xfId="0"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center" vertical="center"/>
    </xf>
    <xf numFmtId="0" fontId="12" fillId="4" borderId="0" xfId="0" applyFont="1" applyFill="1" applyAlignment="1">
      <alignment horizontal="center" vertical="center" wrapText="1"/>
    </xf>
    <xf numFmtId="0" fontId="4" fillId="4" borderId="0" xfId="0" applyFont="1" applyFill="1" applyAlignment="1">
      <alignment vertical="center" wrapText="1"/>
    </xf>
    <xf numFmtId="0" fontId="5" fillId="4" borderId="0" xfId="0" applyFont="1" applyFill="1" applyAlignment="1">
      <alignment vertical="center"/>
    </xf>
    <xf numFmtId="0" fontId="19" fillId="4" borderId="0" xfId="0" applyFont="1" applyFill="1" applyAlignment="1">
      <alignment vertical="center"/>
    </xf>
    <xf numFmtId="0" fontId="11" fillId="4" borderId="1" xfId="0" applyFont="1" applyFill="1" applyBorder="1" applyAlignment="1">
      <alignment horizontal="center" vertical="center" wrapText="1"/>
    </xf>
    <xf numFmtId="0" fontId="11" fillId="4" borderId="0" xfId="0" applyFont="1" applyFill="1" applyAlignment="1">
      <alignment vertical="center"/>
    </xf>
    <xf numFmtId="3" fontId="4" fillId="4" borderId="5" xfId="7" applyNumberFormat="1" applyFont="1" applyFill="1" applyBorder="1" applyAlignment="1">
      <alignment vertical="center"/>
    </xf>
    <xf numFmtId="3" fontId="3" fillId="4" borderId="0" xfId="0" applyNumberFormat="1" applyFont="1" applyFill="1" applyAlignment="1">
      <alignment vertical="center"/>
    </xf>
    <xf numFmtId="0" fontId="4" fillId="4" borderId="6" xfId="0" applyFont="1" applyFill="1" applyBorder="1" applyAlignment="1">
      <alignment horizontal="center" vertical="center"/>
    </xf>
    <xf numFmtId="0" fontId="4" fillId="4" borderId="6" xfId="0" applyFont="1" applyFill="1" applyBorder="1" applyAlignment="1">
      <alignment horizontal="justify" vertical="center" wrapText="1"/>
    </xf>
    <xf numFmtId="3" fontId="4" fillId="4" borderId="6" xfId="0" applyNumberFormat="1"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justify" vertical="center" wrapText="1"/>
    </xf>
    <xf numFmtId="3" fontId="3" fillId="4" borderId="6" xfId="0" applyNumberFormat="1" applyFont="1" applyFill="1" applyBorder="1" applyAlignment="1">
      <alignment vertical="center"/>
    </xf>
    <xf numFmtId="3" fontId="3" fillId="4" borderId="6" xfId="7" applyNumberFormat="1" applyFont="1" applyFill="1" applyBorder="1" applyAlignment="1">
      <alignment vertical="center"/>
    </xf>
    <xf numFmtId="3" fontId="4" fillId="4" borderId="6" xfId="7" applyNumberFormat="1" applyFont="1" applyFill="1" applyBorder="1" applyAlignment="1">
      <alignment vertical="center"/>
    </xf>
    <xf numFmtId="0" fontId="6" fillId="4" borderId="6" xfId="0" applyFont="1" applyFill="1" applyBorder="1" applyAlignment="1">
      <alignment horizontal="center" vertical="center"/>
    </xf>
    <xf numFmtId="0" fontId="6" fillId="4" borderId="6" xfId="0" applyFont="1" applyFill="1" applyBorder="1" applyAlignment="1">
      <alignment horizontal="justify" vertical="center" wrapText="1"/>
    </xf>
    <xf numFmtId="3" fontId="6" fillId="4" borderId="6" xfId="7" applyNumberFormat="1" applyFont="1" applyFill="1" applyBorder="1" applyAlignment="1">
      <alignment vertical="center"/>
    </xf>
    <xf numFmtId="0" fontId="6" fillId="4" borderId="0" xfId="0" applyFont="1" applyFill="1" applyAlignment="1">
      <alignment vertical="center"/>
    </xf>
    <xf numFmtId="0" fontId="3" fillId="4" borderId="6" xfId="0" applyFont="1" applyFill="1" applyBorder="1" applyAlignment="1">
      <alignment horizontal="left" vertical="center" wrapText="1"/>
    </xf>
    <xf numFmtId="169" fontId="3" fillId="4" borderId="6" xfId="7" applyNumberFormat="1" applyFont="1" applyFill="1" applyBorder="1" applyAlignment="1">
      <alignment horizontal="center" vertical="center"/>
    </xf>
    <xf numFmtId="169" fontId="3" fillId="4" borderId="6" xfId="7" applyNumberFormat="1" applyFont="1" applyFill="1" applyBorder="1" applyAlignment="1">
      <alignment horizontal="justify" vertical="center" wrapText="1"/>
    </xf>
    <xf numFmtId="169" fontId="4" fillId="4" borderId="6" xfId="7" applyNumberFormat="1" applyFont="1" applyFill="1" applyBorder="1" applyAlignment="1">
      <alignment horizontal="center" vertical="center"/>
    </xf>
    <xf numFmtId="169" fontId="4" fillId="4" borderId="6" xfId="7" applyNumberFormat="1" applyFont="1" applyFill="1" applyBorder="1" applyAlignment="1">
      <alignment horizontal="justify" vertical="center" wrapText="1"/>
    </xf>
    <xf numFmtId="3" fontId="6" fillId="4" borderId="6" xfId="0" applyNumberFormat="1" applyFont="1" applyFill="1" applyBorder="1" applyAlignment="1">
      <alignment vertical="center"/>
    </xf>
    <xf numFmtId="3" fontId="4" fillId="4" borderId="0" xfId="0" applyNumberFormat="1" applyFont="1" applyFill="1" applyAlignment="1">
      <alignment vertical="center"/>
    </xf>
    <xf numFmtId="0" fontId="3" fillId="4" borderId="7" xfId="0" applyFont="1" applyFill="1" applyBorder="1" applyAlignment="1">
      <alignment horizontal="center" vertical="center"/>
    </xf>
    <xf numFmtId="0" fontId="3" fillId="4" borderId="7" xfId="0" applyFont="1" applyFill="1" applyBorder="1" applyAlignment="1">
      <alignment horizontal="justify" vertical="center" wrapText="1"/>
    </xf>
    <xf numFmtId="3" fontId="3" fillId="4" borderId="7" xfId="0" applyNumberFormat="1" applyFont="1" applyFill="1" applyBorder="1" applyAlignment="1">
      <alignment vertical="center"/>
    </xf>
    <xf numFmtId="0" fontId="22" fillId="4" borderId="0" xfId="0" applyFont="1" applyFill="1" applyAlignment="1">
      <alignment horizontal="center" vertical="center"/>
    </xf>
    <xf numFmtId="0" fontId="22" fillId="4" borderId="0" xfId="0" applyFont="1" applyFill="1" applyAlignment="1">
      <alignment vertical="center"/>
    </xf>
    <xf numFmtId="178" fontId="22" fillId="4" borderId="0" xfId="11" applyNumberFormat="1" applyFont="1" applyFill="1" applyAlignment="1">
      <alignment vertical="center"/>
    </xf>
    <xf numFmtId="0" fontId="42" fillId="4" borderId="0" xfId="0" applyFont="1" applyFill="1" applyAlignment="1">
      <alignment horizontal="center" vertical="center"/>
    </xf>
    <xf numFmtId="0" fontId="42" fillId="4" borderId="0" xfId="0" applyFont="1" applyFill="1" applyAlignment="1">
      <alignment vertical="center"/>
    </xf>
    <xf numFmtId="0" fontId="41" fillId="4" borderId="10" xfId="0" applyFont="1" applyFill="1" applyBorder="1" applyAlignment="1">
      <alignment vertical="center"/>
    </xf>
    <xf numFmtId="0" fontId="35" fillId="4" borderId="1"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5" xfId="0" applyFont="1" applyFill="1" applyBorder="1" applyAlignment="1">
      <alignment horizontal="center" vertical="center"/>
    </xf>
    <xf numFmtId="3" fontId="35" fillId="4" borderId="5" xfId="11" applyNumberFormat="1" applyFont="1" applyFill="1" applyBorder="1" applyAlignment="1">
      <alignment vertical="center"/>
    </xf>
    <xf numFmtId="0" fontId="35" fillId="4" borderId="6" xfId="0" applyFont="1" applyFill="1" applyBorder="1" applyAlignment="1">
      <alignment horizontal="center" vertical="center"/>
    </xf>
    <xf numFmtId="0" fontId="35" fillId="4" borderId="6" xfId="0" applyFont="1" applyFill="1" applyBorder="1" applyAlignment="1">
      <alignment horizontal="left" vertical="center"/>
    </xf>
    <xf numFmtId="3" fontId="35" fillId="4" borderId="6" xfId="11" applyNumberFormat="1" applyFont="1" applyFill="1" applyBorder="1" applyAlignment="1">
      <alignment vertical="center"/>
    </xf>
    <xf numFmtId="0" fontId="34" fillId="4" borderId="6" xfId="0" applyFont="1" applyFill="1" applyBorder="1" applyAlignment="1">
      <alignment horizontal="center" vertical="center" wrapText="1"/>
    </xf>
    <xf numFmtId="0" fontId="34" fillId="4" borderId="6" xfId="0" applyFont="1" applyFill="1" applyBorder="1" applyAlignment="1">
      <alignment horizontal="left" vertical="center" wrapText="1"/>
    </xf>
    <xf numFmtId="3" fontId="34" fillId="4" borderId="6" xfId="11" applyNumberFormat="1" applyFont="1" applyFill="1" applyBorder="1" applyAlignment="1">
      <alignment vertical="center"/>
    </xf>
    <xf numFmtId="0" fontId="35" fillId="4" borderId="6" xfId="0" applyFont="1" applyFill="1" applyBorder="1" applyAlignment="1">
      <alignment horizontal="center" vertical="center" wrapText="1"/>
    </xf>
    <xf numFmtId="0" fontId="35" fillId="4" borderId="6" xfId="0" applyFont="1" applyFill="1" applyBorder="1" applyAlignment="1">
      <alignment horizontal="left" vertical="center" wrapText="1"/>
    </xf>
    <xf numFmtId="0" fontId="34" fillId="4" borderId="6" xfId="0" applyFont="1" applyFill="1" applyBorder="1" applyAlignment="1">
      <alignment vertical="center" wrapText="1"/>
    </xf>
    <xf numFmtId="0" fontId="34" fillId="4" borderId="7" xfId="0" applyFont="1" applyFill="1" applyBorder="1" applyAlignment="1">
      <alignment horizontal="center" vertical="center" wrapText="1"/>
    </xf>
    <xf numFmtId="0" fontId="34" fillId="4" borderId="7" xfId="0" applyFont="1" applyFill="1" applyBorder="1" applyAlignment="1">
      <alignment vertical="center" wrapText="1"/>
    </xf>
    <xf numFmtId="3" fontId="34" fillId="4" borderId="7" xfId="11" applyNumberFormat="1" applyFont="1" applyFill="1" applyBorder="1" applyAlignment="1">
      <alignment vertical="center"/>
    </xf>
    <xf numFmtId="0" fontId="18" fillId="4" borderId="0" xfId="0" applyFont="1" applyFill="1" applyAlignment="1">
      <alignment horizontal="center" vertical="center" wrapText="1"/>
    </xf>
    <xf numFmtId="0" fontId="18" fillId="4" borderId="0" xfId="0" applyFont="1" applyFill="1" applyAlignment="1">
      <alignment vertical="center" wrapText="1"/>
    </xf>
    <xf numFmtId="170" fontId="18" fillId="4" borderId="0" xfId="11" applyNumberFormat="1" applyFont="1" applyFill="1" applyAlignment="1">
      <alignment horizontal="center" vertical="center" wrapText="1"/>
    </xf>
    <xf numFmtId="0" fontId="3" fillId="4" borderId="0" xfId="0" applyFont="1" applyFill="1" applyAlignment="1">
      <alignment horizontal="center" vertical="center"/>
    </xf>
    <xf numFmtId="0" fontId="4" fillId="4" borderId="6" xfId="0" quotePrefix="1" applyFont="1" applyFill="1" applyBorder="1" applyAlignment="1">
      <alignment horizontal="center" vertical="center"/>
    </xf>
    <xf numFmtId="3" fontId="4" fillId="4" borderId="6" xfId="7" applyNumberFormat="1" applyFont="1" applyFill="1" applyBorder="1" applyAlignment="1">
      <alignment horizontal="justify" vertical="center"/>
    </xf>
    <xf numFmtId="3" fontId="6" fillId="4" borderId="6" xfId="7" applyNumberFormat="1" applyFont="1" applyFill="1" applyBorder="1" applyAlignment="1">
      <alignment horizontal="justify" vertical="center"/>
    </xf>
    <xf numFmtId="3" fontId="3" fillId="4" borderId="6" xfId="7" applyNumberFormat="1" applyFont="1" applyFill="1" applyBorder="1" applyAlignment="1">
      <alignment horizontal="justify" vertical="center"/>
    </xf>
    <xf numFmtId="0" fontId="21" fillId="4" borderId="6" xfId="0" applyFont="1" applyFill="1" applyBorder="1" applyAlignment="1">
      <alignment horizontal="justify" vertical="center" wrapText="1"/>
    </xf>
    <xf numFmtId="0" fontId="20" fillId="4" borderId="6" xfId="0" applyFont="1" applyFill="1" applyBorder="1" applyAlignment="1">
      <alignment horizontal="justify" vertical="center" wrapText="1"/>
    </xf>
    <xf numFmtId="0" fontId="3" fillId="4" borderId="6" xfId="0" applyFont="1" applyFill="1" applyBorder="1" applyAlignment="1">
      <alignment horizontal="justify" vertical="center"/>
    </xf>
    <xf numFmtId="0" fontId="3" fillId="4" borderId="6" xfId="0" quotePrefix="1" applyFont="1" applyFill="1" applyBorder="1" applyAlignment="1">
      <alignment horizontal="center" vertical="center"/>
    </xf>
    <xf numFmtId="0" fontId="3" fillId="4" borderId="7" xfId="0" applyFont="1" applyFill="1" applyBorder="1" applyAlignment="1">
      <alignment horizontal="justify" vertical="center"/>
    </xf>
    <xf numFmtId="3" fontId="3" fillId="4" borderId="7" xfId="7" applyNumberFormat="1" applyFont="1" applyFill="1" applyBorder="1" applyAlignment="1">
      <alignment vertical="center"/>
    </xf>
    <xf numFmtId="0" fontId="34" fillId="4" borderId="0" xfId="0" applyFont="1" applyFill="1" applyAlignment="1">
      <alignment horizontal="center" vertical="center"/>
    </xf>
    <xf numFmtId="0" fontId="34" fillId="4" borderId="0" xfId="0" applyFont="1" applyFill="1" applyAlignment="1">
      <alignment vertical="center"/>
    </xf>
    <xf numFmtId="177" fontId="34" fillId="4" borderId="0" xfId="11" applyNumberFormat="1" applyFont="1" applyFill="1" applyAlignment="1">
      <alignment vertical="center"/>
    </xf>
    <xf numFmtId="178" fontId="34" fillId="4" borderId="0" xfId="11" applyNumberFormat="1" applyFont="1" applyFill="1" applyAlignment="1">
      <alignment vertical="center"/>
    </xf>
    <xf numFmtId="0" fontId="37" fillId="4" borderId="10" xfId="0" applyFont="1" applyFill="1" applyBorder="1" applyAlignment="1">
      <alignment vertical="center"/>
    </xf>
    <xf numFmtId="177" fontId="35" fillId="4" borderId="1" xfId="11" applyNumberFormat="1" applyFont="1" applyFill="1" applyBorder="1" applyAlignment="1">
      <alignment horizontal="center" vertical="center" wrapText="1"/>
    </xf>
    <xf numFmtId="3" fontId="4" fillId="4" borderId="5" xfId="11" applyNumberFormat="1" applyFont="1" applyFill="1" applyBorder="1" applyAlignment="1">
      <alignment vertical="center"/>
    </xf>
    <xf numFmtId="3" fontId="4" fillId="4" borderId="6" xfId="11" applyNumberFormat="1" applyFont="1" applyFill="1" applyBorder="1" applyAlignment="1">
      <alignment vertical="center"/>
    </xf>
    <xf numFmtId="3" fontId="38" fillId="4" borderId="6" xfId="11" applyNumberFormat="1" applyFont="1" applyFill="1" applyBorder="1" applyAlignment="1">
      <alignment vertical="center"/>
    </xf>
    <xf numFmtId="3" fontId="34" fillId="4" borderId="6" xfId="11" applyNumberFormat="1" applyFont="1" applyFill="1" applyBorder="1" applyAlignment="1">
      <alignment horizontal="right" vertical="center" wrapText="1"/>
    </xf>
    <xf numFmtId="3" fontId="1" fillId="4" borderId="6" xfId="11" applyNumberFormat="1" applyFont="1" applyFill="1" applyBorder="1" applyAlignment="1">
      <alignment vertical="center"/>
    </xf>
    <xf numFmtId="3" fontId="34" fillId="4" borderId="6" xfId="11" applyNumberFormat="1" applyFont="1" applyFill="1" applyBorder="1" applyAlignment="1">
      <alignment vertical="center" wrapText="1"/>
    </xf>
    <xf numFmtId="3" fontId="34" fillId="4" borderId="7" xfId="11" applyNumberFormat="1" applyFont="1" applyFill="1" applyBorder="1" applyAlignment="1">
      <alignment vertical="center" wrapText="1"/>
    </xf>
    <xf numFmtId="3" fontId="34" fillId="4" borderId="7" xfId="11" applyNumberFormat="1" applyFont="1" applyFill="1" applyBorder="1" applyAlignment="1">
      <alignment horizontal="right" vertical="center" wrapText="1"/>
    </xf>
    <xf numFmtId="3" fontId="1" fillId="4" borderId="7" xfId="11" applyNumberFormat="1" applyFont="1" applyFill="1" applyBorder="1" applyAlignment="1">
      <alignment vertical="center"/>
    </xf>
    <xf numFmtId="0" fontId="15" fillId="4" borderId="0" xfId="0" applyFont="1" applyFill="1" applyAlignment="1">
      <alignment horizontal="center" vertical="center" wrapText="1"/>
    </xf>
    <xf numFmtId="0" fontId="15" fillId="4" borderId="0" xfId="0" applyFont="1" applyFill="1" applyAlignment="1">
      <alignment vertical="center"/>
    </xf>
    <xf numFmtId="0" fontId="15" fillId="4" borderId="0" xfId="0" applyFont="1" applyFill="1" applyAlignment="1">
      <alignment horizontal="center" vertical="center"/>
    </xf>
    <xf numFmtId="0" fontId="15" fillId="4" borderId="0" xfId="0" applyFont="1" applyFill="1" applyAlignment="1">
      <alignment horizontal="left" vertical="center"/>
    </xf>
    <xf numFmtId="0" fontId="12" fillId="4" borderId="0" xfId="0" applyFont="1" applyFill="1" applyAlignment="1">
      <alignment horizontal="center" vertical="center"/>
    </xf>
    <xf numFmtId="0" fontId="16" fillId="4" borderId="0" xfId="0" applyFont="1" applyFill="1" applyAlignment="1">
      <alignment vertical="center"/>
    </xf>
    <xf numFmtId="0" fontId="15" fillId="4" borderId="10" xfId="0" applyFont="1" applyFill="1" applyBorder="1" applyAlignment="1">
      <alignment vertical="center" wrapText="1"/>
    </xf>
    <xf numFmtId="0" fontId="12" fillId="4" borderId="5" xfId="0" applyFont="1" applyFill="1" applyBorder="1" applyAlignment="1">
      <alignment horizontal="center" vertical="center" wrapText="1"/>
    </xf>
    <xf numFmtId="167" fontId="12" fillId="4" borderId="5" xfId="23" applyNumberFormat="1"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6" xfId="0" applyFont="1" applyFill="1" applyBorder="1" applyAlignment="1">
      <alignment vertical="center" wrapText="1"/>
    </xf>
    <xf numFmtId="3" fontId="12" fillId="4" borderId="6" xfId="0" applyNumberFormat="1" applyFont="1" applyFill="1" applyBorder="1" applyAlignment="1">
      <alignment horizontal="center" vertical="center" wrapText="1"/>
    </xf>
    <xf numFmtId="9" fontId="12" fillId="4" borderId="6" xfId="24" applyFont="1" applyFill="1" applyBorder="1" applyAlignment="1">
      <alignment horizontal="center" vertical="center" wrapText="1"/>
    </xf>
    <xf numFmtId="170" fontId="12" fillId="4" borderId="6" xfId="0" applyNumberFormat="1" applyFont="1" applyFill="1" applyBorder="1" applyAlignment="1">
      <alignment horizontal="center" vertical="center" wrapText="1"/>
    </xf>
    <xf numFmtId="3" fontId="12" fillId="4" borderId="6" xfId="11" applyNumberFormat="1" applyFont="1" applyFill="1" applyBorder="1" applyAlignment="1">
      <alignment horizontal="center" vertical="center" wrapText="1"/>
    </xf>
    <xf numFmtId="170" fontId="12" fillId="4" borderId="6" xfId="11"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3" fontId="15" fillId="4" borderId="6" xfId="11" applyNumberFormat="1" applyFont="1" applyFill="1" applyBorder="1" applyAlignment="1">
      <alignment horizontal="center" vertical="center" wrapText="1"/>
    </xf>
    <xf numFmtId="9" fontId="15" fillId="4" borderId="6" xfId="24" applyFont="1" applyFill="1" applyBorder="1" applyAlignment="1">
      <alignment horizontal="center" vertical="center" wrapText="1"/>
    </xf>
    <xf numFmtId="170" fontId="15" fillId="4" borderId="6" xfId="11" applyNumberFormat="1" applyFont="1" applyFill="1" applyBorder="1" applyAlignment="1">
      <alignment horizontal="center" vertical="center" wrapText="1"/>
    </xf>
    <xf numFmtId="0" fontId="12" fillId="4" borderId="0" xfId="0" applyFont="1" applyFill="1" applyAlignment="1">
      <alignment vertical="center"/>
    </xf>
    <xf numFmtId="0" fontId="15" fillId="4" borderId="6" xfId="0" applyFont="1" applyFill="1" applyBorder="1" applyAlignment="1">
      <alignment horizontal="center" vertical="center"/>
    </xf>
    <xf numFmtId="0" fontId="15" fillId="4" borderId="6" xfId="0" quotePrefix="1" applyFont="1" applyFill="1" applyBorder="1" applyAlignment="1">
      <alignment horizontal="center" vertical="center" wrapText="1"/>
    </xf>
    <xf numFmtId="170" fontId="23" fillId="4" borderId="6" xfId="11" applyNumberFormat="1" applyFont="1" applyFill="1" applyBorder="1" applyAlignment="1">
      <alignment horizontal="center" vertical="center" wrapText="1"/>
    </xf>
    <xf numFmtId="0" fontId="15" fillId="4" borderId="20"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7" xfId="0" applyFont="1" applyFill="1" applyBorder="1" applyAlignment="1">
      <alignment horizontal="center" vertical="center" wrapText="1"/>
    </xf>
    <xf numFmtId="0" fontId="15" fillId="4" borderId="7" xfId="0" quotePrefix="1" applyFont="1" applyFill="1" applyBorder="1" applyAlignment="1">
      <alignment horizontal="center" vertical="center" wrapText="1"/>
    </xf>
    <xf numFmtId="9" fontId="15" fillId="4" borderId="7" xfId="24" applyFont="1" applyFill="1" applyBorder="1" applyAlignment="1">
      <alignment horizontal="center" vertical="center" wrapText="1"/>
    </xf>
    <xf numFmtId="170" fontId="15" fillId="4" borderId="7" xfId="11" applyNumberFormat="1" applyFont="1" applyFill="1" applyBorder="1" applyAlignment="1">
      <alignment horizontal="center" vertical="center" wrapText="1"/>
    </xf>
    <xf numFmtId="170" fontId="23" fillId="4" borderId="7" xfId="11" applyNumberFormat="1" applyFont="1" applyFill="1" applyBorder="1" applyAlignment="1">
      <alignment horizontal="center" vertical="center" wrapText="1"/>
    </xf>
    <xf numFmtId="0" fontId="15" fillId="4" borderId="0" xfId="0" quotePrefix="1" applyFont="1" applyFill="1" applyAlignment="1">
      <alignment vertical="center"/>
    </xf>
    <xf numFmtId="170" fontId="15" fillId="4" borderId="0" xfId="0" applyNumberFormat="1" applyFont="1" applyFill="1" applyAlignment="1">
      <alignment horizontal="center" vertical="center"/>
    </xf>
    <xf numFmtId="3" fontId="12" fillId="4" borderId="0" xfId="0" quotePrefix="1" applyNumberFormat="1" applyFont="1" applyFill="1" applyAlignment="1">
      <alignment vertical="center"/>
    </xf>
    <xf numFmtId="3" fontId="12" fillId="4" borderId="0" xfId="0" applyNumberFormat="1" applyFont="1" applyFill="1" applyAlignment="1">
      <alignment vertical="center"/>
    </xf>
    <xf numFmtId="170" fontId="12" fillId="4" borderId="0" xfId="11" applyNumberFormat="1" applyFont="1" applyFill="1" applyAlignment="1">
      <alignment horizontal="left" vertical="center"/>
    </xf>
    <xf numFmtId="170" fontId="15" fillId="4" borderId="0" xfId="11" applyNumberFormat="1" applyFont="1" applyFill="1" applyAlignment="1">
      <alignment horizontal="left" vertical="center"/>
    </xf>
    <xf numFmtId="0" fontId="12" fillId="4" borderId="0" xfId="0" applyFont="1" applyFill="1" applyAlignment="1">
      <alignment horizontal="left" vertical="center"/>
    </xf>
    <xf numFmtId="170" fontId="12" fillId="4" borderId="0" xfId="0" applyNumberFormat="1" applyFont="1" applyFill="1" applyAlignment="1">
      <alignment horizontal="left" vertical="center"/>
    </xf>
    <xf numFmtId="170" fontId="12" fillId="4" borderId="0" xfId="11" applyNumberFormat="1" applyFont="1" applyFill="1" applyAlignment="1">
      <alignment horizontal="center" vertical="center"/>
    </xf>
    <xf numFmtId="3" fontId="15" fillId="4" borderId="0" xfId="0" applyNumberFormat="1" applyFont="1" applyFill="1" applyAlignment="1">
      <alignment vertical="center"/>
    </xf>
    <xf numFmtId="170" fontId="15" fillId="4" borderId="0" xfId="0" applyNumberFormat="1" applyFont="1" applyFill="1" applyAlignment="1">
      <alignment horizontal="left" vertical="center"/>
    </xf>
    <xf numFmtId="170" fontId="12" fillId="4" borderId="0" xfId="11" applyNumberFormat="1" applyFont="1" applyFill="1" applyAlignment="1">
      <alignment vertical="center"/>
    </xf>
    <xf numFmtId="170" fontId="15" fillId="4" borderId="0" xfId="11" applyNumberFormat="1" applyFont="1" applyFill="1" applyAlignment="1">
      <alignment vertical="center"/>
    </xf>
    <xf numFmtId="0" fontId="3" fillId="4" borderId="0" xfId="0" applyFont="1" applyFill="1" applyAlignment="1">
      <alignment vertical="center" wrapText="1"/>
    </xf>
    <xf numFmtId="0" fontId="5" fillId="4" borderId="10" xfId="0" applyFont="1" applyFill="1" applyBorder="1" applyAlignment="1">
      <alignment vertical="center"/>
    </xf>
    <xf numFmtId="0" fontId="5" fillId="4" borderId="0" xfId="0" applyFont="1" applyFill="1" applyAlignment="1">
      <alignment horizontal="center" vertical="center"/>
    </xf>
    <xf numFmtId="3" fontId="3" fillId="4" borderId="0" xfId="11" applyNumberFormat="1" applyFont="1" applyFill="1" applyAlignment="1">
      <alignment vertical="center"/>
    </xf>
    <xf numFmtId="0" fontId="4" fillId="4" borderId="6" xfId="0" applyFont="1" applyFill="1" applyBorder="1" applyAlignment="1">
      <alignment vertical="center" wrapText="1"/>
    </xf>
    <xf numFmtId="171" fontId="3" fillId="4" borderId="0" xfId="0" applyNumberFormat="1" applyFont="1" applyFill="1" applyAlignment="1">
      <alignment vertical="center"/>
    </xf>
    <xf numFmtId="0" fontId="6" fillId="4" borderId="6" xfId="0" applyFont="1" applyFill="1" applyBorder="1" applyAlignment="1">
      <alignment vertical="center" wrapText="1"/>
    </xf>
    <xf numFmtId="3" fontId="5" fillId="4" borderId="0" xfId="0" applyNumberFormat="1" applyFont="1" applyFill="1" applyAlignment="1">
      <alignment vertical="center"/>
    </xf>
    <xf numFmtId="0" fontId="3" fillId="4" borderId="6" xfId="0" applyFont="1" applyFill="1" applyBorder="1" applyAlignment="1">
      <alignment vertical="center" wrapText="1"/>
    </xf>
    <xf numFmtId="3" fontId="3" fillId="4" borderId="6" xfId="11" applyNumberFormat="1" applyFont="1" applyFill="1" applyBorder="1" applyAlignment="1">
      <alignment vertical="center" wrapText="1"/>
    </xf>
    <xf numFmtId="0" fontId="3" fillId="4" borderId="6" xfId="0" applyFont="1" applyFill="1" applyBorder="1" applyAlignment="1">
      <alignment vertical="center"/>
    </xf>
    <xf numFmtId="3" fontId="3" fillId="4" borderId="6" xfId="11" applyNumberFormat="1" applyFont="1" applyFill="1" applyBorder="1" applyAlignment="1">
      <alignment horizontal="right" vertical="center"/>
    </xf>
    <xf numFmtId="3" fontId="3" fillId="4" borderId="6" xfId="12" applyNumberFormat="1" applyFont="1" applyFill="1" applyBorder="1" applyAlignment="1">
      <alignment vertical="center" wrapText="1"/>
    </xf>
    <xf numFmtId="3" fontId="3" fillId="4" borderId="6" xfId="11" applyNumberFormat="1" applyFont="1" applyFill="1" applyBorder="1" applyAlignment="1">
      <alignment vertical="center"/>
    </xf>
    <xf numFmtId="3" fontId="3" fillId="4" borderId="6" xfId="20" applyNumberFormat="1" applyFont="1" applyFill="1" applyBorder="1" applyAlignment="1">
      <alignment vertical="center"/>
    </xf>
    <xf numFmtId="3" fontId="3" fillId="4" borderId="6" xfId="7" applyNumberFormat="1" applyFont="1" applyFill="1" applyBorder="1" applyAlignment="1">
      <alignment horizontal="right" vertical="center"/>
    </xf>
    <xf numFmtId="3" fontId="3" fillId="4" borderId="6" xfId="0" applyNumberFormat="1" applyFont="1" applyFill="1" applyBorder="1" applyAlignment="1">
      <alignment horizontal="right" vertical="center"/>
    </xf>
    <xf numFmtId="0" fontId="3" fillId="4" borderId="7" xfId="0" applyFont="1" applyFill="1" applyBorder="1" applyAlignment="1">
      <alignment vertical="center" wrapText="1"/>
    </xf>
    <xf numFmtId="3" fontId="3" fillId="4" borderId="7" xfId="20" applyNumberFormat="1" applyFont="1" applyFill="1" applyBorder="1" applyAlignment="1">
      <alignment vertical="center"/>
    </xf>
    <xf numFmtId="0" fontId="34" fillId="4" borderId="0" xfId="0" applyFont="1" applyFill="1" applyAlignment="1">
      <alignment horizontal="center" vertical="center" wrapText="1"/>
    </xf>
    <xf numFmtId="0" fontId="35" fillId="4" borderId="0" xfId="0" applyFont="1" applyFill="1" applyAlignment="1">
      <alignment vertical="center"/>
    </xf>
    <xf numFmtId="3" fontId="34" fillId="4" borderId="0" xfId="0" applyNumberFormat="1" applyFont="1" applyFill="1" applyAlignment="1">
      <alignment vertical="center"/>
    </xf>
    <xf numFmtId="0" fontId="0" fillId="0" borderId="0" xfId="0" applyAlignment="1">
      <alignment horizontal="center"/>
    </xf>
    <xf numFmtId="0" fontId="28" fillId="0" borderId="0" xfId="0" applyFont="1"/>
    <xf numFmtId="0" fontId="0" fillId="0" borderId="0" xfId="0" applyAlignment="1">
      <alignment horizontal="center" vertical="center"/>
    </xf>
    <xf numFmtId="0" fontId="0" fillId="0" borderId="6" xfId="0" applyBorder="1" applyAlignment="1">
      <alignment horizontal="center" vertical="center"/>
    </xf>
    <xf numFmtId="0" fontId="28" fillId="0" borderId="6" xfId="0" applyFont="1" applyBorder="1" applyAlignment="1">
      <alignment horizontal="center"/>
    </xf>
    <xf numFmtId="0" fontId="28" fillId="0" borderId="6" xfId="0" applyFont="1" applyBorder="1"/>
    <xf numFmtId="180" fontId="28" fillId="0" borderId="6" xfId="0" applyNumberFormat="1" applyFont="1" applyBorder="1"/>
    <xf numFmtId="3" fontId="28" fillId="0" borderId="6" xfId="0" applyNumberFormat="1" applyFont="1" applyBorder="1"/>
    <xf numFmtId="0" fontId="0" fillId="0" borderId="6" xfId="0" applyBorder="1" applyAlignment="1">
      <alignment horizontal="center"/>
    </xf>
    <xf numFmtId="0" fontId="0" fillId="0" borderId="6" xfId="0" applyBorder="1"/>
    <xf numFmtId="3" fontId="0" fillId="0" borderId="6" xfId="0" applyNumberFormat="1" applyBorder="1"/>
    <xf numFmtId="180" fontId="0" fillId="0" borderId="6" xfId="0" applyNumberFormat="1" applyBorder="1"/>
    <xf numFmtId="0" fontId="0" fillId="0" borderId="7" xfId="0" applyBorder="1" applyAlignment="1">
      <alignment horizontal="center"/>
    </xf>
    <xf numFmtId="0" fontId="0" fillId="0" borderId="7" xfId="0" applyBorder="1"/>
    <xf numFmtId="180" fontId="0" fillId="0" borderId="7" xfId="0" applyNumberFormat="1" applyBorder="1"/>
    <xf numFmtId="0" fontId="28" fillId="0" borderId="8" xfId="0" applyFont="1" applyBorder="1" applyAlignment="1">
      <alignment horizontal="center"/>
    </xf>
    <xf numFmtId="0" fontId="28" fillId="0" borderId="8" xfId="0" applyFont="1" applyBorder="1"/>
    <xf numFmtId="180" fontId="28" fillId="0" borderId="8" xfId="0" applyNumberFormat="1" applyFont="1" applyBorder="1"/>
    <xf numFmtId="0" fontId="18" fillId="0" borderId="0" xfId="0" applyFont="1" applyAlignment="1">
      <alignment vertical="center"/>
    </xf>
    <xf numFmtId="0" fontId="18" fillId="0" borderId="0" xfId="0" applyFont="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3" fontId="28" fillId="0" borderId="1" xfId="0" applyNumberFormat="1" applyFont="1" applyBorder="1" applyAlignment="1">
      <alignment horizontal="center" vertical="center"/>
    </xf>
    <xf numFmtId="0" fontId="28" fillId="0" borderId="0" xfId="0" applyFont="1" applyAlignment="1">
      <alignment horizontal="center" vertical="center"/>
    </xf>
    <xf numFmtId="0" fontId="28" fillId="0" borderId="1" xfId="0" applyFont="1" applyBorder="1" applyAlignment="1">
      <alignment vertical="center" wrapText="1"/>
    </xf>
    <xf numFmtId="0" fontId="28" fillId="0" borderId="0" xfId="0" applyFont="1" applyAlignment="1">
      <alignment vertical="center"/>
    </xf>
    <xf numFmtId="0" fontId="24" fillId="0" borderId="8" xfId="0" applyFont="1" applyBorder="1" applyAlignment="1">
      <alignment horizontal="center" vertical="center"/>
    </xf>
    <xf numFmtId="0" fontId="24" fillId="0" borderId="8" xfId="0" applyFont="1" applyBorder="1" applyAlignment="1">
      <alignment vertical="center" wrapText="1"/>
    </xf>
    <xf numFmtId="0" fontId="24" fillId="0" borderId="0" xfId="0" applyFont="1" applyAlignment="1">
      <alignment vertical="center"/>
    </xf>
    <xf numFmtId="0" fontId="24" fillId="0" borderId="6" xfId="0" applyFont="1" applyBorder="1" applyAlignment="1">
      <alignment horizontal="center" vertical="center"/>
    </xf>
    <xf numFmtId="0" fontId="24" fillId="0" borderId="6" xfId="0" applyFont="1" applyBorder="1" applyAlignment="1">
      <alignment vertical="center" wrapText="1"/>
    </xf>
    <xf numFmtId="0" fontId="24" fillId="0" borderId="6" xfId="0" applyFont="1" applyBorder="1" applyAlignment="1">
      <alignment horizontal="center" vertical="center" wrapText="1"/>
    </xf>
    <xf numFmtId="0" fontId="24" fillId="0" borderId="6" xfId="0" applyFont="1" applyBorder="1"/>
    <xf numFmtId="0" fontId="24" fillId="0" borderId="7" xfId="0" applyFont="1" applyBorder="1" applyAlignment="1">
      <alignment horizontal="center" vertical="center"/>
    </xf>
    <xf numFmtId="0" fontId="24" fillId="0" borderId="7" xfId="0" applyFont="1" applyBorder="1" applyAlignment="1">
      <alignment vertical="center" wrapText="1"/>
    </xf>
    <xf numFmtId="0" fontId="24" fillId="0" borderId="0" xfId="0" applyFont="1" applyAlignment="1">
      <alignment horizontal="center" vertical="center"/>
    </xf>
    <xf numFmtId="0" fontId="24" fillId="0" borderId="0" xfId="0" applyFont="1" applyAlignment="1">
      <alignment vertical="center" wrapText="1"/>
    </xf>
    <xf numFmtId="3" fontId="24" fillId="0" borderId="0" xfId="0" applyNumberFormat="1" applyFont="1" applyAlignment="1">
      <alignment vertical="center"/>
    </xf>
    <xf numFmtId="0" fontId="24" fillId="0" borderId="9" xfId="0" applyFont="1" applyBorder="1" applyAlignment="1">
      <alignment horizontal="center" vertical="center" wrapText="1"/>
    </xf>
    <xf numFmtId="0" fontId="45" fillId="0" borderId="0" xfId="0" applyFont="1" applyAlignment="1">
      <alignment horizontal="right" vertical="center"/>
    </xf>
    <xf numFmtId="0" fontId="0" fillId="0" borderId="8" xfId="0" applyBorder="1" applyAlignment="1">
      <alignment horizontal="center"/>
    </xf>
    <xf numFmtId="0" fontId="28" fillId="0" borderId="8" xfId="0" applyFont="1" applyBorder="1" applyAlignment="1">
      <alignment horizontal="center" vertical="center" wrapText="1"/>
    </xf>
    <xf numFmtId="0" fontId="0" fillId="0" borderId="8" xfId="0" applyBorder="1"/>
    <xf numFmtId="0" fontId="28" fillId="0" borderId="6" xfId="0" applyFont="1" applyBorder="1" applyAlignment="1">
      <alignment vertical="center" wrapText="1"/>
    </xf>
    <xf numFmtId="0" fontId="0" fillId="0" borderId="9" xfId="0" applyBorder="1" applyAlignment="1">
      <alignment vertical="center"/>
    </xf>
    <xf numFmtId="0" fontId="0" fillId="0" borderId="6" xfId="0" applyBorder="1" applyAlignment="1">
      <alignment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28" fillId="0" borderId="6" xfId="0" applyFont="1" applyBorder="1" applyAlignment="1">
      <alignment horizontal="center" vertical="center"/>
    </xf>
    <xf numFmtId="180" fontId="28" fillId="0" borderId="6" xfId="0" applyNumberFormat="1" applyFont="1" applyBorder="1" applyAlignment="1">
      <alignment vertical="center"/>
    </xf>
    <xf numFmtId="181" fontId="28" fillId="0" borderId="6" xfId="0" applyNumberFormat="1" applyFont="1" applyBorder="1" applyAlignment="1">
      <alignment vertical="center"/>
    </xf>
    <xf numFmtId="181" fontId="0" fillId="0" borderId="6" xfId="0" applyNumberFormat="1" applyBorder="1" applyAlignment="1">
      <alignment vertical="center"/>
    </xf>
    <xf numFmtId="0" fontId="24" fillId="0" borderId="4" xfId="0" applyFont="1" applyBorder="1" applyAlignment="1">
      <alignment vertical="center" wrapText="1"/>
    </xf>
    <xf numFmtId="4" fontId="0" fillId="0" borderId="6" xfId="0" applyNumberFormat="1" applyBorder="1" applyAlignment="1">
      <alignment vertical="center"/>
    </xf>
    <xf numFmtId="0" fontId="0" fillId="0" borderId="7" xfId="0" applyBorder="1" applyAlignment="1">
      <alignment horizontal="center" vertical="center"/>
    </xf>
    <xf numFmtId="0" fontId="0" fillId="0" borderId="7" xfId="0" applyBorder="1" applyAlignment="1">
      <alignment vertical="center" wrapText="1"/>
    </xf>
    <xf numFmtId="4" fontId="0" fillId="0" borderId="7" xfId="0" applyNumberFormat="1" applyBorder="1" applyAlignment="1">
      <alignment vertical="center"/>
    </xf>
    <xf numFmtId="0" fontId="24" fillId="0" borderId="3" xfId="0" applyFont="1" applyBorder="1" applyAlignment="1">
      <alignment vertical="center" wrapText="1"/>
    </xf>
    <xf numFmtId="181" fontId="28" fillId="0" borderId="1" xfId="0" applyNumberFormat="1" applyFont="1" applyBorder="1" applyAlignment="1">
      <alignment vertical="center"/>
    </xf>
    <xf numFmtId="181" fontId="24" fillId="0" borderId="8" xfId="0" applyNumberFormat="1" applyFont="1" applyBorder="1" applyAlignment="1">
      <alignment vertical="center"/>
    </xf>
    <xf numFmtId="181" fontId="24" fillId="0" borderId="6" xfId="0" applyNumberFormat="1" applyFont="1" applyBorder="1" applyAlignment="1">
      <alignment vertical="center"/>
    </xf>
    <xf numFmtId="181" fontId="24" fillId="0" borderId="7" xfId="0" applyNumberFormat="1" applyFont="1" applyBorder="1" applyAlignment="1">
      <alignment vertical="center"/>
    </xf>
    <xf numFmtId="0" fontId="25" fillId="0" borderId="0" xfId="0" applyFont="1" applyAlignment="1">
      <alignment horizontal="center" vertical="center"/>
    </xf>
    <xf numFmtId="0" fontId="45" fillId="0" borderId="0" xfId="0" applyFont="1" applyAlignment="1">
      <alignment horizontal="right"/>
    </xf>
    <xf numFmtId="0" fontId="45" fillId="0" borderId="10" xfId="0"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28" fillId="0" borderId="0" xfId="0" applyFont="1" applyAlignment="1">
      <alignment horizontal="center" vertical="center" wrapText="1"/>
    </xf>
    <xf numFmtId="0" fontId="45" fillId="0" borderId="0" xfId="0" applyFont="1" applyAlignment="1">
      <alignment horizontal="center" vertical="center"/>
    </xf>
    <xf numFmtId="0" fontId="5" fillId="4" borderId="0" xfId="0" applyFont="1" applyFill="1" applyAlignment="1">
      <alignment horizontal="right" vertical="center"/>
    </xf>
    <xf numFmtId="0" fontId="36" fillId="4" borderId="0" xfId="0" applyFont="1" applyFill="1" applyAlignment="1">
      <alignment horizontal="center" vertical="center" wrapText="1"/>
    </xf>
    <xf numFmtId="2" fontId="14" fillId="4" borderId="0" xfId="0" applyNumberFormat="1" applyFont="1" applyFill="1" applyAlignment="1">
      <alignment horizontal="center" vertical="center" wrapText="1"/>
    </xf>
    <xf numFmtId="0" fontId="5" fillId="4" borderId="10" xfId="0" applyFont="1" applyFill="1" applyBorder="1" applyAlignment="1">
      <alignment horizontal="center" vertical="center"/>
    </xf>
    <xf numFmtId="0" fontId="35" fillId="4" borderId="11"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3" fontId="3" fillId="4" borderId="9" xfId="11" applyNumberFormat="1" applyFont="1" applyFill="1" applyBorder="1" applyAlignment="1">
      <alignment horizontal="center" vertical="center" wrapText="1"/>
    </xf>
    <xf numFmtId="3" fontId="3" fillId="4" borderId="4" xfId="11" applyNumberFormat="1" applyFont="1" applyFill="1" applyBorder="1" applyAlignment="1">
      <alignment horizontal="center" vertical="center" wrapText="1"/>
    </xf>
    <xf numFmtId="3" fontId="3" fillId="4" borderId="8" xfId="11" applyNumberFormat="1" applyFont="1" applyFill="1" applyBorder="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4" fillId="4" borderId="5" xfId="0" applyFont="1" applyFill="1" applyBorder="1" applyAlignment="1">
      <alignment horizontal="center" vertical="center"/>
    </xf>
    <xf numFmtId="0" fontId="13" fillId="4" borderId="1" xfId="0" applyFont="1" applyFill="1" applyBorder="1" applyAlignment="1">
      <alignment horizontal="center" vertical="center" wrapText="1"/>
    </xf>
    <xf numFmtId="0" fontId="12" fillId="4" borderId="0" xfId="0" applyFont="1" applyFill="1" applyAlignment="1">
      <alignment horizontal="center" vertical="center"/>
    </xf>
    <xf numFmtId="0" fontId="12" fillId="4" borderId="5" xfId="0" applyFont="1" applyFill="1" applyBorder="1" applyAlignment="1">
      <alignment horizontal="center" vertical="center" wrapText="1"/>
    </xf>
    <xf numFmtId="167" fontId="4" fillId="4" borderId="1" xfId="23" applyNumberFormat="1"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2" fillId="4" borderId="6" xfId="0" applyFont="1" applyFill="1" applyBorder="1" applyAlignment="1">
      <alignment vertical="center" wrapText="1"/>
    </xf>
    <xf numFmtId="0" fontId="12" fillId="4" borderId="6" xfId="0" applyFont="1" applyFill="1" applyBorder="1" applyAlignment="1">
      <alignment horizontal="left" vertical="center" wrapText="1"/>
    </xf>
    <xf numFmtId="178" fontId="35" fillId="4" borderId="1" xfId="11" applyNumberFormat="1" applyFont="1" applyFill="1" applyBorder="1" applyAlignment="1">
      <alignment horizontal="center" vertical="center" wrapText="1"/>
    </xf>
    <xf numFmtId="0" fontId="37" fillId="4" borderId="0" xfId="0" applyFont="1" applyFill="1" applyAlignment="1">
      <alignment horizontal="right" vertical="center"/>
    </xf>
    <xf numFmtId="0" fontId="35" fillId="4" borderId="5" xfId="0" applyFont="1" applyFill="1" applyBorder="1" applyAlignment="1">
      <alignment horizontal="center" vertical="center"/>
    </xf>
    <xf numFmtId="177" fontId="35" fillId="4" borderId="1" xfId="11" applyNumberFormat="1" applyFont="1" applyFill="1" applyBorder="1" applyAlignment="1">
      <alignment horizontal="center" vertical="center" wrapText="1"/>
    </xf>
    <xf numFmtId="0" fontId="40" fillId="4" borderId="0" xfId="0" applyFont="1" applyFill="1" applyAlignment="1">
      <alignment horizontal="center" vertical="center" wrapText="1"/>
    </xf>
    <xf numFmtId="1" fontId="41" fillId="4" borderId="0" xfId="0" applyNumberFormat="1" applyFont="1" applyFill="1" applyAlignment="1">
      <alignment horizontal="center" vertical="center"/>
    </xf>
    <xf numFmtId="0" fontId="37" fillId="4" borderId="10" xfId="0" applyFont="1" applyFill="1" applyBorder="1" applyAlignment="1">
      <alignment horizontal="center" vertical="center"/>
    </xf>
    <xf numFmtId="0" fontId="4" fillId="4" borderId="0" xfId="0" applyFont="1" applyFill="1" applyAlignment="1">
      <alignment horizontal="center" vertical="center"/>
    </xf>
    <xf numFmtId="0" fontId="20" fillId="4" borderId="1"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4" fillId="4" borderId="0" xfId="0" applyFont="1" applyFill="1" applyAlignment="1">
      <alignment horizontal="center" vertical="center" wrapText="1"/>
    </xf>
    <xf numFmtId="164" fontId="14" fillId="4" borderId="0" xfId="0" applyNumberFormat="1" applyFont="1" applyFill="1" applyAlignment="1">
      <alignment horizontal="center" vertical="center" wrapText="1"/>
    </xf>
    <xf numFmtId="0" fontId="26" fillId="3" borderId="5" xfId="0" applyFont="1" applyFill="1" applyBorder="1" applyAlignment="1">
      <alignment horizontal="center" vertical="center" wrapText="1"/>
    </xf>
    <xf numFmtId="170" fontId="28" fillId="0" borderId="4" xfId="11" applyNumberFormat="1" applyFont="1" applyFill="1" applyBorder="1" applyAlignment="1">
      <alignment horizontal="center" vertical="center" wrapText="1"/>
    </xf>
    <xf numFmtId="170" fontId="28" fillId="0" borderId="3" xfId="11" applyNumberFormat="1" applyFont="1" applyFill="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170" fontId="28" fillId="0" borderId="14" xfId="11" applyNumberFormat="1" applyFont="1" applyFill="1" applyBorder="1" applyAlignment="1">
      <alignment horizontal="center" vertical="center" wrapText="1"/>
    </xf>
    <xf numFmtId="170" fontId="28" fillId="0" borderId="15" xfId="11" applyNumberFormat="1" applyFont="1" applyFill="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6" fillId="4" borderId="0" xfId="0" applyFont="1" applyFill="1" applyAlignment="1">
      <alignment horizontal="center" vertical="center" wrapText="1"/>
    </xf>
    <xf numFmtId="164" fontId="25" fillId="4" borderId="0" xfId="0" applyNumberFormat="1" applyFont="1" applyFill="1" applyAlignment="1">
      <alignment horizontal="center" vertical="center" wrapText="1"/>
    </xf>
    <xf numFmtId="0" fontId="25" fillId="4" borderId="0" xfId="0" applyFont="1" applyFill="1" applyAlignment="1">
      <alignment horizontal="center" vertical="center" wrapText="1"/>
    </xf>
    <xf numFmtId="0" fontId="35" fillId="4" borderId="2"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44" fillId="4" borderId="0" xfId="0" applyFont="1" applyFill="1" applyAlignment="1">
      <alignment horizontal="center" vertical="center" wrapText="1"/>
    </xf>
    <xf numFmtId="1" fontId="43" fillId="4" borderId="0" xfId="0" applyNumberFormat="1" applyFont="1" applyFill="1" applyAlignment="1">
      <alignment horizontal="center" vertical="center"/>
    </xf>
    <xf numFmtId="0" fontId="43" fillId="4" borderId="10" xfId="0" applyFont="1" applyFill="1" applyBorder="1" applyAlignment="1">
      <alignment horizontal="center" vertical="center"/>
    </xf>
    <xf numFmtId="0" fontId="39" fillId="4" borderId="1"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11"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9" fillId="4" borderId="13"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45" fillId="0" borderId="0" xfId="0" applyFont="1" applyAlignment="1">
      <alignment horizontal="center"/>
    </xf>
    <xf numFmtId="0" fontId="26" fillId="0" borderId="0" xfId="0" applyFont="1" applyAlignment="1">
      <alignment horizontal="center" vertical="center" wrapText="1"/>
    </xf>
    <xf numFmtId="0" fontId="25" fillId="0" borderId="0" xfId="0" applyFont="1" applyAlignment="1">
      <alignment horizontal="center" vertical="center" wrapText="1"/>
    </xf>
    <xf numFmtId="0" fontId="24" fillId="0" borderId="6" xfId="0" applyFont="1" applyBorder="1" applyAlignment="1">
      <alignment horizontal="left" vertical="center" wrapText="1"/>
    </xf>
  </cellXfs>
  <cellStyles count="33">
    <cellStyle name="Bình thường" xfId="0" builtinId="0"/>
    <cellStyle name="Bình thường 2" xfId="2" xr:uid="{00000000-0005-0000-0000-000000000000}"/>
    <cellStyle name="Bình thường 2 2" xfId="13" xr:uid="{00000000-0005-0000-0000-000001000000}"/>
    <cellStyle name="Bình thường 3" xfId="1" xr:uid="{00000000-0005-0000-0000-000002000000}"/>
    <cellStyle name="Bình thường 3 2" xfId="14" xr:uid="{00000000-0005-0000-0000-000003000000}"/>
    <cellStyle name="Chuẩn 10" xfId="30" xr:uid="{00000000-0005-0000-0000-000015000000}"/>
    <cellStyle name="Chuẩn 13" xfId="31" xr:uid="{00000000-0005-0000-0000-000016000000}"/>
    <cellStyle name="Chuẩn 2" xfId="5" xr:uid="{00000000-0005-0000-0000-000017000000}"/>
    <cellStyle name="Chuẩn 2 2" xfId="15" xr:uid="{00000000-0005-0000-0000-000018000000}"/>
    <cellStyle name="Chuẩn 6" xfId="28" xr:uid="{00000000-0005-0000-0000-000019000000}"/>
    <cellStyle name="Chuẩn 9" xfId="29" xr:uid="{00000000-0005-0000-0000-00001A000000}"/>
    <cellStyle name="Comma 2" xfId="22" xr:uid="{00000000-0005-0000-0000-000006000000}"/>
    <cellStyle name="Comma 2 2" xfId="4" xr:uid="{00000000-0005-0000-0000-000007000000}"/>
    <cellStyle name="Comma 2 2 2" xfId="16" xr:uid="{00000000-0005-0000-0000-000008000000}"/>
    <cellStyle name="Comma 2 3" xfId="6" xr:uid="{00000000-0005-0000-0000-000009000000}"/>
    <cellStyle name="Comma 2 3 2" xfId="17" xr:uid="{00000000-0005-0000-0000-00000A000000}"/>
    <cellStyle name="Comma 2 4" xfId="8" xr:uid="{00000000-0005-0000-0000-00000B000000}"/>
    <cellStyle name="Comma 2 4 2" xfId="18" xr:uid="{00000000-0005-0000-0000-00000C000000}"/>
    <cellStyle name="Comma 2 5" xfId="9" xr:uid="{00000000-0005-0000-0000-00000D000000}"/>
    <cellStyle name="Comma 2 5 2" xfId="19" xr:uid="{00000000-0005-0000-0000-00000E000000}"/>
    <cellStyle name="Comma 2 6" xfId="25" xr:uid="{00000000-0005-0000-0000-00000F000000}"/>
    <cellStyle name="Comma 3" xfId="7" xr:uid="{00000000-0005-0000-0000-000010000000}"/>
    <cellStyle name="Comma 3 2" xfId="20" xr:uid="{00000000-0005-0000-0000-000011000000}"/>
    <cellStyle name="Comma 3 3" xfId="26" xr:uid="{00000000-0005-0000-0000-000012000000}"/>
    <cellStyle name="Comma 5" xfId="10" xr:uid="{00000000-0005-0000-0000-000013000000}"/>
    <cellStyle name="Comma 5 2" xfId="21" xr:uid="{00000000-0005-0000-0000-000014000000}"/>
    <cellStyle name="Dấu phẩy" xfId="11" builtinId="3"/>
    <cellStyle name="Dấu phẩy [0]" xfId="23" builtinId="6"/>
    <cellStyle name="Normal 2" xfId="3" xr:uid="{00000000-0005-0000-0000-00001C000000}"/>
    <cellStyle name="Normal 2 2" xfId="32" xr:uid="{00000000-0005-0000-0000-00001D000000}"/>
    <cellStyle name="Normal 3" xfId="12" xr:uid="{00000000-0005-0000-0000-00001E000000}"/>
    <cellStyle name="Normal 3 2" xfId="27" xr:uid="{00000000-0005-0000-0000-00001F000000}"/>
    <cellStyle name="Phần trăm" xfId="2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395968</xdr:colOff>
      <xdr:row>29</xdr:row>
      <xdr:rowOff>231322</xdr:rowOff>
    </xdr:from>
    <xdr:to>
      <xdr:col>6</xdr:col>
      <xdr:colOff>589189</xdr:colOff>
      <xdr:row>31</xdr:row>
      <xdr:rowOff>144237</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3693" y="8441872"/>
          <a:ext cx="840921" cy="408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5" x14ac:dyDescent="0.3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29"/>
  <sheetViews>
    <sheetView topLeftCell="A16" workbookViewId="0">
      <selection activeCell="H8" sqref="H8"/>
    </sheetView>
  </sheetViews>
  <sheetFormatPr defaultColWidth="9" defaultRowHeight="15.5" x14ac:dyDescent="0.35"/>
  <cols>
    <col min="1" max="1" width="5.08203125" style="111" customWidth="1"/>
    <col min="2" max="2" width="31.08203125" style="109" customWidth="1"/>
    <col min="3" max="3" width="15.75" style="109" customWidth="1"/>
    <col min="4" max="4" width="14.25" style="115" customWidth="1"/>
    <col min="5" max="7" width="12.5" style="109" customWidth="1"/>
    <col min="8" max="8" width="12.5" style="115" customWidth="1"/>
    <col min="9" max="9" width="13.83203125" style="115" customWidth="1"/>
    <col min="10" max="10" width="12.5" style="115" customWidth="1"/>
    <col min="11" max="13" width="12.5" style="109" customWidth="1"/>
    <col min="14" max="14" width="13.25" style="109" customWidth="1"/>
    <col min="15" max="15" width="13.75" style="109" customWidth="1"/>
    <col min="16" max="16384" width="9" style="109"/>
  </cols>
  <sheetData>
    <row r="1" spans="1:14" s="122" customFormat="1" ht="22.5" customHeight="1" x14ac:dyDescent="0.35">
      <c r="A1" s="159"/>
      <c r="B1" s="160"/>
      <c r="C1" s="160"/>
      <c r="D1" s="161"/>
      <c r="E1" s="160"/>
      <c r="F1" s="160"/>
      <c r="G1" s="160"/>
      <c r="H1" s="161"/>
      <c r="I1" s="161"/>
      <c r="J1" s="161"/>
      <c r="K1" s="160"/>
      <c r="L1" s="160"/>
      <c r="M1" s="379" t="s">
        <v>349</v>
      </c>
      <c r="N1" s="379"/>
    </row>
    <row r="2" spans="1:14" s="118" customFormat="1" ht="30.75" customHeight="1" x14ac:dyDescent="0.35">
      <c r="A2" s="405" t="s">
        <v>340</v>
      </c>
      <c r="B2" s="405"/>
      <c r="C2" s="405"/>
      <c r="D2" s="405"/>
      <c r="E2" s="405"/>
      <c r="F2" s="405"/>
      <c r="G2" s="405"/>
      <c r="H2" s="405"/>
      <c r="I2" s="405"/>
      <c r="J2" s="405"/>
      <c r="K2" s="405"/>
      <c r="L2" s="405"/>
      <c r="M2" s="405"/>
      <c r="N2" s="405"/>
    </row>
    <row r="3" spans="1:14" s="118" customFormat="1" ht="25.5" customHeight="1" x14ac:dyDescent="0.35">
      <c r="A3" s="406" t="str">
        <f>'B2.2-GN-Pbổ DAPTSX'!A3:S3</f>
        <v>(Kèm theo Nghị quyết số       /NQ-HĐND ngày     tháng 4 năm 2023 của Hội đồng nhân dân tỉnh Bắc Kạn)</v>
      </c>
      <c r="B3" s="406"/>
      <c r="C3" s="406"/>
      <c r="D3" s="406"/>
      <c r="E3" s="406"/>
      <c r="F3" s="406"/>
      <c r="G3" s="406"/>
      <c r="H3" s="406"/>
      <c r="I3" s="406"/>
      <c r="J3" s="406"/>
      <c r="K3" s="406"/>
      <c r="L3" s="406"/>
      <c r="M3" s="406"/>
      <c r="N3" s="406"/>
    </row>
    <row r="4" spans="1:14" s="118" customFormat="1" ht="18" x14ac:dyDescent="0.35">
      <c r="A4" s="162"/>
      <c r="B4" s="163"/>
      <c r="C4" s="163"/>
      <c r="D4" s="164"/>
      <c r="E4" s="164"/>
      <c r="F4" s="164"/>
      <c r="G4" s="164"/>
      <c r="H4" s="164"/>
      <c r="I4" s="164"/>
      <c r="J4" s="164"/>
      <c r="K4" s="164"/>
      <c r="L4" s="407" t="s">
        <v>151</v>
      </c>
      <c r="M4" s="407"/>
      <c r="N4" s="407"/>
    </row>
    <row r="5" spans="1:14" ht="35.25" customHeight="1" x14ac:dyDescent="0.35">
      <c r="A5" s="360" t="s">
        <v>0</v>
      </c>
      <c r="B5" s="360" t="s">
        <v>319</v>
      </c>
      <c r="C5" s="403" t="s">
        <v>291</v>
      </c>
      <c r="D5" s="357" t="s">
        <v>337</v>
      </c>
      <c r="E5" s="358"/>
      <c r="F5" s="358"/>
      <c r="G5" s="358"/>
      <c r="H5" s="358"/>
      <c r="I5" s="358"/>
      <c r="J5" s="358"/>
      <c r="K5" s="358"/>
      <c r="L5" s="358"/>
      <c r="M5" s="358"/>
      <c r="N5" s="359"/>
    </row>
    <row r="6" spans="1:14" s="112" customFormat="1" ht="91.5" customHeight="1" x14ac:dyDescent="0.35">
      <c r="A6" s="360"/>
      <c r="B6" s="360"/>
      <c r="C6" s="404"/>
      <c r="D6" s="409" t="s">
        <v>320</v>
      </c>
      <c r="E6" s="411" t="s">
        <v>270</v>
      </c>
      <c r="F6" s="412"/>
      <c r="G6" s="413"/>
      <c r="H6" s="409" t="s">
        <v>276</v>
      </c>
      <c r="I6" s="409" t="s">
        <v>321</v>
      </c>
      <c r="J6" s="409" t="s">
        <v>397</v>
      </c>
      <c r="K6" s="408" t="s">
        <v>278</v>
      </c>
      <c r="L6" s="408"/>
      <c r="M6" s="408"/>
      <c r="N6" s="409" t="s">
        <v>282</v>
      </c>
    </row>
    <row r="7" spans="1:14" s="112" customFormat="1" ht="144.75" customHeight="1" x14ac:dyDescent="0.35">
      <c r="A7" s="360"/>
      <c r="B7" s="360"/>
      <c r="C7" s="404"/>
      <c r="D7" s="410"/>
      <c r="E7" s="165" t="s">
        <v>271</v>
      </c>
      <c r="F7" s="165" t="s">
        <v>322</v>
      </c>
      <c r="G7" s="165" t="s">
        <v>323</v>
      </c>
      <c r="H7" s="410"/>
      <c r="I7" s="410"/>
      <c r="J7" s="410"/>
      <c r="K7" s="165" t="s">
        <v>398</v>
      </c>
      <c r="L7" s="165" t="s">
        <v>399</v>
      </c>
      <c r="M7" s="165" t="s">
        <v>400</v>
      </c>
      <c r="N7" s="410"/>
    </row>
    <row r="8" spans="1:14" s="112" customFormat="1" ht="36.75" customHeight="1" x14ac:dyDescent="0.35">
      <c r="A8" s="360"/>
      <c r="B8" s="360"/>
      <c r="C8" s="404"/>
      <c r="D8" s="165" t="s">
        <v>289</v>
      </c>
      <c r="E8" s="357" t="s">
        <v>289</v>
      </c>
      <c r="F8" s="358"/>
      <c r="G8" s="359"/>
      <c r="H8" s="165" t="s">
        <v>324</v>
      </c>
      <c r="I8" s="165" t="s">
        <v>325</v>
      </c>
      <c r="J8" s="357" t="s">
        <v>326</v>
      </c>
      <c r="K8" s="358"/>
      <c r="L8" s="358"/>
      <c r="M8" s="359"/>
      <c r="N8" s="165" t="s">
        <v>289</v>
      </c>
    </row>
    <row r="9" spans="1:14" s="110" customFormat="1" ht="24" customHeight="1" x14ac:dyDescent="0.35">
      <c r="A9" s="380" t="s">
        <v>6</v>
      </c>
      <c r="B9" s="380"/>
      <c r="C9" s="168">
        <f t="shared" ref="C9:N9" si="0">C10+C15</f>
        <v>505888607</v>
      </c>
      <c r="D9" s="168">
        <f t="shared" si="0"/>
        <v>36000000</v>
      </c>
      <c r="E9" s="168">
        <f t="shared" si="0"/>
        <v>97000000</v>
      </c>
      <c r="F9" s="168">
        <f t="shared" si="0"/>
        <v>110700000</v>
      </c>
      <c r="G9" s="168">
        <f t="shared" si="0"/>
        <v>2700000</v>
      </c>
      <c r="H9" s="168">
        <f t="shared" si="0"/>
        <v>175954799</v>
      </c>
      <c r="I9" s="168">
        <f t="shared" si="0"/>
        <v>4000000</v>
      </c>
      <c r="J9" s="168">
        <f t="shared" si="0"/>
        <v>2000000</v>
      </c>
      <c r="K9" s="168">
        <f t="shared" si="0"/>
        <v>33000000</v>
      </c>
      <c r="L9" s="168">
        <f t="shared" si="0"/>
        <v>15000000</v>
      </c>
      <c r="M9" s="168">
        <f t="shared" si="0"/>
        <v>12000000</v>
      </c>
      <c r="N9" s="168">
        <f t="shared" si="0"/>
        <v>17533808</v>
      </c>
    </row>
    <row r="10" spans="1:14" s="110" customFormat="1" ht="24.75" customHeight="1" x14ac:dyDescent="0.35">
      <c r="A10" s="169" t="s">
        <v>1</v>
      </c>
      <c r="B10" s="170" t="s">
        <v>293</v>
      </c>
      <c r="C10" s="171">
        <f t="shared" ref="C10:N10" si="1">SUM(C11:C14)</f>
        <v>125700000</v>
      </c>
      <c r="D10" s="171">
        <f t="shared" si="1"/>
        <v>0</v>
      </c>
      <c r="E10" s="171">
        <f t="shared" si="1"/>
        <v>64000000</v>
      </c>
      <c r="F10" s="171">
        <f t="shared" si="1"/>
        <v>0</v>
      </c>
      <c r="G10" s="171">
        <f t="shared" si="1"/>
        <v>2700000</v>
      </c>
      <c r="H10" s="171">
        <f t="shared" si="1"/>
        <v>0</v>
      </c>
      <c r="I10" s="171">
        <f t="shared" si="1"/>
        <v>0</v>
      </c>
      <c r="J10" s="171">
        <f t="shared" si="1"/>
        <v>2000000</v>
      </c>
      <c r="K10" s="171">
        <f t="shared" si="1"/>
        <v>30000000</v>
      </c>
      <c r="L10" s="171">
        <f t="shared" si="1"/>
        <v>15000000</v>
      </c>
      <c r="M10" s="171">
        <f t="shared" si="1"/>
        <v>12000000</v>
      </c>
      <c r="N10" s="171">
        <f t="shared" si="1"/>
        <v>0</v>
      </c>
    </row>
    <row r="11" spans="1:14" ht="24.75" customHeight="1" x14ac:dyDescent="0.35">
      <c r="A11" s="172">
        <v>1</v>
      </c>
      <c r="B11" s="173" t="s">
        <v>52</v>
      </c>
      <c r="C11" s="174">
        <f>SUM(D11:N11)</f>
        <v>2000000</v>
      </c>
      <c r="D11" s="174"/>
      <c r="E11" s="174"/>
      <c r="F11" s="174"/>
      <c r="G11" s="174"/>
      <c r="H11" s="174"/>
      <c r="I11" s="174"/>
      <c r="J11" s="174">
        <v>2000000</v>
      </c>
      <c r="K11" s="174"/>
      <c r="L11" s="174"/>
      <c r="M11" s="174"/>
      <c r="N11" s="174"/>
    </row>
    <row r="12" spans="1:14" ht="26.25" customHeight="1" x14ac:dyDescent="0.35">
      <c r="A12" s="172">
        <v>2</v>
      </c>
      <c r="B12" s="173" t="s">
        <v>327</v>
      </c>
      <c r="C12" s="174">
        <f>SUM(D12:N12)</f>
        <v>109000000</v>
      </c>
      <c r="D12" s="174"/>
      <c r="E12" s="174">
        <v>64000000</v>
      </c>
      <c r="F12" s="174"/>
      <c r="G12" s="174"/>
      <c r="H12" s="174"/>
      <c r="I12" s="174"/>
      <c r="J12" s="174"/>
      <c r="K12" s="174">
        <v>30000000</v>
      </c>
      <c r="L12" s="174">
        <v>15000000</v>
      </c>
      <c r="M12" s="174"/>
      <c r="N12" s="174"/>
    </row>
    <row r="13" spans="1:14" ht="26.25" customHeight="1" x14ac:dyDescent="0.35">
      <c r="A13" s="172">
        <v>3</v>
      </c>
      <c r="B13" s="173" t="s">
        <v>40</v>
      </c>
      <c r="C13" s="174">
        <f>SUM(D13:N13)</f>
        <v>2700000</v>
      </c>
      <c r="D13" s="174"/>
      <c r="E13" s="174"/>
      <c r="F13" s="174"/>
      <c r="G13" s="174">
        <v>2700000</v>
      </c>
      <c r="H13" s="174"/>
      <c r="I13" s="174"/>
      <c r="J13" s="174"/>
      <c r="K13" s="174"/>
      <c r="L13" s="174"/>
      <c r="M13" s="174"/>
      <c r="N13" s="174"/>
    </row>
    <row r="14" spans="1:14" ht="24.75" customHeight="1" x14ac:dyDescent="0.35">
      <c r="A14" s="172">
        <v>4</v>
      </c>
      <c r="B14" s="173" t="s">
        <v>38</v>
      </c>
      <c r="C14" s="174">
        <f>SUM(D14:N14)</f>
        <v>12000000</v>
      </c>
      <c r="D14" s="174"/>
      <c r="E14" s="174"/>
      <c r="F14" s="174"/>
      <c r="G14" s="174"/>
      <c r="H14" s="174"/>
      <c r="I14" s="174"/>
      <c r="J14" s="174"/>
      <c r="K14" s="174"/>
      <c r="L14" s="174"/>
      <c r="M14" s="174">
        <v>12000000</v>
      </c>
      <c r="N14" s="174"/>
    </row>
    <row r="15" spans="1:14" s="110" customFormat="1" ht="24.75" customHeight="1" x14ac:dyDescent="0.35">
      <c r="A15" s="175" t="s">
        <v>2</v>
      </c>
      <c r="B15" s="176" t="s">
        <v>294</v>
      </c>
      <c r="C15" s="171">
        <f t="shared" ref="C15:N15" si="2">SUM(C16:C23)</f>
        <v>380188607</v>
      </c>
      <c r="D15" s="171">
        <f t="shared" si="2"/>
        <v>36000000</v>
      </c>
      <c r="E15" s="171">
        <f t="shared" si="2"/>
        <v>33000000</v>
      </c>
      <c r="F15" s="171">
        <f t="shared" si="2"/>
        <v>110700000</v>
      </c>
      <c r="G15" s="171">
        <f t="shared" si="2"/>
        <v>0</v>
      </c>
      <c r="H15" s="171">
        <f t="shared" si="2"/>
        <v>175954799</v>
      </c>
      <c r="I15" s="171">
        <f t="shared" si="2"/>
        <v>4000000</v>
      </c>
      <c r="J15" s="171"/>
      <c r="K15" s="171">
        <f t="shared" si="2"/>
        <v>3000000</v>
      </c>
      <c r="L15" s="171">
        <f t="shared" si="2"/>
        <v>0</v>
      </c>
      <c r="M15" s="171">
        <f t="shared" si="2"/>
        <v>0</v>
      </c>
      <c r="N15" s="171">
        <f t="shared" si="2"/>
        <v>17533808</v>
      </c>
    </row>
    <row r="16" spans="1:14" ht="24.75" customHeight="1" x14ac:dyDescent="0.35">
      <c r="A16" s="172">
        <v>1</v>
      </c>
      <c r="B16" s="177" t="s">
        <v>28</v>
      </c>
      <c r="C16" s="174"/>
      <c r="D16" s="174"/>
      <c r="E16" s="174"/>
      <c r="F16" s="174"/>
      <c r="G16" s="174"/>
      <c r="H16" s="174"/>
      <c r="I16" s="174"/>
      <c r="J16" s="174"/>
      <c r="K16" s="174"/>
      <c r="L16" s="174"/>
      <c r="M16" s="174"/>
      <c r="N16" s="174"/>
    </row>
    <row r="17" spans="1:14" ht="24.75" customHeight="1" x14ac:dyDescent="0.35">
      <c r="A17" s="172">
        <v>2</v>
      </c>
      <c r="B17" s="177" t="s">
        <v>29</v>
      </c>
      <c r="C17" s="174">
        <f>SUM(D17:N17)</f>
        <v>65081569</v>
      </c>
      <c r="D17" s="174"/>
      <c r="E17" s="174">
        <v>14000000</v>
      </c>
      <c r="F17" s="174">
        <v>8700000</v>
      </c>
      <c r="G17" s="174"/>
      <c r="H17" s="174">
        <v>38000000</v>
      </c>
      <c r="I17" s="174"/>
      <c r="J17" s="174"/>
      <c r="K17" s="174"/>
      <c r="L17" s="174"/>
      <c r="M17" s="174"/>
      <c r="N17" s="174">
        <v>4381569</v>
      </c>
    </row>
    <row r="18" spans="1:14" ht="24.75" customHeight="1" x14ac:dyDescent="0.35">
      <c r="A18" s="172">
        <v>3</v>
      </c>
      <c r="B18" s="177" t="s">
        <v>30</v>
      </c>
      <c r="C18" s="174">
        <f>SUM(D18:N18)</f>
        <v>32264800</v>
      </c>
      <c r="D18" s="174">
        <v>12000000</v>
      </c>
      <c r="E18" s="174">
        <v>7000000</v>
      </c>
      <c r="F18" s="174">
        <v>0</v>
      </c>
      <c r="G18" s="174"/>
      <c r="H18" s="174">
        <v>9264800</v>
      </c>
      <c r="I18" s="174">
        <v>4000000</v>
      </c>
      <c r="J18" s="174"/>
      <c r="K18" s="174"/>
      <c r="L18" s="174"/>
      <c r="M18" s="174"/>
      <c r="N18" s="174"/>
    </row>
    <row r="19" spans="1:14" ht="24.75" customHeight="1" x14ac:dyDescent="0.35">
      <c r="A19" s="172">
        <v>4</v>
      </c>
      <c r="B19" s="177" t="s">
        <v>31</v>
      </c>
      <c r="C19" s="174">
        <f>SUM(D19:N19)</f>
        <v>118849999</v>
      </c>
      <c r="D19" s="174">
        <v>24000000</v>
      </c>
      <c r="E19" s="174">
        <v>0</v>
      </c>
      <c r="F19" s="174">
        <v>49000000</v>
      </c>
      <c r="G19" s="174"/>
      <c r="H19" s="174">
        <v>45849999</v>
      </c>
      <c r="I19" s="174"/>
      <c r="J19" s="174"/>
      <c r="K19" s="174"/>
      <c r="L19" s="174"/>
      <c r="M19" s="174"/>
      <c r="N19" s="174"/>
    </row>
    <row r="20" spans="1:14" ht="24.75" customHeight="1" x14ac:dyDescent="0.35">
      <c r="A20" s="172">
        <v>5</v>
      </c>
      <c r="B20" s="177" t="s">
        <v>32</v>
      </c>
      <c r="C20" s="174">
        <f>SUM(D20:N20)</f>
        <v>39000000</v>
      </c>
      <c r="D20" s="174"/>
      <c r="E20" s="174">
        <v>12000000</v>
      </c>
      <c r="F20" s="174">
        <v>0</v>
      </c>
      <c r="G20" s="174"/>
      <c r="H20" s="174">
        <v>27000000</v>
      </c>
      <c r="I20" s="174"/>
      <c r="J20" s="174"/>
      <c r="K20" s="174"/>
      <c r="L20" s="174"/>
      <c r="M20" s="174"/>
      <c r="N20" s="174"/>
    </row>
    <row r="21" spans="1:14" ht="24.75" customHeight="1" x14ac:dyDescent="0.35">
      <c r="A21" s="172">
        <v>6</v>
      </c>
      <c r="B21" s="177" t="s">
        <v>33</v>
      </c>
      <c r="C21" s="174"/>
      <c r="D21" s="174"/>
      <c r="E21" s="174"/>
      <c r="F21" s="174">
        <v>0</v>
      </c>
      <c r="G21" s="174"/>
      <c r="H21" s="174">
        <v>0</v>
      </c>
      <c r="I21" s="174"/>
      <c r="J21" s="174"/>
      <c r="K21" s="174"/>
      <c r="L21" s="174"/>
      <c r="M21" s="174"/>
      <c r="N21" s="174"/>
    </row>
    <row r="22" spans="1:14" ht="24.75" customHeight="1" x14ac:dyDescent="0.35">
      <c r="A22" s="172">
        <v>7</v>
      </c>
      <c r="B22" s="177" t="s">
        <v>34</v>
      </c>
      <c r="C22" s="174">
        <f>SUM(D22:N22)</f>
        <v>111840000</v>
      </c>
      <c r="D22" s="174"/>
      <c r="E22" s="174"/>
      <c r="F22" s="174">
        <v>53000000</v>
      </c>
      <c r="G22" s="174"/>
      <c r="H22" s="174">
        <v>55840000</v>
      </c>
      <c r="I22" s="174"/>
      <c r="J22" s="174"/>
      <c r="K22" s="174">
        <v>3000000</v>
      </c>
      <c r="L22" s="174"/>
      <c r="M22" s="174"/>
      <c r="N22" s="174"/>
    </row>
    <row r="23" spans="1:14" ht="24.75" customHeight="1" x14ac:dyDescent="0.35">
      <c r="A23" s="178">
        <v>8</v>
      </c>
      <c r="B23" s="179" t="s">
        <v>35</v>
      </c>
      <c r="C23" s="180">
        <f>SUM(D23:N23)</f>
        <v>13152239</v>
      </c>
      <c r="D23" s="180"/>
      <c r="E23" s="180"/>
      <c r="F23" s="180"/>
      <c r="G23" s="180"/>
      <c r="H23" s="180"/>
      <c r="I23" s="180"/>
      <c r="J23" s="180"/>
      <c r="K23" s="180"/>
      <c r="L23" s="180"/>
      <c r="M23" s="180"/>
      <c r="N23" s="180">
        <v>13152239</v>
      </c>
    </row>
    <row r="26" spans="1:14" x14ac:dyDescent="0.35">
      <c r="E26" s="116"/>
      <c r="F26" s="116"/>
      <c r="G26" s="116"/>
      <c r="K26" s="116"/>
      <c r="L26" s="116"/>
      <c r="M26" s="116"/>
      <c r="N26" s="116"/>
    </row>
    <row r="27" spans="1:14" x14ac:dyDescent="0.35">
      <c r="E27" s="113"/>
      <c r="F27" s="113"/>
      <c r="G27" s="113"/>
      <c r="K27" s="113"/>
      <c r="L27" s="113"/>
      <c r="M27" s="113"/>
      <c r="N27" s="113"/>
    </row>
    <row r="28" spans="1:14" x14ac:dyDescent="0.35">
      <c r="E28" s="113"/>
      <c r="F28" s="113"/>
      <c r="G28" s="113"/>
      <c r="K28" s="113"/>
      <c r="L28" s="113"/>
      <c r="M28" s="113"/>
      <c r="N28" s="113"/>
    </row>
    <row r="29" spans="1:14" x14ac:dyDescent="0.35">
      <c r="E29" s="113"/>
      <c r="F29" s="113"/>
      <c r="G29" s="113"/>
      <c r="K29" s="113"/>
      <c r="L29" s="113"/>
      <c r="M29" s="113"/>
      <c r="N29" s="113"/>
    </row>
  </sheetData>
  <mergeCells count="18">
    <mergeCell ref="A9:B9"/>
    <mergeCell ref="E6:G6"/>
    <mergeCell ref="H6:H7"/>
    <mergeCell ref="I6:I7"/>
    <mergeCell ref="E8:G8"/>
    <mergeCell ref="J8:M8"/>
    <mergeCell ref="A5:A8"/>
    <mergeCell ref="B5:B8"/>
    <mergeCell ref="C5:C8"/>
    <mergeCell ref="M1:N1"/>
    <mergeCell ref="A2:N2"/>
    <mergeCell ref="A3:N3"/>
    <mergeCell ref="L4:N4"/>
    <mergeCell ref="K6:M6"/>
    <mergeCell ref="N6:N7"/>
    <mergeCell ref="D5:N5"/>
    <mergeCell ref="D6:D7"/>
    <mergeCell ref="J6:J7"/>
  </mergeCells>
  <pageMargins left="0.47244094488188981" right="0.27559055118110237" top="0.31496062992125984" bottom="0.47244094488188981" header="0.19685039370078741" footer="0.23622047244094491"/>
  <pageSetup paperSize="9" scale="65" firstPageNumber="8" orientation="landscape" useFirstPageNumber="1" r:id="rId1"/>
  <headerFooter>
    <oddHeader>&amp;C&amp;P</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32"/>
  <sheetViews>
    <sheetView topLeftCell="A20" workbookViewId="0">
      <selection activeCell="K11" sqref="K11"/>
    </sheetView>
  </sheetViews>
  <sheetFormatPr defaultRowHeight="15.5" x14ac:dyDescent="0.35"/>
  <cols>
    <col min="1" max="1" width="6.08203125" customWidth="1"/>
    <col min="2" max="2" width="28.83203125" customWidth="1"/>
    <col min="3" max="3" width="11.25" customWidth="1"/>
    <col min="4" max="4" width="11.33203125" customWidth="1"/>
    <col min="5" max="5" width="12.75" customWidth="1"/>
    <col min="6" max="6" width="16" customWidth="1"/>
  </cols>
  <sheetData>
    <row r="1" spans="1:6" x14ac:dyDescent="0.35">
      <c r="F1" s="340" t="s">
        <v>365</v>
      </c>
    </row>
    <row r="2" spans="1:6" ht="35.25" customHeight="1" x14ac:dyDescent="0.35">
      <c r="A2" s="351" t="s">
        <v>351</v>
      </c>
      <c r="B2" s="351"/>
      <c r="C2" s="351"/>
      <c r="D2" s="351"/>
      <c r="E2" s="351"/>
      <c r="F2" s="351"/>
    </row>
    <row r="3" spans="1:6" ht="22.5" customHeight="1" x14ac:dyDescent="0.35">
      <c r="A3" s="416" t="str">
        <f>'Biểu TH'!A2:D2</f>
        <v>(Kèm theo Nghị quyết số       /NQ-HĐND ngày     tháng 4 năm 2023 của Hội đồng nhân dân tỉnh Bắc Kạn)</v>
      </c>
      <c r="B3" s="416"/>
      <c r="C3" s="416"/>
      <c r="D3" s="416"/>
      <c r="E3" s="416"/>
      <c r="F3" s="416"/>
    </row>
    <row r="4" spans="1:6" x14ac:dyDescent="0.35">
      <c r="E4" s="416" t="s">
        <v>352</v>
      </c>
      <c r="F4" s="416"/>
    </row>
    <row r="5" spans="1:6" ht="37.5" customHeight="1" x14ac:dyDescent="0.35">
      <c r="A5" s="414" t="s">
        <v>0</v>
      </c>
      <c r="B5" s="414" t="s">
        <v>221</v>
      </c>
      <c r="C5" s="415" t="s">
        <v>364</v>
      </c>
      <c r="D5" s="415"/>
      <c r="E5" s="415"/>
      <c r="F5" s="415"/>
    </row>
    <row r="6" spans="1:6" ht="89.25" customHeight="1" x14ac:dyDescent="0.35">
      <c r="A6" s="414"/>
      <c r="B6" s="414"/>
      <c r="C6" s="298" t="s">
        <v>203</v>
      </c>
      <c r="D6" s="298" t="s">
        <v>353</v>
      </c>
      <c r="E6" s="298" t="s">
        <v>354</v>
      </c>
      <c r="F6" s="298" t="s">
        <v>355</v>
      </c>
    </row>
    <row r="7" spans="1:6" s="278" customFormat="1" ht="21.75" customHeight="1" x14ac:dyDescent="0.3">
      <c r="A7" s="292"/>
      <c r="B7" s="293" t="s">
        <v>203</v>
      </c>
      <c r="C7" s="294">
        <f>C8+C24</f>
        <v>60864.4</v>
      </c>
      <c r="D7" s="294">
        <f t="shared" ref="D7:F7" si="0">D8+D24</f>
        <v>52374.400000000001</v>
      </c>
      <c r="E7" s="294">
        <f t="shared" si="0"/>
        <v>4190</v>
      </c>
      <c r="F7" s="294">
        <f t="shared" si="0"/>
        <v>4300</v>
      </c>
    </row>
    <row r="8" spans="1:6" s="278" customFormat="1" ht="19.5" customHeight="1" x14ac:dyDescent="0.3">
      <c r="A8" s="281" t="s">
        <v>1</v>
      </c>
      <c r="B8" s="282" t="s">
        <v>293</v>
      </c>
      <c r="C8" s="284">
        <f>SUM(C9:C23)</f>
        <v>57874</v>
      </c>
      <c r="D8" s="284">
        <f t="shared" ref="D8:F8" si="1">SUM(D9:D23)</f>
        <v>49384</v>
      </c>
      <c r="E8" s="284">
        <f t="shared" si="1"/>
        <v>4190</v>
      </c>
      <c r="F8" s="284">
        <f t="shared" si="1"/>
        <v>4300</v>
      </c>
    </row>
    <row r="9" spans="1:6" x14ac:dyDescent="0.35">
      <c r="A9" s="285">
        <v>1</v>
      </c>
      <c r="B9" s="286" t="s">
        <v>356</v>
      </c>
      <c r="C9" s="287">
        <f>D9+E9+F9</f>
        <v>1280</v>
      </c>
      <c r="D9" s="287">
        <v>1280</v>
      </c>
      <c r="E9" s="287"/>
      <c r="F9" s="287"/>
    </row>
    <row r="10" spans="1:6" x14ac:dyDescent="0.35">
      <c r="A10" s="285">
        <v>2</v>
      </c>
      <c r="B10" s="286" t="s">
        <v>357</v>
      </c>
      <c r="C10" s="287">
        <f t="shared" ref="C10:C23" si="2">D10+E10+F10</f>
        <v>3679</v>
      </c>
      <c r="D10" s="287">
        <v>3679</v>
      </c>
      <c r="E10" s="287"/>
      <c r="F10" s="287"/>
    </row>
    <row r="11" spans="1:6" x14ac:dyDescent="0.35">
      <c r="A11" s="285">
        <v>3</v>
      </c>
      <c r="B11" s="286" t="s">
        <v>43</v>
      </c>
      <c r="C11" s="287">
        <f t="shared" si="2"/>
        <v>14579</v>
      </c>
      <c r="D11" s="287">
        <v>14579</v>
      </c>
      <c r="E11" s="287"/>
      <c r="F11" s="287"/>
    </row>
    <row r="12" spans="1:6" x14ac:dyDescent="0.35">
      <c r="A12" s="285">
        <v>4</v>
      </c>
      <c r="B12" s="286" t="s">
        <v>45</v>
      </c>
      <c r="C12" s="287">
        <f t="shared" si="2"/>
        <v>1800</v>
      </c>
      <c r="D12" s="287">
        <v>1800</v>
      </c>
      <c r="E12" s="287"/>
      <c r="F12" s="287"/>
    </row>
    <row r="13" spans="1:6" x14ac:dyDescent="0.35">
      <c r="A13" s="285">
        <v>5</v>
      </c>
      <c r="B13" s="286" t="s">
        <v>38</v>
      </c>
      <c r="C13" s="287">
        <f t="shared" si="2"/>
        <v>2000</v>
      </c>
      <c r="D13" s="287">
        <v>2000</v>
      </c>
      <c r="E13" s="287"/>
      <c r="F13" s="287"/>
    </row>
    <row r="14" spans="1:6" x14ac:dyDescent="0.35">
      <c r="A14" s="285">
        <v>6</v>
      </c>
      <c r="B14" s="286" t="s">
        <v>48</v>
      </c>
      <c r="C14" s="287">
        <f t="shared" si="2"/>
        <v>1000</v>
      </c>
      <c r="D14" s="287">
        <v>1000</v>
      </c>
      <c r="E14" s="287"/>
      <c r="F14" s="287"/>
    </row>
    <row r="15" spans="1:6" x14ac:dyDescent="0.35">
      <c r="A15" s="285">
        <v>7</v>
      </c>
      <c r="B15" s="286" t="s">
        <v>358</v>
      </c>
      <c r="C15" s="287">
        <f t="shared" si="2"/>
        <v>1598</v>
      </c>
      <c r="D15" s="287">
        <v>1598</v>
      </c>
      <c r="E15" s="287"/>
      <c r="F15" s="287"/>
    </row>
    <row r="16" spans="1:6" x14ac:dyDescent="0.35">
      <c r="A16" s="285">
        <v>8</v>
      </c>
      <c r="B16" s="286" t="s">
        <v>359</v>
      </c>
      <c r="C16" s="287">
        <f t="shared" si="2"/>
        <v>3194</v>
      </c>
      <c r="D16" s="287">
        <v>3194</v>
      </c>
      <c r="E16" s="287"/>
      <c r="F16" s="287"/>
    </row>
    <row r="17" spans="1:6" x14ac:dyDescent="0.35">
      <c r="A17" s="285">
        <v>9</v>
      </c>
      <c r="B17" s="286" t="s">
        <v>40</v>
      </c>
      <c r="C17" s="287">
        <f t="shared" si="2"/>
        <v>4792</v>
      </c>
      <c r="D17" s="287">
        <v>4792</v>
      </c>
      <c r="E17" s="287"/>
      <c r="F17" s="287"/>
    </row>
    <row r="18" spans="1:6" x14ac:dyDescent="0.35">
      <c r="A18" s="285">
        <v>10</v>
      </c>
      <c r="B18" s="286" t="s">
        <v>392</v>
      </c>
      <c r="C18" s="287">
        <f t="shared" si="2"/>
        <v>3182</v>
      </c>
      <c r="D18" s="287">
        <v>3182</v>
      </c>
      <c r="E18" s="287"/>
      <c r="F18" s="287"/>
    </row>
    <row r="19" spans="1:6" x14ac:dyDescent="0.35">
      <c r="A19" s="285">
        <v>11</v>
      </c>
      <c r="B19" s="286" t="s">
        <v>360</v>
      </c>
      <c r="C19" s="287">
        <f t="shared" si="2"/>
        <v>4485</v>
      </c>
      <c r="D19" s="287">
        <v>4485</v>
      </c>
      <c r="E19" s="287"/>
      <c r="F19" s="287"/>
    </row>
    <row r="20" spans="1:6" x14ac:dyDescent="0.35">
      <c r="A20" s="285">
        <v>12</v>
      </c>
      <c r="B20" s="286" t="s">
        <v>361</v>
      </c>
      <c r="C20" s="287">
        <f t="shared" si="2"/>
        <v>8501</v>
      </c>
      <c r="D20" s="287">
        <v>4201</v>
      </c>
      <c r="E20" s="287"/>
      <c r="F20" s="287">
        <v>4300</v>
      </c>
    </row>
    <row r="21" spans="1:6" x14ac:dyDescent="0.35">
      <c r="A21" s="285">
        <v>13</v>
      </c>
      <c r="B21" s="286" t="s">
        <v>362</v>
      </c>
      <c r="C21" s="287">
        <f t="shared" si="2"/>
        <v>894</v>
      </c>
      <c r="D21" s="287">
        <v>894</v>
      </c>
      <c r="E21" s="287"/>
      <c r="F21" s="287"/>
    </row>
    <row r="22" spans="1:6" x14ac:dyDescent="0.35">
      <c r="A22" s="285">
        <v>14</v>
      </c>
      <c r="B22" s="286" t="s">
        <v>41</v>
      </c>
      <c r="C22" s="287">
        <f t="shared" si="2"/>
        <v>2700</v>
      </c>
      <c r="D22" s="287">
        <v>2700</v>
      </c>
      <c r="E22" s="287"/>
      <c r="F22" s="287"/>
    </row>
    <row r="23" spans="1:6" x14ac:dyDescent="0.35">
      <c r="A23" s="285">
        <v>15</v>
      </c>
      <c r="B23" s="286" t="s">
        <v>37</v>
      </c>
      <c r="C23" s="287">
        <f t="shared" si="2"/>
        <v>4190</v>
      </c>
      <c r="D23" s="287"/>
      <c r="E23" s="287">
        <v>4190</v>
      </c>
      <c r="F23" s="287"/>
    </row>
    <row r="24" spans="1:6" s="278" customFormat="1" ht="18.75" customHeight="1" x14ac:dyDescent="0.3">
      <c r="A24" s="281" t="s">
        <v>2</v>
      </c>
      <c r="B24" s="282" t="s">
        <v>363</v>
      </c>
      <c r="C24" s="283">
        <f>SUM(C25:C32)</f>
        <v>2990.4</v>
      </c>
      <c r="D24" s="283">
        <f>SUM(D25:D32)</f>
        <v>2990.4</v>
      </c>
      <c r="E24" s="283"/>
      <c r="F24" s="283"/>
    </row>
    <row r="25" spans="1:6" x14ac:dyDescent="0.35">
      <c r="A25" s="285">
        <v>1</v>
      </c>
      <c r="B25" s="286" t="s">
        <v>33</v>
      </c>
      <c r="C25" s="287">
        <f>D25</f>
        <v>288</v>
      </c>
      <c r="D25" s="287">
        <v>288</v>
      </c>
      <c r="E25" s="288"/>
      <c r="F25" s="288"/>
    </row>
    <row r="26" spans="1:6" x14ac:dyDescent="0.35">
      <c r="A26" s="285">
        <v>2</v>
      </c>
      <c r="B26" s="286" t="s">
        <v>34</v>
      </c>
      <c r="C26" s="287">
        <f t="shared" ref="C26:C27" si="3">D26</f>
        <v>432</v>
      </c>
      <c r="D26" s="287">
        <v>432</v>
      </c>
      <c r="E26" s="288"/>
      <c r="F26" s="288"/>
    </row>
    <row r="27" spans="1:6" x14ac:dyDescent="0.35">
      <c r="A27" s="285">
        <v>3</v>
      </c>
      <c r="B27" s="286" t="s">
        <v>30</v>
      </c>
      <c r="C27" s="287">
        <f t="shared" si="3"/>
        <v>288</v>
      </c>
      <c r="D27" s="287">
        <v>288</v>
      </c>
      <c r="E27" s="288"/>
      <c r="F27" s="288"/>
    </row>
    <row r="28" spans="1:6" x14ac:dyDescent="0.35">
      <c r="A28" s="285">
        <v>4</v>
      </c>
      <c r="B28" s="286" t="s">
        <v>31</v>
      </c>
      <c r="C28" s="288">
        <f>D28</f>
        <v>403.2</v>
      </c>
      <c r="D28" s="288">
        <v>403.2</v>
      </c>
      <c r="E28" s="288"/>
      <c r="F28" s="288"/>
    </row>
    <row r="29" spans="1:6" x14ac:dyDescent="0.35">
      <c r="A29" s="285">
        <v>5</v>
      </c>
      <c r="B29" s="286" t="s">
        <v>35</v>
      </c>
      <c r="C29" s="288">
        <f t="shared" ref="C29:C32" si="4">D29</f>
        <v>110.4</v>
      </c>
      <c r="D29" s="288">
        <v>110.4</v>
      </c>
      <c r="E29" s="288"/>
      <c r="F29" s="288"/>
    </row>
    <row r="30" spans="1:6" x14ac:dyDescent="0.35">
      <c r="A30" s="285">
        <v>6</v>
      </c>
      <c r="B30" s="286" t="s">
        <v>29</v>
      </c>
      <c r="C30" s="288">
        <f t="shared" si="4"/>
        <v>576</v>
      </c>
      <c r="D30" s="287">
        <v>576</v>
      </c>
      <c r="E30" s="288"/>
      <c r="F30" s="288"/>
    </row>
    <row r="31" spans="1:6" x14ac:dyDescent="0.35">
      <c r="A31" s="285">
        <v>7</v>
      </c>
      <c r="B31" s="286" t="s">
        <v>32</v>
      </c>
      <c r="C31" s="288">
        <f t="shared" si="4"/>
        <v>489.6</v>
      </c>
      <c r="D31" s="288">
        <v>489.6</v>
      </c>
      <c r="E31" s="288"/>
      <c r="F31" s="288"/>
    </row>
    <row r="32" spans="1:6" x14ac:dyDescent="0.35">
      <c r="A32" s="289">
        <v>8</v>
      </c>
      <c r="B32" s="290" t="s">
        <v>28</v>
      </c>
      <c r="C32" s="291">
        <f t="shared" si="4"/>
        <v>403.2</v>
      </c>
      <c r="D32" s="291">
        <v>403.2</v>
      </c>
      <c r="E32" s="291"/>
      <c r="F32" s="291"/>
    </row>
  </sheetData>
  <mergeCells count="6">
    <mergeCell ref="A2:F2"/>
    <mergeCell ref="B5:B6"/>
    <mergeCell ref="A5:A6"/>
    <mergeCell ref="C5:F5"/>
    <mergeCell ref="A3:F3"/>
    <mergeCell ref="E4:F4"/>
  </mergeCells>
  <pageMargins left="0.55118110236220474" right="0.27559055118110237" top="0.74803149606299213" bottom="0.74803149606299213" header="0.31496062992125984" footer="0.31496062992125984"/>
  <pageSetup paperSize="9" firstPageNumber="9" orientation="portrait" useFirstPageNumber="1" r:id="rId1"/>
  <headerFooter>
    <oddHeader>&amp;C&amp;P</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D18"/>
  <sheetViews>
    <sheetView topLeftCell="A4" workbookViewId="0">
      <selection activeCell="C10" sqref="C10:C17"/>
    </sheetView>
  </sheetViews>
  <sheetFormatPr defaultRowHeight="15.5" x14ac:dyDescent="0.35"/>
  <cols>
    <col min="1" max="1" width="4.5" style="312" bestFit="1" customWidth="1"/>
    <col min="2" max="2" width="28.83203125" style="313" customWidth="1"/>
    <col min="3" max="3" width="45.25" style="313" customWidth="1"/>
    <col min="4" max="4" width="13.5" style="314" customWidth="1"/>
    <col min="5" max="256" width="9" style="305"/>
    <col min="257" max="257" width="17.58203125" style="305" customWidth="1"/>
    <col min="258" max="258" width="9" style="305"/>
    <col min="259" max="259" width="10.08203125" style="305" customWidth="1"/>
    <col min="260" max="512" width="9" style="305"/>
    <col min="513" max="513" width="17.58203125" style="305" customWidth="1"/>
    <col min="514" max="514" width="9" style="305"/>
    <col min="515" max="515" width="10.08203125" style="305" customWidth="1"/>
    <col min="516" max="768" width="9" style="305"/>
    <col min="769" max="769" width="17.58203125" style="305" customWidth="1"/>
    <col min="770" max="770" width="9" style="305"/>
    <col min="771" max="771" width="10.08203125" style="305" customWidth="1"/>
    <col min="772" max="1024" width="9" style="305"/>
    <col min="1025" max="1025" width="17.58203125" style="305" customWidth="1"/>
    <col min="1026" max="1026" width="9" style="305"/>
    <col min="1027" max="1027" width="10.08203125" style="305" customWidth="1"/>
    <col min="1028" max="1280" width="9" style="305"/>
    <col min="1281" max="1281" width="17.58203125" style="305" customWidth="1"/>
    <col min="1282" max="1282" width="9" style="305"/>
    <col min="1283" max="1283" width="10.08203125" style="305" customWidth="1"/>
    <col min="1284" max="1536" width="9" style="305"/>
    <col min="1537" max="1537" width="17.58203125" style="305" customWidth="1"/>
    <col min="1538" max="1538" width="9" style="305"/>
    <col min="1539" max="1539" width="10.08203125" style="305" customWidth="1"/>
    <col min="1540" max="1792" width="9" style="305"/>
    <col min="1793" max="1793" width="17.58203125" style="305" customWidth="1"/>
    <col min="1794" max="1794" width="9" style="305"/>
    <col min="1795" max="1795" width="10.08203125" style="305" customWidth="1"/>
    <col min="1796" max="2048" width="9" style="305"/>
    <col min="2049" max="2049" width="17.58203125" style="305" customWidth="1"/>
    <col min="2050" max="2050" width="9" style="305"/>
    <col min="2051" max="2051" width="10.08203125" style="305" customWidth="1"/>
    <col min="2052" max="2304" width="9" style="305"/>
    <col min="2305" max="2305" width="17.58203125" style="305" customWidth="1"/>
    <col min="2306" max="2306" width="9" style="305"/>
    <col min="2307" max="2307" width="10.08203125" style="305" customWidth="1"/>
    <col min="2308" max="2560" width="9" style="305"/>
    <col min="2561" max="2561" width="17.58203125" style="305" customWidth="1"/>
    <col min="2562" max="2562" width="9" style="305"/>
    <col min="2563" max="2563" width="10.08203125" style="305" customWidth="1"/>
    <col min="2564" max="2816" width="9" style="305"/>
    <col min="2817" max="2817" width="17.58203125" style="305" customWidth="1"/>
    <col min="2818" max="2818" width="9" style="305"/>
    <col min="2819" max="2819" width="10.08203125" style="305" customWidth="1"/>
    <col min="2820" max="3072" width="9" style="305"/>
    <col min="3073" max="3073" width="17.58203125" style="305" customWidth="1"/>
    <col min="3074" max="3074" width="9" style="305"/>
    <col min="3075" max="3075" width="10.08203125" style="305" customWidth="1"/>
    <col min="3076" max="3328" width="9" style="305"/>
    <col min="3329" max="3329" width="17.58203125" style="305" customWidth="1"/>
    <col min="3330" max="3330" width="9" style="305"/>
    <col min="3331" max="3331" width="10.08203125" style="305" customWidth="1"/>
    <col min="3332" max="3584" width="9" style="305"/>
    <col min="3585" max="3585" width="17.58203125" style="305" customWidth="1"/>
    <col min="3586" max="3586" width="9" style="305"/>
    <col min="3587" max="3587" width="10.08203125" style="305" customWidth="1"/>
    <col min="3588" max="3840" width="9" style="305"/>
    <col min="3841" max="3841" width="17.58203125" style="305" customWidth="1"/>
    <col min="3842" max="3842" width="9" style="305"/>
    <col min="3843" max="3843" width="10.08203125" style="305" customWidth="1"/>
    <col min="3844" max="4096" width="9" style="305"/>
    <col min="4097" max="4097" width="17.58203125" style="305" customWidth="1"/>
    <col min="4098" max="4098" width="9" style="305"/>
    <col min="4099" max="4099" width="10.08203125" style="305" customWidth="1"/>
    <col min="4100" max="4352" width="9" style="305"/>
    <col min="4353" max="4353" width="17.58203125" style="305" customWidth="1"/>
    <col min="4354" max="4354" width="9" style="305"/>
    <col min="4355" max="4355" width="10.08203125" style="305" customWidth="1"/>
    <col min="4356" max="4608" width="9" style="305"/>
    <col min="4609" max="4609" width="17.58203125" style="305" customWidth="1"/>
    <col min="4610" max="4610" width="9" style="305"/>
    <col min="4611" max="4611" width="10.08203125" style="305" customWidth="1"/>
    <col min="4612" max="4864" width="9" style="305"/>
    <col min="4865" max="4865" width="17.58203125" style="305" customWidth="1"/>
    <col min="4866" max="4866" width="9" style="305"/>
    <col min="4867" max="4867" width="10.08203125" style="305" customWidth="1"/>
    <col min="4868" max="5120" width="9" style="305"/>
    <col min="5121" max="5121" width="17.58203125" style="305" customWidth="1"/>
    <col min="5122" max="5122" width="9" style="305"/>
    <col min="5123" max="5123" width="10.08203125" style="305" customWidth="1"/>
    <col min="5124" max="5376" width="9" style="305"/>
    <col min="5377" max="5377" width="17.58203125" style="305" customWidth="1"/>
    <col min="5378" max="5378" width="9" style="305"/>
    <col min="5379" max="5379" width="10.08203125" style="305" customWidth="1"/>
    <col min="5380" max="5632" width="9" style="305"/>
    <col min="5633" max="5633" width="17.58203125" style="305" customWidth="1"/>
    <col min="5634" max="5634" width="9" style="305"/>
    <col min="5635" max="5635" width="10.08203125" style="305" customWidth="1"/>
    <col min="5636" max="5888" width="9" style="305"/>
    <col min="5889" max="5889" width="17.58203125" style="305" customWidth="1"/>
    <col min="5890" max="5890" width="9" style="305"/>
    <col min="5891" max="5891" width="10.08203125" style="305" customWidth="1"/>
    <col min="5892" max="6144" width="9" style="305"/>
    <col min="6145" max="6145" width="17.58203125" style="305" customWidth="1"/>
    <col min="6146" max="6146" width="9" style="305"/>
    <col min="6147" max="6147" width="10.08203125" style="305" customWidth="1"/>
    <col min="6148" max="6400" width="9" style="305"/>
    <col min="6401" max="6401" width="17.58203125" style="305" customWidth="1"/>
    <col min="6402" max="6402" width="9" style="305"/>
    <col min="6403" max="6403" width="10.08203125" style="305" customWidth="1"/>
    <col min="6404" max="6656" width="9" style="305"/>
    <col min="6657" max="6657" width="17.58203125" style="305" customWidth="1"/>
    <col min="6658" max="6658" width="9" style="305"/>
    <col min="6659" max="6659" width="10.08203125" style="305" customWidth="1"/>
    <col min="6660" max="6912" width="9" style="305"/>
    <col min="6913" max="6913" width="17.58203125" style="305" customWidth="1"/>
    <col min="6914" max="6914" width="9" style="305"/>
    <col min="6915" max="6915" width="10.08203125" style="305" customWidth="1"/>
    <col min="6916" max="7168" width="9" style="305"/>
    <col min="7169" max="7169" width="17.58203125" style="305" customWidth="1"/>
    <col min="7170" max="7170" width="9" style="305"/>
    <col min="7171" max="7171" width="10.08203125" style="305" customWidth="1"/>
    <col min="7172" max="7424" width="9" style="305"/>
    <col min="7425" max="7425" width="17.58203125" style="305" customWidth="1"/>
    <col min="7426" max="7426" width="9" style="305"/>
    <col min="7427" max="7427" width="10.08203125" style="305" customWidth="1"/>
    <col min="7428" max="7680" width="9" style="305"/>
    <col min="7681" max="7681" width="17.58203125" style="305" customWidth="1"/>
    <col min="7682" max="7682" width="9" style="305"/>
    <col min="7683" max="7683" width="10.08203125" style="305" customWidth="1"/>
    <col min="7684" max="7936" width="9" style="305"/>
    <col min="7937" max="7937" width="17.58203125" style="305" customWidth="1"/>
    <col min="7938" max="7938" width="9" style="305"/>
    <col min="7939" max="7939" width="10.08203125" style="305" customWidth="1"/>
    <col min="7940" max="8192" width="9" style="305"/>
    <col min="8193" max="8193" width="17.58203125" style="305" customWidth="1"/>
    <col min="8194" max="8194" width="9" style="305"/>
    <col min="8195" max="8195" width="10.08203125" style="305" customWidth="1"/>
    <col min="8196" max="8448" width="9" style="305"/>
    <col min="8449" max="8449" width="17.58203125" style="305" customWidth="1"/>
    <col min="8450" max="8450" width="9" style="305"/>
    <col min="8451" max="8451" width="10.08203125" style="305" customWidth="1"/>
    <col min="8452" max="8704" width="9" style="305"/>
    <col min="8705" max="8705" width="17.58203125" style="305" customWidth="1"/>
    <col min="8706" max="8706" width="9" style="305"/>
    <col min="8707" max="8707" width="10.08203125" style="305" customWidth="1"/>
    <col min="8708" max="8960" width="9" style="305"/>
    <col min="8961" max="8961" width="17.58203125" style="305" customWidth="1"/>
    <col min="8962" max="8962" width="9" style="305"/>
    <col min="8963" max="8963" width="10.08203125" style="305" customWidth="1"/>
    <col min="8964" max="9216" width="9" style="305"/>
    <col min="9217" max="9217" width="17.58203125" style="305" customWidth="1"/>
    <col min="9218" max="9218" width="9" style="305"/>
    <col min="9219" max="9219" width="10.08203125" style="305" customWidth="1"/>
    <col min="9220" max="9472" width="9" style="305"/>
    <col min="9473" max="9473" width="17.58203125" style="305" customWidth="1"/>
    <col min="9474" max="9474" width="9" style="305"/>
    <col min="9475" max="9475" width="10.08203125" style="305" customWidth="1"/>
    <col min="9476" max="9728" width="9" style="305"/>
    <col min="9729" max="9729" width="17.58203125" style="305" customWidth="1"/>
    <col min="9730" max="9730" width="9" style="305"/>
    <col min="9731" max="9731" width="10.08203125" style="305" customWidth="1"/>
    <col min="9732" max="9984" width="9" style="305"/>
    <col min="9985" max="9985" width="17.58203125" style="305" customWidth="1"/>
    <col min="9986" max="9986" width="9" style="305"/>
    <col min="9987" max="9987" width="10.08203125" style="305" customWidth="1"/>
    <col min="9988" max="10240" width="9" style="305"/>
    <col min="10241" max="10241" width="17.58203125" style="305" customWidth="1"/>
    <col min="10242" max="10242" width="9" style="305"/>
    <col min="10243" max="10243" width="10.08203125" style="305" customWidth="1"/>
    <col min="10244" max="10496" width="9" style="305"/>
    <col min="10497" max="10497" width="17.58203125" style="305" customWidth="1"/>
    <col min="10498" max="10498" width="9" style="305"/>
    <col min="10499" max="10499" width="10.08203125" style="305" customWidth="1"/>
    <col min="10500" max="10752" width="9" style="305"/>
    <col min="10753" max="10753" width="17.58203125" style="305" customWidth="1"/>
    <col min="10754" max="10754" width="9" style="305"/>
    <col min="10755" max="10755" width="10.08203125" style="305" customWidth="1"/>
    <col min="10756" max="11008" width="9" style="305"/>
    <col min="11009" max="11009" width="17.58203125" style="305" customWidth="1"/>
    <col min="11010" max="11010" width="9" style="305"/>
    <col min="11011" max="11011" width="10.08203125" style="305" customWidth="1"/>
    <col min="11012" max="11264" width="9" style="305"/>
    <col min="11265" max="11265" width="17.58203125" style="305" customWidth="1"/>
    <col min="11266" max="11266" width="9" style="305"/>
    <col min="11267" max="11267" width="10.08203125" style="305" customWidth="1"/>
    <col min="11268" max="11520" width="9" style="305"/>
    <col min="11521" max="11521" width="17.58203125" style="305" customWidth="1"/>
    <col min="11522" max="11522" width="9" style="305"/>
    <col min="11523" max="11523" width="10.08203125" style="305" customWidth="1"/>
    <col min="11524" max="11776" width="9" style="305"/>
    <col min="11777" max="11777" width="17.58203125" style="305" customWidth="1"/>
    <col min="11778" max="11778" width="9" style="305"/>
    <col min="11779" max="11779" width="10.08203125" style="305" customWidth="1"/>
    <col min="11780" max="12032" width="9" style="305"/>
    <col min="12033" max="12033" width="17.58203125" style="305" customWidth="1"/>
    <col min="12034" max="12034" width="9" style="305"/>
    <col min="12035" max="12035" width="10.08203125" style="305" customWidth="1"/>
    <col min="12036" max="12288" width="9" style="305"/>
    <col min="12289" max="12289" width="17.58203125" style="305" customWidth="1"/>
    <col min="12290" max="12290" width="9" style="305"/>
    <col min="12291" max="12291" width="10.08203125" style="305" customWidth="1"/>
    <col min="12292" max="12544" width="9" style="305"/>
    <col min="12545" max="12545" width="17.58203125" style="305" customWidth="1"/>
    <col min="12546" max="12546" width="9" style="305"/>
    <col min="12547" max="12547" width="10.08203125" style="305" customWidth="1"/>
    <col min="12548" max="12800" width="9" style="305"/>
    <col min="12801" max="12801" width="17.58203125" style="305" customWidth="1"/>
    <col min="12802" max="12802" width="9" style="305"/>
    <col min="12803" max="12803" width="10.08203125" style="305" customWidth="1"/>
    <col min="12804" max="13056" width="9" style="305"/>
    <col min="13057" max="13057" width="17.58203125" style="305" customWidth="1"/>
    <col min="13058" max="13058" width="9" style="305"/>
    <col min="13059" max="13059" width="10.08203125" style="305" customWidth="1"/>
    <col min="13060" max="13312" width="9" style="305"/>
    <col min="13313" max="13313" width="17.58203125" style="305" customWidth="1"/>
    <col min="13314" max="13314" width="9" style="305"/>
    <col min="13315" max="13315" width="10.08203125" style="305" customWidth="1"/>
    <col min="13316" max="13568" width="9" style="305"/>
    <col min="13569" max="13569" width="17.58203125" style="305" customWidth="1"/>
    <col min="13570" max="13570" width="9" style="305"/>
    <col min="13571" max="13571" width="10.08203125" style="305" customWidth="1"/>
    <col min="13572" max="13824" width="9" style="305"/>
    <col min="13825" max="13825" width="17.58203125" style="305" customWidth="1"/>
    <col min="13826" max="13826" width="9" style="305"/>
    <col min="13827" max="13827" width="10.08203125" style="305" customWidth="1"/>
    <col min="13828" max="14080" width="9" style="305"/>
    <col min="14081" max="14081" width="17.58203125" style="305" customWidth="1"/>
    <col min="14082" max="14082" width="9" style="305"/>
    <col min="14083" max="14083" width="10.08203125" style="305" customWidth="1"/>
    <col min="14084" max="14336" width="9" style="305"/>
    <col min="14337" max="14337" width="17.58203125" style="305" customWidth="1"/>
    <col min="14338" max="14338" width="9" style="305"/>
    <col min="14339" max="14339" width="10.08203125" style="305" customWidth="1"/>
    <col min="14340" max="14592" width="9" style="305"/>
    <col min="14593" max="14593" width="17.58203125" style="305" customWidth="1"/>
    <col min="14594" max="14594" width="9" style="305"/>
    <col min="14595" max="14595" width="10.08203125" style="305" customWidth="1"/>
    <col min="14596" max="14848" width="9" style="305"/>
    <col min="14849" max="14849" width="17.58203125" style="305" customWidth="1"/>
    <col min="14850" max="14850" width="9" style="305"/>
    <col min="14851" max="14851" width="10.08203125" style="305" customWidth="1"/>
    <col min="14852" max="15104" width="9" style="305"/>
    <col min="15105" max="15105" width="17.58203125" style="305" customWidth="1"/>
    <col min="15106" max="15106" width="9" style="305"/>
    <col min="15107" max="15107" width="10.08203125" style="305" customWidth="1"/>
    <col min="15108" max="15360" width="9" style="305"/>
    <col min="15361" max="15361" width="17.58203125" style="305" customWidth="1"/>
    <col min="15362" max="15362" width="9" style="305"/>
    <col min="15363" max="15363" width="10.08203125" style="305" customWidth="1"/>
    <col min="15364" max="15616" width="9" style="305"/>
    <col min="15617" max="15617" width="17.58203125" style="305" customWidth="1"/>
    <col min="15618" max="15618" width="9" style="305"/>
    <col min="15619" max="15619" width="10.08203125" style="305" customWidth="1"/>
    <col min="15620" max="15872" width="9" style="305"/>
    <col min="15873" max="15873" width="17.58203125" style="305" customWidth="1"/>
    <col min="15874" max="15874" width="9" style="305"/>
    <col min="15875" max="15875" width="10.08203125" style="305" customWidth="1"/>
    <col min="15876" max="16128" width="9" style="305"/>
    <col min="16129" max="16129" width="17.58203125" style="305" customWidth="1"/>
    <col min="16130" max="16130" width="9" style="305"/>
    <col min="16131" max="16131" width="10.08203125" style="305" customWidth="1"/>
    <col min="16132" max="16384" width="9" style="305"/>
  </cols>
  <sheetData>
    <row r="1" spans="1:4" s="295" customFormat="1" ht="18" x14ac:dyDescent="0.35">
      <c r="D1" s="339" t="s">
        <v>350</v>
      </c>
    </row>
    <row r="2" spans="1:4" s="295" customFormat="1" ht="45" customHeight="1" x14ac:dyDescent="0.35">
      <c r="A2" s="417" t="s">
        <v>375</v>
      </c>
      <c r="B2" s="417"/>
      <c r="C2" s="417"/>
      <c r="D2" s="417"/>
    </row>
    <row r="3" spans="1:4" s="295" customFormat="1" ht="39.75" customHeight="1" x14ac:dyDescent="0.35">
      <c r="A3" s="418" t="s">
        <v>374</v>
      </c>
      <c r="B3" s="418"/>
      <c r="C3" s="418"/>
      <c r="D3" s="418"/>
    </row>
    <row r="4" spans="1:4" s="295" customFormat="1" ht="18" x14ac:dyDescent="0.35">
      <c r="A4" s="296"/>
      <c r="B4" s="51"/>
      <c r="C4" s="51"/>
      <c r="D4" s="341" t="s">
        <v>352</v>
      </c>
    </row>
    <row r="5" spans="1:4" s="300" customFormat="1" ht="18.75" customHeight="1" x14ac:dyDescent="0.35">
      <c r="A5" s="297" t="s">
        <v>0</v>
      </c>
      <c r="B5" s="298" t="s">
        <v>221</v>
      </c>
      <c r="C5" s="298" t="s">
        <v>366</v>
      </c>
      <c r="D5" s="299" t="s">
        <v>367</v>
      </c>
    </row>
    <row r="6" spans="1:4" s="302" customFormat="1" ht="21" customHeight="1" x14ac:dyDescent="0.35">
      <c r="A6" s="297"/>
      <c r="B6" s="298" t="s">
        <v>203</v>
      </c>
      <c r="C6" s="301"/>
      <c r="D6" s="335">
        <f>SUM(D7:D18)</f>
        <v>15881.406000000003</v>
      </c>
    </row>
    <row r="7" spans="1:4" ht="47.25" customHeight="1" x14ac:dyDescent="0.35">
      <c r="A7" s="303">
        <v>1</v>
      </c>
      <c r="B7" s="304" t="s">
        <v>37</v>
      </c>
      <c r="C7" s="304" t="s">
        <v>390</v>
      </c>
      <c r="D7" s="336">
        <f>6098034000/1000000</f>
        <v>6098.0339999999997</v>
      </c>
    </row>
    <row r="8" spans="1:4" ht="42.75" customHeight="1" x14ac:dyDescent="0.35">
      <c r="A8" s="306">
        <v>2</v>
      </c>
      <c r="B8" s="307" t="s">
        <v>209</v>
      </c>
      <c r="C8" s="307" t="s">
        <v>396</v>
      </c>
      <c r="D8" s="337">
        <f>5963880000/1000000</f>
        <v>5963.88</v>
      </c>
    </row>
    <row r="9" spans="1:4" ht="23.25" customHeight="1" x14ac:dyDescent="0.35">
      <c r="A9" s="306">
        <v>3</v>
      </c>
      <c r="B9" s="307" t="s">
        <v>38</v>
      </c>
      <c r="C9" s="307" t="s">
        <v>368</v>
      </c>
      <c r="D9" s="337">
        <f>712128000/1000000</f>
        <v>712.12800000000004</v>
      </c>
    </row>
    <row r="10" spans="1:4" ht="31" x14ac:dyDescent="0.35">
      <c r="A10" s="306">
        <v>4</v>
      </c>
      <c r="B10" s="307" t="s">
        <v>401</v>
      </c>
      <c r="C10" s="419" t="s">
        <v>369</v>
      </c>
      <c r="D10" s="337">
        <f>107268000/1000000</f>
        <v>107.268</v>
      </c>
    </row>
    <row r="11" spans="1:4" ht="21" customHeight="1" x14ac:dyDescent="0.35">
      <c r="A11" s="306">
        <v>5</v>
      </c>
      <c r="B11" s="307" t="s">
        <v>37</v>
      </c>
      <c r="C11" s="419"/>
      <c r="D11" s="337">
        <f>434285000/1000000</f>
        <v>434.28500000000003</v>
      </c>
    </row>
    <row r="12" spans="1:4" ht="19.5" customHeight="1" x14ac:dyDescent="0.35">
      <c r="A12" s="306">
        <v>6</v>
      </c>
      <c r="B12" s="307" t="s">
        <v>358</v>
      </c>
      <c r="C12" s="419"/>
      <c r="D12" s="337">
        <f>106877000/1000000</f>
        <v>106.877</v>
      </c>
    </row>
    <row r="13" spans="1:4" ht="20.25" customHeight="1" x14ac:dyDescent="0.35">
      <c r="A13" s="306">
        <v>7</v>
      </c>
      <c r="B13" s="307" t="s">
        <v>41</v>
      </c>
      <c r="C13" s="419"/>
      <c r="D13" s="337">
        <f>101982000/1000000</f>
        <v>101.982</v>
      </c>
    </row>
    <row r="14" spans="1:4" ht="21" customHeight="1" x14ac:dyDescent="0.35">
      <c r="A14" s="306">
        <v>8</v>
      </c>
      <c r="B14" s="309" t="s">
        <v>209</v>
      </c>
      <c r="C14" s="419"/>
      <c r="D14" s="337">
        <f>108885000/1000000</f>
        <v>108.88500000000001</v>
      </c>
    </row>
    <row r="15" spans="1:4" ht="24" customHeight="1" x14ac:dyDescent="0.35">
      <c r="A15" s="306">
        <v>9</v>
      </c>
      <c r="B15" s="309" t="s">
        <v>370</v>
      </c>
      <c r="C15" s="419"/>
      <c r="D15" s="337">
        <f>150498000/1000000</f>
        <v>150.49799999999999</v>
      </c>
    </row>
    <row r="16" spans="1:4" ht="18.5" customHeight="1" x14ac:dyDescent="0.35">
      <c r="A16" s="306">
        <v>10</v>
      </c>
      <c r="B16" s="307" t="s">
        <v>371</v>
      </c>
      <c r="C16" s="419"/>
      <c r="D16" s="337">
        <f>430914000/1000000</f>
        <v>430.91399999999999</v>
      </c>
    </row>
    <row r="17" spans="1:4" ht="31" x14ac:dyDescent="0.35">
      <c r="A17" s="306">
        <v>11</v>
      </c>
      <c r="B17" s="307" t="s">
        <v>372</v>
      </c>
      <c r="C17" s="419"/>
      <c r="D17" s="337">
        <f>76325000/1000000</f>
        <v>76.325000000000003</v>
      </c>
    </row>
    <row r="18" spans="1:4" ht="46.5" x14ac:dyDescent="0.35">
      <c r="A18" s="310">
        <v>12</v>
      </c>
      <c r="B18" s="311" t="s">
        <v>360</v>
      </c>
      <c r="C18" s="311" t="s">
        <v>373</v>
      </c>
      <c r="D18" s="338">
        <f>1590330000/1000000</f>
        <v>1590.33</v>
      </c>
    </row>
  </sheetData>
  <mergeCells count="3">
    <mergeCell ref="A2:D2"/>
    <mergeCell ref="A3:D3"/>
    <mergeCell ref="C10:C17"/>
  </mergeCells>
  <pageMargins left="0.39370078740157483" right="0.31496062992125984" top="0.55118110236220474" bottom="0.74803149606299213" header="0.31496062992125984" footer="0.31496062992125984"/>
  <pageSetup firstPageNumber="10" orientation="portrait" useFirstPageNumber="1" r:id="rId1"/>
  <headerFooter>
    <oddHeader>&amp;C&amp;P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2"/>
  <sheetViews>
    <sheetView workbookViewId="0">
      <selection activeCell="G16" sqref="G16"/>
    </sheetView>
  </sheetViews>
  <sheetFormatPr defaultColWidth="9" defaultRowHeight="15.5" x14ac:dyDescent="0.35"/>
  <cols>
    <col min="1" max="1" width="5.5" style="127" customWidth="1"/>
    <col min="2" max="2" width="66.5" style="127" customWidth="1"/>
    <col min="3" max="8" width="18.75" style="127" customWidth="1"/>
    <col min="9" max="10" width="9" style="127"/>
    <col min="11" max="11" width="12.33203125" style="127" bestFit="1" customWidth="1"/>
    <col min="12" max="16384" width="9" style="127"/>
  </cols>
  <sheetData>
    <row r="1" spans="1:11" ht="20.25" customHeight="1" x14ac:dyDescent="0.35">
      <c r="A1" s="126"/>
      <c r="G1" s="385" t="s">
        <v>346</v>
      </c>
      <c r="H1" s="385"/>
    </row>
    <row r="2" spans="1:11" ht="40.5" customHeight="1" x14ac:dyDescent="0.35">
      <c r="A2" s="366" t="s">
        <v>283</v>
      </c>
      <c r="B2" s="366"/>
      <c r="C2" s="366"/>
      <c r="D2" s="366"/>
      <c r="E2" s="366"/>
      <c r="F2" s="366"/>
      <c r="G2" s="366"/>
      <c r="H2" s="366"/>
      <c r="I2" s="130"/>
      <c r="J2" s="130"/>
      <c r="K2" s="130"/>
    </row>
    <row r="3" spans="1:11" ht="24.75" customHeight="1" x14ac:dyDescent="0.35">
      <c r="A3" s="390" t="str">
        <f>'B2.2-GN-Pbổ DAPTSX'!A3:S3</f>
        <v>(Kèm theo Nghị quyết số       /NQ-HĐND ngày     tháng 4 năm 2023 của Hội đồng nhân dân tỉnh Bắc Kạn)</v>
      </c>
      <c r="B3" s="367"/>
      <c r="C3" s="367"/>
      <c r="D3" s="367"/>
      <c r="E3" s="367"/>
      <c r="F3" s="367"/>
      <c r="G3" s="367"/>
      <c r="H3" s="367"/>
      <c r="I3" s="131"/>
      <c r="J3" s="131"/>
      <c r="K3" s="131"/>
    </row>
    <row r="4" spans="1:11" ht="22.5" customHeight="1" x14ac:dyDescent="0.35">
      <c r="A4" s="132"/>
      <c r="B4" s="132"/>
      <c r="C4" s="132"/>
      <c r="D4" s="132"/>
      <c r="E4" s="132"/>
      <c r="F4" s="132"/>
      <c r="G4" s="356" t="s">
        <v>151</v>
      </c>
      <c r="H4" s="356"/>
    </row>
    <row r="5" spans="1:11" ht="38.25" customHeight="1" x14ac:dyDescent="0.35">
      <c r="A5" s="362" t="s">
        <v>0</v>
      </c>
      <c r="B5" s="362" t="s">
        <v>268</v>
      </c>
      <c r="C5" s="362" t="s">
        <v>143</v>
      </c>
      <c r="D5" s="362" t="s">
        <v>200</v>
      </c>
      <c r="E5" s="362"/>
      <c r="F5" s="362"/>
      <c r="G5" s="369" t="s">
        <v>338</v>
      </c>
      <c r="H5" s="386" t="s">
        <v>152</v>
      </c>
    </row>
    <row r="6" spans="1:11" ht="23.25" customHeight="1" x14ac:dyDescent="0.35">
      <c r="A6" s="362"/>
      <c r="B6" s="362"/>
      <c r="C6" s="362"/>
      <c r="D6" s="362" t="s">
        <v>201</v>
      </c>
      <c r="E6" s="362" t="s">
        <v>73</v>
      </c>
      <c r="F6" s="362"/>
      <c r="G6" s="369"/>
      <c r="H6" s="386"/>
    </row>
    <row r="7" spans="1:11" ht="84" customHeight="1" x14ac:dyDescent="0.35">
      <c r="A7" s="362"/>
      <c r="B7" s="362"/>
      <c r="C7" s="362"/>
      <c r="D7" s="362"/>
      <c r="E7" s="102" t="s">
        <v>74</v>
      </c>
      <c r="F7" s="125" t="s">
        <v>148</v>
      </c>
      <c r="G7" s="369"/>
      <c r="H7" s="386"/>
    </row>
    <row r="8" spans="1:11" s="134" customFormat="1" ht="16.5" customHeight="1" x14ac:dyDescent="0.35">
      <c r="A8" s="133" t="s">
        <v>4</v>
      </c>
      <c r="B8" s="133" t="s">
        <v>5</v>
      </c>
      <c r="C8" s="133">
        <v>1</v>
      </c>
      <c r="D8" s="133" t="s">
        <v>149</v>
      </c>
      <c r="E8" s="133">
        <v>3</v>
      </c>
      <c r="F8" s="133">
        <v>4</v>
      </c>
      <c r="G8" s="104">
        <v>5</v>
      </c>
      <c r="H8" s="104">
        <v>6</v>
      </c>
    </row>
    <row r="9" spans="1:11" ht="25.5" customHeight="1" x14ac:dyDescent="0.35">
      <c r="A9" s="368" t="s">
        <v>6</v>
      </c>
      <c r="B9" s="368"/>
      <c r="C9" s="135">
        <f t="shared" ref="C9:H9" si="0">C12+C15+C29+C35+C38+C40+C48+C10</f>
        <v>24821000000</v>
      </c>
      <c r="D9" s="135">
        <f t="shared" si="0"/>
        <v>18917000000</v>
      </c>
      <c r="E9" s="135">
        <f t="shared" si="0"/>
        <v>15916000000</v>
      </c>
      <c r="F9" s="135">
        <f t="shared" si="0"/>
        <v>3001000000</v>
      </c>
      <c r="G9" s="135">
        <f t="shared" si="0"/>
        <v>508343711</v>
      </c>
      <c r="H9" s="135">
        <f t="shared" si="0"/>
        <v>505888607</v>
      </c>
      <c r="I9" s="136"/>
      <c r="K9" s="136"/>
    </row>
    <row r="10" spans="1:11" s="126" customFormat="1" ht="30" x14ac:dyDescent="0.35">
      <c r="A10" s="137" t="s">
        <v>1</v>
      </c>
      <c r="B10" s="138" t="s">
        <v>269</v>
      </c>
      <c r="C10" s="139">
        <v>123000000</v>
      </c>
      <c r="D10" s="139">
        <f>D11</f>
        <v>123000000</v>
      </c>
      <c r="E10" s="139">
        <f t="shared" ref="E10:H10" si="1">E11</f>
        <v>117000000</v>
      </c>
      <c r="F10" s="139">
        <f t="shared" si="1"/>
        <v>6000000</v>
      </c>
      <c r="G10" s="139">
        <f t="shared" si="1"/>
        <v>1750000</v>
      </c>
      <c r="H10" s="139">
        <f t="shared" si="1"/>
        <v>0</v>
      </c>
    </row>
    <row r="11" spans="1:11" x14ac:dyDescent="0.35">
      <c r="A11" s="140">
        <v>1</v>
      </c>
      <c r="B11" s="141" t="s">
        <v>31</v>
      </c>
      <c r="C11" s="142"/>
      <c r="D11" s="142">
        <v>123000000</v>
      </c>
      <c r="E11" s="143">
        <v>117000000</v>
      </c>
      <c r="F11" s="143">
        <v>6000000</v>
      </c>
      <c r="G11" s="143">
        <v>1750000</v>
      </c>
      <c r="H11" s="143"/>
    </row>
    <row r="12" spans="1:11" s="126" customFormat="1" ht="30" x14ac:dyDescent="0.35">
      <c r="A12" s="137" t="s">
        <v>2</v>
      </c>
      <c r="B12" s="138" t="s">
        <v>269</v>
      </c>
      <c r="C12" s="139">
        <v>750000000</v>
      </c>
      <c r="D12" s="139">
        <f>D13+D14</f>
        <v>750000000</v>
      </c>
      <c r="E12" s="139">
        <f t="shared" ref="E12:H12" si="2">E13+E14</f>
        <v>714000000</v>
      </c>
      <c r="F12" s="139">
        <f t="shared" si="2"/>
        <v>36000000</v>
      </c>
      <c r="G12" s="139">
        <f t="shared" si="2"/>
        <v>36000000</v>
      </c>
      <c r="H12" s="139">
        <f t="shared" si="2"/>
        <v>36000000</v>
      </c>
    </row>
    <row r="13" spans="1:11" x14ac:dyDescent="0.35">
      <c r="A13" s="140">
        <v>1</v>
      </c>
      <c r="B13" s="141" t="s">
        <v>31</v>
      </c>
      <c r="C13" s="142"/>
      <c r="D13" s="142">
        <f>E13+F13</f>
        <v>500000000</v>
      </c>
      <c r="E13" s="143">
        <v>476000000</v>
      </c>
      <c r="F13" s="143">
        <v>24000000</v>
      </c>
      <c r="G13" s="143">
        <v>24000000</v>
      </c>
      <c r="H13" s="143">
        <v>24000000</v>
      </c>
    </row>
    <row r="14" spans="1:11" x14ac:dyDescent="0.35">
      <c r="A14" s="140">
        <v>2</v>
      </c>
      <c r="B14" s="141" t="s">
        <v>30</v>
      </c>
      <c r="C14" s="142"/>
      <c r="D14" s="142">
        <f>E14+F14</f>
        <v>250000000</v>
      </c>
      <c r="E14" s="143">
        <v>238000000</v>
      </c>
      <c r="F14" s="143">
        <v>12000000</v>
      </c>
      <c r="G14" s="143">
        <v>12000000</v>
      </c>
      <c r="H14" s="143">
        <v>12000000</v>
      </c>
    </row>
    <row r="15" spans="1:11" s="126" customFormat="1" ht="30" x14ac:dyDescent="0.35">
      <c r="A15" s="137" t="s">
        <v>135</v>
      </c>
      <c r="B15" s="138" t="s">
        <v>270</v>
      </c>
      <c r="C15" s="144">
        <v>7827000000</v>
      </c>
      <c r="D15" s="144">
        <f>D16+D21+D27+D25</f>
        <v>6385000000</v>
      </c>
      <c r="E15" s="144">
        <f>E16+E21+E27+E25</f>
        <v>6081000000</v>
      </c>
      <c r="F15" s="144">
        <f>F16+F21+F27+F25</f>
        <v>304000000</v>
      </c>
      <c r="G15" s="144">
        <f>G16+G21+G27+G25</f>
        <v>210900000</v>
      </c>
      <c r="H15" s="144">
        <f>H16+H21+H27+H25</f>
        <v>210400000</v>
      </c>
    </row>
    <row r="16" spans="1:11" s="148" customFormat="1" x14ac:dyDescent="0.35">
      <c r="A16" s="145"/>
      <c r="B16" s="146" t="s">
        <v>271</v>
      </c>
      <c r="C16" s="147">
        <v>3002000000</v>
      </c>
      <c r="D16" s="147">
        <f>SUM(D17:D20)</f>
        <v>2051000000</v>
      </c>
      <c r="E16" s="147">
        <f t="shared" ref="E16:H16" si="3">SUM(E17:E20)</f>
        <v>1954000000</v>
      </c>
      <c r="F16" s="147">
        <f t="shared" si="3"/>
        <v>97000000</v>
      </c>
      <c r="G16" s="147">
        <f t="shared" si="3"/>
        <v>97000000</v>
      </c>
      <c r="H16" s="147">
        <f t="shared" si="3"/>
        <v>97000000</v>
      </c>
    </row>
    <row r="17" spans="1:8" x14ac:dyDescent="0.35">
      <c r="A17" s="140">
        <v>1</v>
      </c>
      <c r="B17" s="149" t="s">
        <v>272</v>
      </c>
      <c r="C17" s="143"/>
      <c r="D17" s="143">
        <f>E17+F17</f>
        <v>1349000000</v>
      </c>
      <c r="E17" s="143">
        <v>1285000000</v>
      </c>
      <c r="F17" s="143">
        <v>64000000</v>
      </c>
      <c r="G17" s="143">
        <v>64000000</v>
      </c>
      <c r="H17" s="143">
        <v>64000000</v>
      </c>
    </row>
    <row r="18" spans="1:8" x14ac:dyDescent="0.35">
      <c r="A18" s="150">
        <v>2</v>
      </c>
      <c r="B18" s="151" t="s">
        <v>29</v>
      </c>
      <c r="C18" s="143"/>
      <c r="D18" s="143">
        <f>E18+F18</f>
        <v>290000000</v>
      </c>
      <c r="E18" s="143">
        <v>276000000</v>
      </c>
      <c r="F18" s="143">
        <v>14000000</v>
      </c>
      <c r="G18" s="143">
        <v>14000000</v>
      </c>
      <c r="H18" s="143">
        <v>14000000</v>
      </c>
    </row>
    <row r="19" spans="1:8" x14ac:dyDescent="0.35">
      <c r="A19" s="150">
        <v>3</v>
      </c>
      <c r="B19" s="151" t="s">
        <v>30</v>
      </c>
      <c r="C19" s="142"/>
      <c r="D19" s="142">
        <f>E19+F19</f>
        <v>150000000</v>
      </c>
      <c r="E19" s="143">
        <v>143000000</v>
      </c>
      <c r="F19" s="143">
        <v>7000000</v>
      </c>
      <c r="G19" s="143">
        <v>7000000</v>
      </c>
      <c r="H19" s="143">
        <v>7000000</v>
      </c>
    </row>
    <row r="20" spans="1:8" x14ac:dyDescent="0.35">
      <c r="A20" s="150">
        <v>4</v>
      </c>
      <c r="B20" s="151" t="s">
        <v>32</v>
      </c>
      <c r="C20" s="142"/>
      <c r="D20" s="142">
        <f>E20+F20</f>
        <v>262000000</v>
      </c>
      <c r="E20" s="143">
        <v>250000000</v>
      </c>
      <c r="F20" s="143">
        <v>12000000</v>
      </c>
      <c r="G20" s="143">
        <v>12000000</v>
      </c>
      <c r="H20" s="143">
        <v>12000000</v>
      </c>
    </row>
    <row r="21" spans="1:8" s="148" customFormat="1" ht="31" x14ac:dyDescent="0.35">
      <c r="A21" s="145"/>
      <c r="B21" s="146" t="s">
        <v>273</v>
      </c>
      <c r="C21" s="147">
        <v>3800000000</v>
      </c>
      <c r="D21" s="147">
        <f>SUM(D22:D24)</f>
        <v>3800000000</v>
      </c>
      <c r="E21" s="147">
        <f t="shared" ref="E21:H21" si="4">SUM(E22:E24)</f>
        <v>3618000000</v>
      </c>
      <c r="F21" s="147">
        <f t="shared" si="4"/>
        <v>182000000</v>
      </c>
      <c r="G21" s="147">
        <f t="shared" si="4"/>
        <v>110700000</v>
      </c>
      <c r="H21" s="147">
        <f t="shared" si="4"/>
        <v>110700000</v>
      </c>
    </row>
    <row r="22" spans="1:8" s="131" customFormat="1" x14ac:dyDescent="0.35">
      <c r="A22" s="140">
        <v>1</v>
      </c>
      <c r="B22" s="141" t="s">
        <v>29</v>
      </c>
      <c r="C22" s="143"/>
      <c r="D22" s="143">
        <f>E22+F22</f>
        <v>1670000000</v>
      </c>
      <c r="E22" s="143">
        <v>1590000000</v>
      </c>
      <c r="F22" s="143">
        <v>80000000</v>
      </c>
      <c r="G22" s="143">
        <v>8700000</v>
      </c>
      <c r="H22" s="143">
        <v>8700000</v>
      </c>
    </row>
    <row r="23" spans="1:8" s="131" customFormat="1" x14ac:dyDescent="0.35">
      <c r="A23" s="140">
        <v>2</v>
      </c>
      <c r="B23" s="141" t="s">
        <v>31</v>
      </c>
      <c r="C23" s="142"/>
      <c r="D23" s="142">
        <f>E23+F23</f>
        <v>1019000000</v>
      </c>
      <c r="E23" s="143">
        <v>970000000</v>
      </c>
      <c r="F23" s="143">
        <v>49000000</v>
      </c>
      <c r="G23" s="143">
        <v>49000000</v>
      </c>
      <c r="H23" s="143">
        <v>49000000</v>
      </c>
    </row>
    <row r="24" spans="1:8" s="131" customFormat="1" x14ac:dyDescent="0.35">
      <c r="A24" s="140">
        <v>3</v>
      </c>
      <c r="B24" s="141" t="s">
        <v>34</v>
      </c>
      <c r="C24" s="142"/>
      <c r="D24" s="142">
        <f>E24+F24</f>
        <v>1111000000</v>
      </c>
      <c r="E24" s="143">
        <v>1058000000</v>
      </c>
      <c r="F24" s="143">
        <v>53000000</v>
      </c>
      <c r="G24" s="143">
        <v>53000000</v>
      </c>
      <c r="H24" s="143">
        <v>53000000</v>
      </c>
    </row>
    <row r="25" spans="1:8" s="148" customFormat="1" ht="46.5" x14ac:dyDescent="0.35">
      <c r="A25" s="145"/>
      <c r="B25" s="146" t="s">
        <v>331</v>
      </c>
      <c r="C25" s="147">
        <v>234000000</v>
      </c>
      <c r="D25" s="147">
        <v>234000000</v>
      </c>
      <c r="E25" s="147">
        <v>223000000</v>
      </c>
      <c r="F25" s="147">
        <v>11000000</v>
      </c>
      <c r="G25" s="147">
        <v>500000</v>
      </c>
      <c r="H25" s="147">
        <f t="shared" ref="E25:H27" si="5">H26</f>
        <v>0</v>
      </c>
    </row>
    <row r="26" spans="1:8" s="131" customFormat="1" x14ac:dyDescent="0.35">
      <c r="A26" s="140">
        <v>1</v>
      </c>
      <c r="B26" s="141" t="s">
        <v>332</v>
      </c>
      <c r="C26" s="143"/>
      <c r="D26" s="143">
        <v>234000000</v>
      </c>
      <c r="E26" s="143">
        <v>223000000</v>
      </c>
      <c r="F26" s="143">
        <v>11000000</v>
      </c>
      <c r="G26" s="143">
        <v>500000</v>
      </c>
      <c r="H26" s="143"/>
    </row>
    <row r="27" spans="1:8" s="148" customFormat="1" ht="46.5" x14ac:dyDescent="0.35">
      <c r="A27" s="145"/>
      <c r="B27" s="146" t="s">
        <v>274</v>
      </c>
      <c r="C27" s="147">
        <v>300000000</v>
      </c>
      <c r="D27" s="147">
        <f>D28</f>
        <v>300000000</v>
      </c>
      <c r="E27" s="147">
        <f t="shared" si="5"/>
        <v>286000000</v>
      </c>
      <c r="F27" s="147">
        <f t="shared" si="5"/>
        <v>14000000</v>
      </c>
      <c r="G27" s="147">
        <f t="shared" si="5"/>
        <v>2700000</v>
      </c>
      <c r="H27" s="147">
        <f t="shared" si="5"/>
        <v>2700000</v>
      </c>
    </row>
    <row r="28" spans="1:8" s="131" customFormat="1" x14ac:dyDescent="0.35">
      <c r="A28" s="140">
        <v>1</v>
      </c>
      <c r="B28" s="141" t="s">
        <v>275</v>
      </c>
      <c r="C28" s="143"/>
      <c r="D28" s="143">
        <f>E28+F28</f>
        <v>300000000</v>
      </c>
      <c r="E28" s="143">
        <v>286000000</v>
      </c>
      <c r="F28" s="143">
        <v>14000000</v>
      </c>
      <c r="G28" s="143">
        <v>2700000</v>
      </c>
      <c r="H28" s="143">
        <v>2700000</v>
      </c>
    </row>
    <row r="29" spans="1:8" s="148" customFormat="1" ht="45" x14ac:dyDescent="0.35">
      <c r="A29" s="152" t="s">
        <v>136</v>
      </c>
      <c r="B29" s="153" t="s">
        <v>276</v>
      </c>
      <c r="C29" s="144">
        <v>7265000000</v>
      </c>
      <c r="D29" s="144">
        <f>SUM(D30:D34)</f>
        <v>6015000000</v>
      </c>
      <c r="E29" s="144">
        <f t="shared" ref="E29:H29" si="6">SUM(E30:E34)</f>
        <v>4629000000</v>
      </c>
      <c r="F29" s="144">
        <f t="shared" si="6"/>
        <v>1386000000</v>
      </c>
      <c r="G29" s="144">
        <f>SUM(G30:G34)</f>
        <v>175954799</v>
      </c>
      <c r="H29" s="144">
        <f t="shared" si="6"/>
        <v>175954799</v>
      </c>
    </row>
    <row r="30" spans="1:8" s="131" customFormat="1" x14ac:dyDescent="0.35">
      <c r="A30" s="150">
        <v>1</v>
      </c>
      <c r="B30" s="151" t="s">
        <v>29</v>
      </c>
      <c r="C30" s="143"/>
      <c r="D30" s="143">
        <v>950000000</v>
      </c>
      <c r="E30" s="143">
        <v>905000000</v>
      </c>
      <c r="F30" s="143">
        <v>45000000</v>
      </c>
      <c r="G30" s="143">
        <v>38000000</v>
      </c>
      <c r="H30" s="143">
        <v>38000000</v>
      </c>
    </row>
    <row r="31" spans="1:8" x14ac:dyDescent="0.35">
      <c r="A31" s="150">
        <v>2</v>
      </c>
      <c r="B31" s="151" t="s">
        <v>30</v>
      </c>
      <c r="C31" s="142"/>
      <c r="D31" s="142">
        <f>E31+F31</f>
        <v>560000000</v>
      </c>
      <c r="E31" s="143">
        <v>533000000</v>
      </c>
      <c r="F31" s="143">
        <v>27000000</v>
      </c>
      <c r="G31" s="143">
        <v>9264800</v>
      </c>
      <c r="H31" s="143">
        <v>9264800</v>
      </c>
    </row>
    <row r="32" spans="1:8" s="131" customFormat="1" x14ac:dyDescent="0.35">
      <c r="A32" s="150">
        <v>3</v>
      </c>
      <c r="B32" s="151" t="s">
        <v>31</v>
      </c>
      <c r="C32" s="142"/>
      <c r="D32" s="142">
        <v>1730000000</v>
      </c>
      <c r="E32" s="142">
        <v>1375000000</v>
      </c>
      <c r="F32" s="142">
        <v>355000000</v>
      </c>
      <c r="G32" s="143">
        <v>45849999</v>
      </c>
      <c r="H32" s="143">
        <v>45849999</v>
      </c>
    </row>
    <row r="33" spans="1:9" s="131" customFormat="1" x14ac:dyDescent="0.35">
      <c r="A33" s="150">
        <v>4</v>
      </c>
      <c r="B33" s="151" t="s">
        <v>32</v>
      </c>
      <c r="C33" s="142"/>
      <c r="D33" s="142">
        <v>575000000</v>
      </c>
      <c r="E33" s="142">
        <v>548000000</v>
      </c>
      <c r="F33" s="142">
        <v>27000000</v>
      </c>
      <c r="G33" s="142">
        <v>27000000</v>
      </c>
      <c r="H33" s="142">
        <v>27000000</v>
      </c>
    </row>
    <row r="34" spans="1:9" s="131" customFormat="1" x14ac:dyDescent="0.35">
      <c r="A34" s="150">
        <v>5</v>
      </c>
      <c r="B34" s="151" t="s">
        <v>34</v>
      </c>
      <c r="C34" s="142"/>
      <c r="D34" s="142">
        <v>2200000000</v>
      </c>
      <c r="E34" s="142">
        <v>1268000000</v>
      </c>
      <c r="F34" s="142">
        <v>932000000</v>
      </c>
      <c r="G34" s="142">
        <v>55840000</v>
      </c>
      <c r="H34" s="142">
        <v>55840000</v>
      </c>
    </row>
    <row r="35" spans="1:9" s="148" customFormat="1" ht="45" x14ac:dyDescent="0.35">
      <c r="A35" s="152" t="s">
        <v>137</v>
      </c>
      <c r="B35" s="153" t="s">
        <v>284</v>
      </c>
      <c r="C35" s="139">
        <v>1167000000</v>
      </c>
      <c r="D35" s="139">
        <f>SUM(D36:D37)</f>
        <v>380000000</v>
      </c>
      <c r="E35" s="139">
        <f t="shared" ref="E35:H35" si="7">SUM(E36:E37)</f>
        <v>362000000</v>
      </c>
      <c r="F35" s="139">
        <f t="shared" si="7"/>
        <v>18000000</v>
      </c>
      <c r="G35" s="139">
        <f t="shared" si="7"/>
        <v>4000500</v>
      </c>
      <c r="H35" s="139">
        <f t="shared" si="7"/>
        <v>4000000</v>
      </c>
    </row>
    <row r="36" spans="1:9" s="131" customFormat="1" x14ac:dyDescent="0.35">
      <c r="A36" s="150">
        <v>1</v>
      </c>
      <c r="B36" s="151" t="s">
        <v>30</v>
      </c>
      <c r="C36" s="142"/>
      <c r="D36" s="142">
        <v>90000000</v>
      </c>
      <c r="E36" s="142">
        <v>86000000</v>
      </c>
      <c r="F36" s="142">
        <v>4000000</v>
      </c>
      <c r="G36" s="142">
        <v>4000000</v>
      </c>
      <c r="H36" s="142">
        <v>4000000</v>
      </c>
    </row>
    <row r="37" spans="1:9" s="131" customFormat="1" x14ac:dyDescent="0.35">
      <c r="A37" s="150">
        <v>2</v>
      </c>
      <c r="B37" s="151" t="s">
        <v>31</v>
      </c>
      <c r="C37" s="142"/>
      <c r="D37" s="142">
        <v>290000000</v>
      </c>
      <c r="E37" s="142">
        <v>276000000</v>
      </c>
      <c r="F37" s="142">
        <v>14000000</v>
      </c>
      <c r="G37" s="142">
        <v>500</v>
      </c>
      <c r="H37" s="142"/>
    </row>
    <row r="38" spans="1:9" s="126" customFormat="1" ht="75" x14ac:dyDescent="0.35">
      <c r="A38" s="137" t="s">
        <v>138</v>
      </c>
      <c r="B38" s="138" t="s">
        <v>277</v>
      </c>
      <c r="C38" s="139">
        <v>45000000</v>
      </c>
      <c r="D38" s="139">
        <f>D39</f>
        <v>45000000</v>
      </c>
      <c r="E38" s="139">
        <f t="shared" ref="E38:H38" si="8">E39</f>
        <v>43000000</v>
      </c>
      <c r="F38" s="139">
        <f t="shared" si="8"/>
        <v>2000000</v>
      </c>
      <c r="G38" s="139">
        <f t="shared" si="8"/>
        <v>2000000</v>
      </c>
      <c r="H38" s="139">
        <f t="shared" si="8"/>
        <v>2000000</v>
      </c>
    </row>
    <row r="39" spans="1:9" x14ac:dyDescent="0.35">
      <c r="A39" s="140">
        <v>1</v>
      </c>
      <c r="B39" s="141" t="s">
        <v>52</v>
      </c>
      <c r="C39" s="142"/>
      <c r="D39" s="142">
        <v>45000000</v>
      </c>
      <c r="E39" s="142">
        <v>43000000</v>
      </c>
      <c r="F39" s="142">
        <v>2000000</v>
      </c>
      <c r="G39" s="142">
        <v>2000000</v>
      </c>
      <c r="H39" s="142">
        <v>2000000</v>
      </c>
    </row>
    <row r="40" spans="1:9" s="126" customFormat="1" ht="60" x14ac:dyDescent="0.35">
      <c r="A40" s="137" t="s">
        <v>139</v>
      </c>
      <c r="B40" s="138" t="s">
        <v>278</v>
      </c>
      <c r="C40" s="144"/>
      <c r="D40" s="144">
        <f>D41+D44+D46</f>
        <v>1279000000</v>
      </c>
      <c r="E40" s="144">
        <f t="shared" ref="E40:H40" si="9">E41+E44+E46</f>
        <v>1219000000</v>
      </c>
      <c r="F40" s="144">
        <f t="shared" si="9"/>
        <v>60000000</v>
      </c>
      <c r="G40" s="144">
        <f t="shared" si="9"/>
        <v>60000000</v>
      </c>
      <c r="H40" s="144">
        <f t="shared" si="9"/>
        <v>60000000</v>
      </c>
    </row>
    <row r="41" spans="1:9" s="148" customFormat="1" ht="46.5" x14ac:dyDescent="0.35">
      <c r="A41" s="145"/>
      <c r="B41" s="146" t="s">
        <v>279</v>
      </c>
      <c r="C41" s="147"/>
      <c r="D41" s="147">
        <f>D42+D43</f>
        <v>708000000</v>
      </c>
      <c r="E41" s="147">
        <f t="shared" ref="E41:H41" si="10">E42+E43</f>
        <v>675000000</v>
      </c>
      <c r="F41" s="147">
        <f t="shared" si="10"/>
        <v>33000000</v>
      </c>
      <c r="G41" s="147">
        <f t="shared" si="10"/>
        <v>33000000</v>
      </c>
      <c r="H41" s="147">
        <f t="shared" si="10"/>
        <v>33000000</v>
      </c>
    </row>
    <row r="42" spans="1:9" x14ac:dyDescent="0.35">
      <c r="A42" s="140">
        <v>1</v>
      </c>
      <c r="B42" s="141" t="s">
        <v>272</v>
      </c>
      <c r="C42" s="143"/>
      <c r="D42" s="143">
        <f>E42+F42</f>
        <v>638000000</v>
      </c>
      <c r="E42" s="143">
        <v>608000000</v>
      </c>
      <c r="F42" s="143">
        <v>30000000</v>
      </c>
      <c r="G42" s="143">
        <v>30000000</v>
      </c>
      <c r="H42" s="143">
        <v>30000000</v>
      </c>
    </row>
    <row r="43" spans="1:9" x14ac:dyDescent="0.35">
      <c r="A43" s="150">
        <v>2</v>
      </c>
      <c r="B43" s="151" t="s">
        <v>34</v>
      </c>
      <c r="C43" s="142"/>
      <c r="D43" s="142">
        <f>E43+F43</f>
        <v>70000000</v>
      </c>
      <c r="E43" s="143">
        <v>67000000</v>
      </c>
      <c r="F43" s="143">
        <v>3000000</v>
      </c>
      <c r="G43" s="143">
        <v>3000000</v>
      </c>
      <c r="H43" s="143">
        <v>3000000</v>
      </c>
    </row>
    <row r="44" spans="1:9" s="148" customFormat="1" ht="31" x14ac:dyDescent="0.35">
      <c r="A44" s="145"/>
      <c r="B44" s="146" t="s">
        <v>280</v>
      </c>
      <c r="C44" s="147"/>
      <c r="D44" s="147">
        <f>D45</f>
        <v>320000000</v>
      </c>
      <c r="E44" s="147">
        <f t="shared" ref="E44:H44" si="11">E45</f>
        <v>305000000</v>
      </c>
      <c r="F44" s="147">
        <f t="shared" si="11"/>
        <v>15000000</v>
      </c>
      <c r="G44" s="147">
        <f t="shared" si="11"/>
        <v>15000000</v>
      </c>
      <c r="H44" s="147">
        <f t="shared" si="11"/>
        <v>15000000</v>
      </c>
    </row>
    <row r="45" spans="1:9" x14ac:dyDescent="0.35">
      <c r="A45" s="140">
        <v>1</v>
      </c>
      <c r="B45" s="141" t="s">
        <v>272</v>
      </c>
      <c r="C45" s="143"/>
      <c r="D45" s="143">
        <f>E45+F45</f>
        <v>320000000</v>
      </c>
      <c r="E45" s="143">
        <v>305000000</v>
      </c>
      <c r="F45" s="143">
        <v>15000000</v>
      </c>
      <c r="G45" s="143">
        <v>15000000</v>
      </c>
      <c r="H45" s="143">
        <v>15000000</v>
      </c>
    </row>
    <row r="46" spans="1:9" s="148" customFormat="1" ht="46.5" x14ac:dyDescent="0.35">
      <c r="A46" s="145"/>
      <c r="B46" s="146" t="s">
        <v>281</v>
      </c>
      <c r="C46" s="154"/>
      <c r="D46" s="154">
        <f>D47</f>
        <v>251000000</v>
      </c>
      <c r="E46" s="154">
        <f t="shared" ref="E46:H46" si="12">E47</f>
        <v>239000000</v>
      </c>
      <c r="F46" s="154">
        <f t="shared" si="12"/>
        <v>12000000</v>
      </c>
      <c r="G46" s="154">
        <f t="shared" si="12"/>
        <v>12000000</v>
      </c>
      <c r="H46" s="154">
        <f t="shared" si="12"/>
        <v>12000000</v>
      </c>
    </row>
    <row r="47" spans="1:9" x14ac:dyDescent="0.35">
      <c r="A47" s="140">
        <v>1</v>
      </c>
      <c r="B47" s="141" t="s">
        <v>38</v>
      </c>
      <c r="C47" s="142"/>
      <c r="D47" s="142">
        <f>E47+F47</f>
        <v>251000000</v>
      </c>
      <c r="E47" s="142">
        <v>239000000</v>
      </c>
      <c r="F47" s="142">
        <v>12000000</v>
      </c>
      <c r="G47" s="142">
        <v>12000000</v>
      </c>
      <c r="H47" s="142">
        <v>12000000</v>
      </c>
    </row>
    <row r="48" spans="1:9" s="126" customFormat="1" ht="30" x14ac:dyDescent="0.35">
      <c r="A48" s="137" t="s">
        <v>140</v>
      </c>
      <c r="B48" s="138" t="s">
        <v>282</v>
      </c>
      <c r="C48" s="144">
        <v>7644000000</v>
      </c>
      <c r="D48" s="144">
        <f>SUM(D49:D51)</f>
        <v>3940000000</v>
      </c>
      <c r="E48" s="144">
        <f t="shared" ref="E48:H48" si="13">SUM(E49:E51)</f>
        <v>2751000000</v>
      </c>
      <c r="F48" s="144">
        <f t="shared" si="13"/>
        <v>1189000000</v>
      </c>
      <c r="G48" s="144">
        <f t="shared" si="13"/>
        <v>17738412</v>
      </c>
      <c r="H48" s="144">
        <f t="shared" si="13"/>
        <v>17533808</v>
      </c>
      <c r="I48" s="155"/>
    </row>
    <row r="49" spans="1:9" x14ac:dyDescent="0.35">
      <c r="A49" s="140">
        <v>1</v>
      </c>
      <c r="B49" s="141" t="s">
        <v>29</v>
      </c>
      <c r="C49" s="143"/>
      <c r="D49" s="143">
        <f>E49+F49</f>
        <v>2170000000</v>
      </c>
      <c r="E49" s="143">
        <v>1515000000</v>
      </c>
      <c r="F49" s="143">
        <v>655000000</v>
      </c>
      <c r="G49" s="143">
        <v>4381569</v>
      </c>
      <c r="H49" s="143">
        <v>4381569</v>
      </c>
      <c r="I49" s="136"/>
    </row>
    <row r="50" spans="1:9" x14ac:dyDescent="0.35">
      <c r="A50" s="140">
        <v>2</v>
      </c>
      <c r="B50" s="141" t="s">
        <v>31</v>
      </c>
      <c r="C50" s="142"/>
      <c r="D50" s="142">
        <v>1100000000</v>
      </c>
      <c r="E50" s="142">
        <v>768000000</v>
      </c>
      <c r="F50" s="142">
        <v>332000000</v>
      </c>
      <c r="G50" s="142">
        <v>204604</v>
      </c>
      <c r="H50" s="142"/>
    </row>
    <row r="51" spans="1:9" x14ac:dyDescent="0.35">
      <c r="A51" s="156">
        <v>3</v>
      </c>
      <c r="B51" s="157" t="s">
        <v>35</v>
      </c>
      <c r="C51" s="158"/>
      <c r="D51" s="158">
        <f>E51+F51</f>
        <v>670000000</v>
      </c>
      <c r="E51" s="158">
        <v>468000000</v>
      </c>
      <c r="F51" s="158">
        <v>202000000</v>
      </c>
      <c r="G51" s="158">
        <v>13152239</v>
      </c>
      <c r="H51" s="158">
        <v>13152239</v>
      </c>
    </row>
    <row r="52" spans="1:9" x14ac:dyDescent="0.35">
      <c r="D52" s="136"/>
    </row>
  </sheetData>
  <mergeCells count="13">
    <mergeCell ref="A9:B9"/>
    <mergeCell ref="G1:H1"/>
    <mergeCell ref="D5:F5"/>
    <mergeCell ref="D6:D7"/>
    <mergeCell ref="E6:F6"/>
    <mergeCell ref="A2:H2"/>
    <mergeCell ref="A3:H3"/>
    <mergeCell ref="G4:H4"/>
    <mergeCell ref="A5:A7"/>
    <mergeCell ref="B5:B7"/>
    <mergeCell ref="C5:C7"/>
    <mergeCell ref="G5:G7"/>
    <mergeCell ref="H5:H7"/>
  </mergeCells>
  <pageMargins left="0.7" right="0.27" top="0.46" bottom="0.52" header="0.3" footer="0.23"/>
  <pageSetup paperSize="8" firstPageNumber="46"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6"/>
  <sheetViews>
    <sheetView topLeftCell="A5" zoomScaleNormal="100" workbookViewId="0">
      <pane xSplit="2" ySplit="3" topLeftCell="C8" activePane="bottomRight" state="frozen"/>
      <selection activeCell="A5" sqref="A5"/>
      <selection pane="topRight" activeCell="C5" sqref="C5"/>
      <selection pane="bottomLeft" activeCell="A8" sqref="A8"/>
      <selection pane="bottomRight" activeCell="K9" sqref="K9"/>
    </sheetView>
  </sheetViews>
  <sheetFormatPr defaultColWidth="9" defaultRowHeight="15.5" x14ac:dyDescent="0.35"/>
  <cols>
    <col min="1" max="1" width="5.5" style="11" customWidth="1"/>
    <col min="2" max="2" width="52.08203125" style="11" customWidth="1"/>
    <col min="3" max="10" width="16.75" style="11" customWidth="1"/>
    <col min="11" max="11" width="12.33203125" style="11" customWidth="1"/>
    <col min="12" max="16384" width="9" style="11"/>
  </cols>
  <sheetData>
    <row r="1" spans="1:11" ht="21.75" customHeight="1" x14ac:dyDescent="0.35">
      <c r="A1" s="3" t="s">
        <v>55</v>
      </c>
      <c r="F1" s="3"/>
      <c r="G1" s="342"/>
      <c r="H1" s="342"/>
      <c r="I1" s="342" t="s">
        <v>77</v>
      </c>
      <c r="J1" s="342"/>
    </row>
    <row r="2" spans="1:11" ht="33" customHeight="1" x14ac:dyDescent="0.35">
      <c r="A2" s="343" t="s">
        <v>76</v>
      </c>
      <c r="B2" s="343"/>
      <c r="C2" s="343"/>
      <c r="D2" s="343"/>
      <c r="E2" s="343"/>
      <c r="F2" s="343"/>
      <c r="G2" s="343"/>
      <c r="H2" s="343"/>
      <c r="I2" s="343"/>
      <c r="J2" s="343"/>
    </row>
    <row r="3" spans="1:11" ht="18.75" customHeight="1" x14ac:dyDescent="0.35">
      <c r="A3" s="345" t="s">
        <v>81</v>
      </c>
      <c r="B3" s="345"/>
      <c r="C3" s="345"/>
      <c r="D3" s="345"/>
      <c r="E3" s="345"/>
      <c r="F3" s="345"/>
      <c r="G3" s="345"/>
      <c r="H3" s="345"/>
      <c r="I3" s="345"/>
      <c r="J3" s="345"/>
    </row>
    <row r="4" spans="1:11" ht="18.75" customHeight="1" x14ac:dyDescent="0.35">
      <c r="G4" s="344"/>
      <c r="H4" s="344"/>
      <c r="I4" s="344" t="s">
        <v>78</v>
      </c>
      <c r="J4" s="344"/>
    </row>
    <row r="5" spans="1:11" ht="15.75" customHeight="1" x14ac:dyDescent="0.35">
      <c r="A5" s="349" t="s">
        <v>0</v>
      </c>
      <c r="B5" s="349" t="s">
        <v>3</v>
      </c>
      <c r="C5" s="349" t="s">
        <v>72</v>
      </c>
      <c r="D5" s="346" t="s">
        <v>83</v>
      </c>
      <c r="E5" s="346" t="s">
        <v>80</v>
      </c>
      <c r="F5" s="349" t="s">
        <v>73</v>
      </c>
      <c r="G5" s="349"/>
      <c r="H5" s="346" t="s">
        <v>79</v>
      </c>
      <c r="I5" s="349" t="s">
        <v>73</v>
      </c>
      <c r="J5" s="349"/>
    </row>
    <row r="6" spans="1:11" ht="19.5" customHeight="1" x14ac:dyDescent="0.35">
      <c r="A6" s="349"/>
      <c r="B6" s="349"/>
      <c r="C6" s="349"/>
      <c r="D6" s="347"/>
      <c r="E6" s="347"/>
      <c r="F6" s="349"/>
      <c r="G6" s="349"/>
      <c r="H6" s="347"/>
      <c r="I6" s="349"/>
      <c r="J6" s="349"/>
    </row>
    <row r="7" spans="1:11" ht="48" customHeight="1" x14ac:dyDescent="0.35">
      <c r="A7" s="349"/>
      <c r="B7" s="349"/>
      <c r="C7" s="349"/>
      <c r="D7" s="348"/>
      <c r="E7" s="348"/>
      <c r="F7" s="12" t="s">
        <v>74</v>
      </c>
      <c r="G7" s="12" t="s">
        <v>75</v>
      </c>
      <c r="H7" s="348"/>
      <c r="I7" s="12" t="s">
        <v>82</v>
      </c>
      <c r="J7" s="12" t="s">
        <v>75</v>
      </c>
    </row>
    <row r="8" spans="1:11" s="48" customFormat="1" ht="18" customHeight="1" x14ac:dyDescent="0.35">
      <c r="A8" s="46" t="s">
        <v>4</v>
      </c>
      <c r="B8" s="46" t="s">
        <v>5</v>
      </c>
      <c r="C8" s="46">
        <v>1</v>
      </c>
      <c r="D8" s="46">
        <v>2</v>
      </c>
      <c r="E8" s="46">
        <v>3</v>
      </c>
      <c r="F8" s="46">
        <v>4</v>
      </c>
      <c r="G8" s="46">
        <v>5</v>
      </c>
      <c r="H8" s="46">
        <v>6</v>
      </c>
      <c r="I8" s="47">
        <v>7</v>
      </c>
      <c r="J8" s="47">
        <v>8</v>
      </c>
    </row>
    <row r="9" spans="1:11" ht="25.5" customHeight="1" x14ac:dyDescent="0.35">
      <c r="A9" s="350" t="s">
        <v>6</v>
      </c>
      <c r="B9" s="350"/>
      <c r="C9" s="13">
        <f t="shared" ref="C9:J9" si="0">C10+C91</f>
        <v>159960830741</v>
      </c>
      <c r="D9" s="13">
        <f t="shared" si="0"/>
        <v>34638506151</v>
      </c>
      <c r="E9" s="13">
        <f t="shared" si="0"/>
        <v>125320039643</v>
      </c>
      <c r="F9" s="13">
        <f t="shared" si="0"/>
        <v>121551194643</v>
      </c>
      <c r="G9" s="13">
        <f t="shared" si="0"/>
        <v>3768845000</v>
      </c>
      <c r="H9" s="13">
        <f t="shared" si="0"/>
        <v>2127730135</v>
      </c>
      <c r="I9" s="13">
        <f t="shared" si="0"/>
        <v>1652876</v>
      </c>
      <c r="J9" s="13">
        <f t="shared" si="0"/>
        <v>2125877259</v>
      </c>
      <c r="K9" s="45"/>
    </row>
    <row r="10" spans="1:11" ht="25.5" customHeight="1" x14ac:dyDescent="0.35">
      <c r="A10" s="14" t="s">
        <v>1</v>
      </c>
      <c r="B10" s="15" t="s">
        <v>84</v>
      </c>
      <c r="C10" s="16">
        <f t="shared" ref="C10:J10" si="1">C11+C17+C20+C25+C30+C33+C38+C42+C46+C50+C53+C56+C59+C62+C65+C68+C71+C76+C79+C82+C85+C88</f>
        <v>10447420000</v>
      </c>
      <c r="D10" s="16">
        <f t="shared" si="1"/>
        <v>4765268230</v>
      </c>
      <c r="E10" s="16">
        <f t="shared" si="1"/>
        <v>5682151770</v>
      </c>
      <c r="F10" s="16">
        <f t="shared" si="1"/>
        <v>5682151770</v>
      </c>
      <c r="G10" s="16">
        <f t="shared" si="1"/>
        <v>0</v>
      </c>
      <c r="H10" s="16">
        <f t="shared" si="1"/>
        <v>714580000</v>
      </c>
      <c r="I10" s="16">
        <f t="shared" si="1"/>
        <v>0</v>
      </c>
      <c r="J10" s="16">
        <f t="shared" si="1"/>
        <v>714580000</v>
      </c>
      <c r="K10" s="45"/>
    </row>
    <row r="11" spans="1:11" s="3" customFormat="1" ht="15" x14ac:dyDescent="0.35">
      <c r="A11" s="7">
        <v>1</v>
      </c>
      <c r="B11" s="17" t="s">
        <v>56</v>
      </c>
      <c r="C11" s="8">
        <f>C12+C14</f>
        <v>2064000000</v>
      </c>
      <c r="D11" s="8">
        <f t="shared" ref="D11:J11" si="2">D12+D14</f>
        <v>1758037740</v>
      </c>
      <c r="E11" s="8">
        <f t="shared" si="2"/>
        <v>305962260</v>
      </c>
      <c r="F11" s="8">
        <f t="shared" si="2"/>
        <v>305962260</v>
      </c>
      <c r="G11" s="8">
        <f t="shared" si="2"/>
        <v>0</v>
      </c>
      <c r="H11" s="8">
        <f t="shared" si="2"/>
        <v>10000000</v>
      </c>
      <c r="I11" s="8">
        <f t="shared" si="2"/>
        <v>0</v>
      </c>
      <c r="J11" s="8">
        <f t="shared" si="2"/>
        <v>10000000</v>
      </c>
    </row>
    <row r="12" spans="1:11" ht="31" x14ac:dyDescent="0.35">
      <c r="A12" s="18" t="s">
        <v>57</v>
      </c>
      <c r="B12" s="19" t="s">
        <v>22</v>
      </c>
      <c r="C12" s="20">
        <f>C13</f>
        <v>329000000</v>
      </c>
      <c r="D12" s="20">
        <f t="shared" ref="D12:J12" si="3">D13</f>
        <v>329000000</v>
      </c>
      <c r="E12" s="20">
        <f t="shared" si="3"/>
        <v>0</v>
      </c>
      <c r="F12" s="20">
        <f t="shared" si="3"/>
        <v>0</v>
      </c>
      <c r="G12" s="20">
        <f t="shared" si="3"/>
        <v>0</v>
      </c>
      <c r="H12" s="20">
        <f t="shared" si="3"/>
        <v>0</v>
      </c>
      <c r="I12" s="20">
        <f t="shared" si="3"/>
        <v>0</v>
      </c>
      <c r="J12" s="20">
        <f t="shared" si="3"/>
        <v>0</v>
      </c>
    </row>
    <row r="13" spans="1:11" ht="31" x14ac:dyDescent="0.35">
      <c r="A13" s="18"/>
      <c r="B13" s="19" t="s">
        <v>23</v>
      </c>
      <c r="C13" s="22">
        <v>329000000</v>
      </c>
      <c r="D13" s="22">
        <v>329000000</v>
      </c>
      <c r="E13" s="22">
        <v>0</v>
      </c>
      <c r="F13" s="22"/>
      <c r="G13" s="22"/>
      <c r="H13" s="22"/>
      <c r="I13" s="21"/>
      <c r="J13" s="21"/>
    </row>
    <row r="14" spans="1:11" ht="46.5" x14ac:dyDescent="0.35">
      <c r="A14" s="18" t="s">
        <v>58</v>
      </c>
      <c r="B14" s="19" t="s">
        <v>24</v>
      </c>
      <c r="C14" s="20">
        <f t="shared" ref="C14:J14" si="4">SUM(C15:C16)</f>
        <v>1735000000</v>
      </c>
      <c r="D14" s="20">
        <f t="shared" si="4"/>
        <v>1429037740</v>
      </c>
      <c r="E14" s="20">
        <f t="shared" si="4"/>
        <v>305962260</v>
      </c>
      <c r="F14" s="20">
        <f t="shared" si="4"/>
        <v>305962260</v>
      </c>
      <c r="G14" s="20">
        <f t="shared" si="4"/>
        <v>0</v>
      </c>
      <c r="H14" s="20">
        <f t="shared" si="4"/>
        <v>10000000</v>
      </c>
      <c r="I14" s="20">
        <f t="shared" si="4"/>
        <v>0</v>
      </c>
      <c r="J14" s="20">
        <f t="shared" si="4"/>
        <v>10000000</v>
      </c>
    </row>
    <row r="15" spans="1:11" ht="93" x14ac:dyDescent="0.35">
      <c r="A15" s="18" t="s">
        <v>8</v>
      </c>
      <c r="B15" s="19" t="s">
        <v>25</v>
      </c>
      <c r="C15" s="22">
        <v>1483000000</v>
      </c>
      <c r="D15" s="22">
        <v>1319924840</v>
      </c>
      <c r="E15" s="22">
        <v>163075160</v>
      </c>
      <c r="F15" s="22">
        <v>163075160</v>
      </c>
      <c r="G15" s="22"/>
      <c r="H15" s="22"/>
      <c r="I15" s="21"/>
      <c r="J15" s="21"/>
    </row>
    <row r="16" spans="1:11" ht="31" x14ac:dyDescent="0.35">
      <c r="A16" s="18" t="s">
        <v>8</v>
      </c>
      <c r="B16" s="19" t="s">
        <v>27</v>
      </c>
      <c r="C16" s="20">
        <f>262000000-10000000</f>
        <v>252000000</v>
      </c>
      <c r="D16" s="20">
        <v>109112900</v>
      </c>
      <c r="E16" s="20">
        <f>152887100-10000000</f>
        <v>142887100</v>
      </c>
      <c r="F16" s="20">
        <v>142887100</v>
      </c>
      <c r="G16" s="20"/>
      <c r="H16" s="20">
        <v>10000000</v>
      </c>
      <c r="I16" s="21"/>
      <c r="J16" s="21">
        <v>10000000</v>
      </c>
    </row>
    <row r="17" spans="1:10" s="3" customFormat="1" ht="15" x14ac:dyDescent="0.35">
      <c r="A17" s="7">
        <v>2</v>
      </c>
      <c r="B17" s="17" t="s">
        <v>43</v>
      </c>
      <c r="C17" s="23">
        <f>C18</f>
        <v>10000000</v>
      </c>
      <c r="D17" s="23">
        <f t="shared" ref="D17:J18" si="5">D18</f>
        <v>0</v>
      </c>
      <c r="E17" s="23">
        <f t="shared" si="5"/>
        <v>10000000</v>
      </c>
      <c r="F17" s="23">
        <f t="shared" si="5"/>
        <v>10000000</v>
      </c>
      <c r="G17" s="23">
        <f t="shared" si="5"/>
        <v>0</v>
      </c>
      <c r="H17" s="23">
        <f t="shared" si="5"/>
        <v>1000000</v>
      </c>
      <c r="I17" s="23">
        <f t="shared" si="5"/>
        <v>0</v>
      </c>
      <c r="J17" s="23">
        <f t="shared" si="5"/>
        <v>1000000</v>
      </c>
    </row>
    <row r="18" spans="1:10" ht="46.5" x14ac:dyDescent="0.35">
      <c r="A18" s="18"/>
      <c r="B18" s="19" t="s">
        <v>24</v>
      </c>
      <c r="C18" s="10">
        <f>C19</f>
        <v>10000000</v>
      </c>
      <c r="D18" s="10">
        <f t="shared" si="5"/>
        <v>0</v>
      </c>
      <c r="E18" s="10">
        <f t="shared" si="5"/>
        <v>10000000</v>
      </c>
      <c r="F18" s="10">
        <f t="shared" si="5"/>
        <v>10000000</v>
      </c>
      <c r="G18" s="10">
        <f t="shared" si="5"/>
        <v>0</v>
      </c>
      <c r="H18" s="10">
        <f t="shared" si="5"/>
        <v>1000000</v>
      </c>
      <c r="I18" s="10">
        <f t="shared" si="5"/>
        <v>0</v>
      </c>
      <c r="J18" s="10">
        <f t="shared" si="5"/>
        <v>1000000</v>
      </c>
    </row>
    <row r="19" spans="1:10" ht="31" x14ac:dyDescent="0.35">
      <c r="A19" s="18" t="s">
        <v>8</v>
      </c>
      <c r="B19" s="19" t="s">
        <v>27</v>
      </c>
      <c r="C19" s="24">
        <f>11000000-1000000</f>
        <v>10000000</v>
      </c>
      <c r="D19" s="24">
        <v>0</v>
      </c>
      <c r="E19" s="24">
        <f>F19+G19</f>
        <v>10000000</v>
      </c>
      <c r="F19" s="24">
        <v>10000000</v>
      </c>
      <c r="G19" s="24">
        <v>0</v>
      </c>
      <c r="H19" s="24">
        <f>I19+J19</f>
        <v>1000000</v>
      </c>
      <c r="I19" s="24">
        <v>0</v>
      </c>
      <c r="J19" s="24">
        <v>1000000</v>
      </c>
    </row>
    <row r="20" spans="1:10" s="3" customFormat="1" ht="15" x14ac:dyDescent="0.35">
      <c r="A20" s="7">
        <v>3</v>
      </c>
      <c r="B20" s="17" t="s">
        <v>36</v>
      </c>
      <c r="C20" s="25">
        <f>C21+C23</f>
        <v>2832000000</v>
      </c>
      <c r="D20" s="25">
        <f t="shared" ref="D20:J20" si="6">D21+D23</f>
        <v>4078420</v>
      </c>
      <c r="E20" s="25">
        <f t="shared" si="6"/>
        <v>2827921580</v>
      </c>
      <c r="F20" s="25">
        <f t="shared" si="6"/>
        <v>2827921580</v>
      </c>
      <c r="G20" s="25">
        <f t="shared" si="6"/>
        <v>0</v>
      </c>
      <c r="H20" s="25">
        <f t="shared" si="6"/>
        <v>553000000</v>
      </c>
      <c r="I20" s="25">
        <f t="shared" si="6"/>
        <v>0</v>
      </c>
      <c r="J20" s="25">
        <f t="shared" si="6"/>
        <v>553000000</v>
      </c>
    </row>
    <row r="21" spans="1:10" ht="46.5" x14ac:dyDescent="0.35">
      <c r="A21" s="18" t="s">
        <v>59</v>
      </c>
      <c r="B21" s="19" t="s">
        <v>10</v>
      </c>
      <c r="C21" s="10">
        <f>C22</f>
        <v>2805000000</v>
      </c>
      <c r="D21" s="10">
        <f t="shared" ref="D21:J21" si="7">D22</f>
        <v>0</v>
      </c>
      <c r="E21" s="10">
        <f t="shared" si="7"/>
        <v>2805000000</v>
      </c>
      <c r="F21" s="10">
        <f t="shared" si="7"/>
        <v>2805000000</v>
      </c>
      <c r="G21" s="10">
        <f t="shared" si="7"/>
        <v>0</v>
      </c>
      <c r="H21" s="10">
        <f t="shared" si="7"/>
        <v>552000000</v>
      </c>
      <c r="I21" s="10">
        <f t="shared" si="7"/>
        <v>0</v>
      </c>
      <c r="J21" s="10">
        <f t="shared" si="7"/>
        <v>552000000</v>
      </c>
    </row>
    <row r="22" spans="1:10" ht="62" x14ac:dyDescent="0.35">
      <c r="A22" s="18" t="s">
        <v>8</v>
      </c>
      <c r="B22" s="19" t="s">
        <v>87</v>
      </c>
      <c r="C22" s="10">
        <f>3357000000-552000000</f>
        <v>2805000000</v>
      </c>
      <c r="D22" s="10">
        <v>0</v>
      </c>
      <c r="E22" s="10">
        <v>2805000000</v>
      </c>
      <c r="F22" s="10">
        <v>2805000000</v>
      </c>
      <c r="G22" s="10">
        <v>0</v>
      </c>
      <c r="H22" s="10">
        <v>552000000</v>
      </c>
      <c r="I22" s="1">
        <v>0</v>
      </c>
      <c r="J22" s="1">
        <v>552000000</v>
      </c>
    </row>
    <row r="23" spans="1:10" ht="46.5" x14ac:dyDescent="0.35">
      <c r="A23" s="18" t="s">
        <v>60</v>
      </c>
      <c r="B23" s="19" t="s">
        <v>24</v>
      </c>
      <c r="C23" s="10">
        <f>C24</f>
        <v>27000000</v>
      </c>
      <c r="D23" s="10">
        <f t="shared" ref="D23:J23" si="8">D24</f>
        <v>4078420</v>
      </c>
      <c r="E23" s="10">
        <f t="shared" si="8"/>
        <v>22921580</v>
      </c>
      <c r="F23" s="10">
        <f t="shared" si="8"/>
        <v>22921580</v>
      </c>
      <c r="G23" s="10">
        <f t="shared" si="8"/>
        <v>0</v>
      </c>
      <c r="H23" s="10">
        <f t="shared" si="8"/>
        <v>1000000</v>
      </c>
      <c r="I23" s="10">
        <f t="shared" si="8"/>
        <v>0</v>
      </c>
      <c r="J23" s="10">
        <f t="shared" si="8"/>
        <v>1000000</v>
      </c>
    </row>
    <row r="24" spans="1:10" ht="31" x14ac:dyDescent="0.35">
      <c r="A24" s="18" t="s">
        <v>8</v>
      </c>
      <c r="B24" s="19" t="s">
        <v>27</v>
      </c>
      <c r="C24" s="10">
        <f>28000000-1000000</f>
        <v>27000000</v>
      </c>
      <c r="D24" s="10">
        <v>4078420</v>
      </c>
      <c r="E24" s="10">
        <v>22921580</v>
      </c>
      <c r="F24" s="10">
        <v>22921580</v>
      </c>
      <c r="G24" s="10"/>
      <c r="H24" s="10">
        <v>1000000</v>
      </c>
      <c r="I24" s="1"/>
      <c r="J24" s="1">
        <v>1000000</v>
      </c>
    </row>
    <row r="25" spans="1:10" s="3" customFormat="1" ht="15" x14ac:dyDescent="0.35">
      <c r="A25" s="7">
        <v>4</v>
      </c>
      <c r="B25" s="17" t="s">
        <v>37</v>
      </c>
      <c r="C25" s="8">
        <f>C26+C28</f>
        <v>480000000</v>
      </c>
      <c r="D25" s="8">
        <f t="shared" ref="D25:J25" si="9">D26+D28</f>
        <v>0</v>
      </c>
      <c r="E25" s="8">
        <f t="shared" si="9"/>
        <v>480000000</v>
      </c>
      <c r="F25" s="8">
        <f t="shared" si="9"/>
        <v>480000000</v>
      </c>
      <c r="G25" s="8">
        <f t="shared" si="9"/>
        <v>0</v>
      </c>
      <c r="H25" s="8">
        <f t="shared" si="9"/>
        <v>35000000</v>
      </c>
      <c r="I25" s="8">
        <f t="shared" si="9"/>
        <v>0</v>
      </c>
      <c r="J25" s="8">
        <f t="shared" si="9"/>
        <v>35000000</v>
      </c>
    </row>
    <row r="26" spans="1:10" ht="31" x14ac:dyDescent="0.35">
      <c r="A26" s="18" t="s">
        <v>9</v>
      </c>
      <c r="B26" s="19" t="s">
        <v>15</v>
      </c>
      <c r="C26" s="10">
        <f>C27</f>
        <v>470000000</v>
      </c>
      <c r="D26" s="10">
        <f t="shared" ref="D26:J26" si="10">D27</f>
        <v>0</v>
      </c>
      <c r="E26" s="10">
        <f t="shared" si="10"/>
        <v>470000000</v>
      </c>
      <c r="F26" s="10">
        <f t="shared" si="10"/>
        <v>470000000</v>
      </c>
      <c r="G26" s="10">
        <f t="shared" si="10"/>
        <v>0</v>
      </c>
      <c r="H26" s="10">
        <f t="shared" si="10"/>
        <v>34000000</v>
      </c>
      <c r="I26" s="10">
        <f t="shared" si="10"/>
        <v>0</v>
      </c>
      <c r="J26" s="10">
        <f t="shared" si="10"/>
        <v>34000000</v>
      </c>
    </row>
    <row r="27" spans="1:10" ht="62" x14ac:dyDescent="0.35">
      <c r="A27" s="18"/>
      <c r="B27" s="19" t="s">
        <v>16</v>
      </c>
      <c r="C27" s="10">
        <f>504000000-34000000</f>
        <v>470000000</v>
      </c>
      <c r="D27" s="10">
        <v>0</v>
      </c>
      <c r="E27" s="10">
        <v>470000000</v>
      </c>
      <c r="F27" s="10">
        <v>470000000</v>
      </c>
      <c r="G27" s="10">
        <v>0</v>
      </c>
      <c r="H27" s="10">
        <v>34000000</v>
      </c>
      <c r="I27" s="1"/>
      <c r="J27" s="24">
        <v>34000000</v>
      </c>
    </row>
    <row r="28" spans="1:10" ht="46.5" x14ac:dyDescent="0.35">
      <c r="A28" s="18" t="s">
        <v>9</v>
      </c>
      <c r="B28" s="19" t="s">
        <v>24</v>
      </c>
      <c r="C28" s="10">
        <f>C29</f>
        <v>10000000</v>
      </c>
      <c r="D28" s="10">
        <f t="shared" ref="D28:J28" si="11">D29</f>
        <v>0</v>
      </c>
      <c r="E28" s="10">
        <f t="shared" si="11"/>
        <v>10000000</v>
      </c>
      <c r="F28" s="10">
        <f t="shared" si="11"/>
        <v>10000000</v>
      </c>
      <c r="G28" s="10">
        <f t="shared" si="11"/>
        <v>0</v>
      </c>
      <c r="H28" s="10">
        <f t="shared" si="11"/>
        <v>1000000</v>
      </c>
      <c r="I28" s="10">
        <f t="shared" si="11"/>
        <v>0</v>
      </c>
      <c r="J28" s="10">
        <f t="shared" si="11"/>
        <v>1000000</v>
      </c>
    </row>
    <row r="29" spans="1:10" ht="31" x14ac:dyDescent="0.35">
      <c r="A29" s="18"/>
      <c r="B29" s="19" t="s">
        <v>27</v>
      </c>
      <c r="C29" s="10">
        <f>11000000-1000000</f>
        <v>10000000</v>
      </c>
      <c r="D29" s="10">
        <v>0</v>
      </c>
      <c r="E29" s="10">
        <v>10000000</v>
      </c>
      <c r="F29" s="10">
        <v>10000000</v>
      </c>
      <c r="G29" s="10">
        <v>0</v>
      </c>
      <c r="H29" s="10">
        <v>1000000</v>
      </c>
      <c r="I29" s="1"/>
      <c r="J29" s="24">
        <v>1000000</v>
      </c>
    </row>
    <row r="30" spans="1:10" s="3" customFormat="1" ht="15" x14ac:dyDescent="0.35">
      <c r="A30" s="7">
        <v>5</v>
      </c>
      <c r="B30" s="17" t="s">
        <v>44</v>
      </c>
      <c r="C30" s="8">
        <f>C31</f>
        <v>11000000</v>
      </c>
      <c r="D30" s="8">
        <f t="shared" ref="D30:J31" si="12">D31</f>
        <v>11000000</v>
      </c>
      <c r="E30" s="8">
        <f t="shared" si="12"/>
        <v>0</v>
      </c>
      <c r="F30" s="8">
        <f t="shared" si="12"/>
        <v>0</v>
      </c>
      <c r="G30" s="8">
        <f t="shared" si="12"/>
        <v>0</v>
      </c>
      <c r="H30" s="8">
        <f t="shared" si="12"/>
        <v>0</v>
      </c>
      <c r="I30" s="8">
        <f t="shared" si="12"/>
        <v>0</v>
      </c>
      <c r="J30" s="8">
        <f t="shared" si="12"/>
        <v>0</v>
      </c>
    </row>
    <row r="31" spans="1:10" ht="46.5" x14ac:dyDescent="0.35">
      <c r="A31" s="18" t="s">
        <v>9</v>
      </c>
      <c r="B31" s="19" t="s">
        <v>24</v>
      </c>
      <c r="C31" s="10">
        <f>C32</f>
        <v>11000000</v>
      </c>
      <c r="D31" s="10">
        <f t="shared" si="12"/>
        <v>11000000</v>
      </c>
      <c r="E31" s="10">
        <f t="shared" si="12"/>
        <v>0</v>
      </c>
      <c r="F31" s="10">
        <f t="shared" si="12"/>
        <v>0</v>
      </c>
      <c r="G31" s="10">
        <f t="shared" si="12"/>
        <v>0</v>
      </c>
      <c r="H31" s="10">
        <f t="shared" si="12"/>
        <v>0</v>
      </c>
      <c r="I31" s="10">
        <f t="shared" si="12"/>
        <v>0</v>
      </c>
      <c r="J31" s="10">
        <f t="shared" si="12"/>
        <v>0</v>
      </c>
    </row>
    <row r="32" spans="1:10" ht="31" x14ac:dyDescent="0.35">
      <c r="A32" s="18"/>
      <c r="B32" s="19" t="s">
        <v>27</v>
      </c>
      <c r="C32" s="10">
        <v>11000000</v>
      </c>
      <c r="D32" s="10">
        <v>11000000</v>
      </c>
      <c r="E32" s="10"/>
      <c r="F32" s="10"/>
      <c r="G32" s="10"/>
      <c r="H32" s="10"/>
      <c r="I32" s="1"/>
      <c r="J32" s="1"/>
    </row>
    <row r="33" spans="1:10" s="3" customFormat="1" ht="15" x14ac:dyDescent="0.35">
      <c r="A33" s="7">
        <v>6</v>
      </c>
      <c r="B33" s="17" t="s">
        <v>39</v>
      </c>
      <c r="C33" s="8">
        <f>C34+C36</f>
        <v>428000000</v>
      </c>
      <c r="D33" s="8">
        <f t="shared" ref="D33:J33" si="13">D34+D36</f>
        <v>140116030</v>
      </c>
      <c r="E33" s="8">
        <f t="shared" si="13"/>
        <v>287883970</v>
      </c>
      <c r="F33" s="8">
        <f t="shared" si="13"/>
        <v>287883970</v>
      </c>
      <c r="G33" s="8">
        <f t="shared" si="13"/>
        <v>0</v>
      </c>
      <c r="H33" s="8">
        <f t="shared" si="13"/>
        <v>31000000</v>
      </c>
      <c r="I33" s="8">
        <f t="shared" si="13"/>
        <v>0</v>
      </c>
      <c r="J33" s="8">
        <f t="shared" si="13"/>
        <v>31000000</v>
      </c>
    </row>
    <row r="34" spans="1:10" ht="31" x14ac:dyDescent="0.35">
      <c r="A34" s="18" t="s">
        <v>9</v>
      </c>
      <c r="B34" s="19" t="s">
        <v>15</v>
      </c>
      <c r="C34" s="10">
        <f>C35</f>
        <v>418000000</v>
      </c>
      <c r="D34" s="10">
        <f t="shared" ref="D34:J34" si="14">D35</f>
        <v>130732000</v>
      </c>
      <c r="E34" s="10">
        <f t="shared" si="14"/>
        <v>287268000</v>
      </c>
      <c r="F34" s="10">
        <f t="shared" si="14"/>
        <v>287268000</v>
      </c>
      <c r="G34" s="10">
        <f t="shared" si="14"/>
        <v>0</v>
      </c>
      <c r="H34" s="10">
        <f t="shared" si="14"/>
        <v>30000000</v>
      </c>
      <c r="I34" s="10">
        <f t="shared" si="14"/>
        <v>0</v>
      </c>
      <c r="J34" s="10">
        <f t="shared" si="14"/>
        <v>30000000</v>
      </c>
    </row>
    <row r="35" spans="1:10" ht="46.5" x14ac:dyDescent="0.35">
      <c r="A35" s="18"/>
      <c r="B35" s="19" t="s">
        <v>18</v>
      </c>
      <c r="C35" s="10">
        <f>448000000-30000000</f>
        <v>418000000</v>
      </c>
      <c r="D35" s="10">
        <v>130732000</v>
      </c>
      <c r="E35" s="10">
        <v>287268000</v>
      </c>
      <c r="F35" s="10">
        <v>287268000</v>
      </c>
      <c r="G35" s="10"/>
      <c r="H35" s="10">
        <v>30000000</v>
      </c>
      <c r="I35" s="1"/>
      <c r="J35" s="10">
        <v>30000000</v>
      </c>
    </row>
    <row r="36" spans="1:10" ht="46.5" x14ac:dyDescent="0.35">
      <c r="A36" s="18" t="s">
        <v>9</v>
      </c>
      <c r="B36" s="19" t="s">
        <v>24</v>
      </c>
      <c r="C36" s="10">
        <f>C37</f>
        <v>10000000</v>
      </c>
      <c r="D36" s="10">
        <f t="shared" ref="D36:J36" si="15">D37</f>
        <v>9384030</v>
      </c>
      <c r="E36" s="10">
        <f t="shared" si="15"/>
        <v>615970</v>
      </c>
      <c r="F36" s="10">
        <f t="shared" si="15"/>
        <v>615970</v>
      </c>
      <c r="G36" s="10">
        <f t="shared" si="15"/>
        <v>0</v>
      </c>
      <c r="H36" s="10">
        <f t="shared" si="15"/>
        <v>1000000</v>
      </c>
      <c r="I36" s="10">
        <f t="shared" si="15"/>
        <v>0</v>
      </c>
      <c r="J36" s="10">
        <f t="shared" si="15"/>
        <v>1000000</v>
      </c>
    </row>
    <row r="37" spans="1:10" ht="31" x14ac:dyDescent="0.35">
      <c r="A37" s="18"/>
      <c r="B37" s="19" t="s">
        <v>27</v>
      </c>
      <c r="C37" s="26">
        <f>11000000-1000000</f>
        <v>10000000</v>
      </c>
      <c r="D37" s="26">
        <v>9384030</v>
      </c>
      <c r="E37" s="26">
        <v>615970</v>
      </c>
      <c r="F37" s="26">
        <v>615970</v>
      </c>
      <c r="G37" s="26"/>
      <c r="H37" s="26">
        <v>1000000</v>
      </c>
      <c r="I37" s="1"/>
      <c r="J37" s="26">
        <v>1000000</v>
      </c>
    </row>
    <row r="38" spans="1:10" s="3" customFormat="1" ht="15" x14ac:dyDescent="0.35">
      <c r="A38" s="7">
        <v>7</v>
      </c>
      <c r="B38" s="17" t="s">
        <v>40</v>
      </c>
      <c r="C38" s="8">
        <f>SUM(C39:C40)</f>
        <v>2647420000</v>
      </c>
      <c r="D38" s="8">
        <f t="shared" ref="D38:J38" si="16">SUM(D39:D40)</f>
        <v>1814316600</v>
      </c>
      <c r="E38" s="8">
        <f t="shared" si="16"/>
        <v>833103400</v>
      </c>
      <c r="F38" s="8">
        <f t="shared" si="16"/>
        <v>833103400</v>
      </c>
      <c r="G38" s="8">
        <f t="shared" si="16"/>
        <v>0</v>
      </c>
      <c r="H38" s="8">
        <f t="shared" si="16"/>
        <v>45580000</v>
      </c>
      <c r="I38" s="8">
        <f t="shared" si="16"/>
        <v>0</v>
      </c>
      <c r="J38" s="8">
        <f t="shared" si="16"/>
        <v>45580000</v>
      </c>
    </row>
    <row r="39" spans="1:10" ht="31" x14ac:dyDescent="0.35">
      <c r="A39" s="18" t="s">
        <v>9</v>
      </c>
      <c r="B39" s="19" t="s">
        <v>19</v>
      </c>
      <c r="C39" s="10">
        <f>2682000000-45580000</f>
        <v>2636420000</v>
      </c>
      <c r="D39" s="10">
        <v>1803316600</v>
      </c>
      <c r="E39" s="10">
        <f>F39+G39</f>
        <v>833103400</v>
      </c>
      <c r="F39" s="10">
        <f>809520000+23583400</f>
        <v>833103400</v>
      </c>
      <c r="G39" s="10">
        <v>0</v>
      </c>
      <c r="H39" s="10">
        <f>I39+J39</f>
        <v>45580000</v>
      </c>
      <c r="I39" s="1">
        <v>0</v>
      </c>
      <c r="J39" s="1">
        <v>45580000</v>
      </c>
    </row>
    <row r="40" spans="1:10" ht="46.5" x14ac:dyDescent="0.35">
      <c r="A40" s="18" t="s">
        <v>9</v>
      </c>
      <c r="B40" s="19" t="s">
        <v>24</v>
      </c>
      <c r="C40" s="10">
        <f>C41</f>
        <v>11000000</v>
      </c>
      <c r="D40" s="10">
        <f t="shared" ref="D40:J40" si="17">D41</f>
        <v>11000000</v>
      </c>
      <c r="E40" s="10">
        <f t="shared" si="17"/>
        <v>0</v>
      </c>
      <c r="F40" s="10">
        <f t="shared" si="17"/>
        <v>0</v>
      </c>
      <c r="G40" s="10">
        <f t="shared" si="17"/>
        <v>0</v>
      </c>
      <c r="H40" s="10">
        <f t="shared" si="17"/>
        <v>0</v>
      </c>
      <c r="I40" s="10">
        <f t="shared" si="17"/>
        <v>0</v>
      </c>
      <c r="J40" s="10">
        <f t="shared" si="17"/>
        <v>0</v>
      </c>
    </row>
    <row r="41" spans="1:10" ht="31" x14ac:dyDescent="0.35">
      <c r="A41" s="18"/>
      <c r="B41" s="19" t="s">
        <v>27</v>
      </c>
      <c r="C41" s="27">
        <v>11000000</v>
      </c>
      <c r="D41" s="27">
        <v>11000000</v>
      </c>
      <c r="E41" s="27">
        <v>0</v>
      </c>
      <c r="F41" s="27"/>
      <c r="G41" s="27"/>
      <c r="H41" s="27"/>
      <c r="I41" s="28"/>
      <c r="J41" s="28"/>
    </row>
    <row r="42" spans="1:10" s="3" customFormat="1" ht="15" x14ac:dyDescent="0.35">
      <c r="A42" s="7">
        <v>8</v>
      </c>
      <c r="B42" s="17" t="s">
        <v>41</v>
      </c>
      <c r="C42" s="29">
        <f>SUM(C43:C44)</f>
        <v>374000000</v>
      </c>
      <c r="D42" s="29">
        <f t="shared" ref="D42:J42" si="18">SUM(D43:D44)</f>
        <v>364000000</v>
      </c>
      <c r="E42" s="29">
        <f t="shared" si="18"/>
        <v>10000000</v>
      </c>
      <c r="F42" s="29">
        <f t="shared" si="18"/>
        <v>10000000</v>
      </c>
      <c r="G42" s="29">
        <f t="shared" si="18"/>
        <v>0</v>
      </c>
      <c r="H42" s="29">
        <f t="shared" si="18"/>
        <v>1000000</v>
      </c>
      <c r="I42" s="29">
        <f t="shared" si="18"/>
        <v>0</v>
      </c>
      <c r="J42" s="29">
        <f t="shared" si="18"/>
        <v>1000000</v>
      </c>
    </row>
    <row r="43" spans="1:10" ht="46.5" x14ac:dyDescent="0.35">
      <c r="A43" s="18" t="s">
        <v>9</v>
      </c>
      <c r="B43" s="19" t="s">
        <v>20</v>
      </c>
      <c r="C43" s="24">
        <v>364000000</v>
      </c>
      <c r="D43" s="24">
        <v>364000000</v>
      </c>
      <c r="E43" s="24">
        <v>0</v>
      </c>
      <c r="F43" s="24">
        <v>0</v>
      </c>
      <c r="G43" s="24">
        <v>0</v>
      </c>
      <c r="H43" s="24">
        <v>0</v>
      </c>
      <c r="I43" s="24">
        <v>0</v>
      </c>
      <c r="J43" s="24">
        <v>0</v>
      </c>
    </row>
    <row r="44" spans="1:10" ht="46.5" x14ac:dyDescent="0.35">
      <c r="A44" s="18" t="s">
        <v>9</v>
      </c>
      <c r="B44" s="19" t="s">
        <v>24</v>
      </c>
      <c r="C44" s="24">
        <f>C45</f>
        <v>10000000</v>
      </c>
      <c r="D44" s="24">
        <f t="shared" ref="D44:J44" si="19">D45</f>
        <v>0</v>
      </c>
      <c r="E44" s="24">
        <f t="shared" si="19"/>
        <v>10000000</v>
      </c>
      <c r="F44" s="24">
        <f t="shared" si="19"/>
        <v>10000000</v>
      </c>
      <c r="G44" s="24">
        <f t="shared" si="19"/>
        <v>0</v>
      </c>
      <c r="H44" s="24">
        <f t="shared" si="19"/>
        <v>1000000</v>
      </c>
      <c r="I44" s="24">
        <f t="shared" si="19"/>
        <v>0</v>
      </c>
      <c r="J44" s="24">
        <f t="shared" si="19"/>
        <v>1000000</v>
      </c>
    </row>
    <row r="45" spans="1:10" ht="31" x14ac:dyDescent="0.35">
      <c r="A45" s="18"/>
      <c r="B45" s="19" t="s">
        <v>27</v>
      </c>
      <c r="C45" s="24">
        <f>11000000-1000000</f>
        <v>10000000</v>
      </c>
      <c r="D45" s="24">
        <v>0</v>
      </c>
      <c r="E45" s="24">
        <v>10000000</v>
      </c>
      <c r="F45" s="24">
        <v>10000000</v>
      </c>
      <c r="G45" s="24">
        <v>0</v>
      </c>
      <c r="H45" s="24">
        <v>1000000</v>
      </c>
      <c r="I45" s="24">
        <v>0</v>
      </c>
      <c r="J45" s="24">
        <v>1000000</v>
      </c>
    </row>
    <row r="46" spans="1:10" s="3" customFormat="1" ht="15" x14ac:dyDescent="0.35">
      <c r="A46" s="7">
        <v>9</v>
      </c>
      <c r="B46" s="17" t="s">
        <v>42</v>
      </c>
      <c r="C46" s="30">
        <f>SUM(C47:C48)</f>
        <v>1063000000</v>
      </c>
      <c r="D46" s="30">
        <f t="shared" ref="D46:J46" si="20">SUM(D47:D48)</f>
        <v>230483840</v>
      </c>
      <c r="E46" s="30">
        <f t="shared" si="20"/>
        <v>832516160</v>
      </c>
      <c r="F46" s="30">
        <f t="shared" si="20"/>
        <v>832516160</v>
      </c>
      <c r="G46" s="30">
        <f t="shared" si="20"/>
        <v>0</v>
      </c>
      <c r="H46" s="30">
        <f t="shared" si="20"/>
        <v>33000000</v>
      </c>
      <c r="I46" s="30">
        <f t="shared" si="20"/>
        <v>0</v>
      </c>
      <c r="J46" s="30">
        <f t="shared" si="20"/>
        <v>33000000</v>
      </c>
    </row>
    <row r="47" spans="1:10" ht="31" x14ac:dyDescent="0.35">
      <c r="A47" s="18" t="s">
        <v>9</v>
      </c>
      <c r="B47" s="19" t="s">
        <v>21</v>
      </c>
      <c r="C47" s="10">
        <f>1085000000-33000000</f>
        <v>1052000000</v>
      </c>
      <c r="D47" s="10">
        <v>219483840</v>
      </c>
      <c r="E47" s="10">
        <v>832516160</v>
      </c>
      <c r="F47" s="10">
        <v>832516160</v>
      </c>
      <c r="G47" s="10"/>
      <c r="H47" s="10">
        <v>33000000</v>
      </c>
      <c r="I47" s="1"/>
      <c r="J47" s="1">
        <v>33000000</v>
      </c>
    </row>
    <row r="48" spans="1:10" ht="46.5" x14ac:dyDescent="0.35">
      <c r="A48" s="18" t="s">
        <v>9</v>
      </c>
      <c r="B48" s="19" t="s">
        <v>24</v>
      </c>
      <c r="C48" s="10">
        <f>C49</f>
        <v>11000000</v>
      </c>
      <c r="D48" s="10">
        <f t="shared" ref="D48:J48" si="21">D49</f>
        <v>11000000</v>
      </c>
      <c r="E48" s="10">
        <f t="shared" si="21"/>
        <v>0</v>
      </c>
      <c r="F48" s="10">
        <f t="shared" si="21"/>
        <v>0</v>
      </c>
      <c r="G48" s="10">
        <f t="shared" si="21"/>
        <v>0</v>
      </c>
      <c r="H48" s="10">
        <f t="shared" si="21"/>
        <v>0</v>
      </c>
      <c r="I48" s="10">
        <f t="shared" si="21"/>
        <v>0</v>
      </c>
      <c r="J48" s="10">
        <f t="shared" si="21"/>
        <v>0</v>
      </c>
    </row>
    <row r="49" spans="1:10" ht="31" x14ac:dyDescent="0.35">
      <c r="A49" s="18"/>
      <c r="B49" s="19" t="s">
        <v>27</v>
      </c>
      <c r="C49" s="10">
        <v>11000000</v>
      </c>
      <c r="D49" s="10">
        <v>11000000</v>
      </c>
      <c r="E49" s="10"/>
      <c r="F49" s="10"/>
      <c r="G49" s="10"/>
      <c r="H49" s="10"/>
      <c r="I49" s="1"/>
      <c r="J49" s="1"/>
    </row>
    <row r="50" spans="1:10" s="3" customFormat="1" ht="15" x14ac:dyDescent="0.35">
      <c r="A50" s="7">
        <v>10</v>
      </c>
      <c r="B50" s="17" t="s">
        <v>45</v>
      </c>
      <c r="C50" s="8">
        <f>C51</f>
        <v>11000000</v>
      </c>
      <c r="D50" s="8">
        <f t="shared" ref="D50:J51" si="22">D51</f>
        <v>11000000</v>
      </c>
      <c r="E50" s="8">
        <f t="shared" si="22"/>
        <v>0</v>
      </c>
      <c r="F50" s="8">
        <f t="shared" si="22"/>
        <v>0</v>
      </c>
      <c r="G50" s="8">
        <f t="shared" si="22"/>
        <v>0</v>
      </c>
      <c r="H50" s="8">
        <f t="shared" si="22"/>
        <v>0</v>
      </c>
      <c r="I50" s="8">
        <f t="shared" si="22"/>
        <v>0</v>
      </c>
      <c r="J50" s="8">
        <f t="shared" si="22"/>
        <v>0</v>
      </c>
    </row>
    <row r="51" spans="1:10" ht="46.5" x14ac:dyDescent="0.35">
      <c r="A51" s="18" t="s">
        <v>9</v>
      </c>
      <c r="B51" s="19" t="s">
        <v>24</v>
      </c>
      <c r="C51" s="10">
        <f>C52</f>
        <v>11000000</v>
      </c>
      <c r="D51" s="10">
        <f t="shared" si="22"/>
        <v>11000000</v>
      </c>
      <c r="E51" s="10">
        <f t="shared" si="22"/>
        <v>0</v>
      </c>
      <c r="F51" s="10">
        <f t="shared" si="22"/>
        <v>0</v>
      </c>
      <c r="G51" s="10">
        <f t="shared" si="22"/>
        <v>0</v>
      </c>
      <c r="H51" s="10">
        <f t="shared" si="22"/>
        <v>0</v>
      </c>
      <c r="I51" s="10">
        <f t="shared" si="22"/>
        <v>0</v>
      </c>
      <c r="J51" s="10">
        <f t="shared" si="22"/>
        <v>0</v>
      </c>
    </row>
    <row r="52" spans="1:10" ht="31" x14ac:dyDescent="0.35">
      <c r="A52" s="18"/>
      <c r="B52" s="19" t="s">
        <v>27</v>
      </c>
      <c r="C52" s="27">
        <v>11000000</v>
      </c>
      <c r="D52" s="27">
        <v>11000000</v>
      </c>
      <c r="E52" s="27"/>
      <c r="F52" s="27"/>
      <c r="G52" s="27"/>
      <c r="H52" s="27"/>
      <c r="I52" s="28"/>
      <c r="J52" s="28"/>
    </row>
    <row r="53" spans="1:10" s="3" customFormat="1" ht="15" x14ac:dyDescent="0.35">
      <c r="A53" s="7">
        <v>11</v>
      </c>
      <c r="B53" s="17" t="s">
        <v>46</v>
      </c>
      <c r="C53" s="31">
        <f>C54</f>
        <v>111000000</v>
      </c>
      <c r="D53" s="31">
        <f t="shared" ref="D53:J54" si="23">D54</f>
        <v>111000000</v>
      </c>
      <c r="E53" s="31">
        <f t="shared" si="23"/>
        <v>0</v>
      </c>
      <c r="F53" s="31">
        <f t="shared" si="23"/>
        <v>0</v>
      </c>
      <c r="G53" s="31">
        <f t="shared" si="23"/>
        <v>0</v>
      </c>
      <c r="H53" s="31">
        <f t="shared" si="23"/>
        <v>0</v>
      </c>
      <c r="I53" s="31">
        <f t="shared" si="23"/>
        <v>0</v>
      </c>
      <c r="J53" s="31">
        <f t="shared" si="23"/>
        <v>0</v>
      </c>
    </row>
    <row r="54" spans="1:10" ht="46.5" x14ac:dyDescent="0.35">
      <c r="A54" s="18" t="s">
        <v>9</v>
      </c>
      <c r="B54" s="19" t="s">
        <v>24</v>
      </c>
      <c r="C54" s="32">
        <f>C55</f>
        <v>111000000</v>
      </c>
      <c r="D54" s="32">
        <f t="shared" si="23"/>
        <v>111000000</v>
      </c>
      <c r="E54" s="32">
        <f t="shared" si="23"/>
        <v>0</v>
      </c>
      <c r="F54" s="32">
        <f t="shared" si="23"/>
        <v>0</v>
      </c>
      <c r="G54" s="32">
        <f t="shared" si="23"/>
        <v>0</v>
      </c>
      <c r="H54" s="32">
        <f t="shared" si="23"/>
        <v>0</v>
      </c>
      <c r="I54" s="32">
        <f t="shared" si="23"/>
        <v>0</v>
      </c>
      <c r="J54" s="32">
        <f t="shared" si="23"/>
        <v>0</v>
      </c>
    </row>
    <row r="55" spans="1:10" ht="31" x14ac:dyDescent="0.35">
      <c r="A55" s="18"/>
      <c r="B55" s="19" t="s">
        <v>27</v>
      </c>
      <c r="C55" s="32">
        <v>111000000</v>
      </c>
      <c r="D55" s="32">
        <v>111000000</v>
      </c>
      <c r="E55" s="32">
        <v>0</v>
      </c>
      <c r="F55" s="32"/>
      <c r="G55" s="32"/>
      <c r="H55" s="32">
        <v>0</v>
      </c>
      <c r="I55" s="32">
        <v>0</v>
      </c>
      <c r="J55" s="32">
        <v>0</v>
      </c>
    </row>
    <row r="56" spans="1:10" s="3" customFormat="1" ht="15" x14ac:dyDescent="0.35">
      <c r="A56" s="7">
        <v>12</v>
      </c>
      <c r="B56" s="17" t="s">
        <v>47</v>
      </c>
      <c r="C56" s="8">
        <f>C57</f>
        <v>11000000</v>
      </c>
      <c r="D56" s="8">
        <f t="shared" ref="D56:J57" si="24">D57</f>
        <v>11000000</v>
      </c>
      <c r="E56" s="8">
        <f t="shared" si="24"/>
        <v>0</v>
      </c>
      <c r="F56" s="8">
        <f t="shared" si="24"/>
        <v>0</v>
      </c>
      <c r="G56" s="8">
        <f t="shared" si="24"/>
        <v>0</v>
      </c>
      <c r="H56" s="8">
        <f t="shared" si="24"/>
        <v>0</v>
      </c>
      <c r="I56" s="8">
        <f t="shared" si="24"/>
        <v>0</v>
      </c>
      <c r="J56" s="8">
        <f t="shared" si="24"/>
        <v>0</v>
      </c>
    </row>
    <row r="57" spans="1:10" ht="46.5" x14ac:dyDescent="0.35">
      <c r="A57" s="18" t="s">
        <v>9</v>
      </c>
      <c r="B57" s="19" t="s">
        <v>24</v>
      </c>
      <c r="C57" s="10">
        <f>C58</f>
        <v>11000000</v>
      </c>
      <c r="D57" s="10">
        <f t="shared" si="24"/>
        <v>11000000</v>
      </c>
      <c r="E57" s="10">
        <f t="shared" si="24"/>
        <v>0</v>
      </c>
      <c r="F57" s="10">
        <f t="shared" si="24"/>
        <v>0</v>
      </c>
      <c r="G57" s="10">
        <f t="shared" si="24"/>
        <v>0</v>
      </c>
      <c r="H57" s="10">
        <f t="shared" si="24"/>
        <v>0</v>
      </c>
      <c r="I57" s="10">
        <f t="shared" si="24"/>
        <v>0</v>
      </c>
      <c r="J57" s="10">
        <f t="shared" si="24"/>
        <v>0</v>
      </c>
    </row>
    <row r="58" spans="1:10" ht="31" x14ac:dyDescent="0.35">
      <c r="A58" s="18"/>
      <c r="B58" s="19" t="s">
        <v>27</v>
      </c>
      <c r="C58" s="27">
        <v>11000000</v>
      </c>
      <c r="D58" s="27">
        <v>11000000</v>
      </c>
      <c r="E58" s="27"/>
      <c r="F58" s="27"/>
      <c r="G58" s="27"/>
      <c r="H58" s="27"/>
      <c r="I58" s="28"/>
      <c r="J58" s="28"/>
    </row>
    <row r="59" spans="1:10" s="3" customFormat="1" ht="15" x14ac:dyDescent="0.35">
      <c r="A59" s="7">
        <v>13</v>
      </c>
      <c r="B59" s="17" t="s">
        <v>48</v>
      </c>
      <c r="C59" s="8">
        <f>C60</f>
        <v>10000000</v>
      </c>
      <c r="D59" s="8">
        <f t="shared" ref="D59:J60" si="25">D60</f>
        <v>0</v>
      </c>
      <c r="E59" s="8">
        <f t="shared" si="25"/>
        <v>10000000</v>
      </c>
      <c r="F59" s="8">
        <f t="shared" si="25"/>
        <v>10000000</v>
      </c>
      <c r="G59" s="8">
        <f t="shared" si="25"/>
        <v>0</v>
      </c>
      <c r="H59" s="8">
        <f t="shared" si="25"/>
        <v>1000000</v>
      </c>
      <c r="I59" s="8">
        <f t="shared" si="25"/>
        <v>0</v>
      </c>
      <c r="J59" s="8">
        <f t="shared" si="25"/>
        <v>1000000</v>
      </c>
    </row>
    <row r="60" spans="1:10" ht="46.5" x14ac:dyDescent="0.35">
      <c r="A60" s="18" t="s">
        <v>9</v>
      </c>
      <c r="B60" s="19" t="s">
        <v>24</v>
      </c>
      <c r="C60" s="10">
        <f>C61</f>
        <v>10000000</v>
      </c>
      <c r="D60" s="10">
        <f t="shared" si="25"/>
        <v>0</v>
      </c>
      <c r="E60" s="10">
        <f t="shared" si="25"/>
        <v>10000000</v>
      </c>
      <c r="F60" s="10">
        <f t="shared" si="25"/>
        <v>10000000</v>
      </c>
      <c r="G60" s="10">
        <f t="shared" si="25"/>
        <v>0</v>
      </c>
      <c r="H60" s="10">
        <f t="shared" si="25"/>
        <v>1000000</v>
      </c>
      <c r="I60" s="10">
        <f t="shared" si="25"/>
        <v>0</v>
      </c>
      <c r="J60" s="10">
        <f t="shared" si="25"/>
        <v>1000000</v>
      </c>
    </row>
    <row r="61" spans="1:10" ht="31" x14ac:dyDescent="0.35">
      <c r="A61" s="18"/>
      <c r="B61" s="19" t="s">
        <v>27</v>
      </c>
      <c r="C61" s="10">
        <f>11000000-1000000</f>
        <v>10000000</v>
      </c>
      <c r="D61" s="10">
        <v>0</v>
      </c>
      <c r="E61" s="10">
        <v>10000000</v>
      </c>
      <c r="F61" s="10">
        <v>10000000</v>
      </c>
      <c r="G61" s="10"/>
      <c r="H61" s="10">
        <v>1000000</v>
      </c>
      <c r="I61" s="1"/>
      <c r="J61" s="1">
        <v>1000000</v>
      </c>
    </row>
    <row r="62" spans="1:10" s="3" customFormat="1" ht="15" x14ac:dyDescent="0.35">
      <c r="A62" s="7">
        <v>14</v>
      </c>
      <c r="B62" s="17" t="s">
        <v>70</v>
      </c>
      <c r="C62" s="8">
        <f>C63</f>
        <v>10000000</v>
      </c>
      <c r="D62" s="8">
        <f t="shared" ref="D62:J63" si="26">D63</f>
        <v>2671800</v>
      </c>
      <c r="E62" s="8">
        <f t="shared" si="26"/>
        <v>7328200</v>
      </c>
      <c r="F62" s="8">
        <f t="shared" si="26"/>
        <v>7328200</v>
      </c>
      <c r="G62" s="8">
        <f t="shared" si="26"/>
        <v>0</v>
      </c>
      <c r="H62" s="8">
        <f t="shared" si="26"/>
        <v>1000000</v>
      </c>
      <c r="I62" s="8">
        <f t="shared" si="26"/>
        <v>0</v>
      </c>
      <c r="J62" s="8">
        <f t="shared" si="26"/>
        <v>1000000</v>
      </c>
    </row>
    <row r="63" spans="1:10" ht="46.5" x14ac:dyDescent="0.35">
      <c r="A63" s="18" t="s">
        <v>9</v>
      </c>
      <c r="B63" s="19" t="s">
        <v>24</v>
      </c>
      <c r="C63" s="10">
        <f>C64</f>
        <v>10000000</v>
      </c>
      <c r="D63" s="10">
        <f t="shared" si="26"/>
        <v>2671800</v>
      </c>
      <c r="E63" s="10">
        <f t="shared" si="26"/>
        <v>7328200</v>
      </c>
      <c r="F63" s="10">
        <f t="shared" si="26"/>
        <v>7328200</v>
      </c>
      <c r="G63" s="10">
        <f t="shared" si="26"/>
        <v>0</v>
      </c>
      <c r="H63" s="10">
        <f t="shared" si="26"/>
        <v>1000000</v>
      </c>
      <c r="I63" s="10">
        <f t="shared" si="26"/>
        <v>0</v>
      </c>
      <c r="J63" s="10">
        <f t="shared" si="26"/>
        <v>1000000</v>
      </c>
    </row>
    <row r="64" spans="1:10" ht="31" x14ac:dyDescent="0.35">
      <c r="A64" s="18"/>
      <c r="B64" s="19" t="s">
        <v>27</v>
      </c>
      <c r="C64" s="10">
        <f>11000000-1000000</f>
        <v>10000000</v>
      </c>
      <c r="D64" s="10">
        <v>2671800</v>
      </c>
      <c r="E64" s="10">
        <v>7328200</v>
      </c>
      <c r="F64" s="10">
        <f>E64</f>
        <v>7328200</v>
      </c>
      <c r="G64" s="10"/>
      <c r="H64" s="10">
        <f>I64+J64</f>
        <v>1000000</v>
      </c>
      <c r="I64" s="1"/>
      <c r="J64" s="1">
        <v>1000000</v>
      </c>
    </row>
    <row r="65" spans="1:10" s="3" customFormat="1" ht="15" x14ac:dyDescent="0.35">
      <c r="A65" s="7">
        <v>15</v>
      </c>
      <c r="B65" s="17" t="s">
        <v>49</v>
      </c>
      <c r="C65" s="8">
        <f>C66</f>
        <v>10000000</v>
      </c>
      <c r="D65" s="8">
        <f t="shared" ref="D65:J66" si="27">D66</f>
        <v>0</v>
      </c>
      <c r="E65" s="8">
        <f t="shared" si="27"/>
        <v>10000000</v>
      </c>
      <c r="F65" s="8">
        <f t="shared" si="27"/>
        <v>10000000</v>
      </c>
      <c r="G65" s="8">
        <f t="shared" si="27"/>
        <v>0</v>
      </c>
      <c r="H65" s="8">
        <f t="shared" si="27"/>
        <v>1000000</v>
      </c>
      <c r="I65" s="8">
        <f t="shared" si="27"/>
        <v>0</v>
      </c>
      <c r="J65" s="8">
        <f t="shared" si="27"/>
        <v>1000000</v>
      </c>
    </row>
    <row r="66" spans="1:10" ht="46.5" x14ac:dyDescent="0.35">
      <c r="A66" s="18" t="s">
        <v>9</v>
      </c>
      <c r="B66" s="19" t="s">
        <v>24</v>
      </c>
      <c r="C66" s="1">
        <f>C67</f>
        <v>10000000</v>
      </c>
      <c r="D66" s="1">
        <f t="shared" si="27"/>
        <v>0</v>
      </c>
      <c r="E66" s="1">
        <f t="shared" si="27"/>
        <v>10000000</v>
      </c>
      <c r="F66" s="1">
        <f t="shared" si="27"/>
        <v>10000000</v>
      </c>
      <c r="G66" s="1">
        <f t="shared" si="27"/>
        <v>0</v>
      </c>
      <c r="H66" s="1">
        <f t="shared" si="27"/>
        <v>1000000</v>
      </c>
      <c r="I66" s="1">
        <f t="shared" si="27"/>
        <v>0</v>
      </c>
      <c r="J66" s="1">
        <f t="shared" si="27"/>
        <v>1000000</v>
      </c>
    </row>
    <row r="67" spans="1:10" ht="31" x14ac:dyDescent="0.35">
      <c r="A67" s="18"/>
      <c r="B67" s="19" t="s">
        <v>27</v>
      </c>
      <c r="C67" s="10">
        <f>11000000-1000000</f>
        <v>10000000</v>
      </c>
      <c r="D67" s="10">
        <v>0</v>
      </c>
      <c r="E67" s="10">
        <f>F67+G67</f>
        <v>10000000</v>
      </c>
      <c r="F67" s="10">
        <v>10000000</v>
      </c>
      <c r="G67" s="10"/>
      <c r="H67" s="10">
        <f>I67+J67</f>
        <v>1000000</v>
      </c>
      <c r="I67" s="1">
        <v>0</v>
      </c>
      <c r="J67" s="1">
        <v>1000000</v>
      </c>
    </row>
    <row r="68" spans="1:10" s="3" customFormat="1" ht="15" x14ac:dyDescent="0.35">
      <c r="A68" s="7">
        <v>16</v>
      </c>
      <c r="B68" s="17" t="s">
        <v>50</v>
      </c>
      <c r="C68" s="8">
        <f>C69</f>
        <v>11000000</v>
      </c>
      <c r="D68" s="8">
        <f t="shared" ref="D68:J69" si="28">D69</f>
        <v>11000000</v>
      </c>
      <c r="E68" s="8">
        <f t="shared" si="28"/>
        <v>0</v>
      </c>
      <c r="F68" s="8">
        <f t="shared" si="28"/>
        <v>0</v>
      </c>
      <c r="G68" s="8">
        <f t="shared" si="28"/>
        <v>0</v>
      </c>
      <c r="H68" s="8">
        <f t="shared" si="28"/>
        <v>0</v>
      </c>
      <c r="I68" s="8">
        <f t="shared" si="28"/>
        <v>0</v>
      </c>
      <c r="J68" s="8">
        <f t="shared" si="28"/>
        <v>0</v>
      </c>
    </row>
    <row r="69" spans="1:10" ht="46.5" x14ac:dyDescent="0.35">
      <c r="A69" s="18" t="s">
        <v>9</v>
      </c>
      <c r="B69" s="19" t="s">
        <v>24</v>
      </c>
      <c r="C69" s="10">
        <f>C70</f>
        <v>11000000</v>
      </c>
      <c r="D69" s="10">
        <f t="shared" si="28"/>
        <v>11000000</v>
      </c>
      <c r="E69" s="10">
        <f t="shared" si="28"/>
        <v>0</v>
      </c>
      <c r="F69" s="10">
        <f t="shared" si="28"/>
        <v>0</v>
      </c>
      <c r="G69" s="10">
        <f t="shared" si="28"/>
        <v>0</v>
      </c>
      <c r="H69" s="10">
        <f t="shared" si="28"/>
        <v>0</v>
      </c>
      <c r="I69" s="10">
        <f t="shared" si="28"/>
        <v>0</v>
      </c>
      <c r="J69" s="10">
        <f t="shared" si="28"/>
        <v>0</v>
      </c>
    </row>
    <row r="70" spans="1:10" ht="31" x14ac:dyDescent="0.35">
      <c r="A70" s="18"/>
      <c r="B70" s="19" t="s">
        <v>27</v>
      </c>
      <c r="C70" s="10">
        <v>11000000</v>
      </c>
      <c r="D70" s="10">
        <v>11000000</v>
      </c>
      <c r="E70" s="10">
        <v>0</v>
      </c>
      <c r="F70" s="10">
        <v>0</v>
      </c>
      <c r="G70" s="10">
        <v>0</v>
      </c>
      <c r="H70" s="10">
        <v>0</v>
      </c>
      <c r="I70" s="1">
        <v>0</v>
      </c>
      <c r="J70" s="1">
        <v>0</v>
      </c>
    </row>
    <row r="71" spans="1:10" s="3" customFormat="1" ht="15" x14ac:dyDescent="0.35">
      <c r="A71" s="7">
        <v>17</v>
      </c>
      <c r="B71" s="17" t="s">
        <v>38</v>
      </c>
      <c r="C71" s="8">
        <f>C72+C74</f>
        <v>310000000</v>
      </c>
      <c r="D71" s="8">
        <f t="shared" ref="D71:J71" si="29">D72+D74</f>
        <v>243038800</v>
      </c>
      <c r="E71" s="8">
        <f t="shared" si="29"/>
        <v>66961200</v>
      </c>
      <c r="F71" s="8">
        <f t="shared" si="29"/>
        <v>66961200</v>
      </c>
      <c r="G71" s="8">
        <f t="shared" si="29"/>
        <v>0</v>
      </c>
      <c r="H71" s="8">
        <f t="shared" si="29"/>
        <v>1000000</v>
      </c>
      <c r="I71" s="8">
        <f t="shared" si="29"/>
        <v>0</v>
      </c>
      <c r="J71" s="8">
        <f t="shared" si="29"/>
        <v>1000000</v>
      </c>
    </row>
    <row r="72" spans="1:10" ht="31" x14ac:dyDescent="0.35">
      <c r="A72" s="18" t="s">
        <v>9</v>
      </c>
      <c r="B72" s="19" t="s">
        <v>15</v>
      </c>
      <c r="C72" s="10">
        <f>C73</f>
        <v>300000000</v>
      </c>
      <c r="D72" s="10">
        <f t="shared" ref="D72:J72" si="30">D73</f>
        <v>243038800</v>
      </c>
      <c r="E72" s="10">
        <f t="shared" si="30"/>
        <v>56961200</v>
      </c>
      <c r="F72" s="10">
        <f t="shared" si="30"/>
        <v>56961200</v>
      </c>
      <c r="G72" s="10">
        <f t="shared" si="30"/>
        <v>0</v>
      </c>
      <c r="H72" s="10">
        <f t="shared" si="30"/>
        <v>0</v>
      </c>
      <c r="I72" s="10">
        <f t="shared" si="30"/>
        <v>0</v>
      </c>
      <c r="J72" s="10">
        <f t="shared" si="30"/>
        <v>0</v>
      </c>
    </row>
    <row r="73" spans="1:10" ht="46.5" x14ac:dyDescent="0.35">
      <c r="A73" s="18"/>
      <c r="B73" s="19" t="s">
        <v>17</v>
      </c>
      <c r="C73" s="10">
        <v>300000000</v>
      </c>
      <c r="D73" s="10">
        <v>243038800</v>
      </c>
      <c r="E73" s="10">
        <v>56961200</v>
      </c>
      <c r="F73" s="10">
        <v>56961200</v>
      </c>
      <c r="G73" s="10">
        <v>0</v>
      </c>
      <c r="H73" s="10">
        <v>0</v>
      </c>
      <c r="I73" s="1">
        <v>0</v>
      </c>
      <c r="J73" s="1">
        <v>0</v>
      </c>
    </row>
    <row r="74" spans="1:10" ht="46.5" x14ac:dyDescent="0.35">
      <c r="A74" s="18" t="s">
        <v>9</v>
      </c>
      <c r="B74" s="19" t="s">
        <v>24</v>
      </c>
      <c r="C74" s="10">
        <f>C75</f>
        <v>10000000</v>
      </c>
      <c r="D74" s="10">
        <f t="shared" ref="D74:J74" si="31">D75</f>
        <v>0</v>
      </c>
      <c r="E74" s="10">
        <f t="shared" si="31"/>
        <v>10000000</v>
      </c>
      <c r="F74" s="10">
        <f t="shared" si="31"/>
        <v>10000000</v>
      </c>
      <c r="G74" s="10">
        <f t="shared" si="31"/>
        <v>0</v>
      </c>
      <c r="H74" s="10">
        <f t="shared" si="31"/>
        <v>1000000</v>
      </c>
      <c r="I74" s="10">
        <f t="shared" si="31"/>
        <v>0</v>
      </c>
      <c r="J74" s="10">
        <f t="shared" si="31"/>
        <v>1000000</v>
      </c>
    </row>
    <row r="75" spans="1:10" ht="31" x14ac:dyDescent="0.35">
      <c r="A75" s="18"/>
      <c r="B75" s="19" t="s">
        <v>27</v>
      </c>
      <c r="C75" s="10">
        <f>11000000-1000000</f>
        <v>10000000</v>
      </c>
      <c r="D75" s="10">
        <v>0</v>
      </c>
      <c r="E75" s="10">
        <v>10000000</v>
      </c>
      <c r="F75" s="10">
        <v>10000000</v>
      </c>
      <c r="G75" s="10">
        <v>0</v>
      </c>
      <c r="H75" s="10">
        <v>1000000</v>
      </c>
      <c r="I75" s="1">
        <v>0</v>
      </c>
      <c r="J75" s="1">
        <v>1000000</v>
      </c>
    </row>
    <row r="76" spans="1:10" s="3" customFormat="1" ht="15" x14ac:dyDescent="0.35">
      <c r="A76" s="7">
        <v>18</v>
      </c>
      <c r="B76" s="17" t="s">
        <v>51</v>
      </c>
      <c r="C76" s="8">
        <f>C77</f>
        <v>11000000</v>
      </c>
      <c r="D76" s="8">
        <f t="shared" ref="D76:J77" si="32">D77</f>
        <v>11000000</v>
      </c>
      <c r="E76" s="8">
        <f t="shared" si="32"/>
        <v>0</v>
      </c>
      <c r="F76" s="8">
        <f t="shared" si="32"/>
        <v>0</v>
      </c>
      <c r="G76" s="8">
        <f t="shared" si="32"/>
        <v>0</v>
      </c>
      <c r="H76" s="8">
        <f t="shared" si="32"/>
        <v>0</v>
      </c>
      <c r="I76" s="8">
        <f t="shared" si="32"/>
        <v>0</v>
      </c>
      <c r="J76" s="8">
        <f t="shared" si="32"/>
        <v>0</v>
      </c>
    </row>
    <row r="77" spans="1:10" ht="46.5" x14ac:dyDescent="0.35">
      <c r="A77" s="18" t="s">
        <v>88</v>
      </c>
      <c r="B77" s="19" t="s">
        <v>24</v>
      </c>
      <c r="C77" s="10">
        <f>C78</f>
        <v>11000000</v>
      </c>
      <c r="D77" s="10">
        <f t="shared" si="32"/>
        <v>11000000</v>
      </c>
      <c r="E77" s="10">
        <f t="shared" si="32"/>
        <v>0</v>
      </c>
      <c r="F77" s="10">
        <f t="shared" si="32"/>
        <v>0</v>
      </c>
      <c r="G77" s="10">
        <f t="shared" si="32"/>
        <v>0</v>
      </c>
      <c r="H77" s="10">
        <f t="shared" si="32"/>
        <v>0</v>
      </c>
      <c r="I77" s="10">
        <f t="shared" si="32"/>
        <v>0</v>
      </c>
      <c r="J77" s="10">
        <f t="shared" si="32"/>
        <v>0</v>
      </c>
    </row>
    <row r="78" spans="1:10" ht="31" x14ac:dyDescent="0.35">
      <c r="A78" s="18"/>
      <c r="B78" s="19" t="s">
        <v>27</v>
      </c>
      <c r="C78" s="26">
        <v>11000000</v>
      </c>
      <c r="D78" s="26">
        <v>11000000</v>
      </c>
      <c r="E78" s="26">
        <v>0</v>
      </c>
      <c r="F78" s="26">
        <v>0</v>
      </c>
      <c r="G78" s="26">
        <v>0</v>
      </c>
      <c r="H78" s="26">
        <v>0</v>
      </c>
      <c r="I78" s="32">
        <v>0</v>
      </c>
      <c r="J78" s="32">
        <v>0</v>
      </c>
    </row>
    <row r="79" spans="1:10" s="3" customFormat="1" ht="15" x14ac:dyDescent="0.35">
      <c r="A79" s="7">
        <v>19</v>
      </c>
      <c r="B79" s="17" t="s">
        <v>86</v>
      </c>
      <c r="C79" s="8">
        <f>C80</f>
        <v>11000000</v>
      </c>
      <c r="D79" s="8">
        <f t="shared" ref="D79:J80" si="33">D80</f>
        <v>11000000</v>
      </c>
      <c r="E79" s="8">
        <f t="shared" si="33"/>
        <v>0</v>
      </c>
      <c r="F79" s="8">
        <f t="shared" si="33"/>
        <v>0</v>
      </c>
      <c r="G79" s="8">
        <f t="shared" si="33"/>
        <v>0</v>
      </c>
      <c r="H79" s="8">
        <f t="shared" si="33"/>
        <v>0</v>
      </c>
      <c r="I79" s="8">
        <f t="shared" si="33"/>
        <v>0</v>
      </c>
      <c r="J79" s="8">
        <f t="shared" si="33"/>
        <v>0</v>
      </c>
    </row>
    <row r="80" spans="1:10" ht="46.5" x14ac:dyDescent="0.35">
      <c r="A80" s="18" t="s">
        <v>9</v>
      </c>
      <c r="B80" s="19" t="s">
        <v>24</v>
      </c>
      <c r="C80" s="10">
        <f>C81</f>
        <v>11000000</v>
      </c>
      <c r="D80" s="10">
        <f t="shared" si="33"/>
        <v>11000000</v>
      </c>
      <c r="E80" s="10">
        <f t="shared" si="33"/>
        <v>0</v>
      </c>
      <c r="F80" s="10">
        <f t="shared" si="33"/>
        <v>0</v>
      </c>
      <c r="G80" s="10">
        <f t="shared" si="33"/>
        <v>0</v>
      </c>
      <c r="H80" s="10">
        <f t="shared" si="33"/>
        <v>0</v>
      </c>
      <c r="I80" s="10">
        <f t="shared" si="33"/>
        <v>0</v>
      </c>
      <c r="J80" s="10">
        <f t="shared" si="33"/>
        <v>0</v>
      </c>
    </row>
    <row r="81" spans="1:10" ht="31" x14ac:dyDescent="0.35">
      <c r="A81" s="18"/>
      <c r="B81" s="19" t="s">
        <v>27</v>
      </c>
      <c r="C81" s="26">
        <v>11000000</v>
      </c>
      <c r="D81" s="26">
        <v>11000000</v>
      </c>
      <c r="E81" s="26">
        <v>0</v>
      </c>
      <c r="F81" s="26">
        <v>0</v>
      </c>
      <c r="G81" s="26">
        <v>0</v>
      </c>
      <c r="H81" s="26">
        <v>0</v>
      </c>
      <c r="I81" s="32">
        <v>0</v>
      </c>
      <c r="J81" s="32">
        <v>0</v>
      </c>
    </row>
    <row r="82" spans="1:10" s="3" customFormat="1" ht="15" x14ac:dyDescent="0.35">
      <c r="A82" s="7">
        <v>20</v>
      </c>
      <c r="B82" s="17" t="s">
        <v>52</v>
      </c>
      <c r="C82" s="8">
        <f>C83</f>
        <v>10000000</v>
      </c>
      <c r="D82" s="8">
        <f t="shared" ref="D82:J83" si="34">D83</f>
        <v>9525000</v>
      </c>
      <c r="E82" s="8">
        <f t="shared" si="34"/>
        <v>475000</v>
      </c>
      <c r="F82" s="8">
        <f t="shared" si="34"/>
        <v>475000</v>
      </c>
      <c r="G82" s="8">
        <f t="shared" si="34"/>
        <v>0</v>
      </c>
      <c r="H82" s="8">
        <f t="shared" si="34"/>
        <v>1000000</v>
      </c>
      <c r="I82" s="8">
        <f t="shared" si="34"/>
        <v>0</v>
      </c>
      <c r="J82" s="8">
        <f t="shared" si="34"/>
        <v>1000000</v>
      </c>
    </row>
    <row r="83" spans="1:10" ht="46.5" x14ac:dyDescent="0.35">
      <c r="A83" s="18" t="s">
        <v>9</v>
      </c>
      <c r="B83" s="19" t="s">
        <v>24</v>
      </c>
      <c r="C83" s="10">
        <f>C84</f>
        <v>10000000</v>
      </c>
      <c r="D83" s="10">
        <f t="shared" si="34"/>
        <v>9525000</v>
      </c>
      <c r="E83" s="10">
        <f t="shared" si="34"/>
        <v>475000</v>
      </c>
      <c r="F83" s="10">
        <f t="shared" si="34"/>
        <v>475000</v>
      </c>
      <c r="G83" s="10">
        <f t="shared" si="34"/>
        <v>0</v>
      </c>
      <c r="H83" s="10">
        <f t="shared" si="34"/>
        <v>1000000</v>
      </c>
      <c r="I83" s="10">
        <f t="shared" si="34"/>
        <v>0</v>
      </c>
      <c r="J83" s="10">
        <f t="shared" si="34"/>
        <v>1000000</v>
      </c>
    </row>
    <row r="84" spans="1:10" ht="31" x14ac:dyDescent="0.35">
      <c r="A84" s="18"/>
      <c r="B84" s="19" t="s">
        <v>27</v>
      </c>
      <c r="C84" s="10">
        <f>11000000-1000000</f>
        <v>10000000</v>
      </c>
      <c r="D84" s="10">
        <v>9525000</v>
      </c>
      <c r="E84" s="10">
        <v>475000</v>
      </c>
      <c r="F84" s="10">
        <v>475000</v>
      </c>
      <c r="G84" s="10"/>
      <c r="H84" s="10">
        <f>I84+J84</f>
        <v>1000000</v>
      </c>
      <c r="I84" s="1">
        <v>0</v>
      </c>
      <c r="J84" s="1">
        <v>1000000</v>
      </c>
    </row>
    <row r="85" spans="1:10" s="3" customFormat="1" ht="15" x14ac:dyDescent="0.35">
      <c r="A85" s="7">
        <v>21</v>
      </c>
      <c r="B85" s="17" t="s">
        <v>53</v>
      </c>
      <c r="C85" s="8">
        <f>C86</f>
        <v>11000000</v>
      </c>
      <c r="D85" s="8">
        <f t="shared" ref="D85:J86" si="35">D86</f>
        <v>11000000</v>
      </c>
      <c r="E85" s="8">
        <f t="shared" si="35"/>
        <v>0</v>
      </c>
      <c r="F85" s="8">
        <f t="shared" si="35"/>
        <v>0</v>
      </c>
      <c r="G85" s="8">
        <f t="shared" si="35"/>
        <v>0</v>
      </c>
      <c r="H85" s="8">
        <f t="shared" si="35"/>
        <v>0</v>
      </c>
      <c r="I85" s="8">
        <f t="shared" si="35"/>
        <v>0</v>
      </c>
      <c r="J85" s="8">
        <f t="shared" si="35"/>
        <v>0</v>
      </c>
    </row>
    <row r="86" spans="1:10" ht="46.5" x14ac:dyDescent="0.35">
      <c r="A86" s="18" t="s">
        <v>9</v>
      </c>
      <c r="B86" s="19" t="s">
        <v>24</v>
      </c>
      <c r="C86" s="10">
        <f>C87</f>
        <v>11000000</v>
      </c>
      <c r="D86" s="10">
        <f t="shared" si="35"/>
        <v>11000000</v>
      </c>
      <c r="E86" s="10">
        <f t="shared" si="35"/>
        <v>0</v>
      </c>
      <c r="F86" s="10">
        <f t="shared" si="35"/>
        <v>0</v>
      </c>
      <c r="G86" s="10">
        <f t="shared" si="35"/>
        <v>0</v>
      </c>
      <c r="H86" s="10">
        <f t="shared" si="35"/>
        <v>0</v>
      </c>
      <c r="I86" s="10">
        <f t="shared" si="35"/>
        <v>0</v>
      </c>
      <c r="J86" s="10">
        <f t="shared" si="35"/>
        <v>0</v>
      </c>
    </row>
    <row r="87" spans="1:10" ht="31" x14ac:dyDescent="0.35">
      <c r="A87" s="18"/>
      <c r="B87" s="19" t="s">
        <v>27</v>
      </c>
      <c r="C87" s="26">
        <v>11000000</v>
      </c>
      <c r="D87" s="26">
        <v>11000000</v>
      </c>
      <c r="E87" s="26">
        <v>0</v>
      </c>
      <c r="F87" s="26">
        <v>0</v>
      </c>
      <c r="G87" s="26">
        <v>0</v>
      </c>
      <c r="H87" s="26">
        <v>0</v>
      </c>
      <c r="I87" s="32">
        <v>0</v>
      </c>
      <c r="J87" s="32">
        <v>0</v>
      </c>
    </row>
    <row r="88" spans="1:10" s="3" customFormat="1" ht="15" x14ac:dyDescent="0.35">
      <c r="A88" s="7">
        <v>22</v>
      </c>
      <c r="B88" s="17" t="s">
        <v>54</v>
      </c>
      <c r="C88" s="8">
        <f>C89</f>
        <v>11000000</v>
      </c>
      <c r="D88" s="8">
        <f t="shared" ref="D88:J89" si="36">D89</f>
        <v>11000000</v>
      </c>
      <c r="E88" s="8">
        <f t="shared" si="36"/>
        <v>0</v>
      </c>
      <c r="F88" s="8">
        <f t="shared" si="36"/>
        <v>0</v>
      </c>
      <c r="G88" s="8">
        <f t="shared" si="36"/>
        <v>0</v>
      </c>
      <c r="H88" s="8">
        <f t="shared" si="36"/>
        <v>0</v>
      </c>
      <c r="I88" s="8">
        <f t="shared" si="36"/>
        <v>0</v>
      </c>
      <c r="J88" s="8">
        <f t="shared" si="36"/>
        <v>0</v>
      </c>
    </row>
    <row r="89" spans="1:10" ht="46.5" x14ac:dyDescent="0.35">
      <c r="A89" s="18" t="s">
        <v>9</v>
      </c>
      <c r="B89" s="19" t="s">
        <v>24</v>
      </c>
      <c r="C89" s="10">
        <f>C90</f>
        <v>11000000</v>
      </c>
      <c r="D89" s="10">
        <f t="shared" si="36"/>
        <v>11000000</v>
      </c>
      <c r="E89" s="10">
        <f t="shared" si="36"/>
        <v>0</v>
      </c>
      <c r="F89" s="10">
        <f t="shared" si="36"/>
        <v>0</v>
      </c>
      <c r="G89" s="10">
        <f t="shared" si="36"/>
        <v>0</v>
      </c>
      <c r="H89" s="10">
        <f t="shared" si="36"/>
        <v>0</v>
      </c>
      <c r="I89" s="10">
        <f t="shared" si="36"/>
        <v>0</v>
      </c>
      <c r="J89" s="10">
        <f t="shared" si="36"/>
        <v>0</v>
      </c>
    </row>
    <row r="90" spans="1:10" ht="31" x14ac:dyDescent="0.35">
      <c r="A90" s="18"/>
      <c r="B90" s="19" t="s">
        <v>27</v>
      </c>
      <c r="C90" s="26">
        <v>11000000</v>
      </c>
      <c r="D90" s="26">
        <v>11000000</v>
      </c>
      <c r="E90" s="26">
        <v>0</v>
      </c>
      <c r="F90" s="26">
        <v>0</v>
      </c>
      <c r="G90" s="26">
        <v>0</v>
      </c>
      <c r="H90" s="26">
        <v>0</v>
      </c>
      <c r="I90" s="32">
        <v>0</v>
      </c>
      <c r="J90" s="32">
        <v>0</v>
      </c>
    </row>
    <row r="91" spans="1:10" s="3" customFormat="1" ht="25.5" customHeight="1" x14ac:dyDescent="0.35">
      <c r="A91" s="4" t="s">
        <v>2</v>
      </c>
      <c r="B91" s="5" t="s">
        <v>85</v>
      </c>
      <c r="C91" s="2">
        <f>C92+C112+C132+C152+C172+C192+C212+C232</f>
        <v>149513410741</v>
      </c>
      <c r="D91" s="2">
        <f t="shared" ref="D91:J91" si="37">D92+D112+D132+D152+D172+D192+D212+D232</f>
        <v>29873237921</v>
      </c>
      <c r="E91" s="2">
        <f t="shared" si="37"/>
        <v>119637887873</v>
      </c>
      <c r="F91" s="2">
        <f t="shared" si="37"/>
        <v>115869042873</v>
      </c>
      <c r="G91" s="2">
        <f t="shared" si="37"/>
        <v>3768845000</v>
      </c>
      <c r="H91" s="2">
        <f t="shared" si="37"/>
        <v>1413150135</v>
      </c>
      <c r="I91" s="2">
        <f t="shared" si="37"/>
        <v>1652876</v>
      </c>
      <c r="J91" s="2">
        <f t="shared" si="37"/>
        <v>1411297259</v>
      </c>
    </row>
    <row r="92" spans="1:10" s="3" customFormat="1" ht="15" x14ac:dyDescent="0.35">
      <c r="A92" s="7" t="s">
        <v>61</v>
      </c>
      <c r="B92" s="6" t="s">
        <v>28</v>
      </c>
      <c r="C92" s="8">
        <f>C93+C94+C97+C99+C103+C104+C105+C106+C108</f>
        <v>19375381165</v>
      </c>
      <c r="D92" s="8">
        <f t="shared" ref="D92:J92" si="38">D93+D94+D97+D99+D103+D104+D105+D106+D108</f>
        <v>4258740859</v>
      </c>
      <c r="E92" s="8">
        <f t="shared" si="38"/>
        <v>15116640306</v>
      </c>
      <c r="F92" s="8">
        <f t="shared" si="38"/>
        <v>14475081306</v>
      </c>
      <c r="G92" s="8">
        <f t="shared" si="38"/>
        <v>641559000</v>
      </c>
      <c r="H92" s="8">
        <f t="shared" si="38"/>
        <v>101849835</v>
      </c>
      <c r="I92" s="8">
        <f t="shared" si="38"/>
        <v>0</v>
      </c>
      <c r="J92" s="8">
        <f t="shared" si="38"/>
        <v>101849835</v>
      </c>
    </row>
    <row r="93" spans="1:10" ht="31" x14ac:dyDescent="0.35">
      <c r="A93" s="18">
        <v>1</v>
      </c>
      <c r="B93" s="19" t="s">
        <v>7</v>
      </c>
      <c r="C93" s="10">
        <f>951400000-22000000</f>
        <v>929400000</v>
      </c>
      <c r="D93" s="10">
        <v>155500000</v>
      </c>
      <c r="E93" s="10">
        <f>SUM(F93:G93)</f>
        <v>773900000</v>
      </c>
      <c r="F93" s="33">
        <f>687644000+73500000</f>
        <v>761144000</v>
      </c>
      <c r="G93" s="33">
        <v>12756000</v>
      </c>
      <c r="H93" s="10">
        <f>SUM(I93:J93)</f>
        <v>22000000</v>
      </c>
      <c r="I93" s="1">
        <v>0</v>
      </c>
      <c r="J93" s="1">
        <v>22000000</v>
      </c>
    </row>
    <row r="94" spans="1:10" ht="46.5" x14ac:dyDescent="0.35">
      <c r="A94" s="18">
        <v>2</v>
      </c>
      <c r="B94" s="19" t="s">
        <v>10</v>
      </c>
      <c r="C94" s="10">
        <f>SUM(C95:C96)</f>
        <v>12584831000</v>
      </c>
      <c r="D94" s="10">
        <f t="shared" ref="D94:J94" si="39">SUM(D95:D96)</f>
        <v>0</v>
      </c>
      <c r="E94" s="10">
        <f t="shared" si="39"/>
        <v>12584831000</v>
      </c>
      <c r="F94" s="10">
        <f t="shared" si="39"/>
        <v>11956028000</v>
      </c>
      <c r="G94" s="10">
        <f t="shared" si="39"/>
        <v>628803000</v>
      </c>
      <c r="H94" s="10">
        <f t="shared" si="39"/>
        <v>0</v>
      </c>
      <c r="I94" s="10">
        <f t="shared" si="39"/>
        <v>0</v>
      </c>
      <c r="J94" s="10">
        <f t="shared" si="39"/>
        <v>0</v>
      </c>
    </row>
    <row r="95" spans="1:10" ht="31" x14ac:dyDescent="0.35">
      <c r="A95" s="18" t="s">
        <v>8</v>
      </c>
      <c r="B95" s="19" t="s">
        <v>11</v>
      </c>
      <c r="C95" s="10">
        <v>8763000000</v>
      </c>
      <c r="D95" s="10"/>
      <c r="E95" s="10">
        <f>SUM(F95:G95)</f>
        <v>8763000000</v>
      </c>
      <c r="F95" s="10">
        <v>8763000000</v>
      </c>
      <c r="G95" s="10"/>
      <c r="H95" s="10">
        <f t="shared" ref="H95:H111" si="40">SUM(I95:J95)</f>
        <v>0</v>
      </c>
      <c r="I95" s="1"/>
      <c r="J95" s="1"/>
    </row>
    <row r="96" spans="1:10" ht="62" x14ac:dyDescent="0.35">
      <c r="A96" s="18" t="s">
        <v>8</v>
      </c>
      <c r="B96" s="19" t="s">
        <v>12</v>
      </c>
      <c r="C96" s="10">
        <v>3821831000</v>
      </c>
      <c r="D96" s="10">
        <v>0</v>
      </c>
      <c r="E96" s="10">
        <f>SUM(F96:G96)</f>
        <v>3821831000</v>
      </c>
      <c r="F96" s="10">
        <f>352316000+2840712000</f>
        <v>3193028000</v>
      </c>
      <c r="G96" s="10">
        <f>69382000+559421000</f>
        <v>628803000</v>
      </c>
      <c r="H96" s="10">
        <f>SUM(I96:J96)</f>
        <v>0</v>
      </c>
      <c r="I96" s="10"/>
      <c r="J96" s="10"/>
    </row>
    <row r="97" spans="1:10" ht="46.5" x14ac:dyDescent="0.35">
      <c r="A97" s="18">
        <v>3</v>
      </c>
      <c r="B97" s="19" t="s">
        <v>13</v>
      </c>
      <c r="C97" s="10">
        <f>C98</f>
        <v>1078705165</v>
      </c>
      <c r="D97" s="10">
        <f t="shared" ref="D97:J97" si="41">D98</f>
        <v>936731165</v>
      </c>
      <c r="E97" s="10">
        <f t="shared" si="41"/>
        <v>141974000</v>
      </c>
      <c r="F97" s="10">
        <f t="shared" si="41"/>
        <v>141974000</v>
      </c>
      <c r="G97" s="10">
        <f t="shared" si="41"/>
        <v>0</v>
      </c>
      <c r="H97" s="10">
        <f t="shared" si="41"/>
        <v>10294835</v>
      </c>
      <c r="I97" s="10">
        <f t="shared" si="41"/>
        <v>0</v>
      </c>
      <c r="J97" s="10">
        <f t="shared" si="41"/>
        <v>10294835</v>
      </c>
    </row>
    <row r="98" spans="1:10" ht="31" x14ac:dyDescent="0.35">
      <c r="A98" s="18"/>
      <c r="B98" s="19" t="s">
        <v>14</v>
      </c>
      <c r="C98" s="10">
        <f>1089000000-10294835</f>
        <v>1078705165</v>
      </c>
      <c r="D98" s="10">
        <v>936731165</v>
      </c>
      <c r="E98" s="10">
        <v>141974000</v>
      </c>
      <c r="F98" s="10">
        <f>E98</f>
        <v>141974000</v>
      </c>
      <c r="G98" s="10"/>
      <c r="H98" s="10">
        <f>SUM(I98:J98)</f>
        <v>10294835</v>
      </c>
      <c r="I98" s="1">
        <v>0</v>
      </c>
      <c r="J98" s="1">
        <v>10294835</v>
      </c>
    </row>
    <row r="99" spans="1:10" ht="31" x14ac:dyDescent="0.35">
      <c r="A99" s="18">
        <v>4</v>
      </c>
      <c r="B99" s="19" t="s">
        <v>15</v>
      </c>
      <c r="C99" s="10">
        <f>SUM(C100:C102)</f>
        <v>2900000000</v>
      </c>
      <c r="D99" s="10">
        <f t="shared" ref="D99:J99" si="42">SUM(D100:D102)</f>
        <v>2272538160</v>
      </c>
      <c r="E99" s="10">
        <f t="shared" si="42"/>
        <v>627461840</v>
      </c>
      <c r="F99" s="10">
        <f t="shared" si="42"/>
        <v>627461840</v>
      </c>
      <c r="G99" s="10">
        <f t="shared" si="42"/>
        <v>0</v>
      </c>
      <c r="H99" s="10">
        <f t="shared" si="42"/>
        <v>15000000</v>
      </c>
      <c r="I99" s="10">
        <f t="shared" si="42"/>
        <v>0</v>
      </c>
      <c r="J99" s="10">
        <f t="shared" si="42"/>
        <v>15000000</v>
      </c>
    </row>
    <row r="100" spans="1:10" ht="62" x14ac:dyDescent="0.35">
      <c r="A100" s="18" t="s">
        <v>8</v>
      </c>
      <c r="B100" s="19" t="s">
        <v>16</v>
      </c>
      <c r="C100" s="10">
        <f>223000000-15000000</f>
        <v>208000000</v>
      </c>
      <c r="D100" s="10">
        <v>161970000</v>
      </c>
      <c r="E100" s="10">
        <v>46030000</v>
      </c>
      <c r="F100" s="10">
        <v>46030000</v>
      </c>
      <c r="G100" s="10"/>
      <c r="H100" s="10">
        <v>15000000</v>
      </c>
      <c r="I100" s="1"/>
      <c r="J100" s="1">
        <v>15000000</v>
      </c>
    </row>
    <row r="101" spans="1:10" ht="46.5" x14ac:dyDescent="0.35">
      <c r="A101" s="18" t="s">
        <v>8</v>
      </c>
      <c r="B101" s="19" t="s">
        <v>17</v>
      </c>
      <c r="C101" s="10">
        <v>509000000</v>
      </c>
      <c r="D101" s="10">
        <v>413435660</v>
      </c>
      <c r="E101" s="10">
        <v>95564340</v>
      </c>
      <c r="F101" s="10">
        <v>95564340</v>
      </c>
      <c r="G101" s="10"/>
      <c r="H101" s="10"/>
      <c r="I101" s="1"/>
      <c r="J101" s="1"/>
    </row>
    <row r="102" spans="1:10" ht="46.5" x14ac:dyDescent="0.35">
      <c r="A102" s="18" t="s">
        <v>8</v>
      </c>
      <c r="B102" s="19" t="s">
        <v>18</v>
      </c>
      <c r="C102" s="10">
        <v>2183000000</v>
      </c>
      <c r="D102" s="10">
        <v>1697132500</v>
      </c>
      <c r="E102" s="10">
        <v>485867500</v>
      </c>
      <c r="F102" s="10">
        <v>485867500</v>
      </c>
      <c r="G102" s="10"/>
      <c r="H102" s="10"/>
      <c r="I102" s="1"/>
      <c r="J102" s="1"/>
    </row>
    <row r="103" spans="1:10" ht="31" x14ac:dyDescent="0.35">
      <c r="A103" s="18">
        <v>5</v>
      </c>
      <c r="B103" s="19" t="s">
        <v>19</v>
      </c>
      <c r="C103" s="10">
        <f>138000000-7000000</f>
        <v>131000000</v>
      </c>
      <c r="D103" s="10">
        <v>129600000</v>
      </c>
      <c r="E103" s="10">
        <f>SUM(F103:G103)</f>
        <v>1400000</v>
      </c>
      <c r="F103" s="10">
        <v>1400000</v>
      </c>
      <c r="G103" s="10"/>
      <c r="H103" s="10">
        <f t="shared" si="40"/>
        <v>7000000</v>
      </c>
      <c r="I103" s="1">
        <v>0</v>
      </c>
      <c r="J103" s="1">
        <v>7000000</v>
      </c>
    </row>
    <row r="104" spans="1:10" ht="46.5" x14ac:dyDescent="0.35">
      <c r="A104" s="18">
        <v>6</v>
      </c>
      <c r="B104" s="19" t="s">
        <v>20</v>
      </c>
      <c r="C104" s="10">
        <v>415000000</v>
      </c>
      <c r="D104" s="10">
        <v>143850000</v>
      </c>
      <c r="E104" s="10">
        <f>SUM(F104:G104)</f>
        <v>271150000</v>
      </c>
      <c r="F104" s="10">
        <v>271150000</v>
      </c>
      <c r="G104" s="10"/>
      <c r="H104" s="10">
        <f t="shared" si="40"/>
        <v>0</v>
      </c>
      <c r="I104" s="1"/>
      <c r="J104" s="1"/>
    </row>
    <row r="105" spans="1:10" ht="31" x14ac:dyDescent="0.35">
      <c r="A105" s="18">
        <v>7</v>
      </c>
      <c r="B105" s="19" t="s">
        <v>21</v>
      </c>
      <c r="C105" s="10">
        <f>976000000-43555000</f>
        <v>932445000</v>
      </c>
      <c r="D105" s="10">
        <v>298586534</v>
      </c>
      <c r="E105" s="10">
        <f>SUM(F105:G105)</f>
        <v>633858466</v>
      </c>
      <c r="F105" s="10">
        <v>633858466</v>
      </c>
      <c r="G105" s="10"/>
      <c r="H105" s="10">
        <f t="shared" si="40"/>
        <v>43555000</v>
      </c>
      <c r="I105" s="1"/>
      <c r="J105" s="1">
        <v>43555000</v>
      </c>
    </row>
    <row r="106" spans="1:10" ht="31" x14ac:dyDescent="0.35">
      <c r="A106" s="18">
        <v>8</v>
      </c>
      <c r="B106" s="19" t="s">
        <v>22</v>
      </c>
      <c r="C106" s="10">
        <f>C107</f>
        <v>122000000</v>
      </c>
      <c r="D106" s="10">
        <f t="shared" ref="D106:J106" si="43">D107</f>
        <v>122000000</v>
      </c>
      <c r="E106" s="10">
        <f t="shared" si="43"/>
        <v>0</v>
      </c>
      <c r="F106" s="10">
        <f t="shared" si="43"/>
        <v>0</v>
      </c>
      <c r="G106" s="10">
        <f t="shared" si="43"/>
        <v>0</v>
      </c>
      <c r="H106" s="10">
        <f t="shared" si="43"/>
        <v>0</v>
      </c>
      <c r="I106" s="10">
        <f t="shared" si="43"/>
        <v>0</v>
      </c>
      <c r="J106" s="10">
        <f t="shared" si="43"/>
        <v>0</v>
      </c>
    </row>
    <row r="107" spans="1:10" ht="31" x14ac:dyDescent="0.35">
      <c r="A107" s="18" t="s">
        <v>9</v>
      </c>
      <c r="B107" s="19" t="s">
        <v>23</v>
      </c>
      <c r="C107" s="10">
        <v>122000000</v>
      </c>
      <c r="D107" s="10">
        <v>122000000</v>
      </c>
      <c r="E107" s="10">
        <f>SUM(F107:G107)</f>
        <v>0</v>
      </c>
      <c r="F107" s="10"/>
      <c r="G107" s="10"/>
      <c r="H107" s="10">
        <f t="shared" si="40"/>
        <v>0</v>
      </c>
      <c r="I107" s="1"/>
      <c r="J107" s="1"/>
    </row>
    <row r="108" spans="1:10" ht="46.5" x14ac:dyDescent="0.35">
      <c r="A108" s="18">
        <v>9</v>
      </c>
      <c r="B108" s="19" t="s">
        <v>24</v>
      </c>
      <c r="C108" s="10">
        <f>SUM(C109:C111)</f>
        <v>282000000</v>
      </c>
      <c r="D108" s="10">
        <f t="shared" ref="D108:J108" si="44">SUM(D109:D111)</f>
        <v>199935000</v>
      </c>
      <c r="E108" s="10">
        <f t="shared" si="44"/>
        <v>82065000</v>
      </c>
      <c r="F108" s="10">
        <f t="shared" si="44"/>
        <v>82065000</v>
      </c>
      <c r="G108" s="10">
        <f t="shared" si="44"/>
        <v>0</v>
      </c>
      <c r="H108" s="10">
        <f t="shared" si="44"/>
        <v>4000000</v>
      </c>
      <c r="I108" s="10">
        <f t="shared" si="44"/>
        <v>0</v>
      </c>
      <c r="J108" s="10">
        <f t="shared" si="44"/>
        <v>4000000</v>
      </c>
    </row>
    <row r="109" spans="1:10" ht="93" x14ac:dyDescent="0.35">
      <c r="A109" s="18" t="s">
        <v>8</v>
      </c>
      <c r="B109" s="19" t="s">
        <v>25</v>
      </c>
      <c r="C109" s="10">
        <v>192000000</v>
      </c>
      <c r="D109" s="10">
        <v>192000000</v>
      </c>
      <c r="E109" s="10">
        <f>SUM(F109:G109)</f>
        <v>0</v>
      </c>
      <c r="F109" s="10"/>
      <c r="G109" s="10"/>
      <c r="H109" s="10">
        <f t="shared" si="40"/>
        <v>0</v>
      </c>
      <c r="I109" s="1"/>
      <c r="J109" s="1"/>
    </row>
    <row r="110" spans="1:10" ht="46.5" x14ac:dyDescent="0.35">
      <c r="A110" s="18" t="s">
        <v>8</v>
      </c>
      <c r="B110" s="19" t="s">
        <v>26</v>
      </c>
      <c r="C110" s="10">
        <v>31000000</v>
      </c>
      <c r="D110" s="10"/>
      <c r="E110" s="10">
        <f>SUM(F110:G110)</f>
        <v>31000000</v>
      </c>
      <c r="F110" s="10">
        <v>31000000</v>
      </c>
      <c r="G110" s="10"/>
      <c r="H110" s="10">
        <f t="shared" si="40"/>
        <v>0</v>
      </c>
      <c r="I110" s="1"/>
      <c r="J110" s="1"/>
    </row>
    <row r="111" spans="1:10" ht="31" x14ac:dyDescent="0.35">
      <c r="A111" s="18" t="s">
        <v>8</v>
      </c>
      <c r="B111" s="19" t="s">
        <v>27</v>
      </c>
      <c r="C111" s="10">
        <f>63000000-4000000</f>
        <v>59000000</v>
      </c>
      <c r="D111" s="10">
        <v>7935000</v>
      </c>
      <c r="E111" s="10">
        <f>SUM(F111:G111)</f>
        <v>51065000</v>
      </c>
      <c r="F111" s="10">
        <v>51065000</v>
      </c>
      <c r="G111" s="10"/>
      <c r="H111" s="10">
        <f t="shared" si="40"/>
        <v>4000000</v>
      </c>
      <c r="I111" s="1">
        <v>0</v>
      </c>
      <c r="J111" s="1">
        <v>4000000</v>
      </c>
    </row>
    <row r="112" spans="1:10" s="3" customFormat="1" ht="15" x14ac:dyDescent="0.35">
      <c r="A112" s="7" t="s">
        <v>62</v>
      </c>
      <c r="B112" s="6" t="s">
        <v>29</v>
      </c>
      <c r="C112" s="8">
        <f>C113+C114+C117+C119+C123+C124+C125+C126+C128</f>
        <v>17370708133</v>
      </c>
      <c r="D112" s="8">
        <f t="shared" ref="D112:J112" si="45">D113+D114+D117+D119+D123+D124+D125+D126+D128</f>
        <v>5762407298</v>
      </c>
      <c r="E112" s="8">
        <f t="shared" si="45"/>
        <v>11608100835</v>
      </c>
      <c r="F112" s="8">
        <f t="shared" si="45"/>
        <v>11123951835</v>
      </c>
      <c r="G112" s="8">
        <f t="shared" si="45"/>
        <v>484149000</v>
      </c>
      <c r="H112" s="8">
        <f t="shared" si="45"/>
        <v>313724867</v>
      </c>
      <c r="I112" s="8">
        <f t="shared" si="45"/>
        <v>0</v>
      </c>
      <c r="J112" s="8">
        <f t="shared" si="45"/>
        <v>313524867</v>
      </c>
    </row>
    <row r="113" spans="1:10" ht="31" x14ac:dyDescent="0.35">
      <c r="A113" s="18">
        <v>1</v>
      </c>
      <c r="B113" s="19" t="s">
        <v>7</v>
      </c>
      <c r="C113" s="10">
        <f>715590000-21171000</f>
        <v>694419000</v>
      </c>
      <c r="D113" s="27">
        <v>264916000</v>
      </c>
      <c r="E113" s="27">
        <v>429503000</v>
      </c>
      <c r="F113" s="27">
        <v>429503000</v>
      </c>
      <c r="G113" s="27"/>
      <c r="H113" s="27">
        <v>21171000</v>
      </c>
      <c r="I113" s="28"/>
      <c r="J113" s="28">
        <v>21171000</v>
      </c>
    </row>
    <row r="114" spans="1:10" ht="46.5" x14ac:dyDescent="0.35">
      <c r="A114" s="18">
        <v>2</v>
      </c>
      <c r="B114" s="19" t="s">
        <v>10</v>
      </c>
      <c r="C114" s="10">
        <f>SUM(C115:C116)</f>
        <v>9677643000</v>
      </c>
      <c r="D114" s="10">
        <f t="shared" ref="D114:J114" si="46">SUM(D115:D116)</f>
        <v>497029148</v>
      </c>
      <c r="E114" s="10">
        <f t="shared" si="46"/>
        <v>9180613852</v>
      </c>
      <c r="F114" s="10">
        <f t="shared" si="46"/>
        <v>8696464852</v>
      </c>
      <c r="G114" s="10">
        <f t="shared" si="46"/>
        <v>484149000</v>
      </c>
      <c r="H114" s="10">
        <f t="shared" si="46"/>
        <v>0</v>
      </c>
      <c r="I114" s="10">
        <f t="shared" si="46"/>
        <v>0</v>
      </c>
      <c r="J114" s="10">
        <f t="shared" si="46"/>
        <v>0</v>
      </c>
    </row>
    <row r="115" spans="1:10" ht="31" x14ac:dyDescent="0.35">
      <c r="A115" s="18" t="s">
        <v>8</v>
      </c>
      <c r="B115" s="19" t="s">
        <v>11</v>
      </c>
      <c r="C115" s="10">
        <v>6735000000</v>
      </c>
      <c r="D115" s="34">
        <v>497029148</v>
      </c>
      <c r="E115" s="34">
        <v>6237970852</v>
      </c>
      <c r="F115" s="34">
        <v>6237970852</v>
      </c>
      <c r="G115" s="34"/>
      <c r="H115" s="34"/>
      <c r="I115" s="35"/>
      <c r="J115" s="34"/>
    </row>
    <row r="116" spans="1:10" ht="62" x14ac:dyDescent="0.35">
      <c r="A116" s="18" t="s">
        <v>8</v>
      </c>
      <c r="B116" s="19" t="s">
        <v>12</v>
      </c>
      <c r="C116" s="10">
        <v>2942643000</v>
      </c>
      <c r="D116" s="10">
        <v>0</v>
      </c>
      <c r="E116" s="10">
        <v>2942643000</v>
      </c>
      <c r="F116" s="10">
        <v>2458494000</v>
      </c>
      <c r="G116" s="10">
        <v>484149000</v>
      </c>
      <c r="H116" s="10">
        <f>SUM(I116:J116)</f>
        <v>0</v>
      </c>
      <c r="I116" s="10"/>
      <c r="J116" s="10"/>
    </row>
    <row r="117" spans="1:10" ht="46.5" x14ac:dyDescent="0.35">
      <c r="A117" s="18">
        <v>3</v>
      </c>
      <c r="B117" s="19" t="s">
        <v>13</v>
      </c>
      <c r="C117" s="10">
        <f>C118</f>
        <v>1398000000</v>
      </c>
      <c r="D117" s="10">
        <f t="shared" ref="D117:J117" si="47">D118</f>
        <v>1092575586</v>
      </c>
      <c r="E117" s="10">
        <f t="shared" si="47"/>
        <v>305424414</v>
      </c>
      <c r="F117" s="10">
        <f t="shared" si="47"/>
        <v>305424414</v>
      </c>
      <c r="G117" s="10">
        <f t="shared" si="47"/>
        <v>0</v>
      </c>
      <c r="H117" s="10">
        <f t="shared" si="47"/>
        <v>0</v>
      </c>
      <c r="I117" s="10">
        <f t="shared" si="47"/>
        <v>0</v>
      </c>
      <c r="J117" s="10">
        <f t="shared" si="47"/>
        <v>0</v>
      </c>
    </row>
    <row r="118" spans="1:10" ht="31" x14ac:dyDescent="0.35">
      <c r="A118" s="18" t="s">
        <v>9</v>
      </c>
      <c r="B118" s="19" t="s">
        <v>14</v>
      </c>
      <c r="C118" s="10">
        <v>1398000000</v>
      </c>
      <c r="D118" s="10">
        <v>1092575586</v>
      </c>
      <c r="E118" s="10">
        <v>305424414</v>
      </c>
      <c r="F118" s="10">
        <v>305424414</v>
      </c>
      <c r="G118" s="10">
        <v>0</v>
      </c>
      <c r="H118" s="10"/>
      <c r="I118" s="1"/>
      <c r="J118" s="1">
        <v>0</v>
      </c>
    </row>
    <row r="119" spans="1:10" ht="31" x14ac:dyDescent="0.35">
      <c r="A119" s="18">
        <v>4</v>
      </c>
      <c r="B119" s="19" t="s">
        <v>15</v>
      </c>
      <c r="C119" s="10">
        <f>SUM(C120:C122)</f>
        <v>3424252693</v>
      </c>
      <c r="D119" s="10">
        <f t="shared" ref="D119:J119" si="48">SUM(D120:D122)</f>
        <v>2971511691</v>
      </c>
      <c r="E119" s="10">
        <f t="shared" si="48"/>
        <v>452741002</v>
      </c>
      <c r="F119" s="10">
        <f t="shared" si="48"/>
        <v>452741002</v>
      </c>
      <c r="G119" s="10">
        <f t="shared" si="48"/>
        <v>0</v>
      </c>
      <c r="H119" s="10">
        <f t="shared" si="48"/>
        <v>184747307</v>
      </c>
      <c r="I119" s="10">
        <f t="shared" si="48"/>
        <v>0</v>
      </c>
      <c r="J119" s="10">
        <f t="shared" si="48"/>
        <v>184747307</v>
      </c>
    </row>
    <row r="120" spans="1:10" ht="62" x14ac:dyDescent="0.35">
      <c r="A120" s="18" t="s">
        <v>8</v>
      </c>
      <c r="B120" s="19" t="s">
        <v>16</v>
      </c>
      <c r="C120" s="10">
        <f>699000000-39997307</f>
        <v>659002693</v>
      </c>
      <c r="D120" s="10">
        <v>570200318</v>
      </c>
      <c r="E120" s="10">
        <v>88802375</v>
      </c>
      <c r="F120" s="10">
        <v>88802375</v>
      </c>
      <c r="G120" s="10"/>
      <c r="H120" s="10">
        <v>39997307</v>
      </c>
      <c r="I120" s="1"/>
      <c r="J120" s="1">
        <v>39997307</v>
      </c>
    </row>
    <row r="121" spans="1:10" ht="46.5" x14ac:dyDescent="0.35">
      <c r="A121" s="18" t="s">
        <v>8</v>
      </c>
      <c r="B121" s="19" t="s">
        <v>17</v>
      </c>
      <c r="C121" s="10">
        <v>727000000</v>
      </c>
      <c r="D121" s="10">
        <v>602880493</v>
      </c>
      <c r="E121" s="10">
        <v>124119507</v>
      </c>
      <c r="F121" s="10">
        <v>124119507</v>
      </c>
      <c r="G121" s="10"/>
      <c r="H121" s="10">
        <v>0</v>
      </c>
      <c r="I121" s="1"/>
      <c r="J121" s="1">
        <v>0</v>
      </c>
    </row>
    <row r="122" spans="1:10" ht="46.5" x14ac:dyDescent="0.35">
      <c r="A122" s="18" t="s">
        <v>8</v>
      </c>
      <c r="B122" s="19" t="s">
        <v>18</v>
      </c>
      <c r="C122" s="10">
        <f>2183000000-144750000</f>
        <v>2038250000</v>
      </c>
      <c r="D122" s="10">
        <v>1798430880</v>
      </c>
      <c r="E122" s="10">
        <v>239819120</v>
      </c>
      <c r="F122" s="10">
        <v>239819120</v>
      </c>
      <c r="G122" s="10">
        <v>0</v>
      </c>
      <c r="H122" s="10">
        <v>144750000</v>
      </c>
      <c r="I122" s="1">
        <v>0</v>
      </c>
      <c r="J122" s="1">
        <v>144750000</v>
      </c>
    </row>
    <row r="123" spans="1:10" ht="31" x14ac:dyDescent="0.35">
      <c r="A123" s="18">
        <v>5</v>
      </c>
      <c r="B123" s="19" t="s">
        <v>19</v>
      </c>
      <c r="C123" s="10">
        <v>147000000</v>
      </c>
      <c r="D123" s="10">
        <v>146800000</v>
      </c>
      <c r="E123" s="10"/>
      <c r="F123" s="10"/>
      <c r="G123" s="10"/>
      <c r="H123" s="10">
        <v>200000</v>
      </c>
      <c r="I123" s="1">
        <v>0</v>
      </c>
      <c r="J123" s="1"/>
    </row>
    <row r="124" spans="1:10" ht="46.5" x14ac:dyDescent="0.35">
      <c r="A124" s="18">
        <v>6</v>
      </c>
      <c r="B124" s="19" t="s">
        <v>20</v>
      </c>
      <c r="C124" s="10">
        <f>488000000-255000000-23000000</f>
        <v>210000000</v>
      </c>
      <c r="D124" s="10">
        <v>188000000</v>
      </c>
      <c r="E124" s="10">
        <v>22000000</v>
      </c>
      <c r="F124" s="10">
        <v>22000000</v>
      </c>
      <c r="G124" s="10"/>
      <c r="H124" s="10">
        <v>23000000</v>
      </c>
      <c r="I124" s="1"/>
      <c r="J124" s="1">
        <v>23000000</v>
      </c>
    </row>
    <row r="125" spans="1:10" ht="31" x14ac:dyDescent="0.35">
      <c r="A125" s="18">
        <v>7</v>
      </c>
      <c r="B125" s="19" t="s">
        <v>21</v>
      </c>
      <c r="C125" s="10">
        <f>1254000000-60000000</f>
        <v>1194000000</v>
      </c>
      <c r="D125" s="27">
        <v>161723400</v>
      </c>
      <c r="E125" s="27">
        <v>1032276600</v>
      </c>
      <c r="F125" s="27">
        <v>1032276600</v>
      </c>
      <c r="G125" s="27"/>
      <c r="H125" s="27">
        <v>60000000</v>
      </c>
      <c r="I125" s="28"/>
      <c r="J125" s="28">
        <v>60000000</v>
      </c>
    </row>
    <row r="126" spans="1:10" ht="31" x14ac:dyDescent="0.35">
      <c r="A126" s="18">
        <v>8</v>
      </c>
      <c r="B126" s="19" t="s">
        <v>22</v>
      </c>
      <c r="C126" s="10">
        <f>C127</f>
        <v>260000000</v>
      </c>
      <c r="D126" s="10">
        <f t="shared" ref="D126:J126" si="49">D127</f>
        <v>218524633</v>
      </c>
      <c r="E126" s="10">
        <f t="shared" si="49"/>
        <v>41475367</v>
      </c>
      <c r="F126" s="10">
        <f t="shared" si="49"/>
        <v>41475367</v>
      </c>
      <c r="G126" s="10">
        <f t="shared" si="49"/>
        <v>0</v>
      </c>
      <c r="H126" s="10">
        <f t="shared" si="49"/>
        <v>13000000</v>
      </c>
      <c r="I126" s="10">
        <f t="shared" si="49"/>
        <v>0</v>
      </c>
      <c r="J126" s="10">
        <f t="shared" si="49"/>
        <v>13000000</v>
      </c>
    </row>
    <row r="127" spans="1:10" ht="31" x14ac:dyDescent="0.35">
      <c r="A127" s="18" t="s">
        <v>9</v>
      </c>
      <c r="B127" s="19" t="s">
        <v>23</v>
      </c>
      <c r="C127" s="10">
        <f>273000000-13000000</f>
        <v>260000000</v>
      </c>
      <c r="D127" s="34">
        <v>218524633</v>
      </c>
      <c r="E127" s="34">
        <f>F127+G127</f>
        <v>41475367</v>
      </c>
      <c r="F127" s="34">
        <v>41475367</v>
      </c>
      <c r="G127" s="34"/>
      <c r="H127" s="35">
        <f>I127+J127</f>
        <v>13000000</v>
      </c>
      <c r="I127" s="35"/>
      <c r="J127" s="35">
        <v>13000000</v>
      </c>
    </row>
    <row r="128" spans="1:10" ht="46.5" x14ac:dyDescent="0.35">
      <c r="A128" s="18">
        <v>9</v>
      </c>
      <c r="B128" s="19" t="s">
        <v>24</v>
      </c>
      <c r="C128" s="10">
        <f>SUM(C129:C131)</f>
        <v>365393440</v>
      </c>
      <c r="D128" s="10">
        <f t="shared" ref="D128:J128" si="50">SUM(D129:D131)</f>
        <v>221326840</v>
      </c>
      <c r="E128" s="10">
        <f t="shared" si="50"/>
        <v>144066600</v>
      </c>
      <c r="F128" s="10">
        <f t="shared" si="50"/>
        <v>144066600</v>
      </c>
      <c r="G128" s="10">
        <f t="shared" si="50"/>
        <v>0</v>
      </c>
      <c r="H128" s="10">
        <f t="shared" si="50"/>
        <v>11606560</v>
      </c>
      <c r="I128" s="10">
        <f t="shared" si="50"/>
        <v>0</v>
      </c>
      <c r="J128" s="10">
        <f t="shared" si="50"/>
        <v>11606560</v>
      </c>
    </row>
    <row r="129" spans="1:10" ht="93" x14ac:dyDescent="0.35">
      <c r="A129" s="18" t="s">
        <v>8</v>
      </c>
      <c r="B129" s="19" t="s">
        <v>25</v>
      </c>
      <c r="C129" s="10">
        <f>275000000-7606560</f>
        <v>267393440</v>
      </c>
      <c r="D129" s="34">
        <v>221326840</v>
      </c>
      <c r="E129" s="34">
        <v>46066600</v>
      </c>
      <c r="F129" s="34">
        <v>46066600</v>
      </c>
      <c r="G129" s="34"/>
      <c r="H129" s="35">
        <v>7606560</v>
      </c>
      <c r="I129" s="35"/>
      <c r="J129" s="35">
        <v>7606560</v>
      </c>
    </row>
    <row r="130" spans="1:10" ht="46.5" x14ac:dyDescent="0.35">
      <c r="A130" s="18" t="s">
        <v>8</v>
      </c>
      <c r="B130" s="19" t="s">
        <v>26</v>
      </c>
      <c r="C130" s="10">
        <v>32000000</v>
      </c>
      <c r="D130" s="37"/>
      <c r="E130" s="35">
        <v>32000000</v>
      </c>
      <c r="F130" s="35">
        <v>32000000</v>
      </c>
      <c r="G130" s="35"/>
      <c r="H130" s="35"/>
      <c r="I130" s="35"/>
      <c r="J130" s="35"/>
    </row>
    <row r="131" spans="1:10" ht="31" x14ac:dyDescent="0.35">
      <c r="A131" s="18" t="s">
        <v>8</v>
      </c>
      <c r="B131" s="19" t="s">
        <v>27</v>
      </c>
      <c r="C131" s="10">
        <f>70000000-4000000</f>
        <v>66000000</v>
      </c>
      <c r="D131" s="38"/>
      <c r="E131" s="35">
        <v>66000000</v>
      </c>
      <c r="F131" s="35">
        <v>66000000</v>
      </c>
      <c r="G131" s="39"/>
      <c r="H131" s="35">
        <v>4000000</v>
      </c>
      <c r="I131" s="35"/>
      <c r="J131" s="35">
        <v>4000000</v>
      </c>
    </row>
    <row r="132" spans="1:10" s="3" customFormat="1" ht="15" x14ac:dyDescent="0.35">
      <c r="A132" s="7" t="s">
        <v>63</v>
      </c>
      <c r="B132" s="6" t="s">
        <v>30</v>
      </c>
      <c r="C132" s="8">
        <f>C133+C134+C137+C139+C143+C144+C145+C146+C148</f>
        <v>22766875300</v>
      </c>
      <c r="D132" s="8">
        <f t="shared" ref="D132:J132" si="51">D133+D134+D137+D139+D143+D144+D145+D146+D148</f>
        <v>3336931110</v>
      </c>
      <c r="E132" s="8">
        <f t="shared" si="51"/>
        <v>19429551368</v>
      </c>
      <c r="F132" s="8">
        <f t="shared" si="51"/>
        <v>18729642368</v>
      </c>
      <c r="G132" s="8">
        <f t="shared" si="51"/>
        <v>699909000</v>
      </c>
      <c r="H132" s="8">
        <f t="shared" si="51"/>
        <v>65078700</v>
      </c>
      <c r="I132" s="8">
        <f t="shared" si="51"/>
        <v>0</v>
      </c>
      <c r="J132" s="8">
        <f t="shared" si="51"/>
        <v>65078700</v>
      </c>
    </row>
    <row r="133" spans="1:10" ht="31" x14ac:dyDescent="0.35">
      <c r="A133" s="18">
        <v>1</v>
      </c>
      <c r="B133" s="19" t="s">
        <v>7</v>
      </c>
      <c r="C133" s="10">
        <v>210000000</v>
      </c>
      <c r="D133" s="10">
        <v>209950000</v>
      </c>
      <c r="E133" s="10">
        <f>SUM(F133:G133)</f>
        <v>50000</v>
      </c>
      <c r="F133" s="10">
        <v>50000</v>
      </c>
      <c r="G133" s="10">
        <v>0</v>
      </c>
      <c r="H133" s="10">
        <f>SUM(I133:J133)</f>
        <v>0</v>
      </c>
      <c r="I133" s="1">
        <v>0</v>
      </c>
      <c r="J133" s="1">
        <v>0</v>
      </c>
    </row>
    <row r="134" spans="1:10" ht="46.5" x14ac:dyDescent="0.35">
      <c r="A134" s="18">
        <v>2</v>
      </c>
      <c r="B134" s="19" t="s">
        <v>10</v>
      </c>
      <c r="C134" s="10">
        <f>SUM(C135:C136)</f>
        <v>16547954000</v>
      </c>
      <c r="D134" s="10">
        <f t="shared" ref="D134:J134" si="52">SUM(D135:D136)</f>
        <v>0</v>
      </c>
      <c r="E134" s="10">
        <f t="shared" si="52"/>
        <v>16547954000</v>
      </c>
      <c r="F134" s="10">
        <f t="shared" si="52"/>
        <v>15848045000</v>
      </c>
      <c r="G134" s="10">
        <f t="shared" si="52"/>
        <v>699909000</v>
      </c>
      <c r="H134" s="10">
        <f t="shared" si="52"/>
        <v>0</v>
      </c>
      <c r="I134" s="10">
        <f t="shared" si="52"/>
        <v>0</v>
      </c>
      <c r="J134" s="10">
        <f t="shared" si="52"/>
        <v>0</v>
      </c>
    </row>
    <row r="135" spans="1:10" ht="31" x14ac:dyDescent="0.35">
      <c r="A135" s="18" t="s">
        <v>8</v>
      </c>
      <c r="B135" s="19" t="s">
        <v>11</v>
      </c>
      <c r="C135" s="10">
        <v>12294000000</v>
      </c>
      <c r="D135" s="10">
        <v>0</v>
      </c>
      <c r="E135" s="10">
        <f>SUM(F135:G135)</f>
        <v>12294000000</v>
      </c>
      <c r="F135" s="10">
        <v>12294000000</v>
      </c>
      <c r="G135" s="10">
        <v>0</v>
      </c>
      <c r="H135" s="10">
        <f t="shared" ref="H135:H151" si="53">SUM(I135:J135)</f>
        <v>0</v>
      </c>
      <c r="I135" s="1">
        <v>0</v>
      </c>
      <c r="J135" s="1">
        <v>0</v>
      </c>
    </row>
    <row r="136" spans="1:10" ht="62" x14ac:dyDescent="0.35">
      <c r="A136" s="18" t="s">
        <v>8</v>
      </c>
      <c r="B136" s="19" t="s">
        <v>12</v>
      </c>
      <c r="C136" s="10">
        <f>884914000+3369040000</f>
        <v>4253954000</v>
      </c>
      <c r="D136" s="10">
        <v>0</v>
      </c>
      <c r="E136" s="10">
        <f>SUM(F136:G136)</f>
        <v>4253954000</v>
      </c>
      <c r="F136" s="10">
        <f>739310000+2814735000</f>
        <v>3554045000</v>
      </c>
      <c r="G136" s="10">
        <f>145604000+554305000</f>
        <v>699909000</v>
      </c>
      <c r="H136" s="10">
        <f t="shared" si="53"/>
        <v>0</v>
      </c>
      <c r="I136" s="1">
        <v>0</v>
      </c>
      <c r="J136" s="1">
        <v>0</v>
      </c>
    </row>
    <row r="137" spans="1:10" ht="46.5" x14ac:dyDescent="0.35">
      <c r="A137" s="18">
        <v>3</v>
      </c>
      <c r="B137" s="19" t="s">
        <v>13</v>
      </c>
      <c r="C137" s="10">
        <f>C138</f>
        <v>1027000000</v>
      </c>
      <c r="D137" s="10">
        <f t="shared" ref="D137:J137" si="54">D138</f>
        <v>958746710</v>
      </c>
      <c r="E137" s="10">
        <f t="shared" si="54"/>
        <v>67860468</v>
      </c>
      <c r="F137" s="10">
        <f t="shared" si="54"/>
        <v>67860468</v>
      </c>
      <c r="G137" s="10">
        <f t="shared" si="54"/>
        <v>0</v>
      </c>
      <c r="H137" s="10">
        <f t="shared" si="54"/>
        <v>0</v>
      </c>
      <c r="I137" s="10">
        <f t="shared" si="54"/>
        <v>0</v>
      </c>
      <c r="J137" s="10">
        <f t="shared" si="54"/>
        <v>0</v>
      </c>
    </row>
    <row r="138" spans="1:10" ht="31" x14ac:dyDescent="0.35">
      <c r="A138" s="18" t="s">
        <v>9</v>
      </c>
      <c r="B138" s="19" t="s">
        <v>14</v>
      </c>
      <c r="C138" s="10">
        <v>1027000000</v>
      </c>
      <c r="D138" s="10">
        <v>958746710</v>
      </c>
      <c r="E138" s="10">
        <f>SUM(F138:G138)</f>
        <v>67860468</v>
      </c>
      <c r="F138" s="10">
        <f>51301000+16559468</f>
        <v>67860468</v>
      </c>
      <c r="G138" s="10">
        <v>0</v>
      </c>
      <c r="H138" s="10">
        <f t="shared" si="53"/>
        <v>0</v>
      </c>
      <c r="I138" s="1">
        <v>0</v>
      </c>
      <c r="J138" s="1"/>
    </row>
    <row r="139" spans="1:10" ht="31" x14ac:dyDescent="0.35">
      <c r="A139" s="18">
        <v>4</v>
      </c>
      <c r="B139" s="19" t="s">
        <v>15</v>
      </c>
      <c r="C139" s="10">
        <f>SUM(C140:C142)</f>
        <v>3428000000</v>
      </c>
      <c r="D139" s="10">
        <f t="shared" ref="D139:J139" si="55">SUM(D140:D142)</f>
        <v>1529147900</v>
      </c>
      <c r="E139" s="10">
        <f t="shared" si="55"/>
        <v>1898852100</v>
      </c>
      <c r="F139" s="10">
        <f t="shared" si="55"/>
        <v>1898852100</v>
      </c>
      <c r="G139" s="10">
        <f t="shared" si="55"/>
        <v>0</v>
      </c>
      <c r="H139" s="10">
        <f t="shared" si="55"/>
        <v>64000000</v>
      </c>
      <c r="I139" s="10">
        <f t="shared" si="55"/>
        <v>0</v>
      </c>
      <c r="J139" s="10">
        <f t="shared" si="55"/>
        <v>64000000</v>
      </c>
    </row>
    <row r="140" spans="1:10" ht="62" x14ac:dyDescent="0.35">
      <c r="A140" s="18" t="s">
        <v>8</v>
      </c>
      <c r="B140" s="19" t="s">
        <v>16</v>
      </c>
      <c r="C140" s="10">
        <f>945000000-64000000</f>
        <v>881000000</v>
      </c>
      <c r="D140" s="10">
        <v>0</v>
      </c>
      <c r="E140" s="10">
        <f t="shared" ref="E140:E145" si="56">SUM(F140:G140)</f>
        <v>881000000</v>
      </c>
      <c r="F140" s="10">
        <v>881000000</v>
      </c>
      <c r="G140" s="10">
        <v>0</v>
      </c>
      <c r="H140" s="10">
        <f t="shared" si="53"/>
        <v>64000000</v>
      </c>
      <c r="I140" s="1">
        <v>0</v>
      </c>
      <c r="J140" s="1">
        <v>64000000</v>
      </c>
    </row>
    <row r="141" spans="1:10" ht="46.5" x14ac:dyDescent="0.35">
      <c r="A141" s="18" t="s">
        <v>8</v>
      </c>
      <c r="B141" s="19" t="s">
        <v>17</v>
      </c>
      <c r="C141" s="10">
        <v>364000000</v>
      </c>
      <c r="D141" s="10">
        <v>363686900</v>
      </c>
      <c r="E141" s="10">
        <f t="shared" si="56"/>
        <v>313100</v>
      </c>
      <c r="F141" s="10">
        <v>313100</v>
      </c>
      <c r="G141" s="10"/>
      <c r="H141" s="10">
        <f t="shared" si="53"/>
        <v>0</v>
      </c>
      <c r="I141" s="1"/>
      <c r="J141" s="1"/>
    </row>
    <row r="142" spans="1:10" ht="46.5" x14ac:dyDescent="0.35">
      <c r="A142" s="18" t="s">
        <v>8</v>
      </c>
      <c r="B142" s="19" t="s">
        <v>18</v>
      </c>
      <c r="C142" s="10">
        <v>2183000000</v>
      </c>
      <c r="D142" s="10">
        <v>1165461000</v>
      </c>
      <c r="E142" s="10">
        <f t="shared" si="56"/>
        <v>1017539000</v>
      </c>
      <c r="F142" s="10">
        <v>1017539000</v>
      </c>
      <c r="G142" s="10"/>
      <c r="H142" s="10">
        <f t="shared" si="53"/>
        <v>0</v>
      </c>
      <c r="I142" s="1"/>
      <c r="J142" s="1"/>
    </row>
    <row r="143" spans="1:10" ht="31" x14ac:dyDescent="0.35">
      <c r="A143" s="18">
        <v>5</v>
      </c>
      <c r="B143" s="19" t="s">
        <v>19</v>
      </c>
      <c r="C143" s="10">
        <v>169000000</v>
      </c>
      <c r="D143" s="10">
        <v>164122000</v>
      </c>
      <c r="E143" s="10">
        <f t="shared" si="56"/>
        <v>4878000</v>
      </c>
      <c r="F143" s="10">
        <v>4878000</v>
      </c>
      <c r="G143" s="10"/>
      <c r="H143" s="10">
        <f t="shared" si="53"/>
        <v>0</v>
      </c>
      <c r="I143" s="1"/>
      <c r="J143" s="1"/>
    </row>
    <row r="144" spans="1:10" ht="46.5" x14ac:dyDescent="0.35">
      <c r="A144" s="18">
        <v>6</v>
      </c>
      <c r="B144" s="19" t="s">
        <v>20</v>
      </c>
      <c r="C144" s="10">
        <f>382000000-312000000</f>
        <v>70000000</v>
      </c>
      <c r="D144" s="10">
        <v>70000000</v>
      </c>
      <c r="E144" s="10">
        <f t="shared" si="56"/>
        <v>0</v>
      </c>
      <c r="F144" s="10"/>
      <c r="G144" s="10"/>
      <c r="H144" s="10">
        <f t="shared" si="53"/>
        <v>0</v>
      </c>
      <c r="I144" s="1"/>
      <c r="J144" s="1"/>
    </row>
    <row r="145" spans="1:10" ht="31" x14ac:dyDescent="0.35">
      <c r="A145" s="18">
        <v>7</v>
      </c>
      <c r="B145" s="19" t="s">
        <v>21</v>
      </c>
      <c r="C145" s="10">
        <v>916000000</v>
      </c>
      <c r="D145" s="10">
        <v>207425000</v>
      </c>
      <c r="E145" s="10">
        <f t="shared" si="56"/>
        <v>708575000</v>
      </c>
      <c r="F145" s="10">
        <v>708575000</v>
      </c>
      <c r="G145" s="10"/>
      <c r="H145" s="10">
        <f t="shared" si="53"/>
        <v>0</v>
      </c>
      <c r="I145" s="1"/>
      <c r="J145" s="1"/>
    </row>
    <row r="146" spans="1:10" ht="31" x14ac:dyDescent="0.35">
      <c r="A146" s="18">
        <v>8</v>
      </c>
      <c r="B146" s="19" t="s">
        <v>22</v>
      </c>
      <c r="C146" s="10">
        <f>C147</f>
        <v>166000000</v>
      </c>
      <c r="D146" s="10">
        <f t="shared" ref="D146:J146" si="57">D147</f>
        <v>163813200</v>
      </c>
      <c r="E146" s="10">
        <f t="shared" si="57"/>
        <v>2186800</v>
      </c>
      <c r="F146" s="10">
        <f t="shared" si="57"/>
        <v>2186800</v>
      </c>
      <c r="G146" s="10">
        <f t="shared" si="57"/>
        <v>0</v>
      </c>
      <c r="H146" s="10">
        <f t="shared" si="57"/>
        <v>0</v>
      </c>
      <c r="I146" s="10">
        <f t="shared" si="57"/>
        <v>0</v>
      </c>
      <c r="J146" s="10">
        <f t="shared" si="57"/>
        <v>0</v>
      </c>
    </row>
    <row r="147" spans="1:10" ht="31" x14ac:dyDescent="0.35">
      <c r="A147" s="18" t="s">
        <v>9</v>
      </c>
      <c r="B147" s="19" t="s">
        <v>23</v>
      </c>
      <c r="C147" s="10">
        <v>166000000</v>
      </c>
      <c r="D147" s="10">
        <v>163813200</v>
      </c>
      <c r="E147" s="10">
        <f>SUM(F147:G147)</f>
        <v>2186800</v>
      </c>
      <c r="F147" s="10">
        <v>2186800</v>
      </c>
      <c r="G147" s="10"/>
      <c r="H147" s="10">
        <f t="shared" si="53"/>
        <v>0</v>
      </c>
      <c r="I147" s="1"/>
      <c r="J147" s="1"/>
    </row>
    <row r="148" spans="1:10" ht="46.5" x14ac:dyDescent="0.35">
      <c r="A148" s="18">
        <v>9</v>
      </c>
      <c r="B148" s="19" t="s">
        <v>24</v>
      </c>
      <c r="C148" s="10">
        <f>SUM(C149:C151)</f>
        <v>232921300</v>
      </c>
      <c r="D148" s="10">
        <f t="shared" ref="D148:J148" si="58">SUM(D149:D151)</f>
        <v>33726300</v>
      </c>
      <c r="E148" s="10">
        <f t="shared" si="58"/>
        <v>199195000</v>
      </c>
      <c r="F148" s="10">
        <f t="shared" si="58"/>
        <v>199195000</v>
      </c>
      <c r="G148" s="10">
        <f t="shared" si="58"/>
        <v>0</v>
      </c>
      <c r="H148" s="10">
        <f t="shared" si="58"/>
        <v>1078700</v>
      </c>
      <c r="I148" s="10">
        <f t="shared" si="58"/>
        <v>0</v>
      </c>
      <c r="J148" s="10">
        <f t="shared" si="58"/>
        <v>1078700</v>
      </c>
    </row>
    <row r="149" spans="1:10" ht="93" x14ac:dyDescent="0.35">
      <c r="A149" s="18" t="s">
        <v>8</v>
      </c>
      <c r="B149" s="19" t="s">
        <v>25</v>
      </c>
      <c r="C149" s="10">
        <f>138000000-466700</f>
        <v>137533300</v>
      </c>
      <c r="D149" s="10">
        <v>31338300</v>
      </c>
      <c r="E149" s="10">
        <f>SUM(F149:G149)</f>
        <v>106195000</v>
      </c>
      <c r="F149" s="10">
        <v>106195000</v>
      </c>
      <c r="G149" s="10">
        <v>0</v>
      </c>
      <c r="H149" s="10">
        <f t="shared" si="53"/>
        <v>466700</v>
      </c>
      <c r="I149" s="1">
        <v>0</v>
      </c>
      <c r="J149" s="1">
        <v>466700</v>
      </c>
    </row>
    <row r="150" spans="1:10" ht="46.5" x14ac:dyDescent="0.35">
      <c r="A150" s="18" t="s">
        <v>8</v>
      </c>
      <c r="B150" s="19" t="s">
        <v>26</v>
      </c>
      <c r="C150" s="10">
        <v>35000000</v>
      </c>
      <c r="D150" s="10">
        <v>0</v>
      </c>
      <c r="E150" s="10">
        <f>SUM(F150:G150)</f>
        <v>35000000</v>
      </c>
      <c r="F150" s="10">
        <v>35000000</v>
      </c>
      <c r="G150" s="10">
        <v>0</v>
      </c>
      <c r="H150" s="10">
        <f t="shared" si="53"/>
        <v>0</v>
      </c>
      <c r="I150" s="1">
        <v>0</v>
      </c>
      <c r="J150" s="1">
        <v>0</v>
      </c>
    </row>
    <row r="151" spans="1:10" ht="31" x14ac:dyDescent="0.35">
      <c r="A151" s="18" t="s">
        <v>8</v>
      </c>
      <c r="B151" s="19" t="s">
        <v>27</v>
      </c>
      <c r="C151" s="10">
        <f>61000000-612000</f>
        <v>60388000</v>
      </c>
      <c r="D151" s="10">
        <v>2388000</v>
      </c>
      <c r="E151" s="10">
        <f>SUM(F151:G151)</f>
        <v>58000000</v>
      </c>
      <c r="F151" s="10">
        <v>58000000</v>
      </c>
      <c r="G151" s="10">
        <v>0</v>
      </c>
      <c r="H151" s="10">
        <f t="shared" si="53"/>
        <v>612000</v>
      </c>
      <c r="I151" s="1">
        <v>0</v>
      </c>
      <c r="J151" s="1">
        <v>612000</v>
      </c>
    </row>
    <row r="152" spans="1:10" x14ac:dyDescent="0.35">
      <c r="A152" s="7" t="s">
        <v>64</v>
      </c>
      <c r="B152" s="6" t="s">
        <v>31</v>
      </c>
      <c r="C152" s="8">
        <f>C153+C154+C157+C159+C163+C164+C165+C166+C168</f>
        <v>15944359085</v>
      </c>
      <c r="D152" s="8">
        <f t="shared" ref="D152:J152" si="59">D153+D154+D157+D159+D163+D164+D165+D166+D168</f>
        <v>3662466541</v>
      </c>
      <c r="E152" s="8">
        <f t="shared" si="59"/>
        <v>12281882544</v>
      </c>
      <c r="F152" s="8">
        <f t="shared" si="59"/>
        <v>11717103544</v>
      </c>
      <c r="G152" s="8">
        <f t="shared" si="59"/>
        <v>564779000</v>
      </c>
      <c r="H152" s="8">
        <f t="shared" si="59"/>
        <v>155593915</v>
      </c>
      <c r="I152" s="8">
        <f t="shared" si="59"/>
        <v>10000</v>
      </c>
      <c r="J152" s="8">
        <f t="shared" si="59"/>
        <v>155583915</v>
      </c>
    </row>
    <row r="153" spans="1:10" ht="31" x14ac:dyDescent="0.35">
      <c r="A153" s="18">
        <v>1</v>
      </c>
      <c r="B153" s="19" t="s">
        <v>7</v>
      </c>
      <c r="C153" s="10">
        <f>246900000-1200000</f>
        <v>245700000</v>
      </c>
      <c r="D153" s="10">
        <v>117000000</v>
      </c>
      <c r="E153" s="10">
        <f>SUM(F153:G153)</f>
        <v>128700000</v>
      </c>
      <c r="F153" s="10">
        <v>125302000</v>
      </c>
      <c r="G153" s="10">
        <v>3398000</v>
      </c>
      <c r="H153" s="10">
        <f>SUM(I153:J153)</f>
        <v>1200000</v>
      </c>
      <c r="I153" s="1">
        <v>0</v>
      </c>
      <c r="J153" s="1">
        <v>1200000</v>
      </c>
    </row>
    <row r="154" spans="1:10" ht="46.5" x14ac:dyDescent="0.35">
      <c r="A154" s="18">
        <v>2</v>
      </c>
      <c r="B154" s="19" t="s">
        <v>10</v>
      </c>
      <c r="C154" s="10">
        <f>SUM(C155:C156)</f>
        <v>10033043000</v>
      </c>
      <c r="D154" s="10">
        <f t="shared" ref="D154:J154" si="60">SUM(D155:D156)</f>
        <v>757557000</v>
      </c>
      <c r="E154" s="10">
        <f t="shared" si="60"/>
        <v>9275486000</v>
      </c>
      <c r="F154" s="10">
        <f t="shared" si="60"/>
        <v>8714105000</v>
      </c>
      <c r="G154" s="10">
        <f t="shared" si="60"/>
        <v>561381000</v>
      </c>
      <c r="H154" s="10">
        <f t="shared" si="60"/>
        <v>0</v>
      </c>
      <c r="I154" s="10">
        <f t="shared" si="60"/>
        <v>0</v>
      </c>
      <c r="J154" s="10">
        <f t="shared" si="60"/>
        <v>0</v>
      </c>
    </row>
    <row r="155" spans="1:10" ht="31" x14ac:dyDescent="0.35">
      <c r="A155" s="18" t="s">
        <v>8</v>
      </c>
      <c r="B155" s="19" t="s">
        <v>11</v>
      </c>
      <c r="C155" s="10">
        <v>6621000000</v>
      </c>
      <c r="D155" s="10">
        <v>757557000</v>
      </c>
      <c r="E155" s="10">
        <f>SUM(F155:G155)</f>
        <v>5863443000</v>
      </c>
      <c r="F155" s="10">
        <v>5863443000</v>
      </c>
      <c r="G155" s="10">
        <v>0</v>
      </c>
      <c r="H155" s="10">
        <f t="shared" ref="H155:H171" si="61">SUM(I155:J155)</f>
        <v>0</v>
      </c>
      <c r="I155" s="1">
        <v>0</v>
      </c>
      <c r="J155" s="1">
        <v>0</v>
      </c>
    </row>
    <row r="156" spans="1:10" ht="62" x14ac:dyDescent="0.35">
      <c r="A156" s="18" t="s">
        <v>8</v>
      </c>
      <c r="B156" s="19" t="s">
        <v>12</v>
      </c>
      <c r="C156" s="10">
        <f>2029972000+1382071000</f>
        <v>3412043000</v>
      </c>
      <c r="D156" s="10">
        <v>0</v>
      </c>
      <c r="E156" s="10">
        <f>SUM(F156:G156)</f>
        <v>3412043000</v>
      </c>
      <c r="F156" s="10">
        <f>1695982000+1154680000</f>
        <v>2850662000</v>
      </c>
      <c r="G156" s="10">
        <f>333990000+227391000</f>
        <v>561381000</v>
      </c>
      <c r="H156" s="10">
        <f t="shared" si="61"/>
        <v>0</v>
      </c>
      <c r="I156" s="10"/>
      <c r="J156" s="10"/>
    </row>
    <row r="157" spans="1:10" ht="46.5" x14ac:dyDescent="0.35">
      <c r="A157" s="18">
        <v>3</v>
      </c>
      <c r="B157" s="19" t="s">
        <v>13</v>
      </c>
      <c r="C157" s="10">
        <f>C158</f>
        <v>1170616085</v>
      </c>
      <c r="D157" s="10">
        <f t="shared" ref="D157:J157" si="62">D158</f>
        <v>1170616085</v>
      </c>
      <c r="E157" s="10">
        <f t="shared" si="62"/>
        <v>0</v>
      </c>
      <c r="F157" s="10">
        <f t="shared" si="62"/>
        <v>0</v>
      </c>
      <c r="G157" s="10">
        <f t="shared" si="62"/>
        <v>0</v>
      </c>
      <c r="H157" s="10">
        <f t="shared" si="62"/>
        <v>7383915</v>
      </c>
      <c r="I157" s="10">
        <f t="shared" si="62"/>
        <v>0</v>
      </c>
      <c r="J157" s="10">
        <f t="shared" si="62"/>
        <v>7383915</v>
      </c>
    </row>
    <row r="158" spans="1:10" ht="31" x14ac:dyDescent="0.35">
      <c r="A158" s="18" t="s">
        <v>9</v>
      </c>
      <c r="B158" s="19" t="s">
        <v>14</v>
      </c>
      <c r="C158" s="27">
        <f>1178000000-7383915</f>
        <v>1170616085</v>
      </c>
      <c r="D158" s="27">
        <v>1170616085</v>
      </c>
      <c r="E158" s="10">
        <f>SUM(F158:G158)</f>
        <v>0</v>
      </c>
      <c r="F158" s="27">
        <v>0</v>
      </c>
      <c r="G158" s="27">
        <v>0</v>
      </c>
      <c r="H158" s="10">
        <f t="shared" si="61"/>
        <v>7383915</v>
      </c>
      <c r="I158" s="27">
        <v>0</v>
      </c>
      <c r="J158" s="27">
        <v>7383915</v>
      </c>
    </row>
    <row r="159" spans="1:10" ht="31" x14ac:dyDescent="0.35">
      <c r="A159" s="18">
        <v>4</v>
      </c>
      <c r="B159" s="19" t="s">
        <v>15</v>
      </c>
      <c r="C159" s="10">
        <f>SUM(C160:C162)</f>
        <v>2549000000</v>
      </c>
      <c r="D159" s="10">
        <f t="shared" ref="D159:J159" si="63">SUM(D160:D162)</f>
        <v>790383000</v>
      </c>
      <c r="E159" s="10">
        <f t="shared" si="63"/>
        <v>1758617000</v>
      </c>
      <c r="F159" s="10">
        <f t="shared" si="63"/>
        <v>1758617000</v>
      </c>
      <c r="G159" s="10">
        <f t="shared" si="63"/>
        <v>0</v>
      </c>
      <c r="H159" s="10">
        <f t="shared" si="63"/>
        <v>147000000</v>
      </c>
      <c r="I159" s="10">
        <f t="shared" si="63"/>
        <v>0</v>
      </c>
      <c r="J159" s="10">
        <f t="shared" si="63"/>
        <v>147000000</v>
      </c>
    </row>
    <row r="160" spans="1:10" ht="62" x14ac:dyDescent="0.35">
      <c r="A160" s="18" t="s">
        <v>8</v>
      </c>
      <c r="B160" s="19" t="s">
        <v>16</v>
      </c>
      <c r="C160" s="10">
        <v>4000000</v>
      </c>
      <c r="D160" s="10">
        <v>4000000</v>
      </c>
      <c r="E160" s="10">
        <f t="shared" ref="E160:E165" si="64">SUM(F160:G160)</f>
        <v>0</v>
      </c>
      <c r="F160" s="10"/>
      <c r="G160" s="10"/>
      <c r="H160" s="10">
        <f t="shared" si="61"/>
        <v>0</v>
      </c>
      <c r="I160" s="40"/>
      <c r="J160" s="40"/>
    </row>
    <row r="161" spans="1:10" ht="46.5" x14ac:dyDescent="0.35">
      <c r="A161" s="18" t="s">
        <v>8</v>
      </c>
      <c r="B161" s="19" t="s">
        <v>17</v>
      </c>
      <c r="C161" s="10">
        <v>509000000</v>
      </c>
      <c r="D161" s="10">
        <v>469378000</v>
      </c>
      <c r="E161" s="10">
        <f t="shared" si="64"/>
        <v>39622000</v>
      </c>
      <c r="F161" s="10">
        <v>39622000</v>
      </c>
      <c r="G161" s="10"/>
      <c r="H161" s="10">
        <f t="shared" si="61"/>
        <v>0</v>
      </c>
      <c r="I161" s="40"/>
      <c r="J161" s="40"/>
    </row>
    <row r="162" spans="1:10" ht="46.5" x14ac:dyDescent="0.35">
      <c r="A162" s="18" t="s">
        <v>8</v>
      </c>
      <c r="B162" s="19" t="s">
        <v>18</v>
      </c>
      <c r="C162" s="10">
        <f>2183000000-147000000</f>
        <v>2036000000</v>
      </c>
      <c r="D162" s="10">
        <v>317005000</v>
      </c>
      <c r="E162" s="10">
        <f t="shared" si="64"/>
        <v>1718995000</v>
      </c>
      <c r="F162" s="10">
        <v>1718995000</v>
      </c>
      <c r="G162" s="10"/>
      <c r="H162" s="10">
        <f t="shared" si="61"/>
        <v>147000000</v>
      </c>
      <c r="I162" s="40"/>
      <c r="J162" s="40">
        <v>147000000</v>
      </c>
    </row>
    <row r="163" spans="1:10" ht="31" x14ac:dyDescent="0.35">
      <c r="A163" s="18">
        <v>5</v>
      </c>
      <c r="B163" s="19" t="s">
        <v>19</v>
      </c>
      <c r="C163" s="10">
        <v>139000000</v>
      </c>
      <c r="D163" s="10">
        <v>138990000</v>
      </c>
      <c r="E163" s="10">
        <f t="shared" si="64"/>
        <v>0</v>
      </c>
      <c r="F163" s="10"/>
      <c r="G163" s="10"/>
      <c r="H163" s="10">
        <f t="shared" si="61"/>
        <v>10000</v>
      </c>
      <c r="I163" s="40">
        <v>10000</v>
      </c>
      <c r="J163" s="40"/>
    </row>
    <row r="164" spans="1:10" ht="46.5" x14ac:dyDescent="0.35">
      <c r="A164" s="18">
        <v>6</v>
      </c>
      <c r="B164" s="19" t="s">
        <v>20</v>
      </c>
      <c r="C164" s="10">
        <v>415000000</v>
      </c>
      <c r="D164" s="10">
        <v>160000000</v>
      </c>
      <c r="E164" s="10">
        <f t="shared" si="64"/>
        <v>255000000</v>
      </c>
      <c r="F164" s="10">
        <v>255000000</v>
      </c>
      <c r="G164" s="10"/>
      <c r="H164" s="10">
        <f t="shared" si="61"/>
        <v>0</v>
      </c>
      <c r="I164" s="1"/>
      <c r="J164" s="1"/>
    </row>
    <row r="165" spans="1:10" ht="31" x14ac:dyDescent="0.35">
      <c r="A165" s="18">
        <v>7</v>
      </c>
      <c r="B165" s="19" t="s">
        <v>21</v>
      </c>
      <c r="C165" s="10">
        <v>995000000</v>
      </c>
      <c r="D165" s="10">
        <v>294021000</v>
      </c>
      <c r="E165" s="10">
        <f t="shared" si="64"/>
        <v>700979000</v>
      </c>
      <c r="F165" s="10">
        <v>700979000</v>
      </c>
      <c r="G165" s="10"/>
      <c r="H165" s="10">
        <f t="shared" si="61"/>
        <v>0</v>
      </c>
      <c r="I165" s="40"/>
      <c r="J165" s="40"/>
    </row>
    <row r="166" spans="1:10" ht="31" x14ac:dyDescent="0.35">
      <c r="A166" s="18">
        <v>8</v>
      </c>
      <c r="B166" s="19" t="s">
        <v>22</v>
      </c>
      <c r="C166" s="10">
        <f>C167</f>
        <v>111000000</v>
      </c>
      <c r="D166" s="10">
        <f t="shared" ref="D166:J166" si="65">D167</f>
        <v>60755856</v>
      </c>
      <c r="E166" s="10">
        <f t="shared" si="65"/>
        <v>50244144</v>
      </c>
      <c r="F166" s="10">
        <f t="shared" si="65"/>
        <v>50244144</v>
      </c>
      <c r="G166" s="10">
        <f t="shared" si="65"/>
        <v>0</v>
      </c>
      <c r="H166" s="10">
        <f t="shared" si="65"/>
        <v>0</v>
      </c>
      <c r="I166" s="10">
        <f t="shared" si="65"/>
        <v>0</v>
      </c>
      <c r="J166" s="10">
        <f t="shared" si="65"/>
        <v>0</v>
      </c>
    </row>
    <row r="167" spans="1:10" ht="31" x14ac:dyDescent="0.35">
      <c r="A167" s="18" t="s">
        <v>9</v>
      </c>
      <c r="B167" s="19" t="s">
        <v>23</v>
      </c>
      <c r="C167" s="10">
        <v>111000000</v>
      </c>
      <c r="D167" s="10">
        <v>60755856</v>
      </c>
      <c r="E167" s="10">
        <f>SUM(F167:G167)</f>
        <v>50244144</v>
      </c>
      <c r="F167" s="10">
        <v>50244144</v>
      </c>
      <c r="G167" s="10"/>
      <c r="H167" s="10">
        <f t="shared" si="61"/>
        <v>0</v>
      </c>
      <c r="I167" s="1"/>
      <c r="J167" s="1"/>
    </row>
    <row r="168" spans="1:10" ht="46.5" x14ac:dyDescent="0.35">
      <c r="A168" s="18">
        <v>9</v>
      </c>
      <c r="B168" s="19" t="s">
        <v>24</v>
      </c>
      <c r="C168" s="10">
        <f>SUM(C169:C171)</f>
        <v>286000000</v>
      </c>
      <c r="D168" s="10">
        <f t="shared" ref="D168:J168" si="66">SUM(D169:D171)</f>
        <v>173143600</v>
      </c>
      <c r="E168" s="10">
        <f t="shared" si="66"/>
        <v>112856400</v>
      </c>
      <c r="F168" s="10">
        <f t="shared" si="66"/>
        <v>112856400</v>
      </c>
      <c r="G168" s="10">
        <f t="shared" si="66"/>
        <v>0</v>
      </c>
      <c r="H168" s="10">
        <f t="shared" si="66"/>
        <v>0</v>
      </c>
      <c r="I168" s="10">
        <f t="shared" si="66"/>
        <v>0</v>
      </c>
      <c r="J168" s="10">
        <f t="shared" si="66"/>
        <v>0</v>
      </c>
    </row>
    <row r="169" spans="1:10" ht="93" x14ac:dyDescent="0.35">
      <c r="A169" s="18" t="s">
        <v>8</v>
      </c>
      <c r="B169" s="19" t="s">
        <v>25</v>
      </c>
      <c r="C169" s="10">
        <v>192000000</v>
      </c>
      <c r="D169" s="10">
        <v>168995830</v>
      </c>
      <c r="E169" s="10">
        <f>SUM(F169:G169)</f>
        <v>23004170</v>
      </c>
      <c r="F169" s="10">
        <v>23004170</v>
      </c>
      <c r="G169" s="10"/>
      <c r="H169" s="10">
        <f t="shared" si="61"/>
        <v>0</v>
      </c>
      <c r="I169" s="40"/>
      <c r="J169" s="40"/>
    </row>
    <row r="170" spans="1:10" ht="46.5" x14ac:dyDescent="0.35">
      <c r="A170" s="18" t="s">
        <v>8</v>
      </c>
      <c r="B170" s="19" t="s">
        <v>26</v>
      </c>
      <c r="C170" s="10">
        <v>32000000</v>
      </c>
      <c r="D170" s="10"/>
      <c r="E170" s="10">
        <f>SUM(F170:G170)</f>
        <v>32000000</v>
      </c>
      <c r="F170" s="10">
        <v>32000000</v>
      </c>
      <c r="G170" s="10"/>
      <c r="H170" s="10">
        <f t="shared" si="61"/>
        <v>0</v>
      </c>
      <c r="I170" s="40"/>
      <c r="J170" s="40"/>
    </row>
    <row r="171" spans="1:10" ht="31" x14ac:dyDescent="0.35">
      <c r="A171" s="18" t="s">
        <v>8</v>
      </c>
      <c r="B171" s="19" t="s">
        <v>27</v>
      </c>
      <c r="C171" s="10">
        <v>62000000</v>
      </c>
      <c r="D171" s="10">
        <v>4147770</v>
      </c>
      <c r="E171" s="10">
        <f>SUM(F171:G171)</f>
        <v>57852230</v>
      </c>
      <c r="F171" s="10">
        <v>57852230</v>
      </c>
      <c r="G171" s="10"/>
      <c r="H171" s="10">
        <f t="shared" si="61"/>
        <v>0</v>
      </c>
      <c r="I171" s="40"/>
      <c r="J171" s="40"/>
    </row>
    <row r="172" spans="1:10" x14ac:dyDescent="0.35">
      <c r="A172" s="7" t="s">
        <v>65</v>
      </c>
      <c r="B172" s="6" t="s">
        <v>32</v>
      </c>
      <c r="C172" s="8">
        <f>C173+C174+C177+C179+C183+C184+C185+C186+C188</f>
        <v>27732718748</v>
      </c>
      <c r="D172" s="8">
        <f t="shared" ref="D172:J172" si="67">D173+D174+D177+D179+D183+D184+D185+D186+D188</f>
        <v>3936076442</v>
      </c>
      <c r="E172" s="8">
        <f t="shared" si="67"/>
        <v>23796642306</v>
      </c>
      <c r="F172" s="8">
        <f t="shared" si="67"/>
        <v>23223433306</v>
      </c>
      <c r="G172" s="8">
        <f t="shared" si="67"/>
        <v>573209000</v>
      </c>
      <c r="H172" s="8">
        <f t="shared" si="67"/>
        <v>218599252</v>
      </c>
      <c r="I172" s="8">
        <f t="shared" si="67"/>
        <v>0</v>
      </c>
      <c r="J172" s="8">
        <f t="shared" si="67"/>
        <v>218599252</v>
      </c>
    </row>
    <row r="173" spans="1:10" ht="31" x14ac:dyDescent="0.35">
      <c r="A173" s="18">
        <v>1</v>
      </c>
      <c r="B173" s="19" t="s">
        <v>7</v>
      </c>
      <c r="C173" s="10">
        <f>417000000-20100000</f>
        <v>396900000</v>
      </c>
      <c r="D173" s="10">
        <v>18000000</v>
      </c>
      <c r="E173" s="10">
        <v>378900000</v>
      </c>
      <c r="F173" s="10">
        <v>378900000</v>
      </c>
      <c r="G173" s="10">
        <v>0</v>
      </c>
      <c r="H173" s="10">
        <v>20100000</v>
      </c>
      <c r="I173" s="1">
        <v>0</v>
      </c>
      <c r="J173" s="1">
        <v>20100000</v>
      </c>
    </row>
    <row r="174" spans="1:10" ht="46.5" x14ac:dyDescent="0.35">
      <c r="A174" s="18">
        <v>2</v>
      </c>
      <c r="B174" s="19" t="s">
        <v>10</v>
      </c>
      <c r="C174" s="10">
        <f>SUM(C175:C176)</f>
        <v>19416818000</v>
      </c>
      <c r="D174" s="10">
        <f t="shared" ref="D174:J174" si="68">SUM(D175:D176)</f>
        <v>785980000</v>
      </c>
      <c r="E174" s="10">
        <f t="shared" si="68"/>
        <v>18630838000</v>
      </c>
      <c r="F174" s="10">
        <f t="shared" si="68"/>
        <v>18057629000</v>
      </c>
      <c r="G174" s="10">
        <f t="shared" si="68"/>
        <v>573209000</v>
      </c>
      <c r="H174" s="10">
        <f t="shared" si="68"/>
        <v>1500000</v>
      </c>
      <c r="I174" s="10">
        <f t="shared" si="68"/>
        <v>0</v>
      </c>
      <c r="J174" s="10">
        <f t="shared" si="68"/>
        <v>1500000</v>
      </c>
    </row>
    <row r="175" spans="1:10" ht="31" x14ac:dyDescent="0.35">
      <c r="A175" s="18" t="s">
        <v>8</v>
      </c>
      <c r="B175" s="19" t="s">
        <v>11</v>
      </c>
      <c r="C175" s="10">
        <v>15474000000</v>
      </c>
      <c r="D175" s="10">
        <v>326980000</v>
      </c>
      <c r="E175" s="10">
        <v>15147020000</v>
      </c>
      <c r="F175" s="10">
        <v>15147020000</v>
      </c>
      <c r="G175" s="10">
        <v>0</v>
      </c>
      <c r="H175" s="10">
        <v>0</v>
      </c>
      <c r="I175" s="1">
        <v>0</v>
      </c>
      <c r="J175" s="1">
        <v>0</v>
      </c>
    </row>
    <row r="176" spans="1:10" ht="62" x14ac:dyDescent="0.35">
      <c r="A176" s="18" t="s">
        <v>8</v>
      </c>
      <c r="B176" s="19" t="s">
        <v>12</v>
      </c>
      <c r="C176" s="10">
        <f>2356050000-1500000+1588268000</f>
        <v>3942818000</v>
      </c>
      <c r="D176" s="10">
        <v>459000000</v>
      </c>
      <c r="E176" s="10">
        <f>SUM(F176:G176)</f>
        <v>3483818000</v>
      </c>
      <c r="F176" s="10">
        <f>1583658000+1326951000</f>
        <v>2910609000</v>
      </c>
      <c r="G176" s="10">
        <f>311892000+261317000</f>
        <v>573209000</v>
      </c>
      <c r="H176" s="10">
        <v>1500000</v>
      </c>
      <c r="I176" s="1">
        <v>0</v>
      </c>
      <c r="J176" s="1">
        <v>1500000</v>
      </c>
    </row>
    <row r="177" spans="1:10" ht="46.5" x14ac:dyDescent="0.35">
      <c r="A177" s="18">
        <v>3</v>
      </c>
      <c r="B177" s="19" t="s">
        <v>13</v>
      </c>
      <c r="C177" s="10">
        <f>C178</f>
        <v>1797957748</v>
      </c>
      <c r="D177" s="10">
        <f t="shared" ref="D177:J177" si="69">D178</f>
        <v>1455101364</v>
      </c>
      <c r="E177" s="10">
        <f t="shared" si="69"/>
        <v>342856384</v>
      </c>
      <c r="F177" s="10">
        <f t="shared" si="69"/>
        <v>342856384</v>
      </c>
      <c r="G177" s="10">
        <f t="shared" si="69"/>
        <v>0</v>
      </c>
      <c r="H177" s="10">
        <f t="shared" si="69"/>
        <v>37042252</v>
      </c>
      <c r="I177" s="10">
        <f t="shared" si="69"/>
        <v>0</v>
      </c>
      <c r="J177" s="10">
        <f t="shared" si="69"/>
        <v>37042252</v>
      </c>
    </row>
    <row r="178" spans="1:10" ht="31" x14ac:dyDescent="0.35">
      <c r="A178" s="18" t="s">
        <v>9</v>
      </c>
      <c r="B178" s="19" t="s">
        <v>14</v>
      </c>
      <c r="C178" s="10">
        <f>1835000000-37042252</f>
        <v>1797957748</v>
      </c>
      <c r="D178" s="10">
        <v>1455101364</v>
      </c>
      <c r="E178" s="10">
        <v>342856384</v>
      </c>
      <c r="F178" s="10">
        <v>342856384</v>
      </c>
      <c r="G178" s="10">
        <v>0</v>
      </c>
      <c r="H178" s="10">
        <v>37042252</v>
      </c>
      <c r="I178" s="1">
        <v>0</v>
      </c>
      <c r="J178" s="1">
        <v>37042252</v>
      </c>
    </row>
    <row r="179" spans="1:10" ht="31" x14ac:dyDescent="0.35">
      <c r="A179" s="18">
        <v>4</v>
      </c>
      <c r="B179" s="19" t="s">
        <v>15</v>
      </c>
      <c r="C179" s="10">
        <f>SUM(C180:C182)</f>
        <v>3359954000</v>
      </c>
      <c r="D179" s="10">
        <f t="shared" ref="D179:J179" si="70">SUM(D180:D182)</f>
        <v>841934828</v>
      </c>
      <c r="E179" s="10">
        <f t="shared" si="70"/>
        <v>2518019172</v>
      </c>
      <c r="F179" s="10">
        <f t="shared" si="70"/>
        <v>2518019172</v>
      </c>
      <c r="G179" s="10">
        <f t="shared" si="70"/>
        <v>0</v>
      </c>
      <c r="H179" s="10">
        <f t="shared" si="70"/>
        <v>110046000</v>
      </c>
      <c r="I179" s="10">
        <f t="shared" si="70"/>
        <v>0</v>
      </c>
      <c r="J179" s="10">
        <f t="shared" si="70"/>
        <v>110046000</v>
      </c>
    </row>
    <row r="180" spans="1:10" ht="62" x14ac:dyDescent="0.35">
      <c r="A180" s="18" t="s">
        <v>8</v>
      </c>
      <c r="B180" s="19" t="s">
        <v>16</v>
      </c>
      <c r="C180" s="10">
        <f>669000000-45000000</f>
        <v>624000000</v>
      </c>
      <c r="D180" s="10">
        <v>0</v>
      </c>
      <c r="E180" s="10">
        <v>624000000</v>
      </c>
      <c r="F180" s="10">
        <v>624000000</v>
      </c>
      <c r="G180" s="10"/>
      <c r="H180" s="10">
        <v>45000000</v>
      </c>
      <c r="I180" s="1">
        <v>0</v>
      </c>
      <c r="J180" s="1">
        <v>45000000</v>
      </c>
    </row>
    <row r="181" spans="1:10" ht="46.5" x14ac:dyDescent="0.35">
      <c r="A181" s="18" t="s">
        <v>8</v>
      </c>
      <c r="B181" s="19" t="s">
        <v>17</v>
      </c>
      <c r="C181" s="10">
        <v>618000000</v>
      </c>
      <c r="D181" s="10">
        <v>468884828</v>
      </c>
      <c r="E181" s="10">
        <v>149115172</v>
      </c>
      <c r="F181" s="10">
        <v>149115172</v>
      </c>
      <c r="G181" s="10"/>
      <c r="H181" s="10">
        <v>0</v>
      </c>
      <c r="I181" s="1">
        <v>0</v>
      </c>
      <c r="J181" s="1">
        <v>0</v>
      </c>
    </row>
    <row r="182" spans="1:10" ht="46.5" x14ac:dyDescent="0.35">
      <c r="A182" s="18" t="s">
        <v>8</v>
      </c>
      <c r="B182" s="19" t="s">
        <v>18</v>
      </c>
      <c r="C182" s="10">
        <f>2183000000-65046000</f>
        <v>2117954000</v>
      </c>
      <c r="D182" s="10">
        <v>373050000</v>
      </c>
      <c r="E182" s="10">
        <v>1744904000</v>
      </c>
      <c r="F182" s="1">
        <v>1744904000</v>
      </c>
      <c r="G182" s="10">
        <v>0</v>
      </c>
      <c r="H182" s="10">
        <v>65046000</v>
      </c>
      <c r="I182" s="1">
        <v>0</v>
      </c>
      <c r="J182" s="1">
        <v>65046000</v>
      </c>
    </row>
    <row r="183" spans="1:10" ht="31" x14ac:dyDescent="0.35">
      <c r="A183" s="18">
        <v>5</v>
      </c>
      <c r="B183" s="19" t="s">
        <v>19</v>
      </c>
      <c r="C183" s="1">
        <v>174000000</v>
      </c>
      <c r="D183" s="1">
        <v>173920000</v>
      </c>
      <c r="E183" s="10">
        <v>80000</v>
      </c>
      <c r="F183" s="1">
        <v>80000</v>
      </c>
      <c r="G183" s="1"/>
      <c r="H183" s="10">
        <v>0</v>
      </c>
      <c r="I183" s="1">
        <v>0</v>
      </c>
      <c r="J183" s="1">
        <v>0</v>
      </c>
    </row>
    <row r="184" spans="1:10" ht="46.5" x14ac:dyDescent="0.35">
      <c r="A184" s="18">
        <v>6</v>
      </c>
      <c r="B184" s="19" t="s">
        <v>20</v>
      </c>
      <c r="C184" s="1">
        <v>595000000</v>
      </c>
      <c r="D184" s="1">
        <v>367800000</v>
      </c>
      <c r="E184" s="10">
        <v>227200000</v>
      </c>
      <c r="F184" s="1">
        <v>227200000</v>
      </c>
      <c r="G184" s="1"/>
      <c r="H184" s="10">
        <v>0</v>
      </c>
      <c r="I184" s="1">
        <v>0</v>
      </c>
      <c r="J184" s="1">
        <v>0</v>
      </c>
    </row>
    <row r="185" spans="1:10" ht="31" x14ac:dyDescent="0.35">
      <c r="A185" s="18">
        <v>7</v>
      </c>
      <c r="B185" s="19" t="s">
        <v>21</v>
      </c>
      <c r="C185" s="1">
        <f>1531000000-41311000</f>
        <v>1489689000</v>
      </c>
      <c r="D185" s="1">
        <v>195615650</v>
      </c>
      <c r="E185" s="10">
        <v>1294073350</v>
      </c>
      <c r="F185" s="1">
        <v>1294073350</v>
      </c>
      <c r="G185" s="1"/>
      <c r="H185" s="10">
        <v>41311000</v>
      </c>
      <c r="I185" s="1">
        <v>0</v>
      </c>
      <c r="J185" s="1">
        <v>41311000</v>
      </c>
    </row>
    <row r="186" spans="1:10" ht="31" x14ac:dyDescent="0.35">
      <c r="A186" s="18">
        <v>8</v>
      </c>
      <c r="B186" s="19" t="s">
        <v>22</v>
      </c>
      <c r="C186" s="1">
        <f>C187</f>
        <v>129000000</v>
      </c>
      <c r="D186" s="1">
        <f t="shared" ref="D186:J186" si="71">D187</f>
        <v>0</v>
      </c>
      <c r="E186" s="1">
        <f t="shared" si="71"/>
        <v>129000000</v>
      </c>
      <c r="F186" s="1">
        <f t="shared" si="71"/>
        <v>129000000</v>
      </c>
      <c r="G186" s="1">
        <f t="shared" si="71"/>
        <v>0</v>
      </c>
      <c r="H186" s="1">
        <f t="shared" si="71"/>
        <v>6000000</v>
      </c>
      <c r="I186" s="1">
        <f t="shared" si="71"/>
        <v>0</v>
      </c>
      <c r="J186" s="1">
        <f t="shared" si="71"/>
        <v>6000000</v>
      </c>
    </row>
    <row r="187" spans="1:10" ht="31" x14ac:dyDescent="0.35">
      <c r="A187" s="18" t="s">
        <v>9</v>
      </c>
      <c r="B187" s="19" t="s">
        <v>23</v>
      </c>
      <c r="C187" s="1">
        <f>135000000-6000000</f>
        <v>129000000</v>
      </c>
      <c r="D187" s="1">
        <v>0</v>
      </c>
      <c r="E187" s="10">
        <v>129000000</v>
      </c>
      <c r="F187" s="1">
        <v>129000000</v>
      </c>
      <c r="G187" s="1"/>
      <c r="H187" s="10">
        <v>6000000</v>
      </c>
      <c r="I187" s="1">
        <v>0</v>
      </c>
      <c r="J187" s="1">
        <v>6000000</v>
      </c>
    </row>
    <row r="188" spans="1:10" ht="46.5" x14ac:dyDescent="0.35">
      <c r="A188" s="18">
        <v>9</v>
      </c>
      <c r="B188" s="19" t="s">
        <v>24</v>
      </c>
      <c r="C188" s="10">
        <f>SUM(C189:C191)</f>
        <v>373400000</v>
      </c>
      <c r="D188" s="10">
        <f t="shared" ref="D188:J188" si="72">SUM(D189:D191)</f>
        <v>97724600</v>
      </c>
      <c r="E188" s="10">
        <f t="shared" si="72"/>
        <v>275675400</v>
      </c>
      <c r="F188" s="10">
        <f t="shared" si="72"/>
        <v>275675400</v>
      </c>
      <c r="G188" s="10">
        <f t="shared" si="72"/>
        <v>0</v>
      </c>
      <c r="H188" s="10">
        <f t="shared" si="72"/>
        <v>2600000</v>
      </c>
      <c r="I188" s="10">
        <f t="shared" si="72"/>
        <v>0</v>
      </c>
      <c r="J188" s="10">
        <f t="shared" si="72"/>
        <v>2600000</v>
      </c>
    </row>
    <row r="189" spans="1:10" ht="93" x14ac:dyDescent="0.35">
      <c r="A189" s="18" t="s">
        <v>8</v>
      </c>
      <c r="B189" s="19" t="s">
        <v>25</v>
      </c>
      <c r="C189" s="10">
        <v>233000000</v>
      </c>
      <c r="D189" s="1">
        <v>95324600</v>
      </c>
      <c r="E189" s="1">
        <v>137675400</v>
      </c>
      <c r="F189" s="1">
        <v>137675400</v>
      </c>
      <c r="G189" s="1"/>
      <c r="H189" s="1">
        <v>0</v>
      </c>
      <c r="I189" s="1">
        <v>0</v>
      </c>
      <c r="J189" s="1">
        <v>0</v>
      </c>
    </row>
    <row r="190" spans="1:10" ht="46.5" x14ac:dyDescent="0.35">
      <c r="A190" s="18" t="s">
        <v>8</v>
      </c>
      <c r="B190" s="19" t="s">
        <v>26</v>
      </c>
      <c r="C190" s="10">
        <v>51000000</v>
      </c>
      <c r="D190" s="1">
        <v>0</v>
      </c>
      <c r="E190" s="1">
        <v>51000000</v>
      </c>
      <c r="F190" s="1">
        <v>51000000</v>
      </c>
      <c r="G190" s="1"/>
      <c r="H190" s="1">
        <v>0</v>
      </c>
      <c r="I190" s="1">
        <v>0</v>
      </c>
      <c r="J190" s="1">
        <v>0</v>
      </c>
    </row>
    <row r="191" spans="1:10" ht="31" x14ac:dyDescent="0.35">
      <c r="A191" s="18" t="s">
        <v>8</v>
      </c>
      <c r="B191" s="19" t="s">
        <v>27</v>
      </c>
      <c r="C191" s="10">
        <f>92000000-2600000</f>
        <v>89400000</v>
      </c>
      <c r="D191" s="1">
        <v>2400000</v>
      </c>
      <c r="E191" s="1">
        <v>87000000</v>
      </c>
      <c r="F191" s="1">
        <v>87000000</v>
      </c>
      <c r="G191" s="1"/>
      <c r="H191" s="1">
        <v>2600000</v>
      </c>
      <c r="I191" s="1">
        <v>0</v>
      </c>
      <c r="J191" s="1">
        <v>2600000</v>
      </c>
    </row>
    <row r="192" spans="1:10" x14ac:dyDescent="0.35">
      <c r="A192" s="7" t="s">
        <v>66</v>
      </c>
      <c r="B192" s="6" t="s">
        <v>33</v>
      </c>
      <c r="C192" s="8">
        <f>C193+C194+C197+C199+C203+C204+C205+C206+C208</f>
        <v>24031833310</v>
      </c>
      <c r="D192" s="8">
        <f t="shared" ref="D192:J192" si="73">D193+D194+D197+D199+D203+D204+D205+D206+D208</f>
        <v>4511900986</v>
      </c>
      <c r="E192" s="8">
        <f t="shared" si="73"/>
        <v>19519932324</v>
      </c>
      <c r="F192" s="8">
        <f t="shared" si="73"/>
        <v>18733043324</v>
      </c>
      <c r="G192" s="8">
        <f t="shared" si="73"/>
        <v>786889000</v>
      </c>
      <c r="H192" s="8">
        <f t="shared" si="73"/>
        <v>233660690</v>
      </c>
      <c r="I192" s="8">
        <f t="shared" si="73"/>
        <v>0</v>
      </c>
      <c r="J192" s="8">
        <f t="shared" si="73"/>
        <v>233660690</v>
      </c>
    </row>
    <row r="193" spans="1:10" ht="31" x14ac:dyDescent="0.35">
      <c r="A193" s="18">
        <v>1</v>
      </c>
      <c r="B193" s="19" t="s">
        <v>7</v>
      </c>
      <c r="C193" s="36">
        <f>1526000000-55500000</f>
        <v>1470500000</v>
      </c>
      <c r="D193" s="36">
        <v>340800000</v>
      </c>
      <c r="E193" s="36">
        <f t="shared" ref="E193:E210" si="74">SUM(F193:G193)</f>
        <v>1129700000</v>
      </c>
      <c r="F193" s="36">
        <v>1129700000</v>
      </c>
      <c r="G193" s="36">
        <v>0</v>
      </c>
      <c r="H193" s="36">
        <f>SUM(I193:J193)</f>
        <v>55500000</v>
      </c>
      <c r="I193" s="36">
        <v>0</v>
      </c>
      <c r="J193" s="36">
        <v>55500000</v>
      </c>
    </row>
    <row r="194" spans="1:10" ht="46.5" x14ac:dyDescent="0.35">
      <c r="A194" s="18">
        <v>2</v>
      </c>
      <c r="B194" s="19" t="s">
        <v>10</v>
      </c>
      <c r="C194" s="10">
        <f>SUM(C195:C196)</f>
        <v>15828494000</v>
      </c>
      <c r="D194" s="10">
        <f t="shared" ref="D194:J194" si="75">SUM(D195:D196)</f>
        <v>879055000</v>
      </c>
      <c r="E194" s="10">
        <f t="shared" si="75"/>
        <v>14949439000</v>
      </c>
      <c r="F194" s="10">
        <f t="shared" si="75"/>
        <v>14162550000</v>
      </c>
      <c r="G194" s="10">
        <f t="shared" si="75"/>
        <v>786889000</v>
      </c>
      <c r="H194" s="10">
        <f t="shared" si="75"/>
        <v>0</v>
      </c>
      <c r="I194" s="10">
        <f t="shared" si="75"/>
        <v>0</v>
      </c>
      <c r="J194" s="10">
        <f t="shared" si="75"/>
        <v>0</v>
      </c>
    </row>
    <row r="195" spans="1:10" ht="31" x14ac:dyDescent="0.35">
      <c r="A195" s="18" t="s">
        <v>8</v>
      </c>
      <c r="B195" s="19" t="s">
        <v>11</v>
      </c>
      <c r="C195" s="10">
        <v>10728000000</v>
      </c>
      <c r="D195" s="10">
        <v>561200000</v>
      </c>
      <c r="E195" s="36">
        <f t="shared" si="74"/>
        <v>10166800000</v>
      </c>
      <c r="F195" s="10">
        <v>10166800000</v>
      </c>
      <c r="G195" s="10"/>
      <c r="H195" s="36">
        <f t="shared" ref="H195:H210" si="76">SUM(I195:J195)</f>
        <v>0</v>
      </c>
      <c r="I195" s="1"/>
      <c r="J195" s="1"/>
    </row>
    <row r="196" spans="1:10" ht="62" x14ac:dyDescent="0.35">
      <c r="A196" s="18" t="s">
        <v>8</v>
      </c>
      <c r="B196" s="19" t="s">
        <v>12</v>
      </c>
      <c r="C196" s="10">
        <f>762452000+4338042000</f>
        <v>5100494000</v>
      </c>
      <c r="D196" s="10">
        <v>317855000</v>
      </c>
      <c r="E196" s="36">
        <f>SUM(F196:G196)</f>
        <v>4782639000</v>
      </c>
      <c r="F196" s="10">
        <f>371443000+3624307000</f>
        <v>3995750000</v>
      </c>
      <c r="G196" s="10">
        <f>73154000+713735000</f>
        <v>786889000</v>
      </c>
      <c r="H196" s="36">
        <f t="shared" si="76"/>
        <v>0</v>
      </c>
      <c r="I196" s="1"/>
      <c r="J196" s="1"/>
    </row>
    <row r="197" spans="1:10" ht="46.5" x14ac:dyDescent="0.35">
      <c r="A197" s="18">
        <v>3</v>
      </c>
      <c r="B197" s="19" t="s">
        <v>13</v>
      </c>
      <c r="C197" s="10">
        <f>C198</f>
        <v>1113000000</v>
      </c>
      <c r="D197" s="10">
        <f t="shared" ref="D197:J197" si="77">D198</f>
        <v>1052018593</v>
      </c>
      <c r="E197" s="10">
        <f t="shared" si="77"/>
        <v>60981407</v>
      </c>
      <c r="F197" s="10">
        <f t="shared" si="77"/>
        <v>60981407</v>
      </c>
      <c r="G197" s="10">
        <f t="shared" si="77"/>
        <v>0</v>
      </c>
      <c r="H197" s="10">
        <f t="shared" si="77"/>
        <v>0</v>
      </c>
      <c r="I197" s="10">
        <f t="shared" si="77"/>
        <v>0</v>
      </c>
      <c r="J197" s="10">
        <f t="shared" si="77"/>
        <v>0</v>
      </c>
    </row>
    <row r="198" spans="1:10" ht="31" x14ac:dyDescent="0.35">
      <c r="A198" s="18" t="s">
        <v>9</v>
      </c>
      <c r="B198" s="19" t="s">
        <v>14</v>
      </c>
      <c r="C198" s="10">
        <v>1113000000</v>
      </c>
      <c r="D198" s="10">
        <v>1052018593</v>
      </c>
      <c r="E198" s="36">
        <f t="shared" si="74"/>
        <v>60981407</v>
      </c>
      <c r="F198" s="10">
        <v>60981407</v>
      </c>
      <c r="G198" s="10">
        <v>0</v>
      </c>
      <c r="H198" s="36">
        <f t="shared" si="76"/>
        <v>0</v>
      </c>
      <c r="I198" s="1">
        <v>0</v>
      </c>
      <c r="J198" s="1">
        <v>0</v>
      </c>
    </row>
    <row r="199" spans="1:10" ht="31" x14ac:dyDescent="0.35">
      <c r="A199" s="18">
        <v>4</v>
      </c>
      <c r="B199" s="19" t="s">
        <v>15</v>
      </c>
      <c r="C199" s="10">
        <f>SUM(C200:C202)</f>
        <v>3612000000</v>
      </c>
      <c r="D199" s="10">
        <f t="shared" ref="D199:J199" si="78">SUM(D200:D202)</f>
        <v>1037116686</v>
      </c>
      <c r="E199" s="10">
        <f t="shared" si="78"/>
        <v>2574883314</v>
      </c>
      <c r="F199" s="10">
        <f t="shared" si="78"/>
        <v>2574883314</v>
      </c>
      <c r="G199" s="10">
        <f t="shared" si="78"/>
        <v>0</v>
      </c>
      <c r="H199" s="10">
        <f t="shared" si="78"/>
        <v>147000000</v>
      </c>
      <c r="I199" s="10">
        <f t="shared" si="78"/>
        <v>0</v>
      </c>
      <c r="J199" s="10">
        <f t="shared" si="78"/>
        <v>147000000</v>
      </c>
    </row>
    <row r="200" spans="1:10" ht="62" x14ac:dyDescent="0.35">
      <c r="A200" s="18" t="s">
        <v>8</v>
      </c>
      <c r="B200" s="19" t="s">
        <v>16</v>
      </c>
      <c r="C200" s="10">
        <v>1212000000</v>
      </c>
      <c r="D200" s="10">
        <v>115036416</v>
      </c>
      <c r="E200" s="36">
        <f t="shared" si="74"/>
        <v>1096963584</v>
      </c>
      <c r="F200" s="10">
        <v>1096963584</v>
      </c>
      <c r="G200" s="10"/>
      <c r="H200" s="36">
        <f t="shared" si="76"/>
        <v>0</v>
      </c>
      <c r="I200" s="1"/>
      <c r="J200" s="1"/>
    </row>
    <row r="201" spans="1:10" ht="46.5" x14ac:dyDescent="0.35">
      <c r="A201" s="18" t="s">
        <v>8</v>
      </c>
      <c r="B201" s="19" t="s">
        <v>17</v>
      </c>
      <c r="C201" s="10">
        <v>364000000</v>
      </c>
      <c r="D201" s="10">
        <v>286985320</v>
      </c>
      <c r="E201" s="36">
        <f t="shared" si="74"/>
        <v>77014680</v>
      </c>
      <c r="F201" s="10">
        <v>77014680</v>
      </c>
      <c r="G201" s="10"/>
      <c r="H201" s="36">
        <f t="shared" si="76"/>
        <v>0</v>
      </c>
      <c r="I201" s="1"/>
      <c r="J201" s="1"/>
    </row>
    <row r="202" spans="1:10" ht="46.5" x14ac:dyDescent="0.35">
      <c r="A202" s="18" t="s">
        <v>8</v>
      </c>
      <c r="B202" s="19" t="s">
        <v>18</v>
      </c>
      <c r="C202" s="10">
        <f>2183000000-147000000</f>
        <v>2036000000</v>
      </c>
      <c r="D202" s="10">
        <v>635094950</v>
      </c>
      <c r="E202" s="36">
        <f t="shared" si="74"/>
        <v>1400905050</v>
      </c>
      <c r="F202" s="10">
        <v>1400905050</v>
      </c>
      <c r="G202" s="10">
        <v>0</v>
      </c>
      <c r="H202" s="36">
        <f t="shared" si="76"/>
        <v>147000000</v>
      </c>
      <c r="I202" s="1">
        <v>0</v>
      </c>
      <c r="J202" s="1">
        <v>147000000</v>
      </c>
    </row>
    <row r="203" spans="1:10" ht="31" x14ac:dyDescent="0.35">
      <c r="A203" s="18">
        <v>5</v>
      </c>
      <c r="B203" s="19" t="s">
        <v>19</v>
      </c>
      <c r="C203" s="10">
        <v>159000000</v>
      </c>
      <c r="D203" s="10">
        <v>156070000</v>
      </c>
      <c r="E203" s="36">
        <f t="shared" si="74"/>
        <v>2930000</v>
      </c>
      <c r="F203" s="10">
        <v>2930000</v>
      </c>
      <c r="G203" s="10">
        <v>0</v>
      </c>
      <c r="H203" s="36">
        <f t="shared" si="76"/>
        <v>0</v>
      </c>
      <c r="I203" s="1"/>
      <c r="J203" s="1"/>
    </row>
    <row r="204" spans="1:10" ht="46.5" x14ac:dyDescent="0.35">
      <c r="A204" s="18">
        <v>6</v>
      </c>
      <c r="B204" s="19" t="s">
        <v>20</v>
      </c>
      <c r="C204" s="10">
        <v>411000000</v>
      </c>
      <c r="D204" s="10">
        <v>411000000</v>
      </c>
      <c r="E204" s="36">
        <f t="shared" si="74"/>
        <v>0</v>
      </c>
      <c r="F204" s="10"/>
      <c r="G204" s="10"/>
      <c r="H204" s="36">
        <f t="shared" si="76"/>
        <v>0</v>
      </c>
      <c r="I204" s="1"/>
      <c r="J204" s="1"/>
    </row>
    <row r="205" spans="1:10" ht="31" x14ac:dyDescent="0.35">
      <c r="A205" s="18">
        <v>7</v>
      </c>
      <c r="B205" s="19" t="s">
        <v>21</v>
      </c>
      <c r="C205" s="10">
        <f>995000000-30000000</f>
        <v>965000000</v>
      </c>
      <c r="D205" s="10">
        <v>294591112</v>
      </c>
      <c r="E205" s="36">
        <f t="shared" si="74"/>
        <v>670408888</v>
      </c>
      <c r="F205" s="10">
        <v>670408888</v>
      </c>
      <c r="G205" s="10">
        <v>0</v>
      </c>
      <c r="H205" s="36">
        <f t="shared" si="76"/>
        <v>30000000</v>
      </c>
      <c r="I205" s="1">
        <v>0</v>
      </c>
      <c r="J205" s="1">
        <v>30000000</v>
      </c>
    </row>
    <row r="206" spans="1:10" ht="31" x14ac:dyDescent="0.35">
      <c r="A206" s="18">
        <v>8</v>
      </c>
      <c r="B206" s="19" t="s">
        <v>22</v>
      </c>
      <c r="C206" s="10">
        <f>C207</f>
        <v>231000000</v>
      </c>
      <c r="D206" s="10">
        <f t="shared" ref="D206:J206" si="79">D207</f>
        <v>226952185</v>
      </c>
      <c r="E206" s="10">
        <f t="shared" si="79"/>
        <v>4047815</v>
      </c>
      <c r="F206" s="10">
        <f t="shared" si="79"/>
        <v>4047815</v>
      </c>
      <c r="G206" s="10">
        <f t="shared" si="79"/>
        <v>0</v>
      </c>
      <c r="H206" s="10">
        <f t="shared" si="79"/>
        <v>0</v>
      </c>
      <c r="I206" s="10">
        <f t="shared" si="79"/>
        <v>0</v>
      </c>
      <c r="J206" s="10">
        <f t="shared" si="79"/>
        <v>0</v>
      </c>
    </row>
    <row r="207" spans="1:10" ht="31" x14ac:dyDescent="0.35">
      <c r="A207" s="18" t="s">
        <v>9</v>
      </c>
      <c r="B207" s="19" t="s">
        <v>23</v>
      </c>
      <c r="C207" s="10">
        <v>231000000</v>
      </c>
      <c r="D207" s="10">
        <v>226952185</v>
      </c>
      <c r="E207" s="36">
        <f t="shared" si="74"/>
        <v>4047815</v>
      </c>
      <c r="F207" s="10">
        <v>4047815</v>
      </c>
      <c r="G207" s="10"/>
      <c r="H207" s="36">
        <f t="shared" si="76"/>
        <v>0</v>
      </c>
      <c r="I207" s="1"/>
      <c r="J207" s="1"/>
    </row>
    <row r="208" spans="1:10" ht="46.5" x14ac:dyDescent="0.35">
      <c r="A208" s="18">
        <v>9</v>
      </c>
      <c r="B208" s="19" t="s">
        <v>24</v>
      </c>
      <c r="C208" s="10">
        <f>SUM(C209:C211)</f>
        <v>241839310</v>
      </c>
      <c r="D208" s="10">
        <f t="shared" ref="D208:J208" si="80">SUM(D209:D211)</f>
        <v>114297410</v>
      </c>
      <c r="E208" s="10">
        <f t="shared" si="80"/>
        <v>127541900</v>
      </c>
      <c r="F208" s="10">
        <f t="shared" si="80"/>
        <v>127541900</v>
      </c>
      <c r="G208" s="10">
        <f t="shared" si="80"/>
        <v>0</v>
      </c>
      <c r="H208" s="10">
        <f t="shared" si="80"/>
        <v>1160690</v>
      </c>
      <c r="I208" s="10">
        <f t="shared" si="80"/>
        <v>0</v>
      </c>
      <c r="J208" s="10">
        <f t="shared" si="80"/>
        <v>1160690</v>
      </c>
    </row>
    <row r="209" spans="1:10" ht="93" x14ac:dyDescent="0.35">
      <c r="A209" s="18" t="s">
        <v>8</v>
      </c>
      <c r="B209" s="19" t="s">
        <v>25</v>
      </c>
      <c r="C209" s="10">
        <v>138000000</v>
      </c>
      <c r="D209" s="10">
        <v>111458100</v>
      </c>
      <c r="E209" s="36">
        <f t="shared" si="74"/>
        <v>26541900</v>
      </c>
      <c r="F209" s="10">
        <v>26541900</v>
      </c>
      <c r="G209" s="10">
        <v>0</v>
      </c>
      <c r="H209" s="36">
        <f t="shared" si="76"/>
        <v>0</v>
      </c>
      <c r="I209" s="10">
        <v>0</v>
      </c>
      <c r="J209" s="10">
        <v>0</v>
      </c>
    </row>
    <row r="210" spans="1:10" ht="46.5" x14ac:dyDescent="0.35">
      <c r="A210" s="18" t="s">
        <v>8</v>
      </c>
      <c r="B210" s="19" t="s">
        <v>26</v>
      </c>
      <c r="C210" s="10">
        <v>39000000</v>
      </c>
      <c r="D210" s="10">
        <v>0</v>
      </c>
      <c r="E210" s="36">
        <f t="shared" si="74"/>
        <v>39000000</v>
      </c>
      <c r="F210" s="10">
        <v>39000000</v>
      </c>
      <c r="G210" s="10"/>
      <c r="H210" s="36">
        <f t="shared" si="76"/>
        <v>0</v>
      </c>
      <c r="I210" s="1"/>
      <c r="J210" s="1"/>
    </row>
    <row r="211" spans="1:10" ht="31" x14ac:dyDescent="0.35">
      <c r="A211" s="18" t="s">
        <v>8</v>
      </c>
      <c r="B211" s="19" t="s">
        <v>27</v>
      </c>
      <c r="C211" s="10">
        <f>66000000-1160690</f>
        <v>64839310</v>
      </c>
      <c r="D211" s="10">
        <v>2839310</v>
      </c>
      <c r="E211" s="10">
        <v>62000000</v>
      </c>
      <c r="F211" s="10">
        <v>62000000</v>
      </c>
      <c r="G211" s="10">
        <v>0</v>
      </c>
      <c r="H211" s="10">
        <v>1160690</v>
      </c>
      <c r="I211" s="10">
        <v>0</v>
      </c>
      <c r="J211" s="10">
        <v>1160690</v>
      </c>
    </row>
    <row r="212" spans="1:10" x14ac:dyDescent="0.35">
      <c r="A212" s="7" t="s">
        <v>67</v>
      </c>
      <c r="B212" s="6" t="s">
        <v>34</v>
      </c>
      <c r="C212" s="8">
        <f>C213+C214+C217+C219+C223+C224+C225+C226+C228</f>
        <v>19513535000</v>
      </c>
      <c r="D212" s="8">
        <f t="shared" ref="D212:J212" si="81">D213+D214+D217+D219+D223+D224+D225+D226+D228</f>
        <v>3743847385</v>
      </c>
      <c r="E212" s="8">
        <f t="shared" si="81"/>
        <v>15768007490</v>
      </c>
      <c r="F212" s="8">
        <f t="shared" si="81"/>
        <v>15749656490</v>
      </c>
      <c r="G212" s="8">
        <f t="shared" si="81"/>
        <v>18351000</v>
      </c>
      <c r="H212" s="8">
        <f t="shared" si="81"/>
        <v>321642876</v>
      </c>
      <c r="I212" s="8">
        <f t="shared" si="81"/>
        <v>1642876</v>
      </c>
      <c r="J212" s="8">
        <f t="shared" si="81"/>
        <v>320000000</v>
      </c>
    </row>
    <row r="213" spans="1:10" ht="31" x14ac:dyDescent="0.35">
      <c r="A213" s="18">
        <v>1</v>
      </c>
      <c r="B213" s="19" t="s">
        <v>7</v>
      </c>
      <c r="C213" s="10">
        <f>584000000-3000000</f>
        <v>581000000</v>
      </c>
      <c r="D213" s="10">
        <v>560400000</v>
      </c>
      <c r="E213" s="10">
        <f>SUM(F213:G213)</f>
        <v>19000000</v>
      </c>
      <c r="F213" s="10">
        <v>19000000</v>
      </c>
      <c r="G213" s="10">
        <v>0</v>
      </c>
      <c r="H213" s="10">
        <f>SUM(I213:J213)</f>
        <v>4600000</v>
      </c>
      <c r="I213" s="10">
        <v>1600000</v>
      </c>
      <c r="J213" s="10">
        <v>3000000</v>
      </c>
    </row>
    <row r="214" spans="1:10" ht="46.5" x14ac:dyDescent="0.35">
      <c r="A214" s="18">
        <v>2</v>
      </c>
      <c r="B214" s="19" t="s">
        <v>10</v>
      </c>
      <c r="C214" s="10">
        <f>SUM(C215:C216)</f>
        <v>11824535000</v>
      </c>
      <c r="D214" s="10">
        <f t="shared" ref="D214:J214" si="82">SUM(D215:D216)</f>
        <v>358693886</v>
      </c>
      <c r="E214" s="10">
        <f t="shared" si="82"/>
        <v>11465841114</v>
      </c>
      <c r="F214" s="10">
        <f t="shared" si="82"/>
        <v>11447490114</v>
      </c>
      <c r="G214" s="10">
        <f t="shared" si="82"/>
        <v>18351000</v>
      </c>
      <c r="H214" s="10">
        <f t="shared" si="82"/>
        <v>0</v>
      </c>
      <c r="I214" s="10">
        <f t="shared" si="82"/>
        <v>0</v>
      </c>
      <c r="J214" s="10">
        <f t="shared" si="82"/>
        <v>0</v>
      </c>
    </row>
    <row r="215" spans="1:10" ht="31" x14ac:dyDescent="0.35">
      <c r="A215" s="18" t="s">
        <v>8</v>
      </c>
      <c r="B215" s="19" t="s">
        <v>11</v>
      </c>
      <c r="C215" s="10">
        <v>11713000000</v>
      </c>
      <c r="D215" s="10">
        <v>358693886</v>
      </c>
      <c r="E215" s="10">
        <f>SUM(F215:G215)</f>
        <v>11354306114</v>
      </c>
      <c r="F215" s="10">
        <v>11354306114</v>
      </c>
      <c r="G215" s="10"/>
      <c r="H215" s="10">
        <f t="shared" ref="H215:H231" si="83">SUM(I215:J215)</f>
        <v>0</v>
      </c>
      <c r="I215" s="40"/>
      <c r="J215" s="1">
        <v>0</v>
      </c>
    </row>
    <row r="216" spans="1:10" ht="62" x14ac:dyDescent="0.35">
      <c r="A216" s="18" t="s">
        <v>8</v>
      </c>
      <c r="B216" s="19" t="s">
        <v>12</v>
      </c>
      <c r="C216" s="10">
        <v>111535000</v>
      </c>
      <c r="D216" s="10"/>
      <c r="E216" s="10">
        <f>SUM(F216:G216)</f>
        <v>111535000</v>
      </c>
      <c r="F216" s="10">
        <v>93184000</v>
      </c>
      <c r="G216" s="10">
        <v>18351000</v>
      </c>
      <c r="H216" s="10">
        <f t="shared" si="83"/>
        <v>0</v>
      </c>
      <c r="I216" s="10"/>
      <c r="J216" s="10"/>
    </row>
    <row r="217" spans="1:10" ht="46.5" x14ac:dyDescent="0.35">
      <c r="A217" s="18">
        <v>3</v>
      </c>
      <c r="B217" s="19" t="s">
        <v>13</v>
      </c>
      <c r="C217" s="10">
        <f>C218</f>
        <v>1421000000</v>
      </c>
      <c r="D217" s="10">
        <f t="shared" ref="D217:J217" si="84">D218</f>
        <v>1420919875</v>
      </c>
      <c r="E217" s="10">
        <f t="shared" si="84"/>
        <v>0</v>
      </c>
      <c r="F217" s="10">
        <f t="shared" si="84"/>
        <v>0</v>
      </c>
      <c r="G217" s="10">
        <f t="shared" si="84"/>
        <v>0</v>
      </c>
      <c r="H217" s="10">
        <f t="shared" si="84"/>
        <v>42876</v>
      </c>
      <c r="I217" s="10">
        <f t="shared" si="84"/>
        <v>42876</v>
      </c>
      <c r="J217" s="10">
        <f t="shared" si="84"/>
        <v>0</v>
      </c>
    </row>
    <row r="218" spans="1:10" ht="31" x14ac:dyDescent="0.35">
      <c r="A218" s="18" t="s">
        <v>9</v>
      </c>
      <c r="B218" s="19" t="s">
        <v>14</v>
      </c>
      <c r="C218" s="10">
        <v>1421000000</v>
      </c>
      <c r="D218" s="10">
        <v>1420919875</v>
      </c>
      <c r="E218" s="10">
        <f>SUM(F218:G218)</f>
        <v>0</v>
      </c>
      <c r="F218" s="10">
        <v>0</v>
      </c>
      <c r="G218" s="10">
        <v>0</v>
      </c>
      <c r="H218" s="10">
        <f t="shared" si="83"/>
        <v>42876</v>
      </c>
      <c r="I218" s="10">
        <v>42876</v>
      </c>
      <c r="J218" s="10"/>
    </row>
    <row r="219" spans="1:10" ht="31" x14ac:dyDescent="0.35">
      <c r="A219" s="18">
        <v>4</v>
      </c>
      <c r="B219" s="19" t="s">
        <v>15</v>
      </c>
      <c r="C219" s="10">
        <f>SUM(C220:C222)</f>
        <v>3310000000</v>
      </c>
      <c r="D219" s="10">
        <f t="shared" ref="D219:J219" si="85">SUM(D220:D222)</f>
        <v>1054265604</v>
      </c>
      <c r="E219" s="10">
        <f t="shared" si="85"/>
        <v>2255734396</v>
      </c>
      <c r="F219" s="10">
        <f t="shared" si="85"/>
        <v>2255734396</v>
      </c>
      <c r="G219" s="10">
        <f t="shared" si="85"/>
        <v>0</v>
      </c>
      <c r="H219" s="10">
        <f t="shared" si="85"/>
        <v>199000000</v>
      </c>
      <c r="I219" s="10">
        <f t="shared" si="85"/>
        <v>0</v>
      </c>
      <c r="J219" s="10">
        <f t="shared" si="85"/>
        <v>199000000</v>
      </c>
    </row>
    <row r="220" spans="1:10" ht="62" x14ac:dyDescent="0.35">
      <c r="A220" s="18" t="s">
        <v>8</v>
      </c>
      <c r="B220" s="19" t="s">
        <v>16</v>
      </c>
      <c r="C220" s="1">
        <f>780000000-52000000</f>
        <v>728000000</v>
      </c>
      <c r="D220" s="1">
        <v>0</v>
      </c>
      <c r="E220" s="10">
        <f t="shared" ref="E220:E225" si="86">SUM(F220:G220)</f>
        <v>728000000</v>
      </c>
      <c r="F220" s="1">
        <v>728000000</v>
      </c>
      <c r="G220" s="1"/>
      <c r="H220" s="10">
        <f t="shared" si="83"/>
        <v>52000000</v>
      </c>
      <c r="I220" s="1"/>
      <c r="J220" s="1">
        <v>52000000</v>
      </c>
    </row>
    <row r="221" spans="1:10" ht="46.5" x14ac:dyDescent="0.35">
      <c r="A221" s="18" t="s">
        <v>8</v>
      </c>
      <c r="B221" s="19" t="s">
        <v>17</v>
      </c>
      <c r="C221" s="10">
        <v>546000000</v>
      </c>
      <c r="D221" s="10">
        <v>463942020</v>
      </c>
      <c r="E221" s="10">
        <f t="shared" si="86"/>
        <v>82057980</v>
      </c>
      <c r="F221" s="10">
        <v>82057980</v>
      </c>
      <c r="G221" s="10"/>
      <c r="H221" s="10">
        <f t="shared" si="83"/>
        <v>0</v>
      </c>
      <c r="I221" s="40"/>
      <c r="J221" s="1">
        <v>0</v>
      </c>
    </row>
    <row r="222" spans="1:10" ht="46.5" x14ac:dyDescent="0.35">
      <c r="A222" s="18" t="s">
        <v>8</v>
      </c>
      <c r="B222" s="19" t="s">
        <v>18</v>
      </c>
      <c r="C222" s="10">
        <f>2183000000-147000000</f>
        <v>2036000000</v>
      </c>
      <c r="D222" s="10">
        <v>590323584</v>
      </c>
      <c r="E222" s="10">
        <f t="shared" si="86"/>
        <v>1445676416</v>
      </c>
      <c r="F222" s="10">
        <v>1445676416</v>
      </c>
      <c r="G222" s="10"/>
      <c r="H222" s="10">
        <f t="shared" si="83"/>
        <v>147000000</v>
      </c>
      <c r="I222" s="10"/>
      <c r="J222" s="10">
        <v>147000000</v>
      </c>
    </row>
    <row r="223" spans="1:10" ht="31" x14ac:dyDescent="0.35">
      <c r="A223" s="18">
        <v>5</v>
      </c>
      <c r="B223" s="19" t="s">
        <v>19</v>
      </c>
      <c r="C223" s="10">
        <f>173000000-8000000</f>
        <v>165000000</v>
      </c>
      <c r="D223" s="10">
        <v>0</v>
      </c>
      <c r="E223" s="10">
        <f t="shared" si="86"/>
        <v>165000000</v>
      </c>
      <c r="F223" s="10">
        <v>165000000</v>
      </c>
      <c r="G223" s="10">
        <v>0</v>
      </c>
      <c r="H223" s="10">
        <f t="shared" si="83"/>
        <v>8000000</v>
      </c>
      <c r="I223" s="40">
        <v>0</v>
      </c>
      <c r="J223" s="1">
        <v>8000000</v>
      </c>
    </row>
    <row r="224" spans="1:10" ht="46.5" x14ac:dyDescent="0.35">
      <c r="A224" s="18">
        <v>6</v>
      </c>
      <c r="B224" s="19" t="s">
        <v>20</v>
      </c>
      <c r="C224" s="10">
        <f>471000000-22000000</f>
        <v>449000000</v>
      </c>
      <c r="D224" s="10">
        <v>0</v>
      </c>
      <c r="E224" s="10">
        <f t="shared" si="86"/>
        <v>449000000</v>
      </c>
      <c r="F224" s="10">
        <v>449000000</v>
      </c>
      <c r="G224" s="10"/>
      <c r="H224" s="10">
        <f t="shared" si="83"/>
        <v>22000000</v>
      </c>
      <c r="I224" s="40"/>
      <c r="J224" s="1">
        <v>22000000</v>
      </c>
    </row>
    <row r="225" spans="1:10" ht="31" x14ac:dyDescent="0.35">
      <c r="A225" s="18">
        <v>7</v>
      </c>
      <c r="B225" s="19" t="s">
        <v>21</v>
      </c>
      <c r="C225" s="10">
        <f>1274000000-61000000</f>
        <v>1213000000</v>
      </c>
      <c r="D225" s="10">
        <v>0</v>
      </c>
      <c r="E225" s="10">
        <f t="shared" si="86"/>
        <v>1213000000</v>
      </c>
      <c r="F225" s="10">
        <v>1213000000</v>
      </c>
      <c r="G225" s="10"/>
      <c r="H225" s="10">
        <f t="shared" si="83"/>
        <v>61000000</v>
      </c>
      <c r="I225" s="40"/>
      <c r="J225" s="1">
        <v>61000000</v>
      </c>
    </row>
    <row r="226" spans="1:10" ht="31" x14ac:dyDescent="0.35">
      <c r="A226" s="18">
        <v>8</v>
      </c>
      <c r="B226" s="19" t="s">
        <v>22</v>
      </c>
      <c r="C226" s="10">
        <f>C227</f>
        <v>247000000</v>
      </c>
      <c r="D226" s="10">
        <f t="shared" ref="D226:J226" si="87">D227</f>
        <v>245908780</v>
      </c>
      <c r="E226" s="10">
        <f t="shared" si="87"/>
        <v>1091220</v>
      </c>
      <c r="F226" s="10">
        <f t="shared" si="87"/>
        <v>1091220</v>
      </c>
      <c r="G226" s="10">
        <f t="shared" si="87"/>
        <v>0</v>
      </c>
      <c r="H226" s="10">
        <f t="shared" si="87"/>
        <v>12000000</v>
      </c>
      <c r="I226" s="10">
        <f t="shared" si="87"/>
        <v>0</v>
      </c>
      <c r="J226" s="10">
        <f t="shared" si="87"/>
        <v>12000000</v>
      </c>
    </row>
    <row r="227" spans="1:10" ht="31" x14ac:dyDescent="0.35">
      <c r="A227" s="18" t="s">
        <v>9</v>
      </c>
      <c r="B227" s="19" t="s">
        <v>23</v>
      </c>
      <c r="C227" s="10">
        <f>259000000-12000000</f>
        <v>247000000</v>
      </c>
      <c r="D227" s="10">
        <v>245908780</v>
      </c>
      <c r="E227" s="10">
        <f>SUM(F227:G227)</f>
        <v>1091220</v>
      </c>
      <c r="F227" s="10">
        <v>1091220</v>
      </c>
      <c r="G227" s="10"/>
      <c r="H227" s="10">
        <f t="shared" si="83"/>
        <v>12000000</v>
      </c>
      <c r="I227" s="40"/>
      <c r="J227" s="1">
        <v>12000000</v>
      </c>
    </row>
    <row r="228" spans="1:10" ht="46.5" x14ac:dyDescent="0.35">
      <c r="A228" s="18">
        <v>9</v>
      </c>
      <c r="B228" s="19" t="s">
        <v>24</v>
      </c>
      <c r="C228" s="10">
        <f>SUM(C229:C231)</f>
        <v>303000000</v>
      </c>
      <c r="D228" s="10">
        <f t="shared" ref="D228:J228" si="88">SUM(D229:D231)</f>
        <v>103659240</v>
      </c>
      <c r="E228" s="10">
        <f t="shared" si="88"/>
        <v>199340760</v>
      </c>
      <c r="F228" s="10">
        <f t="shared" si="88"/>
        <v>199340760</v>
      </c>
      <c r="G228" s="10">
        <f t="shared" si="88"/>
        <v>0</v>
      </c>
      <c r="H228" s="10">
        <f t="shared" si="88"/>
        <v>15000000</v>
      </c>
      <c r="I228" s="10">
        <f t="shared" si="88"/>
        <v>0</v>
      </c>
      <c r="J228" s="10">
        <f t="shared" si="88"/>
        <v>15000000</v>
      </c>
    </row>
    <row r="229" spans="1:10" ht="93" x14ac:dyDescent="0.35">
      <c r="A229" s="18" t="s">
        <v>8</v>
      </c>
      <c r="B229" s="19" t="s">
        <v>25</v>
      </c>
      <c r="C229" s="10">
        <f>205000000-11000000</f>
        <v>194000000</v>
      </c>
      <c r="D229" s="10">
        <v>68929240</v>
      </c>
      <c r="E229" s="10">
        <f>SUM(F229:G229)</f>
        <v>125070760</v>
      </c>
      <c r="F229" s="10">
        <v>125070760</v>
      </c>
      <c r="G229" s="10"/>
      <c r="H229" s="10">
        <f t="shared" si="83"/>
        <v>11000000</v>
      </c>
      <c r="I229" s="40"/>
      <c r="J229" s="1">
        <v>11000000</v>
      </c>
    </row>
    <row r="230" spans="1:10" ht="46.5" x14ac:dyDescent="0.35">
      <c r="A230" s="18" t="s">
        <v>8</v>
      </c>
      <c r="B230" s="19" t="s">
        <v>26</v>
      </c>
      <c r="C230" s="10">
        <v>40000000</v>
      </c>
      <c r="D230" s="10">
        <v>0</v>
      </c>
      <c r="E230" s="10">
        <f>SUM(F230:G230)</f>
        <v>40000000</v>
      </c>
      <c r="F230" s="10">
        <v>40000000</v>
      </c>
      <c r="G230" s="10">
        <v>0</v>
      </c>
      <c r="H230" s="10">
        <f t="shared" si="83"/>
        <v>0</v>
      </c>
      <c r="I230" s="40">
        <v>0</v>
      </c>
      <c r="J230" s="1">
        <v>0</v>
      </c>
    </row>
    <row r="231" spans="1:10" ht="31" x14ac:dyDescent="0.35">
      <c r="A231" s="18" t="s">
        <v>8</v>
      </c>
      <c r="B231" s="19" t="s">
        <v>27</v>
      </c>
      <c r="C231" s="10">
        <f>73000000-4000000</f>
        <v>69000000</v>
      </c>
      <c r="D231" s="10">
        <v>34730000</v>
      </c>
      <c r="E231" s="10">
        <f>SUM(F231:G231)</f>
        <v>34270000</v>
      </c>
      <c r="F231" s="10">
        <v>34270000</v>
      </c>
      <c r="G231" s="10"/>
      <c r="H231" s="10">
        <f t="shared" si="83"/>
        <v>4000000</v>
      </c>
      <c r="I231" s="40"/>
      <c r="J231" s="1">
        <v>4000000</v>
      </c>
    </row>
    <row r="232" spans="1:10" s="3" customFormat="1" ht="15" x14ac:dyDescent="0.35">
      <c r="A232" s="7" t="s">
        <v>68</v>
      </c>
      <c r="B232" s="6" t="s">
        <v>69</v>
      </c>
      <c r="C232" s="8">
        <f>C233+C234+C236+C239+C240+C241+C242+C244</f>
        <v>2778000000</v>
      </c>
      <c r="D232" s="8">
        <f t="shared" ref="D232:J232" si="89">D233+D234+D236+D239+D240+D241+D242+D244</f>
        <v>660867300</v>
      </c>
      <c r="E232" s="8">
        <f t="shared" si="89"/>
        <v>2117130700</v>
      </c>
      <c r="F232" s="8">
        <f t="shared" si="89"/>
        <v>2117130700</v>
      </c>
      <c r="G232" s="8">
        <f t="shared" si="89"/>
        <v>0</v>
      </c>
      <c r="H232" s="8">
        <f t="shared" si="89"/>
        <v>3000000</v>
      </c>
      <c r="I232" s="8">
        <f t="shared" si="89"/>
        <v>0</v>
      </c>
      <c r="J232" s="8">
        <f t="shared" si="89"/>
        <v>3000000</v>
      </c>
    </row>
    <row r="233" spans="1:10" ht="31" x14ac:dyDescent="0.35">
      <c r="A233" s="18">
        <v>1</v>
      </c>
      <c r="B233" s="19" t="s">
        <v>7</v>
      </c>
      <c r="C233" s="10">
        <v>6000000</v>
      </c>
      <c r="D233" s="10">
        <v>6000000</v>
      </c>
      <c r="E233" s="10"/>
      <c r="F233" s="10"/>
      <c r="G233" s="10"/>
      <c r="H233" s="10"/>
      <c r="I233" s="10"/>
      <c r="J233" s="10"/>
    </row>
    <row r="234" spans="1:10" ht="46.5" x14ac:dyDescent="0.35">
      <c r="A234" s="18">
        <v>3</v>
      </c>
      <c r="B234" s="19" t="s">
        <v>13</v>
      </c>
      <c r="C234" s="10">
        <f>C235</f>
        <v>21000000</v>
      </c>
      <c r="D234" s="10">
        <f t="shared" ref="D234:J234" si="90">D235</f>
        <v>15011000</v>
      </c>
      <c r="E234" s="10">
        <f t="shared" si="90"/>
        <v>5989000</v>
      </c>
      <c r="F234" s="10">
        <f t="shared" si="90"/>
        <v>5989000</v>
      </c>
      <c r="G234" s="10">
        <f t="shared" si="90"/>
        <v>0</v>
      </c>
      <c r="H234" s="10">
        <f t="shared" si="90"/>
        <v>1000000</v>
      </c>
      <c r="I234" s="10">
        <f t="shared" si="90"/>
        <v>0</v>
      </c>
      <c r="J234" s="10">
        <f t="shared" si="90"/>
        <v>1000000</v>
      </c>
    </row>
    <row r="235" spans="1:10" ht="31" x14ac:dyDescent="0.35">
      <c r="A235" s="18" t="s">
        <v>9</v>
      </c>
      <c r="B235" s="19" t="s">
        <v>14</v>
      </c>
      <c r="C235" s="10">
        <f>22000000-1000000</f>
        <v>21000000</v>
      </c>
      <c r="D235" s="10">
        <v>15011000</v>
      </c>
      <c r="E235" s="10">
        <f>F235+G235</f>
        <v>5989000</v>
      </c>
      <c r="F235" s="10">
        <v>5989000</v>
      </c>
      <c r="G235" s="10">
        <v>0</v>
      </c>
      <c r="H235" s="10">
        <f>I235+J235</f>
        <v>1000000</v>
      </c>
      <c r="I235" s="10">
        <v>0</v>
      </c>
      <c r="J235" s="10">
        <v>1000000</v>
      </c>
    </row>
    <row r="236" spans="1:10" ht="31" x14ac:dyDescent="0.35">
      <c r="A236" s="18">
        <v>4</v>
      </c>
      <c r="B236" s="19" t="s">
        <v>15</v>
      </c>
      <c r="C236" s="10">
        <f>SUM(C237:C238)</f>
        <v>2474000000</v>
      </c>
      <c r="D236" s="10">
        <f t="shared" ref="D236:J236" si="91">SUM(D237:D238)</f>
        <v>479358000</v>
      </c>
      <c r="E236" s="10">
        <f t="shared" si="91"/>
        <v>1994642000</v>
      </c>
      <c r="F236" s="10">
        <f t="shared" si="91"/>
        <v>1994642000</v>
      </c>
      <c r="G236" s="10">
        <f t="shared" si="91"/>
        <v>0</v>
      </c>
      <c r="H236" s="10">
        <f t="shared" si="91"/>
        <v>0</v>
      </c>
      <c r="I236" s="10">
        <f t="shared" si="91"/>
        <v>0</v>
      </c>
      <c r="J236" s="10">
        <f t="shared" si="91"/>
        <v>0</v>
      </c>
    </row>
    <row r="237" spans="1:10" ht="46.5" x14ac:dyDescent="0.35">
      <c r="A237" s="18" t="s">
        <v>8</v>
      </c>
      <c r="B237" s="19" t="s">
        <v>17</v>
      </c>
      <c r="C237" s="10">
        <v>291000000</v>
      </c>
      <c r="D237" s="10">
        <v>253808000</v>
      </c>
      <c r="E237" s="10">
        <f>SUM(F237:G237)</f>
        <v>37192000</v>
      </c>
      <c r="F237" s="10">
        <v>37192000</v>
      </c>
      <c r="G237" s="10"/>
      <c r="H237" s="10">
        <f t="shared" ref="H237:H246" si="92">SUM(I237:J237)</f>
        <v>0</v>
      </c>
      <c r="I237" s="1"/>
      <c r="J237" s="1"/>
    </row>
    <row r="238" spans="1:10" ht="46.5" x14ac:dyDescent="0.35">
      <c r="A238" s="18" t="s">
        <v>8</v>
      </c>
      <c r="B238" s="19" t="s">
        <v>18</v>
      </c>
      <c r="C238" s="10">
        <v>2183000000</v>
      </c>
      <c r="D238" s="10">
        <v>225550000</v>
      </c>
      <c r="E238" s="10">
        <f>SUM(F238:G238)</f>
        <v>1957450000</v>
      </c>
      <c r="F238" s="10">
        <v>1957450000</v>
      </c>
      <c r="G238" s="10"/>
      <c r="H238" s="10">
        <f t="shared" si="92"/>
        <v>0</v>
      </c>
      <c r="I238" s="1"/>
      <c r="J238" s="1"/>
    </row>
    <row r="239" spans="1:10" ht="31" x14ac:dyDescent="0.35">
      <c r="A239" s="18">
        <v>5</v>
      </c>
      <c r="B239" s="19" t="s">
        <v>19</v>
      </c>
      <c r="C239" s="10">
        <f>19000000-1000000</f>
        <v>18000000</v>
      </c>
      <c r="D239" s="10"/>
      <c r="E239" s="10">
        <f>SUM(F239:G239)</f>
        <v>18000000</v>
      </c>
      <c r="F239" s="10">
        <v>18000000</v>
      </c>
      <c r="G239" s="10"/>
      <c r="H239" s="10">
        <f t="shared" si="92"/>
        <v>1000000</v>
      </c>
      <c r="I239" s="1"/>
      <c r="J239" s="1">
        <v>1000000</v>
      </c>
    </row>
    <row r="240" spans="1:10" ht="46.5" x14ac:dyDescent="0.35">
      <c r="A240" s="18">
        <v>6</v>
      </c>
      <c r="B240" s="19" t="s">
        <v>20</v>
      </c>
      <c r="C240" s="10">
        <v>99000000</v>
      </c>
      <c r="D240" s="10">
        <v>25890000</v>
      </c>
      <c r="E240" s="10">
        <f>SUM(F240:G240)</f>
        <v>73110000</v>
      </c>
      <c r="F240" s="10">
        <v>73110000</v>
      </c>
      <c r="G240" s="10"/>
      <c r="H240" s="10">
        <f t="shared" si="92"/>
        <v>0</v>
      </c>
      <c r="I240" s="1"/>
      <c r="J240" s="1"/>
    </row>
    <row r="241" spans="1:10" ht="31" x14ac:dyDescent="0.35">
      <c r="A241" s="18">
        <v>7</v>
      </c>
      <c r="B241" s="19" t="s">
        <v>21</v>
      </c>
      <c r="C241" s="10">
        <v>20000000</v>
      </c>
      <c r="D241" s="10">
        <v>7000000</v>
      </c>
      <c r="E241" s="10">
        <f>SUM(F241:G241)</f>
        <v>13000000</v>
      </c>
      <c r="F241" s="10">
        <v>13000000</v>
      </c>
      <c r="G241" s="10"/>
      <c r="H241" s="10">
        <f t="shared" si="92"/>
        <v>0</v>
      </c>
      <c r="I241" s="1"/>
      <c r="J241" s="1"/>
    </row>
    <row r="242" spans="1:10" ht="31" x14ac:dyDescent="0.35">
      <c r="A242" s="18">
        <v>8</v>
      </c>
      <c r="B242" s="19" t="s">
        <v>22</v>
      </c>
      <c r="C242" s="10">
        <f>C243</f>
        <v>20000000</v>
      </c>
      <c r="D242" s="10">
        <f t="shared" ref="D242:J242" si="93">D243</f>
        <v>15610300</v>
      </c>
      <c r="E242" s="10">
        <f t="shared" si="93"/>
        <v>4389700</v>
      </c>
      <c r="F242" s="10">
        <f t="shared" si="93"/>
        <v>4389700</v>
      </c>
      <c r="G242" s="10">
        <f t="shared" si="93"/>
        <v>0</v>
      </c>
      <c r="H242" s="10">
        <f t="shared" si="93"/>
        <v>0</v>
      </c>
      <c r="I242" s="10">
        <f t="shared" si="93"/>
        <v>0</v>
      </c>
      <c r="J242" s="10">
        <f t="shared" si="93"/>
        <v>0</v>
      </c>
    </row>
    <row r="243" spans="1:10" ht="31" x14ac:dyDescent="0.35">
      <c r="A243" s="18" t="s">
        <v>9</v>
      </c>
      <c r="B243" s="19" t="s">
        <v>23</v>
      </c>
      <c r="C243" s="10">
        <v>20000000</v>
      </c>
      <c r="D243" s="10">
        <v>15610300</v>
      </c>
      <c r="E243" s="10">
        <v>4389700</v>
      </c>
      <c r="F243" s="10">
        <v>4389700</v>
      </c>
      <c r="G243" s="10"/>
      <c r="H243" s="10">
        <f t="shared" si="92"/>
        <v>0</v>
      </c>
      <c r="I243" s="1">
        <v>0</v>
      </c>
      <c r="J243" s="1"/>
    </row>
    <row r="244" spans="1:10" ht="46.5" x14ac:dyDescent="0.35">
      <c r="A244" s="18">
        <v>9</v>
      </c>
      <c r="B244" s="19" t="s">
        <v>24</v>
      </c>
      <c r="C244" s="10">
        <f t="shared" ref="C244:J244" si="94">SUM(C245:C246)</f>
        <v>120000000</v>
      </c>
      <c r="D244" s="10">
        <f t="shared" si="94"/>
        <v>111998000</v>
      </c>
      <c r="E244" s="10">
        <f t="shared" si="94"/>
        <v>8000000</v>
      </c>
      <c r="F244" s="10">
        <f t="shared" si="94"/>
        <v>8000000</v>
      </c>
      <c r="G244" s="10">
        <f t="shared" si="94"/>
        <v>0</v>
      </c>
      <c r="H244" s="10">
        <f t="shared" si="94"/>
        <v>1000000</v>
      </c>
      <c r="I244" s="10">
        <f t="shared" si="94"/>
        <v>0</v>
      </c>
      <c r="J244" s="10">
        <f t="shared" si="94"/>
        <v>1000000</v>
      </c>
    </row>
    <row r="245" spans="1:10" ht="93" x14ac:dyDescent="0.35">
      <c r="A245" s="18" t="s">
        <v>8</v>
      </c>
      <c r="B245" s="19" t="s">
        <v>25</v>
      </c>
      <c r="C245" s="10">
        <v>110000000</v>
      </c>
      <c r="D245" s="10">
        <v>109998000</v>
      </c>
      <c r="E245" s="10">
        <f>SUM(F245:G245)</f>
        <v>0</v>
      </c>
      <c r="F245" s="10"/>
      <c r="G245" s="10"/>
      <c r="H245" s="10">
        <f t="shared" si="92"/>
        <v>0</v>
      </c>
      <c r="I245" s="1"/>
      <c r="J245" s="1"/>
    </row>
    <row r="246" spans="1:10" ht="31" x14ac:dyDescent="0.35">
      <c r="A246" s="41" t="s">
        <v>8</v>
      </c>
      <c r="B246" s="42" t="s">
        <v>27</v>
      </c>
      <c r="C246" s="43">
        <f>11000000-1000000</f>
        <v>10000000</v>
      </c>
      <c r="D246" s="43">
        <v>2000000</v>
      </c>
      <c r="E246" s="43">
        <f>SUM(F246:G246)</f>
        <v>8000000</v>
      </c>
      <c r="F246" s="43">
        <v>8000000</v>
      </c>
      <c r="G246" s="43"/>
      <c r="H246" s="43">
        <f t="shared" si="92"/>
        <v>1000000</v>
      </c>
      <c r="I246" s="44"/>
      <c r="J246" s="44">
        <v>1000000</v>
      </c>
    </row>
  </sheetData>
  <mergeCells count="15">
    <mergeCell ref="A9:B9"/>
    <mergeCell ref="B5:B7"/>
    <mergeCell ref="A5:A7"/>
    <mergeCell ref="C5:C7"/>
    <mergeCell ref="D5:D7"/>
    <mergeCell ref="E5:E7"/>
    <mergeCell ref="F5:G6"/>
    <mergeCell ref="H5:H7"/>
    <mergeCell ref="I5:J6"/>
    <mergeCell ref="G4:H4"/>
    <mergeCell ref="G1:H1"/>
    <mergeCell ref="A2:J2"/>
    <mergeCell ref="I1:J1"/>
    <mergeCell ref="I4:J4"/>
    <mergeCell ref="A3:J3"/>
  </mergeCells>
  <pageMargins left="0.94488188976377996" right="0.35433070866141703" top="0.8" bottom="0.61" header="0.57999999999999996" footer="0.2"/>
  <pageSetup paperSize="9" scale="77" firstPageNumber="3" fitToHeight="0" orientation="portrait" r:id="rId1"/>
  <headerFooter>
    <oddHeader xml:space="preserve">&amp;R&amp;"Times New Roman,Bold"&amp;UBiểu số 04
</oddHeader>
    <oddFooter>&amp;C&amp;P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24"/>
  <sheetViews>
    <sheetView workbookViewId="0">
      <selection activeCell="C8" sqref="C8"/>
    </sheetView>
  </sheetViews>
  <sheetFormatPr defaultRowHeight="15.5" x14ac:dyDescent="0.35"/>
  <cols>
    <col min="1" max="1" width="6.25" style="277" customWidth="1"/>
    <col min="2" max="2" width="44.08203125" customWidth="1"/>
    <col min="3" max="3" width="18.83203125" customWidth="1"/>
    <col min="4" max="4" width="18.08203125" customWidth="1"/>
  </cols>
  <sheetData>
    <row r="1" spans="1:4" ht="47.25" customHeight="1" x14ac:dyDescent="0.35">
      <c r="A1" s="351" t="s">
        <v>376</v>
      </c>
      <c r="B1" s="351"/>
      <c r="C1" s="351"/>
      <c r="D1" s="351"/>
    </row>
    <row r="2" spans="1:4" ht="21.75" customHeight="1" x14ac:dyDescent="0.35">
      <c r="A2" s="352" t="s">
        <v>377</v>
      </c>
      <c r="B2" s="352"/>
      <c r="C2" s="352"/>
      <c r="D2" s="352"/>
    </row>
    <row r="3" spans="1:4" ht="21.75" customHeight="1" x14ac:dyDescent="0.35">
      <c r="D3" s="316" t="s">
        <v>378</v>
      </c>
    </row>
    <row r="4" spans="1:4" s="278" customFormat="1" ht="35.25" customHeight="1" x14ac:dyDescent="0.3">
      <c r="A4" s="298" t="s">
        <v>0</v>
      </c>
      <c r="B4" s="298" t="s">
        <v>379</v>
      </c>
      <c r="C4" s="298" t="s">
        <v>380</v>
      </c>
      <c r="D4" s="298" t="s">
        <v>197</v>
      </c>
    </row>
    <row r="5" spans="1:4" ht="19.5" customHeight="1" x14ac:dyDescent="0.35">
      <c r="A5" s="317"/>
      <c r="B5" s="318" t="s">
        <v>291</v>
      </c>
      <c r="C5" s="327">
        <f>C6+C10+C11</f>
        <v>87136.043531000003</v>
      </c>
      <c r="D5" s="319"/>
    </row>
    <row r="6" spans="1:4" s="278" customFormat="1" ht="25.5" customHeight="1" x14ac:dyDescent="0.3">
      <c r="A6" s="281" t="s">
        <v>1</v>
      </c>
      <c r="B6" s="320" t="s">
        <v>381</v>
      </c>
      <c r="C6" s="327">
        <f>SUM(C7:C9)</f>
        <v>10390.237531000001</v>
      </c>
      <c r="D6" s="321"/>
    </row>
    <row r="7" spans="1:4" ht="37.5" customHeight="1" x14ac:dyDescent="0.35">
      <c r="A7" s="280">
        <v>1</v>
      </c>
      <c r="B7" s="322" t="s">
        <v>382</v>
      </c>
      <c r="C7" s="328">
        <f>'B1-Tổng hợp DTTS'!C11/1000000</f>
        <v>4614.0592589999997</v>
      </c>
      <c r="D7" s="323" t="s">
        <v>77</v>
      </c>
    </row>
    <row r="8" spans="1:4" ht="20.25" customHeight="1" x14ac:dyDescent="0.35">
      <c r="A8" s="280">
        <v>2</v>
      </c>
      <c r="B8" s="322" t="s">
        <v>383</v>
      </c>
      <c r="C8" s="328">
        <f>'B2-Tổng hợp GN'!C11/1000000</f>
        <v>5270.2896650000002</v>
      </c>
      <c r="D8" s="323" t="s">
        <v>348</v>
      </c>
    </row>
    <row r="9" spans="1:4" ht="20.25" customHeight="1" x14ac:dyDescent="0.35">
      <c r="A9" s="280">
        <v>3</v>
      </c>
      <c r="B9" s="322" t="s">
        <v>384</v>
      </c>
      <c r="C9" s="328">
        <f>'B3-Tổng hợp NTM'!C9/1000000</f>
        <v>505.88860699999998</v>
      </c>
      <c r="D9" s="324" t="s">
        <v>349</v>
      </c>
    </row>
    <row r="10" spans="1:4" s="278" customFormat="1" ht="21" customHeight="1" x14ac:dyDescent="0.3">
      <c r="A10" s="325" t="s">
        <v>2</v>
      </c>
      <c r="B10" s="320" t="s">
        <v>385</v>
      </c>
      <c r="C10" s="326">
        <f>' B4-CĐS'!C7</f>
        <v>60864.4</v>
      </c>
      <c r="D10" s="308" t="s">
        <v>365</v>
      </c>
    </row>
    <row r="11" spans="1:4" s="278" customFormat="1" ht="28.5" customHeight="1" x14ac:dyDescent="0.3">
      <c r="A11" s="325" t="s">
        <v>135</v>
      </c>
      <c r="B11" s="320" t="s">
        <v>386</v>
      </c>
      <c r="C11" s="327">
        <f>SUM(C12:C16)</f>
        <v>15881.406000000001</v>
      </c>
      <c r="D11" s="315" t="s">
        <v>350</v>
      </c>
    </row>
    <row r="12" spans="1:4" ht="52.5" customHeight="1" x14ac:dyDescent="0.35">
      <c r="A12" s="280">
        <v>1</v>
      </c>
      <c r="B12" s="307" t="s">
        <v>390</v>
      </c>
      <c r="C12" s="328">
        <f>'B5-NVK'!D7</f>
        <v>6098.0339999999997</v>
      </c>
      <c r="D12" s="329"/>
    </row>
    <row r="13" spans="1:4" ht="56.25" customHeight="1" x14ac:dyDescent="0.35">
      <c r="A13" s="280">
        <v>2</v>
      </c>
      <c r="B13" s="322" t="s">
        <v>391</v>
      </c>
      <c r="C13" s="330">
        <f>'B5-NVK'!D8</f>
        <v>5963.88</v>
      </c>
      <c r="D13" s="329"/>
    </row>
    <row r="14" spans="1:4" ht="38.25" customHeight="1" x14ac:dyDescent="0.35">
      <c r="A14" s="280">
        <v>3</v>
      </c>
      <c r="B14" s="322" t="s">
        <v>387</v>
      </c>
      <c r="C14" s="328">
        <f>'B5-NVK'!D9</f>
        <v>712.12800000000004</v>
      </c>
      <c r="D14" s="329"/>
    </row>
    <row r="15" spans="1:4" ht="71.25" customHeight="1" x14ac:dyDescent="0.35">
      <c r="A15" s="280">
        <v>4</v>
      </c>
      <c r="B15" s="322" t="s">
        <v>388</v>
      </c>
      <c r="C15" s="328">
        <f>SUM('B5-NVK'!D10:D17)</f>
        <v>1517.0339999999999</v>
      </c>
      <c r="D15" s="329"/>
    </row>
    <row r="16" spans="1:4" ht="46.5" x14ac:dyDescent="0.35">
      <c r="A16" s="331">
        <v>5</v>
      </c>
      <c r="B16" s="332" t="s">
        <v>389</v>
      </c>
      <c r="C16" s="333">
        <f>'B5-NVK'!D18</f>
        <v>1590.33</v>
      </c>
      <c r="D16" s="334"/>
    </row>
    <row r="17" spans="1:1" ht="25.5" customHeight="1" x14ac:dyDescent="0.35">
      <c r="A17" s="279"/>
    </row>
    <row r="18" spans="1:1" ht="25.5" customHeight="1" x14ac:dyDescent="0.35">
      <c r="A18" s="279"/>
    </row>
    <row r="19" spans="1:1" x14ac:dyDescent="0.35">
      <c r="A19" s="279"/>
    </row>
    <row r="20" spans="1:1" x14ac:dyDescent="0.35">
      <c r="A20" s="279"/>
    </row>
    <row r="21" spans="1:1" x14ac:dyDescent="0.35">
      <c r="A21" s="279"/>
    </row>
    <row r="22" spans="1:1" x14ac:dyDescent="0.35">
      <c r="A22" s="279"/>
    </row>
    <row r="23" spans="1:1" x14ac:dyDescent="0.35">
      <c r="A23" s="279"/>
    </row>
    <row r="24" spans="1:1" x14ac:dyDescent="0.35">
      <c r="A24" s="279"/>
    </row>
  </sheetData>
  <mergeCells count="2">
    <mergeCell ref="A1:D1"/>
    <mergeCell ref="A2:D2"/>
  </mergeCells>
  <pageMargins left="0.5" right="0.25" top="0.75" bottom="0.75" header="0.3" footer="0.3"/>
  <pageSetup firstPageNumber="5"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T40"/>
  <sheetViews>
    <sheetView tabSelected="1" topLeftCell="A7" zoomScale="70" zoomScaleNormal="70" workbookViewId="0">
      <selection activeCell="C16" sqref="C16"/>
    </sheetView>
  </sheetViews>
  <sheetFormatPr defaultColWidth="9" defaultRowHeight="15.5" x14ac:dyDescent="0.35"/>
  <cols>
    <col min="1" max="1" width="5.08203125" style="195" customWidth="1"/>
    <col min="2" max="2" width="33" style="196" customWidth="1"/>
    <col min="3" max="3" width="13.58203125" style="196" customWidth="1"/>
    <col min="4" max="4" width="13.25" style="196" customWidth="1"/>
    <col min="5" max="5" width="15.25" style="196" customWidth="1"/>
    <col min="6" max="6" width="15.75" style="196" customWidth="1"/>
    <col min="7" max="7" width="12.33203125" style="196" customWidth="1"/>
    <col min="8" max="8" width="12.25" style="196" customWidth="1"/>
    <col min="9" max="9" width="11.58203125" style="196" customWidth="1"/>
    <col min="10" max="11" width="12.33203125" style="196" customWidth="1"/>
    <col min="12" max="12" width="11.25" style="196" customWidth="1"/>
    <col min="13" max="14" width="12.33203125" style="196" customWidth="1"/>
    <col min="15" max="16" width="11.58203125" style="196" customWidth="1"/>
    <col min="17" max="17" width="13.58203125" style="196" customWidth="1"/>
    <col min="18" max="18" width="13.75" style="196" customWidth="1"/>
    <col min="19" max="19" width="14.33203125" style="196" customWidth="1"/>
    <col min="20" max="20" width="12.5" style="196" customWidth="1"/>
    <col min="21" max="16384" width="9" style="196"/>
  </cols>
  <sheetData>
    <row r="1" spans="1:20" ht="15.75" hidden="1" customHeight="1" x14ac:dyDescent="0.35">
      <c r="R1" s="353" t="s">
        <v>347</v>
      </c>
      <c r="S1" s="353"/>
      <c r="T1" s="353"/>
    </row>
    <row r="2" spans="1:20" ht="30" customHeight="1" x14ac:dyDescent="0.35">
      <c r="R2" s="353"/>
      <c r="S2" s="353"/>
      <c r="T2" s="353"/>
    </row>
    <row r="3" spans="1:20" ht="48.75" customHeight="1" x14ac:dyDescent="0.35">
      <c r="A3" s="354" t="s">
        <v>285</v>
      </c>
      <c r="B3" s="354"/>
      <c r="C3" s="354"/>
      <c r="D3" s="354"/>
      <c r="E3" s="354"/>
      <c r="F3" s="354"/>
      <c r="G3" s="354"/>
      <c r="H3" s="354"/>
      <c r="I3" s="354"/>
      <c r="J3" s="354"/>
      <c r="K3" s="354"/>
      <c r="L3" s="354"/>
      <c r="M3" s="354"/>
      <c r="N3" s="354"/>
      <c r="O3" s="354"/>
      <c r="P3" s="354"/>
      <c r="Q3" s="354"/>
      <c r="R3" s="354"/>
      <c r="S3" s="354"/>
      <c r="T3" s="354"/>
    </row>
    <row r="4" spans="1:20" ht="30" customHeight="1" x14ac:dyDescent="0.35">
      <c r="A4" s="355" t="str">
        <f>'Biểu TH'!A2:D2</f>
        <v>(Kèm theo Nghị quyết số       /NQ-HĐND ngày     tháng 4 năm 2023 của Hội đồng nhân dân tỉnh Bắc Kạn)</v>
      </c>
      <c r="B4" s="355"/>
      <c r="C4" s="355"/>
      <c r="D4" s="355"/>
      <c r="E4" s="355"/>
      <c r="F4" s="355"/>
      <c r="G4" s="355"/>
      <c r="H4" s="355"/>
      <c r="I4" s="355"/>
      <c r="J4" s="355"/>
      <c r="K4" s="355"/>
      <c r="L4" s="355"/>
      <c r="M4" s="355"/>
      <c r="N4" s="355"/>
      <c r="O4" s="355"/>
      <c r="P4" s="355"/>
      <c r="Q4" s="355"/>
      <c r="R4" s="355"/>
      <c r="S4" s="355"/>
      <c r="T4" s="355"/>
    </row>
    <row r="5" spans="1:20" ht="21" customHeight="1" x14ac:dyDescent="0.35">
      <c r="R5" s="356" t="s">
        <v>151</v>
      </c>
      <c r="S5" s="356"/>
      <c r="T5" s="356"/>
    </row>
    <row r="6" spans="1:20" ht="21" customHeight="1" x14ac:dyDescent="0.35">
      <c r="A6" s="360" t="s">
        <v>0</v>
      </c>
      <c r="B6" s="360" t="s">
        <v>286</v>
      </c>
      <c r="C6" s="360" t="s">
        <v>287</v>
      </c>
      <c r="D6" s="360"/>
      <c r="E6" s="360"/>
      <c r="F6" s="361" t="s">
        <v>307</v>
      </c>
      <c r="G6" s="361"/>
      <c r="H6" s="361"/>
      <c r="I6" s="361"/>
      <c r="J6" s="361"/>
      <c r="K6" s="361"/>
      <c r="L6" s="361"/>
      <c r="M6" s="361"/>
      <c r="N6" s="361"/>
      <c r="O6" s="361"/>
      <c r="P6" s="361"/>
      <c r="Q6" s="361"/>
      <c r="R6" s="361"/>
      <c r="S6" s="361"/>
      <c r="T6" s="361"/>
    </row>
    <row r="7" spans="1:20" ht="39" customHeight="1" x14ac:dyDescent="0.35">
      <c r="A7" s="360"/>
      <c r="B7" s="360"/>
      <c r="C7" s="360"/>
      <c r="D7" s="360"/>
      <c r="E7" s="360"/>
      <c r="F7" s="362" t="s">
        <v>334</v>
      </c>
      <c r="G7" s="362"/>
      <c r="H7" s="362"/>
      <c r="I7" s="362"/>
      <c r="J7" s="362"/>
      <c r="K7" s="362"/>
      <c r="L7" s="362"/>
      <c r="M7" s="362"/>
      <c r="N7" s="362"/>
      <c r="O7" s="362"/>
      <c r="P7" s="362"/>
      <c r="Q7" s="362"/>
      <c r="R7" s="362" t="s">
        <v>296</v>
      </c>
      <c r="S7" s="362"/>
      <c r="T7" s="362"/>
    </row>
    <row r="8" spans="1:20" s="274" customFormat="1" ht="23.25" customHeight="1" x14ac:dyDescent="0.35">
      <c r="A8" s="360"/>
      <c r="B8" s="360"/>
      <c r="C8" s="360"/>
      <c r="D8" s="360"/>
      <c r="E8" s="360"/>
      <c r="F8" s="360" t="s">
        <v>290</v>
      </c>
      <c r="G8" s="360" t="s">
        <v>73</v>
      </c>
      <c r="H8" s="360"/>
      <c r="I8" s="360"/>
      <c r="J8" s="360"/>
      <c r="K8" s="360"/>
      <c r="L8" s="360"/>
      <c r="M8" s="360"/>
      <c r="N8" s="360"/>
      <c r="O8" s="360"/>
      <c r="P8" s="360"/>
      <c r="Q8" s="360"/>
      <c r="R8" s="360" t="s">
        <v>289</v>
      </c>
      <c r="S8" s="360"/>
      <c r="T8" s="360"/>
    </row>
    <row r="9" spans="1:20" s="274" customFormat="1" ht="21" customHeight="1" x14ac:dyDescent="0.35">
      <c r="A9" s="360"/>
      <c r="B9" s="360"/>
      <c r="C9" s="360" t="s">
        <v>291</v>
      </c>
      <c r="D9" s="360" t="s">
        <v>73</v>
      </c>
      <c r="E9" s="360"/>
      <c r="F9" s="360"/>
      <c r="G9" s="360" t="s">
        <v>297</v>
      </c>
      <c r="H9" s="360" t="s">
        <v>298</v>
      </c>
      <c r="I9" s="360" t="s">
        <v>299</v>
      </c>
      <c r="J9" s="360" t="s">
        <v>300</v>
      </c>
      <c r="K9" s="360" t="s">
        <v>301</v>
      </c>
      <c r="L9" s="360" t="s">
        <v>302</v>
      </c>
      <c r="M9" s="360" t="s">
        <v>288</v>
      </c>
      <c r="N9" s="360" t="s">
        <v>303</v>
      </c>
      <c r="O9" s="360" t="s">
        <v>304</v>
      </c>
      <c r="P9" s="360" t="s">
        <v>305</v>
      </c>
      <c r="Q9" s="360" t="s">
        <v>306</v>
      </c>
      <c r="R9" s="357" t="s">
        <v>298</v>
      </c>
      <c r="S9" s="358"/>
      <c r="T9" s="359"/>
    </row>
    <row r="10" spans="1:20" ht="41.25" customHeight="1" x14ac:dyDescent="0.35">
      <c r="A10" s="360"/>
      <c r="B10" s="360"/>
      <c r="C10" s="360"/>
      <c r="D10" s="165" t="s">
        <v>74</v>
      </c>
      <c r="E10" s="165" t="s">
        <v>292</v>
      </c>
      <c r="F10" s="360"/>
      <c r="G10" s="360"/>
      <c r="H10" s="360"/>
      <c r="I10" s="360"/>
      <c r="J10" s="360"/>
      <c r="K10" s="360"/>
      <c r="L10" s="360"/>
      <c r="M10" s="360"/>
      <c r="N10" s="360"/>
      <c r="O10" s="360"/>
      <c r="P10" s="360"/>
      <c r="Q10" s="360"/>
      <c r="R10" s="166" t="s">
        <v>290</v>
      </c>
      <c r="S10" s="165" t="s">
        <v>74</v>
      </c>
      <c r="T10" s="165" t="s">
        <v>292</v>
      </c>
    </row>
    <row r="11" spans="1:20" s="275" customFormat="1" ht="24.75" customHeight="1" x14ac:dyDescent="0.35">
      <c r="A11" s="167"/>
      <c r="B11" s="167" t="s">
        <v>6</v>
      </c>
      <c r="C11" s="168">
        <f>C12+C26</f>
        <v>4614059259</v>
      </c>
      <c r="D11" s="168">
        <f t="shared" ref="D11:T11" si="0">D12+D26</f>
        <v>2101944000</v>
      </c>
      <c r="E11" s="168">
        <f t="shared" si="0"/>
        <v>2512115259</v>
      </c>
      <c r="F11" s="168">
        <f t="shared" si="0"/>
        <v>2097877259</v>
      </c>
      <c r="G11" s="168">
        <f t="shared" si="0"/>
        <v>122971000</v>
      </c>
      <c r="H11" s="168">
        <f t="shared" si="0"/>
        <v>553500000</v>
      </c>
      <c r="I11" s="168">
        <f t="shared" si="0"/>
        <v>55721002</v>
      </c>
      <c r="J11" s="168">
        <f t="shared" si="0"/>
        <v>249997307</v>
      </c>
      <c r="K11" s="168">
        <f t="shared" si="0"/>
        <v>680796000</v>
      </c>
      <c r="L11" s="168">
        <f t="shared" si="0"/>
        <v>61580000</v>
      </c>
      <c r="M11" s="168">
        <f t="shared" si="0"/>
        <v>17000000</v>
      </c>
      <c r="N11" s="168">
        <f t="shared" si="0"/>
        <v>268866000</v>
      </c>
      <c r="O11" s="168">
        <f t="shared" si="0"/>
        <v>31000000</v>
      </c>
      <c r="P11" s="168">
        <f t="shared" si="0"/>
        <v>19073260</v>
      </c>
      <c r="Q11" s="168">
        <f t="shared" si="0"/>
        <v>37372690</v>
      </c>
      <c r="R11" s="168">
        <f t="shared" si="0"/>
        <v>2516182000</v>
      </c>
      <c r="S11" s="168">
        <f t="shared" si="0"/>
        <v>2101944000</v>
      </c>
      <c r="T11" s="168">
        <f t="shared" si="0"/>
        <v>414238000</v>
      </c>
    </row>
    <row r="12" spans="1:20" s="275" customFormat="1" ht="22.5" customHeight="1" x14ac:dyDescent="0.35">
      <c r="A12" s="169" t="s">
        <v>1</v>
      </c>
      <c r="B12" s="170" t="s">
        <v>293</v>
      </c>
      <c r="C12" s="171">
        <f>SUM(C13:C25)</f>
        <v>731580000</v>
      </c>
      <c r="D12" s="171">
        <f t="shared" ref="D12:T12" si="1">SUM(D13:D25)</f>
        <v>0</v>
      </c>
      <c r="E12" s="171">
        <f t="shared" si="1"/>
        <v>731580000</v>
      </c>
      <c r="F12" s="171">
        <f t="shared" si="1"/>
        <v>731580000</v>
      </c>
      <c r="G12" s="171">
        <f t="shared" si="1"/>
        <v>0</v>
      </c>
      <c r="H12" s="171">
        <f t="shared" si="1"/>
        <v>552000000</v>
      </c>
      <c r="I12" s="171">
        <f t="shared" si="1"/>
        <v>0</v>
      </c>
      <c r="J12" s="171">
        <f t="shared" si="1"/>
        <v>34000000</v>
      </c>
      <c r="K12" s="171">
        <f t="shared" si="1"/>
        <v>30000000</v>
      </c>
      <c r="L12" s="171">
        <f t="shared" si="1"/>
        <v>45580000</v>
      </c>
      <c r="M12" s="171">
        <f t="shared" si="1"/>
        <v>17000000</v>
      </c>
      <c r="N12" s="171">
        <f t="shared" si="1"/>
        <v>33000000</v>
      </c>
      <c r="O12" s="171">
        <f t="shared" si="1"/>
        <v>0</v>
      </c>
      <c r="P12" s="171">
        <f t="shared" si="1"/>
        <v>0</v>
      </c>
      <c r="Q12" s="171">
        <f t="shared" si="1"/>
        <v>20000000</v>
      </c>
      <c r="R12" s="171">
        <f t="shared" si="1"/>
        <v>0</v>
      </c>
      <c r="S12" s="171">
        <f t="shared" si="1"/>
        <v>0</v>
      </c>
      <c r="T12" s="171">
        <f t="shared" si="1"/>
        <v>0</v>
      </c>
    </row>
    <row r="13" spans="1:20" ht="22.5" customHeight="1" x14ac:dyDescent="0.35">
      <c r="A13" s="172">
        <v>1</v>
      </c>
      <c r="B13" s="173" t="s">
        <v>56</v>
      </c>
      <c r="C13" s="174">
        <f>SUM(D13:E13)</f>
        <v>10000000</v>
      </c>
      <c r="D13" s="174">
        <f>S13</f>
        <v>0</v>
      </c>
      <c r="E13" s="174">
        <f>F13+T13</f>
        <v>10000000</v>
      </c>
      <c r="F13" s="174">
        <f>SUM(G13:Q13)</f>
        <v>10000000</v>
      </c>
      <c r="G13" s="174"/>
      <c r="H13" s="174"/>
      <c r="I13" s="174"/>
      <c r="J13" s="174"/>
      <c r="K13" s="174"/>
      <c r="L13" s="174"/>
      <c r="M13" s="174"/>
      <c r="N13" s="174"/>
      <c r="O13" s="174"/>
      <c r="P13" s="174"/>
      <c r="Q13" s="174">
        <f>'B1.1-DTTS-Pbổ lại NSĐP'!J145</f>
        <v>10000000</v>
      </c>
      <c r="R13" s="174">
        <f>SUM(S13:T13)</f>
        <v>0</v>
      </c>
      <c r="S13" s="174"/>
      <c r="T13" s="174"/>
    </row>
    <row r="14" spans="1:20" ht="22.5" customHeight="1" x14ac:dyDescent="0.35">
      <c r="A14" s="172">
        <v>2</v>
      </c>
      <c r="B14" s="173" t="s">
        <v>394</v>
      </c>
      <c r="C14" s="174">
        <f t="shared" ref="C14:C34" si="2">SUM(D14:E14)</f>
        <v>33000000</v>
      </c>
      <c r="D14" s="174">
        <f t="shared" ref="D14:D34" si="3">S14</f>
        <v>0</v>
      </c>
      <c r="E14" s="174">
        <f t="shared" ref="E14:E34" si="4">F14+T14</f>
        <v>33000000</v>
      </c>
      <c r="F14" s="174">
        <f t="shared" ref="F14:F34" si="5">SUM(G14:Q14)</f>
        <v>33000000</v>
      </c>
      <c r="G14" s="174"/>
      <c r="H14" s="174"/>
      <c r="I14" s="174"/>
      <c r="J14" s="174"/>
      <c r="K14" s="174"/>
      <c r="L14" s="174"/>
      <c r="M14" s="174"/>
      <c r="N14" s="174">
        <f>'B1.1-DTTS-Pbổ lại NSĐP'!J101</f>
        <v>33000000</v>
      </c>
      <c r="O14" s="174"/>
      <c r="P14" s="174"/>
      <c r="Q14" s="174"/>
      <c r="R14" s="174">
        <f t="shared" ref="R14:R34" si="6">SUM(S14:T14)</f>
        <v>0</v>
      </c>
      <c r="S14" s="174"/>
      <c r="T14" s="174"/>
    </row>
    <row r="15" spans="1:20" ht="22.5" customHeight="1" x14ac:dyDescent="0.35">
      <c r="A15" s="172">
        <v>3</v>
      </c>
      <c r="B15" s="173" t="s">
        <v>393</v>
      </c>
      <c r="C15" s="174">
        <f t="shared" si="2"/>
        <v>553000000</v>
      </c>
      <c r="D15" s="174">
        <f t="shared" si="3"/>
        <v>0</v>
      </c>
      <c r="E15" s="174">
        <f t="shared" si="4"/>
        <v>553000000</v>
      </c>
      <c r="F15" s="174">
        <f t="shared" si="5"/>
        <v>553000000</v>
      </c>
      <c r="G15" s="174"/>
      <c r="H15" s="174">
        <f>'B1.1-DTTS-Pbổ lại NSĐP'!J30</f>
        <v>552000000</v>
      </c>
      <c r="I15" s="174"/>
      <c r="J15" s="174"/>
      <c r="K15" s="174"/>
      <c r="L15" s="174"/>
      <c r="M15" s="174"/>
      <c r="N15" s="174"/>
      <c r="O15" s="174"/>
      <c r="P15" s="174"/>
      <c r="Q15" s="174">
        <f>'B1.1-DTTS-Pbổ lại NSĐP'!J158</f>
        <v>1000000</v>
      </c>
      <c r="R15" s="174">
        <f t="shared" si="6"/>
        <v>0</v>
      </c>
      <c r="S15" s="174"/>
      <c r="T15" s="174"/>
    </row>
    <row r="16" spans="1:20" ht="22.5" customHeight="1" x14ac:dyDescent="0.35">
      <c r="A16" s="172">
        <v>4</v>
      </c>
      <c r="B16" s="173" t="s">
        <v>37</v>
      </c>
      <c r="C16" s="174">
        <f t="shared" si="2"/>
        <v>35000000</v>
      </c>
      <c r="D16" s="174">
        <f t="shared" si="3"/>
        <v>0</v>
      </c>
      <c r="E16" s="174">
        <f t="shared" si="4"/>
        <v>35000000</v>
      </c>
      <c r="F16" s="174">
        <f t="shared" si="5"/>
        <v>35000000</v>
      </c>
      <c r="G16" s="174"/>
      <c r="H16" s="174"/>
      <c r="I16" s="174"/>
      <c r="J16" s="174">
        <f>'B1.1-DTTS-Pbổ lại NSĐP'!J50</f>
        <v>34000000</v>
      </c>
      <c r="K16" s="174"/>
      <c r="L16" s="174"/>
      <c r="M16" s="174"/>
      <c r="N16" s="174"/>
      <c r="O16" s="174"/>
      <c r="P16" s="174"/>
      <c r="Q16" s="174">
        <f>'B1.1-DTTS-Pbổ lại NSĐP'!J154</f>
        <v>1000000</v>
      </c>
      <c r="R16" s="174">
        <f t="shared" si="6"/>
        <v>0</v>
      </c>
      <c r="S16" s="174"/>
      <c r="T16" s="174"/>
    </row>
    <row r="17" spans="1:20" ht="22.5" customHeight="1" x14ac:dyDescent="0.35">
      <c r="A17" s="172">
        <v>5</v>
      </c>
      <c r="B17" s="173" t="s">
        <v>41</v>
      </c>
      <c r="C17" s="174">
        <f t="shared" si="2"/>
        <v>18000000</v>
      </c>
      <c r="D17" s="174">
        <f t="shared" si="3"/>
        <v>0</v>
      </c>
      <c r="E17" s="174">
        <f t="shared" si="4"/>
        <v>18000000</v>
      </c>
      <c r="F17" s="174">
        <f t="shared" si="5"/>
        <v>18000000</v>
      </c>
      <c r="G17" s="174"/>
      <c r="H17" s="174"/>
      <c r="I17" s="174"/>
      <c r="J17" s="174"/>
      <c r="K17" s="174"/>
      <c r="L17" s="174"/>
      <c r="M17" s="174">
        <f>'B1.1-DTTS-Pbổ lại NSĐP'!J91</f>
        <v>17000000</v>
      </c>
      <c r="N17" s="174"/>
      <c r="O17" s="174"/>
      <c r="P17" s="174"/>
      <c r="Q17" s="174">
        <f>'B1.1-DTTS-Pbổ lại NSĐP'!J164</f>
        <v>1000000</v>
      </c>
      <c r="R17" s="174">
        <f t="shared" si="6"/>
        <v>0</v>
      </c>
      <c r="S17" s="174"/>
      <c r="T17" s="174"/>
    </row>
    <row r="18" spans="1:20" ht="22.5" customHeight="1" x14ac:dyDescent="0.35">
      <c r="A18" s="172">
        <v>6</v>
      </c>
      <c r="B18" s="173" t="s">
        <v>392</v>
      </c>
      <c r="C18" s="174">
        <f t="shared" si="2"/>
        <v>31000000</v>
      </c>
      <c r="D18" s="174">
        <f t="shared" si="3"/>
        <v>0</v>
      </c>
      <c r="E18" s="174">
        <f t="shared" si="4"/>
        <v>31000000</v>
      </c>
      <c r="F18" s="174">
        <f t="shared" si="5"/>
        <v>31000000</v>
      </c>
      <c r="G18" s="174"/>
      <c r="H18" s="174"/>
      <c r="I18" s="174"/>
      <c r="J18" s="174"/>
      <c r="K18" s="174">
        <f>'B1.1-DTTS-Pbổ lại NSĐP'!J69</f>
        <v>30000000</v>
      </c>
      <c r="L18" s="174"/>
      <c r="M18" s="174"/>
      <c r="N18" s="174"/>
      <c r="O18" s="174"/>
      <c r="P18" s="174"/>
      <c r="Q18" s="174">
        <f>'B1.1-DTTS-Pbổ lại NSĐP'!J157</f>
        <v>1000000</v>
      </c>
      <c r="R18" s="174">
        <f t="shared" si="6"/>
        <v>0</v>
      </c>
      <c r="S18" s="174"/>
      <c r="T18" s="174"/>
    </row>
    <row r="19" spans="1:20" ht="22.5" customHeight="1" x14ac:dyDescent="0.35">
      <c r="A19" s="172">
        <v>7</v>
      </c>
      <c r="B19" s="173" t="s">
        <v>38</v>
      </c>
      <c r="C19" s="174">
        <f t="shared" si="2"/>
        <v>1000000</v>
      </c>
      <c r="D19" s="174">
        <f t="shared" si="3"/>
        <v>0</v>
      </c>
      <c r="E19" s="174">
        <f t="shared" si="4"/>
        <v>1000000</v>
      </c>
      <c r="F19" s="174">
        <f t="shared" si="5"/>
        <v>1000000</v>
      </c>
      <c r="G19" s="174"/>
      <c r="H19" s="174"/>
      <c r="I19" s="174"/>
      <c r="J19" s="174"/>
      <c r="K19" s="174"/>
      <c r="L19" s="174"/>
      <c r="M19" s="174"/>
      <c r="N19" s="174"/>
      <c r="O19" s="174"/>
      <c r="P19" s="174"/>
      <c r="Q19" s="174">
        <f>'B1.1-DTTS-Pbổ lại NSĐP'!J159</f>
        <v>1000000</v>
      </c>
      <c r="R19" s="174">
        <f t="shared" si="6"/>
        <v>0</v>
      </c>
      <c r="S19" s="174"/>
      <c r="T19" s="174"/>
    </row>
    <row r="20" spans="1:20" ht="22.5" customHeight="1" x14ac:dyDescent="0.35">
      <c r="A20" s="172">
        <v>8</v>
      </c>
      <c r="B20" s="173" t="s">
        <v>40</v>
      </c>
      <c r="C20" s="174">
        <f t="shared" si="2"/>
        <v>45580000</v>
      </c>
      <c r="D20" s="174">
        <f t="shared" si="3"/>
        <v>0</v>
      </c>
      <c r="E20" s="174">
        <f t="shared" si="4"/>
        <v>45580000</v>
      </c>
      <c r="F20" s="174">
        <f t="shared" si="5"/>
        <v>45580000</v>
      </c>
      <c r="G20" s="174"/>
      <c r="H20" s="174"/>
      <c r="I20" s="174"/>
      <c r="J20" s="174"/>
      <c r="K20" s="174"/>
      <c r="L20" s="174">
        <f>'B1.1-DTTS-Pbổ lại NSĐP'!J81</f>
        <v>45580000</v>
      </c>
      <c r="M20" s="174"/>
      <c r="N20" s="174"/>
      <c r="O20" s="174"/>
      <c r="P20" s="174"/>
      <c r="Q20" s="174"/>
      <c r="R20" s="174">
        <f t="shared" si="6"/>
        <v>0</v>
      </c>
      <c r="S20" s="174"/>
      <c r="T20" s="174"/>
    </row>
    <row r="21" spans="1:20" ht="22.5" customHeight="1" x14ac:dyDescent="0.35">
      <c r="A21" s="172">
        <v>9</v>
      </c>
      <c r="B21" s="173" t="s">
        <v>70</v>
      </c>
      <c r="C21" s="174">
        <f t="shared" si="2"/>
        <v>1000000</v>
      </c>
      <c r="D21" s="174">
        <f t="shared" si="3"/>
        <v>0</v>
      </c>
      <c r="E21" s="174">
        <f t="shared" si="4"/>
        <v>1000000</v>
      </c>
      <c r="F21" s="174">
        <f t="shared" si="5"/>
        <v>1000000</v>
      </c>
      <c r="G21" s="174"/>
      <c r="H21" s="174"/>
      <c r="I21" s="174"/>
      <c r="J21" s="174"/>
      <c r="K21" s="174"/>
      <c r="L21" s="174"/>
      <c r="M21" s="174"/>
      <c r="N21" s="174"/>
      <c r="O21" s="174"/>
      <c r="P21" s="174"/>
      <c r="Q21" s="174">
        <f>'B1.1-DTTS-Pbổ lại NSĐP'!J153</f>
        <v>1000000</v>
      </c>
      <c r="R21" s="174">
        <f t="shared" si="6"/>
        <v>0</v>
      </c>
      <c r="S21" s="174"/>
      <c r="T21" s="174"/>
    </row>
    <row r="22" spans="1:20" ht="22.5" customHeight="1" x14ac:dyDescent="0.35">
      <c r="A22" s="172">
        <v>10</v>
      </c>
      <c r="B22" s="173" t="s">
        <v>48</v>
      </c>
      <c r="C22" s="174">
        <f t="shared" si="2"/>
        <v>1000000</v>
      </c>
      <c r="D22" s="174">
        <f t="shared" si="3"/>
        <v>0</v>
      </c>
      <c r="E22" s="174">
        <f t="shared" si="4"/>
        <v>1000000</v>
      </c>
      <c r="F22" s="174">
        <f t="shared" si="5"/>
        <v>1000000</v>
      </c>
      <c r="G22" s="174"/>
      <c r="H22" s="174"/>
      <c r="I22" s="174"/>
      <c r="J22" s="174"/>
      <c r="K22" s="174"/>
      <c r="L22" s="174"/>
      <c r="M22" s="174"/>
      <c r="N22" s="174"/>
      <c r="O22" s="174"/>
      <c r="P22" s="174"/>
      <c r="Q22" s="174">
        <f>'B1.1-DTTS-Pbổ lại NSĐP'!J155</f>
        <v>1000000</v>
      </c>
      <c r="R22" s="174">
        <f t="shared" si="6"/>
        <v>0</v>
      </c>
      <c r="S22" s="174"/>
      <c r="T22" s="174"/>
    </row>
    <row r="23" spans="1:20" ht="22.5" customHeight="1" x14ac:dyDescent="0.35">
      <c r="A23" s="172">
        <v>11</v>
      </c>
      <c r="B23" s="173" t="s">
        <v>52</v>
      </c>
      <c r="C23" s="174">
        <f t="shared" si="2"/>
        <v>1000000</v>
      </c>
      <c r="D23" s="174">
        <f t="shared" si="3"/>
        <v>0</v>
      </c>
      <c r="E23" s="174">
        <f t="shared" si="4"/>
        <v>1000000</v>
      </c>
      <c r="F23" s="174">
        <f t="shared" si="5"/>
        <v>1000000</v>
      </c>
      <c r="G23" s="174"/>
      <c r="H23" s="174"/>
      <c r="I23" s="174"/>
      <c r="J23" s="174"/>
      <c r="K23" s="174"/>
      <c r="L23" s="174"/>
      <c r="M23" s="174"/>
      <c r="N23" s="174"/>
      <c r="O23" s="174"/>
      <c r="P23" s="174"/>
      <c r="Q23" s="174">
        <f>'B1.1-DTTS-Pbổ lại NSĐP'!J161</f>
        <v>1000000</v>
      </c>
      <c r="R23" s="174">
        <f t="shared" si="6"/>
        <v>0</v>
      </c>
      <c r="S23" s="174"/>
      <c r="T23" s="174"/>
    </row>
    <row r="24" spans="1:20" ht="22.5" customHeight="1" x14ac:dyDescent="0.35">
      <c r="A24" s="172">
        <v>12</v>
      </c>
      <c r="B24" s="173" t="s">
        <v>295</v>
      </c>
      <c r="C24" s="174">
        <f t="shared" si="2"/>
        <v>1000000</v>
      </c>
      <c r="D24" s="174">
        <f t="shared" si="3"/>
        <v>0</v>
      </c>
      <c r="E24" s="174">
        <f t="shared" si="4"/>
        <v>1000000</v>
      </c>
      <c r="F24" s="174">
        <f t="shared" si="5"/>
        <v>1000000</v>
      </c>
      <c r="G24" s="174"/>
      <c r="H24" s="174"/>
      <c r="I24" s="174"/>
      <c r="J24" s="174"/>
      <c r="K24" s="174"/>
      <c r="L24" s="174"/>
      <c r="M24" s="174"/>
      <c r="N24" s="174"/>
      <c r="O24" s="174"/>
      <c r="P24" s="174"/>
      <c r="Q24" s="174">
        <f>'B1.1-DTTS-Pbổ lại NSĐP'!J162</f>
        <v>1000000</v>
      </c>
      <c r="R24" s="174">
        <f t="shared" si="6"/>
        <v>0</v>
      </c>
      <c r="S24" s="174"/>
      <c r="T24" s="174"/>
    </row>
    <row r="25" spans="1:20" ht="22.5" customHeight="1" x14ac:dyDescent="0.35">
      <c r="A25" s="172">
        <v>13</v>
      </c>
      <c r="B25" s="173" t="s">
        <v>395</v>
      </c>
      <c r="C25" s="174">
        <f t="shared" si="2"/>
        <v>1000000</v>
      </c>
      <c r="D25" s="174">
        <f t="shared" si="3"/>
        <v>0</v>
      </c>
      <c r="E25" s="174">
        <f t="shared" si="4"/>
        <v>1000000</v>
      </c>
      <c r="F25" s="174">
        <f t="shared" si="5"/>
        <v>1000000</v>
      </c>
      <c r="G25" s="174"/>
      <c r="H25" s="174"/>
      <c r="I25" s="174"/>
      <c r="J25" s="174"/>
      <c r="K25" s="174"/>
      <c r="L25" s="174"/>
      <c r="M25" s="174"/>
      <c r="N25" s="174"/>
      <c r="O25" s="174"/>
      <c r="P25" s="174"/>
      <c r="Q25" s="174">
        <f>'B1.1-DTTS-Pbổ lại NSĐP'!J152</f>
        <v>1000000</v>
      </c>
      <c r="R25" s="174">
        <f t="shared" si="6"/>
        <v>0</v>
      </c>
      <c r="S25" s="174"/>
      <c r="T25" s="174"/>
    </row>
    <row r="26" spans="1:20" s="275" customFormat="1" ht="22.5" customHeight="1" x14ac:dyDescent="0.35">
      <c r="A26" s="175" t="s">
        <v>2</v>
      </c>
      <c r="B26" s="176" t="s">
        <v>294</v>
      </c>
      <c r="C26" s="202">
        <f>SUM(C27:C34)</f>
        <v>3882479259</v>
      </c>
      <c r="D26" s="202">
        <f t="shared" ref="D26:T26" si="7">SUM(D27:D34)</f>
        <v>2101944000</v>
      </c>
      <c r="E26" s="202">
        <f t="shared" si="7"/>
        <v>1780535259</v>
      </c>
      <c r="F26" s="202">
        <f t="shared" si="7"/>
        <v>1366297259</v>
      </c>
      <c r="G26" s="202">
        <f t="shared" si="7"/>
        <v>122971000</v>
      </c>
      <c r="H26" s="202">
        <f t="shared" si="7"/>
        <v>1500000</v>
      </c>
      <c r="I26" s="202">
        <f t="shared" si="7"/>
        <v>55721002</v>
      </c>
      <c r="J26" s="202">
        <f t="shared" si="7"/>
        <v>215997307</v>
      </c>
      <c r="K26" s="202">
        <f t="shared" si="7"/>
        <v>650796000</v>
      </c>
      <c r="L26" s="202">
        <f t="shared" si="7"/>
        <v>16000000</v>
      </c>
      <c r="M26" s="202">
        <f t="shared" si="7"/>
        <v>0</v>
      </c>
      <c r="N26" s="202">
        <f t="shared" si="7"/>
        <v>235866000</v>
      </c>
      <c r="O26" s="202">
        <f t="shared" si="7"/>
        <v>31000000</v>
      </c>
      <c r="P26" s="202">
        <f t="shared" si="7"/>
        <v>19073260</v>
      </c>
      <c r="Q26" s="202">
        <f t="shared" si="7"/>
        <v>17372690</v>
      </c>
      <c r="R26" s="202">
        <f t="shared" si="7"/>
        <v>2516182000</v>
      </c>
      <c r="S26" s="202">
        <f t="shared" si="7"/>
        <v>2101944000</v>
      </c>
      <c r="T26" s="202">
        <f t="shared" si="7"/>
        <v>414238000</v>
      </c>
    </row>
    <row r="27" spans="1:20" ht="22.5" customHeight="1" x14ac:dyDescent="0.35">
      <c r="A27" s="172">
        <v>1</v>
      </c>
      <c r="B27" s="177" t="s">
        <v>34</v>
      </c>
      <c r="C27" s="174">
        <f>SUM(D27:E27)</f>
        <v>1498000000</v>
      </c>
      <c r="D27" s="174">
        <f>S27</f>
        <v>1002313000</v>
      </c>
      <c r="E27" s="174">
        <f>F27+T27</f>
        <v>495687000</v>
      </c>
      <c r="F27" s="174">
        <f>SUM(G27:Q27)</f>
        <v>298000000</v>
      </c>
      <c r="G27" s="174">
        <f>'B1.1-DTTS-Pbổ lại NSĐP'!J12</f>
        <v>3000000</v>
      </c>
      <c r="H27" s="174"/>
      <c r="I27" s="174">
        <f>'B1.1-DTTS-Pbổ lại NSĐP'!J40</f>
        <v>0</v>
      </c>
      <c r="J27" s="206">
        <f>'B1.1-DTTS-Pbổ lại NSĐP'!J51</f>
        <v>52000000</v>
      </c>
      <c r="K27" s="206">
        <f>'B1.1-DTTS-Pbổ lại NSĐP'!J70</f>
        <v>147000000</v>
      </c>
      <c r="L27" s="174">
        <f>'B1.1-DTTS-Pbổ lại NSĐP'!J82</f>
        <v>8000000</v>
      </c>
      <c r="M27" s="174"/>
      <c r="N27" s="174">
        <f>'B1.1-DTTS-Pbổ lại NSĐP'!J102</f>
        <v>61000000</v>
      </c>
      <c r="O27" s="174">
        <f>'B1.1-DTTS-Pbổ lại NSĐP'!J114</f>
        <v>12000000</v>
      </c>
      <c r="P27" s="174">
        <f>'B1.1-DTTS-Pbổ lại NSĐP'!J125</f>
        <v>11000000</v>
      </c>
      <c r="Q27" s="174">
        <f>'B1.1-DTTS-Pbổ lại NSĐP'!J166</f>
        <v>4000000</v>
      </c>
      <c r="R27" s="174">
        <f>SUM(S27:T27)</f>
        <v>1200000000</v>
      </c>
      <c r="S27" s="174">
        <f>'B1.2-DTTS-Pbổ DAPTSX'!T11</f>
        <v>1002313000</v>
      </c>
      <c r="T27" s="174">
        <f>'B1.2-DTTS-Pbổ DAPTSX'!U11</f>
        <v>197687000</v>
      </c>
    </row>
    <row r="28" spans="1:20" ht="22.5" customHeight="1" x14ac:dyDescent="0.35">
      <c r="A28" s="172">
        <v>2</v>
      </c>
      <c r="B28" s="177" t="s">
        <v>31</v>
      </c>
      <c r="C28" s="174">
        <f>SUM(D28:E28)</f>
        <v>155583915</v>
      </c>
      <c r="D28" s="174">
        <f>S28</f>
        <v>0</v>
      </c>
      <c r="E28" s="174">
        <f>F28+T28</f>
        <v>155583915</v>
      </c>
      <c r="F28" s="174">
        <f>SUM(G28:Q28)</f>
        <v>155583915</v>
      </c>
      <c r="G28" s="174">
        <f>'B1.1-DTTS-Pbổ lại NSĐP'!J13</f>
        <v>1200000</v>
      </c>
      <c r="H28" s="174"/>
      <c r="I28" s="174">
        <f>'B1.1-DTTS-Pbổ lại NSĐP'!J41</f>
        <v>7383915</v>
      </c>
      <c r="J28" s="206">
        <f>'B1.1-DTTS-Pbổ lại NSĐP'!J52</f>
        <v>0</v>
      </c>
      <c r="K28" s="206">
        <f>'B1.1-DTTS-Pbổ lại NSĐP'!J71</f>
        <v>147000000</v>
      </c>
      <c r="L28" s="174">
        <f>'B1.1-DTTS-Pbổ lại NSĐP'!J83</f>
        <v>0</v>
      </c>
      <c r="M28" s="174"/>
      <c r="N28" s="174">
        <f>'B1.1-DTTS-Pbổ lại NSĐP'!J103</f>
        <v>0</v>
      </c>
      <c r="O28" s="174">
        <f>'B1.1-DTTS-Pbổ lại NSĐP'!J115</f>
        <v>0</v>
      </c>
      <c r="P28" s="174">
        <f>'B1.1-DTTS-Pbổ lại NSĐP'!J126</f>
        <v>0</v>
      </c>
      <c r="Q28" s="174">
        <f>'B1.1-DTTS-Pbổ lại NSĐP'!J167</f>
        <v>0</v>
      </c>
      <c r="R28" s="174">
        <f>SUM(S28:T28)</f>
        <v>0</v>
      </c>
      <c r="S28" s="174"/>
      <c r="T28" s="174"/>
    </row>
    <row r="29" spans="1:20" ht="22.5" customHeight="1" x14ac:dyDescent="0.35">
      <c r="A29" s="172">
        <v>3</v>
      </c>
      <c r="B29" s="177" t="s">
        <v>29</v>
      </c>
      <c r="C29" s="174">
        <f>SUM(D29:E29)</f>
        <v>1606706867</v>
      </c>
      <c r="D29" s="174">
        <f>S29</f>
        <v>1099631000</v>
      </c>
      <c r="E29" s="174">
        <f>F29+T29</f>
        <v>507075867</v>
      </c>
      <c r="F29" s="174">
        <f>SUM(G29:Q29)</f>
        <v>290524867</v>
      </c>
      <c r="G29" s="174">
        <f>'B1.1-DTTS-Pbổ lại NSĐP'!J14</f>
        <v>21171000</v>
      </c>
      <c r="H29" s="174"/>
      <c r="I29" s="174">
        <f>'B1.1-DTTS-Pbổ lại NSĐP'!J42</f>
        <v>0</v>
      </c>
      <c r="J29" s="206">
        <f>'B1.1-DTTS-Pbổ lại NSĐP'!J53</f>
        <v>39997307</v>
      </c>
      <c r="K29" s="206">
        <f>'B1.1-DTTS-Pbổ lại NSĐP'!J72</f>
        <v>144750000</v>
      </c>
      <c r="L29" s="174">
        <f>'B1.1-DTTS-Pbổ lại NSĐP'!J84</f>
        <v>0</v>
      </c>
      <c r="M29" s="174"/>
      <c r="N29" s="174">
        <f>'B1.1-DTTS-Pbổ lại NSĐP'!J104</f>
        <v>60000000</v>
      </c>
      <c r="O29" s="174">
        <f>'B1.1-DTTS-Pbổ lại NSĐP'!J116</f>
        <v>13000000</v>
      </c>
      <c r="P29" s="174">
        <f>'B1.1-DTTS-Pbổ lại NSĐP'!J127</f>
        <v>7606560</v>
      </c>
      <c r="Q29" s="174">
        <f>'B1.1-DTTS-Pbổ lại NSĐP'!J168</f>
        <v>4000000</v>
      </c>
      <c r="R29" s="174">
        <f>SUM(S29:T29)</f>
        <v>1316182000</v>
      </c>
      <c r="S29" s="174">
        <f>'B1.2-DTTS-Pbổ DAPTSX'!T13</f>
        <v>1099631000</v>
      </c>
      <c r="T29" s="174">
        <f>'B1.2-DTTS-Pbổ DAPTSX'!U13</f>
        <v>216551000</v>
      </c>
    </row>
    <row r="30" spans="1:20" ht="22.5" customHeight="1" x14ac:dyDescent="0.35">
      <c r="A30" s="172">
        <v>4</v>
      </c>
      <c r="B30" s="177" t="s">
        <v>28</v>
      </c>
      <c r="C30" s="174">
        <f t="shared" si="2"/>
        <v>101849835</v>
      </c>
      <c r="D30" s="174">
        <f t="shared" si="3"/>
        <v>0</v>
      </c>
      <c r="E30" s="174">
        <f t="shared" si="4"/>
        <v>101849835</v>
      </c>
      <c r="F30" s="174">
        <f t="shared" si="5"/>
        <v>101849835</v>
      </c>
      <c r="G30" s="174">
        <f>'B1.1-DTTS-Pbổ lại NSĐP'!J15</f>
        <v>22000000</v>
      </c>
      <c r="H30" s="174"/>
      <c r="I30" s="174">
        <f>'B1.1-DTTS-Pbổ lại NSĐP'!J43</f>
        <v>10294835</v>
      </c>
      <c r="J30" s="206">
        <f>'B1.1-DTTS-Pbổ lại NSĐP'!J54</f>
        <v>15000000</v>
      </c>
      <c r="K30" s="206">
        <f>'B1.1-DTTS-Pbổ lại NSĐP'!J73</f>
        <v>0</v>
      </c>
      <c r="L30" s="174">
        <f>'B1.1-DTTS-Pbổ lại NSĐP'!J85</f>
        <v>7000000</v>
      </c>
      <c r="M30" s="174"/>
      <c r="N30" s="174">
        <f>'B1.1-DTTS-Pbổ lại NSĐP'!J105</f>
        <v>43555000</v>
      </c>
      <c r="O30" s="174">
        <f>'B1.1-DTTS-Pbổ lại NSĐP'!J117</f>
        <v>0</v>
      </c>
      <c r="P30" s="174">
        <f>'B1.1-DTTS-Pbổ lại NSĐP'!J128</f>
        <v>0</v>
      </c>
      <c r="Q30" s="174">
        <f>'B1.1-DTTS-Pbổ lại NSĐP'!J169</f>
        <v>4000000</v>
      </c>
      <c r="R30" s="174">
        <f t="shared" si="6"/>
        <v>0</v>
      </c>
      <c r="S30" s="174"/>
      <c r="T30" s="174"/>
    </row>
    <row r="31" spans="1:20" ht="22.5" customHeight="1" x14ac:dyDescent="0.35">
      <c r="A31" s="172">
        <v>5</v>
      </c>
      <c r="B31" s="177" t="s">
        <v>32</v>
      </c>
      <c r="C31" s="174">
        <f>SUM(D31:E31)</f>
        <v>218599252</v>
      </c>
      <c r="D31" s="174">
        <f>S31</f>
        <v>0</v>
      </c>
      <c r="E31" s="174">
        <f>F31+T31</f>
        <v>218599252</v>
      </c>
      <c r="F31" s="174">
        <f>SUM(G31:Q31)</f>
        <v>218599252</v>
      </c>
      <c r="G31" s="174">
        <f>'B1.1-DTTS-Pbổ lại NSĐP'!J16</f>
        <v>20100000</v>
      </c>
      <c r="H31" s="174">
        <f>'B1.1-DTTS-Pbổ lại NSĐP'!J35</f>
        <v>1500000</v>
      </c>
      <c r="I31" s="174">
        <f>'B1.1-DTTS-Pbổ lại NSĐP'!J44</f>
        <v>37042252</v>
      </c>
      <c r="J31" s="206">
        <f>'B1.1-DTTS-Pbổ lại NSĐP'!J55</f>
        <v>45000000</v>
      </c>
      <c r="K31" s="206">
        <f>'B1.1-DTTS-Pbổ lại NSĐP'!J74</f>
        <v>65046000</v>
      </c>
      <c r="L31" s="174">
        <f>'B1.1-DTTS-Pbổ lại NSĐP'!J86</f>
        <v>0</v>
      </c>
      <c r="M31" s="174"/>
      <c r="N31" s="174">
        <f>'B1.1-DTTS-Pbổ lại NSĐP'!J106</f>
        <v>41311000</v>
      </c>
      <c r="O31" s="174">
        <f>'B1.1-DTTS-Pbổ lại NSĐP'!J118</f>
        <v>6000000</v>
      </c>
      <c r="P31" s="174">
        <f>'B1.1-DTTS-Pbổ lại NSĐP'!J129</f>
        <v>0</v>
      </c>
      <c r="Q31" s="174">
        <f>'B1.1-DTTS-Pbổ lại NSĐP'!J170</f>
        <v>2600000</v>
      </c>
      <c r="R31" s="174">
        <f>SUM(S31:T31)</f>
        <v>0</v>
      </c>
      <c r="S31" s="174"/>
      <c r="T31" s="174"/>
    </row>
    <row r="32" spans="1:20" ht="22.5" customHeight="1" x14ac:dyDescent="0.35">
      <c r="A32" s="172">
        <v>6</v>
      </c>
      <c r="B32" s="177" t="s">
        <v>30</v>
      </c>
      <c r="C32" s="174">
        <f t="shared" si="2"/>
        <v>65078700</v>
      </c>
      <c r="D32" s="174">
        <f t="shared" si="3"/>
        <v>0</v>
      </c>
      <c r="E32" s="174">
        <f t="shared" si="4"/>
        <v>65078700</v>
      </c>
      <c r="F32" s="174">
        <f t="shared" si="5"/>
        <v>65078700</v>
      </c>
      <c r="G32" s="174">
        <f>'B1.1-DTTS-Pbổ lại NSĐP'!J17</f>
        <v>0</v>
      </c>
      <c r="H32" s="174"/>
      <c r="I32" s="174">
        <f>'B1.1-DTTS-Pbổ lại NSĐP'!J45</f>
        <v>0</v>
      </c>
      <c r="J32" s="206">
        <f>'B1.1-DTTS-Pbổ lại NSĐP'!J56</f>
        <v>64000000</v>
      </c>
      <c r="K32" s="206">
        <f>'B1.1-DTTS-Pbổ lại NSĐP'!J75</f>
        <v>0</v>
      </c>
      <c r="L32" s="174">
        <f>'B1.1-DTTS-Pbổ lại NSĐP'!J87</f>
        <v>0</v>
      </c>
      <c r="M32" s="174"/>
      <c r="N32" s="174">
        <f>'B1.1-DTTS-Pbổ lại NSĐP'!J107</f>
        <v>0</v>
      </c>
      <c r="O32" s="174">
        <f>'B1.1-DTTS-Pbổ lại NSĐP'!J119</f>
        <v>0</v>
      </c>
      <c r="P32" s="174">
        <f>'B1.1-DTTS-Pbổ lại NSĐP'!J130</f>
        <v>466700</v>
      </c>
      <c r="Q32" s="174">
        <f>'B1.1-DTTS-Pbổ lại NSĐP'!J171</f>
        <v>612000</v>
      </c>
      <c r="R32" s="174">
        <f t="shared" si="6"/>
        <v>0</v>
      </c>
      <c r="S32" s="174"/>
      <c r="T32" s="174"/>
    </row>
    <row r="33" spans="1:20" ht="22.5" customHeight="1" x14ac:dyDescent="0.35">
      <c r="A33" s="172">
        <v>7</v>
      </c>
      <c r="B33" s="177" t="s">
        <v>33</v>
      </c>
      <c r="C33" s="174">
        <f t="shared" si="2"/>
        <v>233660690</v>
      </c>
      <c r="D33" s="174">
        <f t="shared" si="3"/>
        <v>0</v>
      </c>
      <c r="E33" s="174">
        <f t="shared" si="4"/>
        <v>233660690</v>
      </c>
      <c r="F33" s="174">
        <f t="shared" si="5"/>
        <v>233660690</v>
      </c>
      <c r="G33" s="174">
        <f>'B1.1-DTTS-Pbổ lại NSĐP'!J18</f>
        <v>55500000</v>
      </c>
      <c r="H33" s="174"/>
      <c r="I33" s="174">
        <f>'B1.1-DTTS-Pbổ lại NSĐP'!J46</f>
        <v>0</v>
      </c>
      <c r="J33" s="206">
        <f>'B1.1-DTTS-Pbổ lại NSĐP'!J57</f>
        <v>0</v>
      </c>
      <c r="K33" s="206">
        <f>'B1.1-DTTS-Pbổ lại NSĐP'!J76</f>
        <v>147000000</v>
      </c>
      <c r="L33" s="174">
        <f>'B1.1-DTTS-Pbổ lại NSĐP'!J88</f>
        <v>0</v>
      </c>
      <c r="M33" s="174"/>
      <c r="N33" s="174">
        <f>'B1.1-DTTS-Pbổ lại NSĐP'!J108</f>
        <v>30000000</v>
      </c>
      <c r="O33" s="174">
        <f>'B1.1-DTTS-Pbổ lại NSĐP'!J120</f>
        <v>0</v>
      </c>
      <c r="P33" s="174">
        <f>'B1.1-DTTS-Pbổ lại NSĐP'!J131</f>
        <v>0</v>
      </c>
      <c r="Q33" s="174">
        <f>'B1.1-DTTS-Pbổ lại NSĐP'!J172</f>
        <v>1160690</v>
      </c>
      <c r="R33" s="174">
        <f t="shared" si="6"/>
        <v>0</v>
      </c>
      <c r="S33" s="174"/>
      <c r="T33" s="174"/>
    </row>
    <row r="34" spans="1:20" ht="27" customHeight="1" x14ac:dyDescent="0.35">
      <c r="A34" s="178">
        <v>8</v>
      </c>
      <c r="B34" s="179" t="s">
        <v>35</v>
      </c>
      <c r="C34" s="180">
        <f t="shared" si="2"/>
        <v>3000000</v>
      </c>
      <c r="D34" s="180">
        <f t="shared" si="3"/>
        <v>0</v>
      </c>
      <c r="E34" s="180">
        <f t="shared" si="4"/>
        <v>3000000</v>
      </c>
      <c r="F34" s="180">
        <f t="shared" si="5"/>
        <v>3000000</v>
      </c>
      <c r="G34" s="180">
        <f>'B1.1-DTTS-Pbổ lại NSĐP'!J19</f>
        <v>0</v>
      </c>
      <c r="H34" s="180"/>
      <c r="I34" s="180">
        <f>'B1.1-DTTS-Pbổ lại NSĐP'!J47</f>
        <v>1000000</v>
      </c>
      <c r="J34" s="207"/>
      <c r="K34" s="207">
        <f>'B1.1-DTTS-Pbổ lại NSĐP'!J77</f>
        <v>0</v>
      </c>
      <c r="L34" s="180">
        <f>'B1.1-DTTS-Pbổ lại NSĐP'!J89</f>
        <v>1000000</v>
      </c>
      <c r="M34" s="180"/>
      <c r="N34" s="180">
        <f>'B1.1-DTTS-Pbổ lại NSĐP'!J109</f>
        <v>0</v>
      </c>
      <c r="O34" s="180">
        <f>'B1.1-DTTS-Pbổ lại NSĐP'!J121</f>
        <v>0</v>
      </c>
      <c r="P34" s="180">
        <f>'B1.1-DTTS-Pbổ lại NSĐP'!J132</f>
        <v>0</v>
      </c>
      <c r="Q34" s="180">
        <f>'B1.1-DTTS-Pbổ lại NSĐP'!J173</f>
        <v>1000000</v>
      </c>
      <c r="R34" s="180">
        <f t="shared" si="6"/>
        <v>0</v>
      </c>
      <c r="S34" s="180"/>
      <c r="T34" s="180"/>
    </row>
    <row r="36" spans="1:20" x14ac:dyDescent="0.35">
      <c r="O36" s="276"/>
      <c r="P36" s="276"/>
      <c r="Q36" s="276"/>
    </row>
    <row r="37" spans="1:20" x14ac:dyDescent="0.35">
      <c r="A37" s="196"/>
      <c r="O37" s="276"/>
      <c r="P37" s="276"/>
      <c r="Q37" s="276"/>
    </row>
    <row r="38" spans="1:20" x14ac:dyDescent="0.35">
      <c r="A38" s="196"/>
      <c r="O38" s="276"/>
      <c r="P38" s="276"/>
      <c r="Q38" s="276"/>
    </row>
    <row r="39" spans="1:20" x14ac:dyDescent="0.35">
      <c r="A39" s="196"/>
      <c r="O39" s="276"/>
      <c r="P39" s="276"/>
      <c r="Q39" s="276"/>
    </row>
    <row r="40" spans="1:20" x14ac:dyDescent="0.35">
      <c r="A40" s="196"/>
      <c r="O40" s="276"/>
      <c r="P40" s="276"/>
      <c r="Q40" s="276"/>
    </row>
  </sheetData>
  <mergeCells count="27">
    <mergeCell ref="G8:Q8"/>
    <mergeCell ref="G9:G10"/>
    <mergeCell ref="H9:H10"/>
    <mergeCell ref="I9:I10"/>
    <mergeCell ref="J9:J10"/>
    <mergeCell ref="K9:K10"/>
    <mergeCell ref="L9:L10"/>
    <mergeCell ref="M9:M10"/>
    <mergeCell ref="N9:N10"/>
    <mergeCell ref="O9:O10"/>
    <mergeCell ref="P9:P10"/>
    <mergeCell ref="R1:T2"/>
    <mergeCell ref="A3:T3"/>
    <mergeCell ref="A4:T4"/>
    <mergeCell ref="R5:T5"/>
    <mergeCell ref="R9:T9"/>
    <mergeCell ref="C9:C10"/>
    <mergeCell ref="D9:E9"/>
    <mergeCell ref="Q9:Q10"/>
    <mergeCell ref="R8:T8"/>
    <mergeCell ref="F6:T6"/>
    <mergeCell ref="R7:T7"/>
    <mergeCell ref="A6:A10"/>
    <mergeCell ref="B6:B10"/>
    <mergeCell ref="C6:E8"/>
    <mergeCell ref="F7:Q7"/>
    <mergeCell ref="F8:F10"/>
  </mergeCells>
  <pageMargins left="0.48" right="0.26" top="0.46" bottom="0.16" header="0.3" footer="0.13"/>
  <pageSetup paperSize="9" scale="47" firstPageNumber="6" pageOrder="overThenDown" orientation="landscape" useFirstPageNumber="1" r:id="rId1"/>
  <headerFooter>
    <oddHeader>&amp;C6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73"/>
  <sheetViews>
    <sheetView topLeftCell="C1" zoomScale="70" zoomScaleNormal="70" workbookViewId="0">
      <selection activeCell="J9" sqref="J9"/>
    </sheetView>
  </sheetViews>
  <sheetFormatPr defaultColWidth="9" defaultRowHeight="15.5" x14ac:dyDescent="0.35"/>
  <cols>
    <col min="1" max="2" width="0" style="127" hidden="1" customWidth="1"/>
    <col min="3" max="3" width="6.58203125" style="127" customWidth="1"/>
    <col min="4" max="4" width="57.75" style="255" customWidth="1"/>
    <col min="5" max="7" width="15.5" style="127" customWidth="1"/>
    <col min="8" max="8" width="14.58203125" style="127" customWidth="1"/>
    <col min="9" max="9" width="16.08203125" style="127" customWidth="1"/>
    <col min="10" max="10" width="13.83203125" style="127" customWidth="1"/>
    <col min="11" max="11" width="40.08203125" style="127" customWidth="1"/>
    <col min="12" max="14" width="14.33203125" style="127" customWidth="1"/>
    <col min="15" max="16384" width="9" style="127"/>
  </cols>
  <sheetData>
    <row r="1" spans="1:14" ht="21" customHeight="1" x14ac:dyDescent="0.35">
      <c r="I1" s="126"/>
      <c r="J1" s="126"/>
      <c r="K1" s="128" t="s">
        <v>342</v>
      </c>
    </row>
    <row r="2" spans="1:14" ht="43.5" customHeight="1" x14ac:dyDescent="0.35">
      <c r="C2" s="366" t="s">
        <v>199</v>
      </c>
      <c r="D2" s="366"/>
      <c r="E2" s="366"/>
      <c r="F2" s="366"/>
      <c r="G2" s="366"/>
      <c r="H2" s="366"/>
      <c r="I2" s="366"/>
      <c r="J2" s="366"/>
      <c r="K2" s="366"/>
    </row>
    <row r="3" spans="1:14" ht="18" customHeight="1" x14ac:dyDescent="0.35">
      <c r="C3" s="355" t="s">
        <v>341</v>
      </c>
      <c r="D3" s="367"/>
      <c r="E3" s="367"/>
      <c r="F3" s="367"/>
      <c r="G3" s="367"/>
      <c r="H3" s="367"/>
      <c r="I3" s="367"/>
      <c r="J3" s="367"/>
      <c r="K3" s="367"/>
    </row>
    <row r="4" spans="1:14" ht="18.75" customHeight="1" x14ac:dyDescent="0.35">
      <c r="I4" s="256"/>
      <c r="J4" s="256"/>
      <c r="K4" s="257" t="s">
        <v>151</v>
      </c>
    </row>
    <row r="5" spans="1:14" ht="41.25" customHeight="1" x14ac:dyDescent="0.35">
      <c r="C5" s="362" t="s">
        <v>0</v>
      </c>
      <c r="D5" s="362" t="s">
        <v>3</v>
      </c>
      <c r="E5" s="362" t="s">
        <v>219</v>
      </c>
      <c r="F5" s="362" t="s">
        <v>146</v>
      </c>
      <c r="G5" s="362"/>
      <c r="H5" s="362"/>
      <c r="I5" s="369" t="s">
        <v>335</v>
      </c>
      <c r="J5" s="362" t="s">
        <v>152</v>
      </c>
      <c r="K5" s="362" t="s">
        <v>197</v>
      </c>
    </row>
    <row r="6" spans="1:14" ht="27.75" customHeight="1" x14ac:dyDescent="0.35">
      <c r="C6" s="362"/>
      <c r="D6" s="362"/>
      <c r="E6" s="362"/>
      <c r="F6" s="362" t="s">
        <v>147</v>
      </c>
      <c r="G6" s="362" t="s">
        <v>73</v>
      </c>
      <c r="H6" s="362"/>
      <c r="I6" s="369"/>
      <c r="J6" s="362"/>
      <c r="K6" s="362"/>
    </row>
    <row r="7" spans="1:14" ht="93.75" customHeight="1" x14ac:dyDescent="0.35">
      <c r="C7" s="362"/>
      <c r="D7" s="362"/>
      <c r="E7" s="362"/>
      <c r="F7" s="362"/>
      <c r="G7" s="102" t="s">
        <v>74</v>
      </c>
      <c r="H7" s="102" t="s">
        <v>148</v>
      </c>
      <c r="I7" s="369"/>
      <c r="J7" s="362"/>
      <c r="K7" s="362"/>
    </row>
    <row r="8" spans="1:14" s="134" customFormat="1" ht="18.75" customHeight="1" x14ac:dyDescent="0.35">
      <c r="C8" s="133" t="s">
        <v>4</v>
      </c>
      <c r="D8" s="133" t="s">
        <v>5</v>
      </c>
      <c r="E8" s="133">
        <v>1</v>
      </c>
      <c r="F8" s="133" t="s">
        <v>149</v>
      </c>
      <c r="G8" s="133">
        <v>3</v>
      </c>
      <c r="H8" s="133">
        <v>4</v>
      </c>
      <c r="I8" s="133">
        <v>5</v>
      </c>
      <c r="J8" s="133" t="s">
        <v>150</v>
      </c>
      <c r="K8" s="133">
        <v>7</v>
      </c>
    </row>
    <row r="9" spans="1:14" ht="27.75" customHeight="1" x14ac:dyDescent="0.35">
      <c r="C9" s="368" t="s">
        <v>6</v>
      </c>
      <c r="D9" s="368"/>
      <c r="E9" s="135">
        <f t="shared" ref="E9:J9" si="0">E10+E20+E38+E48+E80+E90+E100+E110+E122</f>
        <v>178166000000</v>
      </c>
      <c r="F9" s="135">
        <f t="shared" si="0"/>
        <v>168381708000</v>
      </c>
      <c r="G9" s="135">
        <f t="shared" si="0"/>
        <v>160654521000</v>
      </c>
      <c r="H9" s="135">
        <f t="shared" si="0"/>
        <v>7727187000</v>
      </c>
      <c r="I9" s="135">
        <f t="shared" si="0"/>
        <v>2125877259</v>
      </c>
      <c r="J9" s="135">
        <f t="shared" si="0"/>
        <v>2097877259</v>
      </c>
      <c r="K9" s="135"/>
      <c r="L9" s="136"/>
      <c r="M9" s="258"/>
      <c r="N9" s="136"/>
    </row>
    <row r="10" spans="1:14" ht="30" x14ac:dyDescent="0.35">
      <c r="C10" s="137" t="s">
        <v>1</v>
      </c>
      <c r="D10" s="259" t="s">
        <v>7</v>
      </c>
      <c r="E10" s="144">
        <f t="shared" ref="E10:J10" si="1">E11</f>
        <v>6777000000</v>
      </c>
      <c r="F10" s="144">
        <f t="shared" si="1"/>
        <v>4656890000</v>
      </c>
      <c r="G10" s="144">
        <f t="shared" si="1"/>
        <v>4431465000</v>
      </c>
      <c r="H10" s="144">
        <f t="shared" si="1"/>
        <v>225425000</v>
      </c>
      <c r="I10" s="144">
        <f t="shared" si="1"/>
        <v>122971000</v>
      </c>
      <c r="J10" s="144">
        <f t="shared" si="1"/>
        <v>122971000</v>
      </c>
      <c r="K10" s="144"/>
      <c r="L10" s="260"/>
    </row>
    <row r="11" spans="1:14" s="131" customFormat="1" x14ac:dyDescent="0.35">
      <c r="C11" s="145"/>
      <c r="D11" s="261" t="s">
        <v>144</v>
      </c>
      <c r="E11" s="147">
        <v>6777000000</v>
      </c>
      <c r="F11" s="147">
        <f>SUM(F12:F19)</f>
        <v>4656890000</v>
      </c>
      <c r="G11" s="147">
        <f>SUM(G12:G19)</f>
        <v>4431465000</v>
      </c>
      <c r="H11" s="147">
        <f>SUM(H12:H19)</f>
        <v>225425000</v>
      </c>
      <c r="I11" s="147">
        <f>SUM(I12:I19)</f>
        <v>122971000</v>
      </c>
      <c r="J11" s="147">
        <f>SUM(J12:J19)</f>
        <v>122971000</v>
      </c>
      <c r="K11" s="147"/>
      <c r="L11" s="262"/>
    </row>
    <row r="12" spans="1:14" s="126" customFormat="1" x14ac:dyDescent="0.35">
      <c r="A12" s="127" t="s">
        <v>121</v>
      </c>
      <c r="B12" s="127" t="s">
        <v>132</v>
      </c>
      <c r="C12" s="140">
        <v>1</v>
      </c>
      <c r="D12" s="263" t="s">
        <v>34</v>
      </c>
      <c r="E12" s="143"/>
      <c r="F12" s="143">
        <f>SUM(G12:H12)</f>
        <v>584000000</v>
      </c>
      <c r="G12" s="143">
        <v>556000000</v>
      </c>
      <c r="H12" s="143">
        <v>28000000</v>
      </c>
      <c r="I12" s="143">
        <v>3000000</v>
      </c>
      <c r="J12" s="143">
        <f>I12</f>
        <v>3000000</v>
      </c>
      <c r="K12" s="143"/>
    </row>
    <row r="13" spans="1:14" x14ac:dyDescent="0.35">
      <c r="A13" s="127" t="s">
        <v>121</v>
      </c>
      <c r="B13" s="127" t="s">
        <v>129</v>
      </c>
      <c r="C13" s="140">
        <v>2</v>
      </c>
      <c r="D13" s="263" t="s">
        <v>31</v>
      </c>
      <c r="E13" s="143"/>
      <c r="F13" s="143">
        <f>SUM(G13:H13)</f>
        <v>246900000</v>
      </c>
      <c r="G13" s="143">
        <v>235502000</v>
      </c>
      <c r="H13" s="143">
        <v>11398000</v>
      </c>
      <c r="I13" s="143">
        <v>1200000</v>
      </c>
      <c r="J13" s="143">
        <f t="shared" ref="J13:J18" si="2">I13</f>
        <v>1200000</v>
      </c>
      <c r="K13" s="143"/>
    </row>
    <row r="14" spans="1:14" x14ac:dyDescent="0.35">
      <c r="A14" s="127" t="s">
        <v>121</v>
      </c>
      <c r="B14" s="127" t="s">
        <v>127</v>
      </c>
      <c r="C14" s="140">
        <v>3</v>
      </c>
      <c r="D14" s="263" t="s">
        <v>29</v>
      </c>
      <c r="E14" s="143"/>
      <c r="F14" s="143">
        <f t="shared" ref="F14:F19" si="3">SUM(G14:H14)</f>
        <v>715590000</v>
      </c>
      <c r="G14" s="143">
        <v>681319000</v>
      </c>
      <c r="H14" s="143">
        <v>34271000</v>
      </c>
      <c r="I14" s="143">
        <v>21171000</v>
      </c>
      <c r="J14" s="143">
        <f t="shared" si="2"/>
        <v>21171000</v>
      </c>
      <c r="K14" s="143"/>
    </row>
    <row r="15" spans="1:14" s="126" customFormat="1" x14ac:dyDescent="0.35">
      <c r="A15" s="127" t="s">
        <v>121</v>
      </c>
      <c r="B15" s="127" t="s">
        <v>126</v>
      </c>
      <c r="C15" s="140">
        <v>4</v>
      </c>
      <c r="D15" s="263" t="s">
        <v>28</v>
      </c>
      <c r="E15" s="143"/>
      <c r="F15" s="143">
        <f t="shared" si="3"/>
        <v>951400000</v>
      </c>
      <c r="G15" s="143">
        <v>905644000</v>
      </c>
      <c r="H15" s="143">
        <v>45756000</v>
      </c>
      <c r="I15" s="143">
        <v>22000000</v>
      </c>
      <c r="J15" s="143">
        <f t="shared" si="2"/>
        <v>22000000</v>
      </c>
      <c r="K15" s="143"/>
    </row>
    <row r="16" spans="1:14" x14ac:dyDescent="0.35">
      <c r="A16" s="127" t="s">
        <v>121</v>
      </c>
      <c r="B16" s="127" t="s">
        <v>130</v>
      </c>
      <c r="C16" s="140">
        <v>5</v>
      </c>
      <c r="D16" s="263" t="s">
        <v>32</v>
      </c>
      <c r="E16" s="143"/>
      <c r="F16" s="143">
        <f t="shared" si="3"/>
        <v>417000000</v>
      </c>
      <c r="G16" s="143">
        <v>396000000</v>
      </c>
      <c r="H16" s="143">
        <v>21000000</v>
      </c>
      <c r="I16" s="143">
        <v>20100000</v>
      </c>
      <c r="J16" s="143">
        <f t="shared" si="2"/>
        <v>20100000</v>
      </c>
      <c r="K16" s="143"/>
    </row>
    <row r="17" spans="1:11" x14ac:dyDescent="0.35">
      <c r="A17" s="127" t="s">
        <v>121</v>
      </c>
      <c r="B17" s="127" t="s">
        <v>128</v>
      </c>
      <c r="C17" s="140">
        <v>6</v>
      </c>
      <c r="D17" s="263" t="s">
        <v>30</v>
      </c>
      <c r="E17" s="143"/>
      <c r="F17" s="143">
        <f t="shared" si="3"/>
        <v>210000000</v>
      </c>
      <c r="G17" s="143">
        <v>200000000</v>
      </c>
      <c r="H17" s="143">
        <v>10000000</v>
      </c>
      <c r="I17" s="143"/>
      <c r="J17" s="143"/>
      <c r="K17" s="143"/>
    </row>
    <row r="18" spans="1:11" s="126" customFormat="1" x14ac:dyDescent="0.35">
      <c r="A18" s="127" t="s">
        <v>121</v>
      </c>
      <c r="B18" s="127" t="s">
        <v>131</v>
      </c>
      <c r="C18" s="140">
        <v>7</v>
      </c>
      <c r="D18" s="263" t="s">
        <v>33</v>
      </c>
      <c r="E18" s="143"/>
      <c r="F18" s="143">
        <f t="shared" si="3"/>
        <v>1526000000</v>
      </c>
      <c r="G18" s="143">
        <v>1451000000</v>
      </c>
      <c r="H18" s="143">
        <v>75000000</v>
      </c>
      <c r="I18" s="143">
        <v>55500000</v>
      </c>
      <c r="J18" s="143">
        <f t="shared" si="2"/>
        <v>55500000</v>
      </c>
      <c r="K18" s="143"/>
    </row>
    <row r="19" spans="1:11" x14ac:dyDescent="0.35">
      <c r="A19" s="127" t="s">
        <v>121</v>
      </c>
      <c r="B19" s="127" t="s">
        <v>133</v>
      </c>
      <c r="C19" s="140">
        <v>8</v>
      </c>
      <c r="D19" s="263" t="s">
        <v>35</v>
      </c>
      <c r="E19" s="143"/>
      <c r="F19" s="143">
        <f t="shared" si="3"/>
        <v>6000000</v>
      </c>
      <c r="G19" s="143">
        <v>6000000</v>
      </c>
      <c r="H19" s="143">
        <v>0</v>
      </c>
      <c r="I19" s="143"/>
      <c r="J19" s="143"/>
      <c r="K19" s="143"/>
    </row>
    <row r="20" spans="1:11" s="126" customFormat="1" ht="45" x14ac:dyDescent="0.35">
      <c r="C20" s="137" t="s">
        <v>2</v>
      </c>
      <c r="D20" s="259" t="s">
        <v>10</v>
      </c>
      <c r="E20" s="144">
        <f t="shared" ref="E20:J20" si="4">E21+E29</f>
        <v>101788000000</v>
      </c>
      <c r="F20" s="144">
        <f t="shared" si="4"/>
        <v>99271818000</v>
      </c>
      <c r="G20" s="144">
        <f t="shared" si="4"/>
        <v>94839056000</v>
      </c>
      <c r="H20" s="144">
        <f t="shared" si="4"/>
        <v>4432762000</v>
      </c>
      <c r="I20" s="144">
        <f t="shared" si="4"/>
        <v>553500000</v>
      </c>
      <c r="J20" s="144">
        <f t="shared" si="4"/>
        <v>553500000</v>
      </c>
      <c r="K20" s="144"/>
    </row>
    <row r="21" spans="1:11" s="148" customFormat="1" ht="31" x14ac:dyDescent="0.35">
      <c r="C21" s="145"/>
      <c r="D21" s="261" t="s">
        <v>11</v>
      </c>
      <c r="E21" s="147">
        <v>72328000000</v>
      </c>
      <c r="F21" s="147">
        <f>SUM(F22:F28)</f>
        <v>72328000000</v>
      </c>
      <c r="G21" s="147">
        <f>SUM(G22:G28)</f>
        <v>72328000000</v>
      </c>
      <c r="H21" s="147">
        <f>SUM(H22:H28)</f>
        <v>0</v>
      </c>
      <c r="I21" s="147">
        <f>SUM(I22:I28)</f>
        <v>0</v>
      </c>
      <c r="J21" s="147">
        <f>SUM(J22:J28)</f>
        <v>0</v>
      </c>
      <c r="K21" s="147"/>
    </row>
    <row r="22" spans="1:11" x14ac:dyDescent="0.35">
      <c r="A22" s="127" t="s">
        <v>122</v>
      </c>
      <c r="B22" s="127" t="s">
        <v>132</v>
      </c>
      <c r="C22" s="140">
        <v>1</v>
      </c>
      <c r="D22" s="263" t="s">
        <v>34</v>
      </c>
      <c r="E22" s="143"/>
      <c r="F22" s="143">
        <f t="shared" ref="F22:F28" si="5">SUM(G22:H22)</f>
        <v>11713000000</v>
      </c>
      <c r="G22" s="143">
        <v>11713000000</v>
      </c>
      <c r="H22" s="143"/>
      <c r="I22" s="143"/>
      <c r="J22" s="143"/>
      <c r="K22" s="143"/>
    </row>
    <row r="23" spans="1:11" s="126" customFormat="1" x14ac:dyDescent="0.35">
      <c r="A23" s="127" t="s">
        <v>122</v>
      </c>
      <c r="B23" s="127" t="s">
        <v>129</v>
      </c>
      <c r="C23" s="140">
        <v>2</v>
      </c>
      <c r="D23" s="263" t="s">
        <v>31</v>
      </c>
      <c r="E23" s="143"/>
      <c r="F23" s="143">
        <f t="shared" si="5"/>
        <v>6621000000</v>
      </c>
      <c r="G23" s="143">
        <v>6621000000</v>
      </c>
      <c r="H23" s="143"/>
      <c r="I23" s="143"/>
      <c r="J23" s="143"/>
      <c r="K23" s="143"/>
    </row>
    <row r="24" spans="1:11" x14ac:dyDescent="0.35">
      <c r="A24" s="127" t="s">
        <v>122</v>
      </c>
      <c r="B24" s="127" t="s">
        <v>127</v>
      </c>
      <c r="C24" s="140">
        <v>3</v>
      </c>
      <c r="D24" s="263" t="s">
        <v>29</v>
      </c>
      <c r="E24" s="264"/>
      <c r="F24" s="143">
        <f t="shared" si="5"/>
        <v>6735000000</v>
      </c>
      <c r="G24" s="143">
        <v>6735000000</v>
      </c>
      <c r="H24" s="143"/>
      <c r="I24" s="143"/>
      <c r="J24" s="143"/>
      <c r="K24" s="143"/>
    </row>
    <row r="25" spans="1:11" x14ac:dyDescent="0.35">
      <c r="A25" s="127" t="s">
        <v>122</v>
      </c>
      <c r="B25" s="127" t="s">
        <v>126</v>
      </c>
      <c r="C25" s="140">
        <v>4</v>
      </c>
      <c r="D25" s="263" t="s">
        <v>28</v>
      </c>
      <c r="E25" s="143"/>
      <c r="F25" s="143">
        <f t="shared" si="5"/>
        <v>8763000000</v>
      </c>
      <c r="G25" s="143">
        <v>8763000000</v>
      </c>
      <c r="H25" s="143"/>
      <c r="I25" s="143"/>
      <c r="J25" s="143"/>
      <c r="K25" s="143"/>
    </row>
    <row r="26" spans="1:11" s="126" customFormat="1" x14ac:dyDescent="0.35">
      <c r="A26" s="127" t="s">
        <v>122</v>
      </c>
      <c r="B26" s="127" t="s">
        <v>130</v>
      </c>
      <c r="C26" s="140">
        <v>5</v>
      </c>
      <c r="D26" s="263" t="s">
        <v>32</v>
      </c>
      <c r="E26" s="143"/>
      <c r="F26" s="143">
        <f t="shared" si="5"/>
        <v>15474000000</v>
      </c>
      <c r="G26" s="143">
        <v>15474000000</v>
      </c>
      <c r="H26" s="143"/>
      <c r="I26" s="143"/>
      <c r="J26" s="143"/>
      <c r="K26" s="143"/>
    </row>
    <row r="27" spans="1:11" x14ac:dyDescent="0.35">
      <c r="A27" s="127" t="s">
        <v>122</v>
      </c>
      <c r="B27" s="127" t="s">
        <v>128</v>
      </c>
      <c r="C27" s="140">
        <v>6</v>
      </c>
      <c r="D27" s="263" t="s">
        <v>30</v>
      </c>
      <c r="E27" s="143"/>
      <c r="F27" s="143">
        <f t="shared" si="5"/>
        <v>12294000000</v>
      </c>
      <c r="G27" s="143">
        <v>12294000000</v>
      </c>
      <c r="H27" s="143"/>
      <c r="I27" s="143"/>
      <c r="J27" s="143"/>
      <c r="K27" s="143"/>
    </row>
    <row r="28" spans="1:11" x14ac:dyDescent="0.35">
      <c r="A28" s="127" t="s">
        <v>122</v>
      </c>
      <c r="B28" s="127" t="s">
        <v>131</v>
      </c>
      <c r="C28" s="140">
        <v>7</v>
      </c>
      <c r="D28" s="263" t="s">
        <v>33</v>
      </c>
      <c r="E28" s="143"/>
      <c r="F28" s="143">
        <f t="shared" si="5"/>
        <v>10728000000</v>
      </c>
      <c r="G28" s="143">
        <v>10728000000</v>
      </c>
      <c r="H28" s="143"/>
      <c r="I28" s="143"/>
      <c r="J28" s="143"/>
      <c r="K28" s="143"/>
    </row>
    <row r="29" spans="1:11" s="148" customFormat="1" ht="62" x14ac:dyDescent="0.35">
      <c r="C29" s="145"/>
      <c r="D29" s="261" t="s">
        <v>87</v>
      </c>
      <c r="E29" s="147">
        <v>29460000000</v>
      </c>
      <c r="F29" s="147">
        <f>SUM(F30:F37)</f>
        <v>26943818000</v>
      </c>
      <c r="G29" s="147">
        <f>SUM(G30:G37)</f>
        <v>22511056000</v>
      </c>
      <c r="H29" s="147">
        <f>SUM(H30:H37)</f>
        <v>4432762000</v>
      </c>
      <c r="I29" s="147">
        <f>SUM(I30:I37)</f>
        <v>553500000</v>
      </c>
      <c r="J29" s="147">
        <f>SUM(J30:J37)</f>
        <v>553500000</v>
      </c>
      <c r="K29" s="147"/>
    </row>
    <row r="30" spans="1:11" s="126" customFormat="1" x14ac:dyDescent="0.35">
      <c r="A30" s="127" t="s">
        <v>94</v>
      </c>
      <c r="B30" s="127" t="s">
        <v>95</v>
      </c>
      <c r="C30" s="140">
        <v>1</v>
      </c>
      <c r="D30" s="263" t="s">
        <v>134</v>
      </c>
      <c r="E30" s="143"/>
      <c r="F30" s="143">
        <f>SUM(G30:H30)</f>
        <v>3357000000</v>
      </c>
      <c r="G30" s="143">
        <v>2805000000</v>
      </c>
      <c r="H30" s="143">
        <v>552000000</v>
      </c>
      <c r="I30" s="143">
        <v>552000000</v>
      </c>
      <c r="J30" s="143">
        <f>I30</f>
        <v>552000000</v>
      </c>
      <c r="K30" s="143"/>
    </row>
    <row r="31" spans="1:11" x14ac:dyDescent="0.35">
      <c r="A31" s="127" t="s">
        <v>94</v>
      </c>
      <c r="B31" s="127" t="s">
        <v>132</v>
      </c>
      <c r="C31" s="140">
        <v>2</v>
      </c>
      <c r="D31" s="263" t="s">
        <v>34</v>
      </c>
      <c r="E31" s="143"/>
      <c r="F31" s="143">
        <f>SUM(G31:H31)</f>
        <v>111535000</v>
      </c>
      <c r="G31" s="143">
        <v>93184000</v>
      </c>
      <c r="H31" s="143">
        <v>18351000</v>
      </c>
      <c r="I31" s="265"/>
      <c r="J31" s="143"/>
      <c r="K31" s="143"/>
    </row>
    <row r="32" spans="1:11" x14ac:dyDescent="0.35">
      <c r="A32" s="127" t="s">
        <v>94</v>
      </c>
      <c r="B32" s="127" t="s">
        <v>129</v>
      </c>
      <c r="C32" s="140">
        <v>3</v>
      </c>
      <c r="D32" s="263" t="s">
        <v>31</v>
      </c>
      <c r="E32" s="143"/>
      <c r="F32" s="143">
        <f t="shared" ref="F32:F37" si="6">SUM(G32:H32)</f>
        <v>3412043000</v>
      </c>
      <c r="G32" s="143">
        <f>1695982000+1154680000</f>
        <v>2850662000</v>
      </c>
      <c r="H32" s="143">
        <f>333990000+227391000</f>
        <v>561381000</v>
      </c>
      <c r="I32" s="143"/>
      <c r="J32" s="143"/>
      <c r="K32" s="143"/>
    </row>
    <row r="33" spans="1:11" x14ac:dyDescent="0.35">
      <c r="A33" s="127" t="s">
        <v>94</v>
      </c>
      <c r="B33" s="127" t="s">
        <v>127</v>
      </c>
      <c r="C33" s="140">
        <v>4</v>
      </c>
      <c r="D33" s="263" t="s">
        <v>29</v>
      </c>
      <c r="E33" s="143"/>
      <c r="F33" s="143">
        <f t="shared" si="6"/>
        <v>2942643000</v>
      </c>
      <c r="G33" s="143">
        <v>2458494000</v>
      </c>
      <c r="H33" s="143">
        <v>484149000</v>
      </c>
      <c r="I33" s="143"/>
      <c r="J33" s="143"/>
      <c r="K33" s="143"/>
    </row>
    <row r="34" spans="1:11" x14ac:dyDescent="0.35">
      <c r="A34" s="127" t="s">
        <v>94</v>
      </c>
      <c r="B34" s="127" t="s">
        <v>126</v>
      </c>
      <c r="C34" s="140">
        <v>5</v>
      </c>
      <c r="D34" s="263" t="s">
        <v>28</v>
      </c>
      <c r="E34" s="143"/>
      <c r="F34" s="143">
        <f t="shared" si="6"/>
        <v>3821831000</v>
      </c>
      <c r="G34" s="143">
        <f>352316000+2840712000</f>
        <v>3193028000</v>
      </c>
      <c r="H34" s="143">
        <f>69382000+559421000</f>
        <v>628803000</v>
      </c>
      <c r="I34" s="143"/>
      <c r="J34" s="143"/>
      <c r="K34" s="143"/>
    </row>
    <row r="35" spans="1:11" s="126" customFormat="1" x14ac:dyDescent="0.35">
      <c r="A35" s="127" t="s">
        <v>94</v>
      </c>
      <c r="B35" s="127" t="s">
        <v>130</v>
      </c>
      <c r="C35" s="140">
        <v>6</v>
      </c>
      <c r="D35" s="263" t="s">
        <v>32</v>
      </c>
      <c r="E35" s="143"/>
      <c r="F35" s="143">
        <f t="shared" si="6"/>
        <v>3944318000</v>
      </c>
      <c r="G35" s="143">
        <f>1968387000+1326951000</f>
        <v>3295338000</v>
      </c>
      <c r="H35" s="143">
        <f>387663000+261317000</f>
        <v>648980000</v>
      </c>
      <c r="I35" s="143">
        <v>1500000</v>
      </c>
      <c r="J35" s="143">
        <f>I35</f>
        <v>1500000</v>
      </c>
      <c r="K35" s="143"/>
    </row>
    <row r="36" spans="1:11" x14ac:dyDescent="0.35">
      <c r="A36" s="127" t="s">
        <v>94</v>
      </c>
      <c r="B36" s="127" t="s">
        <v>128</v>
      </c>
      <c r="C36" s="140">
        <v>7</v>
      </c>
      <c r="D36" s="263" t="s">
        <v>30</v>
      </c>
      <c r="E36" s="143"/>
      <c r="F36" s="143">
        <f t="shared" si="6"/>
        <v>4253954000</v>
      </c>
      <c r="G36" s="143">
        <f>739310000+2814735000</f>
        <v>3554045000</v>
      </c>
      <c r="H36" s="143">
        <f>145604000+554305000</f>
        <v>699909000</v>
      </c>
      <c r="I36" s="143"/>
      <c r="J36" s="143"/>
      <c r="K36" s="143"/>
    </row>
    <row r="37" spans="1:11" x14ac:dyDescent="0.35">
      <c r="A37" s="127" t="s">
        <v>94</v>
      </c>
      <c r="B37" s="127" t="s">
        <v>131</v>
      </c>
      <c r="C37" s="140">
        <v>8</v>
      </c>
      <c r="D37" s="263" t="s">
        <v>33</v>
      </c>
      <c r="E37" s="143"/>
      <c r="F37" s="143">
        <f t="shared" si="6"/>
        <v>5100494000</v>
      </c>
      <c r="G37" s="143">
        <f>636998000+3624307000</f>
        <v>4261305000</v>
      </c>
      <c r="H37" s="143">
        <f>125454000+713735000</f>
        <v>839189000</v>
      </c>
      <c r="I37" s="143"/>
      <c r="J37" s="143"/>
      <c r="K37" s="143"/>
    </row>
    <row r="38" spans="1:11" s="126" customFormat="1" ht="45" x14ac:dyDescent="0.35">
      <c r="C38" s="137" t="s">
        <v>135</v>
      </c>
      <c r="D38" s="259" t="s">
        <v>13</v>
      </c>
      <c r="E38" s="144">
        <f t="shared" ref="E38:J38" si="7">E39</f>
        <v>9083000000</v>
      </c>
      <c r="F38" s="144">
        <f t="shared" si="7"/>
        <v>9083000000</v>
      </c>
      <c r="G38" s="144">
        <f t="shared" si="7"/>
        <v>8650000000</v>
      </c>
      <c r="H38" s="144">
        <f t="shared" si="7"/>
        <v>433000000</v>
      </c>
      <c r="I38" s="144">
        <f t="shared" si="7"/>
        <v>55721002</v>
      </c>
      <c r="J38" s="144">
        <f t="shared" si="7"/>
        <v>55721002</v>
      </c>
      <c r="K38" s="144"/>
    </row>
    <row r="39" spans="1:11" s="148" customFormat="1" ht="31" x14ac:dyDescent="0.35">
      <c r="C39" s="145"/>
      <c r="D39" s="261" t="s">
        <v>14</v>
      </c>
      <c r="E39" s="147">
        <v>9083000000</v>
      </c>
      <c r="F39" s="147">
        <f>SUM(F40:F47)</f>
        <v>9083000000</v>
      </c>
      <c r="G39" s="147">
        <f>SUM(G40:G47)</f>
        <v>8650000000</v>
      </c>
      <c r="H39" s="147">
        <f>SUM(H40:H47)</f>
        <v>433000000</v>
      </c>
      <c r="I39" s="147">
        <f>SUM(I40:I47)</f>
        <v>55721002</v>
      </c>
      <c r="J39" s="147">
        <f>SUM(J40:J47)</f>
        <v>55721002</v>
      </c>
      <c r="K39" s="147"/>
    </row>
    <row r="40" spans="1:11" s="126" customFormat="1" x14ac:dyDescent="0.35">
      <c r="A40" s="127" t="s">
        <v>123</v>
      </c>
      <c r="B40" s="127" t="s">
        <v>132</v>
      </c>
      <c r="C40" s="140">
        <v>1</v>
      </c>
      <c r="D40" s="263" t="s">
        <v>34</v>
      </c>
      <c r="E40" s="143"/>
      <c r="F40" s="143">
        <f>SUM(G40:H40)</f>
        <v>1421000000</v>
      </c>
      <c r="G40" s="143">
        <v>1353000000</v>
      </c>
      <c r="H40" s="143">
        <v>68000000</v>
      </c>
      <c r="I40" s="143"/>
      <c r="J40" s="143"/>
      <c r="K40" s="143"/>
    </row>
    <row r="41" spans="1:11" x14ac:dyDescent="0.35">
      <c r="A41" s="127" t="s">
        <v>123</v>
      </c>
      <c r="B41" s="127" t="s">
        <v>129</v>
      </c>
      <c r="C41" s="140">
        <v>2</v>
      </c>
      <c r="D41" s="263" t="s">
        <v>31</v>
      </c>
      <c r="E41" s="143"/>
      <c r="F41" s="143">
        <f t="shared" ref="F41:F47" si="8">SUM(G41:H41)</f>
        <v>1178000000</v>
      </c>
      <c r="G41" s="143">
        <v>1122000000</v>
      </c>
      <c r="H41" s="143">
        <v>56000000</v>
      </c>
      <c r="I41" s="143">
        <v>7383915</v>
      </c>
      <c r="J41" s="143">
        <f>I41</f>
        <v>7383915</v>
      </c>
      <c r="K41" s="143"/>
    </row>
    <row r="42" spans="1:11" x14ac:dyDescent="0.35">
      <c r="A42" s="127" t="s">
        <v>123</v>
      </c>
      <c r="B42" s="127" t="s">
        <v>127</v>
      </c>
      <c r="C42" s="140">
        <v>3</v>
      </c>
      <c r="D42" s="263" t="s">
        <v>29</v>
      </c>
      <c r="E42" s="143"/>
      <c r="F42" s="143">
        <f t="shared" si="8"/>
        <v>1398000000</v>
      </c>
      <c r="G42" s="143">
        <v>1331000000</v>
      </c>
      <c r="H42" s="143">
        <v>67000000</v>
      </c>
      <c r="I42" s="265"/>
      <c r="J42" s="143"/>
      <c r="K42" s="143"/>
    </row>
    <row r="43" spans="1:11" s="126" customFormat="1" x14ac:dyDescent="0.35">
      <c r="A43" s="127" t="s">
        <v>123</v>
      </c>
      <c r="B43" s="127" t="s">
        <v>126</v>
      </c>
      <c r="C43" s="140">
        <v>4</v>
      </c>
      <c r="D43" s="263" t="s">
        <v>28</v>
      </c>
      <c r="E43" s="143"/>
      <c r="F43" s="143">
        <f t="shared" si="8"/>
        <v>1089000000</v>
      </c>
      <c r="G43" s="143">
        <v>1037000000</v>
      </c>
      <c r="H43" s="143">
        <v>52000000</v>
      </c>
      <c r="I43" s="143">
        <v>10294835</v>
      </c>
      <c r="J43" s="143">
        <f>I43</f>
        <v>10294835</v>
      </c>
      <c r="K43" s="143"/>
    </row>
    <row r="44" spans="1:11" x14ac:dyDescent="0.35">
      <c r="A44" s="127" t="s">
        <v>123</v>
      </c>
      <c r="B44" s="127" t="s">
        <v>130</v>
      </c>
      <c r="C44" s="140">
        <v>5</v>
      </c>
      <c r="D44" s="263" t="s">
        <v>32</v>
      </c>
      <c r="E44" s="143"/>
      <c r="F44" s="143">
        <f t="shared" si="8"/>
        <v>1835000000</v>
      </c>
      <c r="G44" s="143">
        <v>1748000000</v>
      </c>
      <c r="H44" s="143">
        <v>87000000</v>
      </c>
      <c r="I44" s="143">
        <v>37042252</v>
      </c>
      <c r="J44" s="143">
        <f>I44</f>
        <v>37042252</v>
      </c>
      <c r="K44" s="143"/>
    </row>
    <row r="45" spans="1:11" x14ac:dyDescent="0.35">
      <c r="A45" s="127" t="s">
        <v>123</v>
      </c>
      <c r="B45" s="127" t="s">
        <v>128</v>
      </c>
      <c r="C45" s="140">
        <v>6</v>
      </c>
      <c r="D45" s="263" t="s">
        <v>30</v>
      </c>
      <c r="E45" s="143"/>
      <c r="F45" s="143">
        <f t="shared" si="8"/>
        <v>1027000000</v>
      </c>
      <c r="G45" s="143">
        <v>978000000</v>
      </c>
      <c r="H45" s="143">
        <v>49000000</v>
      </c>
      <c r="I45" s="265"/>
      <c r="J45" s="143"/>
      <c r="K45" s="143"/>
    </row>
    <row r="46" spans="1:11" s="126" customFormat="1" x14ac:dyDescent="0.35">
      <c r="A46" s="127" t="s">
        <v>123</v>
      </c>
      <c r="B46" s="127" t="s">
        <v>131</v>
      </c>
      <c r="C46" s="140">
        <v>7</v>
      </c>
      <c r="D46" s="263" t="s">
        <v>33</v>
      </c>
      <c r="E46" s="143"/>
      <c r="F46" s="143">
        <f t="shared" si="8"/>
        <v>1113000000</v>
      </c>
      <c r="G46" s="143">
        <v>1060000000</v>
      </c>
      <c r="H46" s="143">
        <v>53000000</v>
      </c>
      <c r="I46" s="143"/>
      <c r="J46" s="143"/>
      <c r="K46" s="143"/>
    </row>
    <row r="47" spans="1:11" x14ac:dyDescent="0.35">
      <c r="A47" s="127" t="s">
        <v>123</v>
      </c>
      <c r="B47" s="127" t="s">
        <v>133</v>
      </c>
      <c r="C47" s="140">
        <v>8</v>
      </c>
      <c r="D47" s="263" t="s">
        <v>35</v>
      </c>
      <c r="E47" s="143"/>
      <c r="F47" s="143">
        <f t="shared" si="8"/>
        <v>22000000</v>
      </c>
      <c r="G47" s="143">
        <v>21000000</v>
      </c>
      <c r="H47" s="143">
        <v>1000000</v>
      </c>
      <c r="I47" s="143">
        <v>1000000</v>
      </c>
      <c r="J47" s="143">
        <f>I47</f>
        <v>1000000</v>
      </c>
      <c r="K47" s="143"/>
    </row>
    <row r="48" spans="1:11" s="126" customFormat="1" ht="30" x14ac:dyDescent="0.35">
      <c r="C48" s="137" t="s">
        <v>136</v>
      </c>
      <c r="D48" s="259" t="s">
        <v>15</v>
      </c>
      <c r="E48" s="144">
        <f t="shared" ref="E48:J48" si="9">E49+E58+E68+E78</f>
        <v>32376000000</v>
      </c>
      <c r="F48" s="144">
        <f t="shared" si="9"/>
        <v>32376000000</v>
      </c>
      <c r="G48" s="144">
        <f t="shared" si="9"/>
        <v>30834000000</v>
      </c>
      <c r="H48" s="144">
        <f t="shared" si="9"/>
        <v>1542000000</v>
      </c>
      <c r="I48" s="144">
        <f t="shared" si="9"/>
        <v>930793307</v>
      </c>
      <c r="J48" s="144">
        <f t="shared" si="9"/>
        <v>930793307</v>
      </c>
      <c r="K48" s="144"/>
    </row>
    <row r="49" spans="1:11" s="148" customFormat="1" ht="62" x14ac:dyDescent="0.35">
      <c r="C49" s="145"/>
      <c r="D49" s="261" t="s">
        <v>16</v>
      </c>
      <c r="E49" s="147">
        <v>5036000000</v>
      </c>
      <c r="F49" s="147">
        <f>SUM(F50:F57)</f>
        <v>5036000000</v>
      </c>
      <c r="G49" s="147">
        <f>SUM(G50:G57)</f>
        <v>4698000000</v>
      </c>
      <c r="H49" s="147">
        <f>SUM(H50:H57)</f>
        <v>338000000</v>
      </c>
      <c r="I49" s="147">
        <f>SUM(I50:I57)</f>
        <v>249997307</v>
      </c>
      <c r="J49" s="147">
        <f>SUM(J50:J57)</f>
        <v>249997307</v>
      </c>
      <c r="K49" s="147"/>
    </row>
    <row r="50" spans="1:11" x14ac:dyDescent="0.35">
      <c r="A50" s="127" t="s">
        <v>96</v>
      </c>
      <c r="B50" s="127" t="s">
        <v>97</v>
      </c>
      <c r="C50" s="140">
        <v>1</v>
      </c>
      <c r="D50" s="263" t="s">
        <v>37</v>
      </c>
      <c r="E50" s="143"/>
      <c r="F50" s="143">
        <f>SUM(G50:H50)</f>
        <v>504000000</v>
      </c>
      <c r="G50" s="143">
        <v>470000000</v>
      </c>
      <c r="H50" s="143">
        <v>34000000</v>
      </c>
      <c r="I50" s="143">
        <v>34000000</v>
      </c>
      <c r="J50" s="143">
        <f>I50</f>
        <v>34000000</v>
      </c>
      <c r="K50" s="143"/>
    </row>
    <row r="51" spans="1:11" s="126" customFormat="1" x14ac:dyDescent="0.35">
      <c r="A51" s="127" t="s">
        <v>96</v>
      </c>
      <c r="B51" s="127" t="s">
        <v>132</v>
      </c>
      <c r="C51" s="140">
        <v>2</v>
      </c>
      <c r="D51" s="263" t="s">
        <v>34</v>
      </c>
      <c r="E51" s="143"/>
      <c r="F51" s="143">
        <f t="shared" ref="F51:F57" si="10">SUM(G51:H51)</f>
        <v>780000000</v>
      </c>
      <c r="G51" s="142">
        <v>728000000</v>
      </c>
      <c r="H51" s="142">
        <v>52000000</v>
      </c>
      <c r="I51" s="142">
        <v>52000000</v>
      </c>
      <c r="J51" s="143">
        <f t="shared" ref="J51:J56" si="11">I51</f>
        <v>52000000</v>
      </c>
      <c r="K51" s="143"/>
    </row>
    <row r="52" spans="1:11" x14ac:dyDescent="0.35">
      <c r="A52" s="127" t="s">
        <v>96</v>
      </c>
      <c r="B52" s="127" t="s">
        <v>129</v>
      </c>
      <c r="C52" s="140">
        <v>3</v>
      </c>
      <c r="D52" s="263" t="s">
        <v>31</v>
      </c>
      <c r="E52" s="143"/>
      <c r="F52" s="143">
        <f t="shared" si="10"/>
        <v>4000000</v>
      </c>
      <c r="G52" s="143">
        <v>4000000</v>
      </c>
      <c r="H52" s="143">
        <v>0</v>
      </c>
      <c r="I52" s="265"/>
      <c r="J52" s="143"/>
      <c r="K52" s="143"/>
    </row>
    <row r="53" spans="1:11" x14ac:dyDescent="0.35">
      <c r="A53" s="127" t="s">
        <v>96</v>
      </c>
      <c r="B53" s="127" t="s">
        <v>127</v>
      </c>
      <c r="C53" s="140">
        <v>4</v>
      </c>
      <c r="D53" s="263" t="s">
        <v>29</v>
      </c>
      <c r="E53" s="143"/>
      <c r="F53" s="143">
        <f t="shared" si="10"/>
        <v>699000000</v>
      </c>
      <c r="G53" s="143">
        <v>652000000</v>
      </c>
      <c r="H53" s="143">
        <v>47000000</v>
      </c>
      <c r="I53" s="143">
        <v>39997307</v>
      </c>
      <c r="J53" s="143">
        <f t="shared" si="11"/>
        <v>39997307</v>
      </c>
      <c r="K53" s="143"/>
    </row>
    <row r="54" spans="1:11" s="126" customFormat="1" x14ac:dyDescent="0.35">
      <c r="A54" s="127" t="s">
        <v>96</v>
      </c>
      <c r="B54" s="127" t="s">
        <v>126</v>
      </c>
      <c r="C54" s="140">
        <v>5</v>
      </c>
      <c r="D54" s="263" t="s">
        <v>28</v>
      </c>
      <c r="E54" s="143"/>
      <c r="F54" s="143">
        <f t="shared" si="10"/>
        <v>223000000</v>
      </c>
      <c r="G54" s="143">
        <v>208000000</v>
      </c>
      <c r="H54" s="143">
        <v>15000000</v>
      </c>
      <c r="I54" s="143">
        <v>15000000</v>
      </c>
      <c r="J54" s="143">
        <f t="shared" si="11"/>
        <v>15000000</v>
      </c>
      <c r="K54" s="143"/>
    </row>
    <row r="55" spans="1:11" s="126" customFormat="1" x14ac:dyDescent="0.35">
      <c r="A55" s="127" t="s">
        <v>96</v>
      </c>
      <c r="B55" s="127" t="s">
        <v>130</v>
      </c>
      <c r="C55" s="140">
        <v>6</v>
      </c>
      <c r="D55" s="263" t="s">
        <v>32</v>
      </c>
      <c r="E55" s="143"/>
      <c r="F55" s="143">
        <f t="shared" si="10"/>
        <v>669000000</v>
      </c>
      <c r="G55" s="143">
        <v>624000000</v>
      </c>
      <c r="H55" s="143">
        <v>45000000</v>
      </c>
      <c r="I55" s="143">
        <v>45000000</v>
      </c>
      <c r="J55" s="143">
        <f t="shared" si="11"/>
        <v>45000000</v>
      </c>
      <c r="K55" s="143"/>
    </row>
    <row r="56" spans="1:11" x14ac:dyDescent="0.35">
      <c r="A56" s="127" t="s">
        <v>96</v>
      </c>
      <c r="B56" s="127" t="s">
        <v>128</v>
      </c>
      <c r="C56" s="140">
        <v>7</v>
      </c>
      <c r="D56" s="263" t="s">
        <v>30</v>
      </c>
      <c r="E56" s="143"/>
      <c r="F56" s="143">
        <f t="shared" si="10"/>
        <v>945000000</v>
      </c>
      <c r="G56" s="143">
        <v>881000000</v>
      </c>
      <c r="H56" s="143">
        <v>64000000</v>
      </c>
      <c r="I56" s="143">
        <v>64000000</v>
      </c>
      <c r="J56" s="143">
        <f t="shared" si="11"/>
        <v>64000000</v>
      </c>
      <c r="K56" s="143"/>
    </row>
    <row r="57" spans="1:11" x14ac:dyDescent="0.35">
      <c r="A57" s="127" t="s">
        <v>96</v>
      </c>
      <c r="B57" s="127" t="s">
        <v>131</v>
      </c>
      <c r="C57" s="140">
        <v>8</v>
      </c>
      <c r="D57" s="263" t="s">
        <v>33</v>
      </c>
      <c r="E57" s="143"/>
      <c r="F57" s="143">
        <f t="shared" si="10"/>
        <v>1212000000</v>
      </c>
      <c r="G57" s="143">
        <v>1131000000</v>
      </c>
      <c r="H57" s="143">
        <v>81000000</v>
      </c>
      <c r="I57" s="143"/>
      <c r="J57" s="143"/>
      <c r="K57" s="143"/>
    </row>
    <row r="58" spans="1:11" s="148" customFormat="1" ht="46.5" x14ac:dyDescent="0.35">
      <c r="C58" s="145"/>
      <c r="D58" s="261" t="s">
        <v>17</v>
      </c>
      <c r="E58" s="147">
        <v>4228000000</v>
      </c>
      <c r="F58" s="147">
        <f>SUM(F59:F67)</f>
        <v>4228000000</v>
      </c>
      <c r="G58" s="147">
        <f>SUM(G59:G67)</f>
        <v>4228000000</v>
      </c>
      <c r="H58" s="147">
        <f>SUM(H59:H67)</f>
        <v>0</v>
      </c>
      <c r="I58" s="147">
        <f>SUM(I59:I67)</f>
        <v>0</v>
      </c>
      <c r="J58" s="147">
        <f>SUM(J59:J67)</f>
        <v>0</v>
      </c>
      <c r="K58" s="147"/>
    </row>
    <row r="59" spans="1:11" x14ac:dyDescent="0.35">
      <c r="A59" s="127" t="s">
        <v>115</v>
      </c>
      <c r="B59" s="127" t="s">
        <v>114</v>
      </c>
      <c r="C59" s="140">
        <v>1</v>
      </c>
      <c r="D59" s="263" t="s">
        <v>38</v>
      </c>
      <c r="E59" s="143"/>
      <c r="F59" s="143">
        <f>SUM(G59:H59)</f>
        <v>300000000</v>
      </c>
      <c r="G59" s="143">
        <v>300000000</v>
      </c>
      <c r="H59" s="143"/>
      <c r="I59" s="143"/>
      <c r="J59" s="143"/>
      <c r="K59" s="143"/>
    </row>
    <row r="60" spans="1:11" x14ac:dyDescent="0.35">
      <c r="A60" s="127" t="s">
        <v>115</v>
      </c>
      <c r="B60" s="127" t="s">
        <v>132</v>
      </c>
      <c r="C60" s="140">
        <v>2</v>
      </c>
      <c r="D60" s="263" t="s">
        <v>34</v>
      </c>
      <c r="E60" s="143"/>
      <c r="F60" s="143">
        <f t="shared" ref="F60:F67" si="12">SUM(G60:H60)</f>
        <v>546000000</v>
      </c>
      <c r="G60" s="143">
        <v>546000000</v>
      </c>
      <c r="H60" s="143"/>
      <c r="I60" s="143"/>
      <c r="J60" s="143"/>
      <c r="K60" s="143"/>
    </row>
    <row r="61" spans="1:11" x14ac:dyDescent="0.35">
      <c r="A61" s="127" t="s">
        <v>115</v>
      </c>
      <c r="B61" s="127" t="s">
        <v>129</v>
      </c>
      <c r="C61" s="140">
        <v>3</v>
      </c>
      <c r="D61" s="263" t="s">
        <v>31</v>
      </c>
      <c r="E61" s="143"/>
      <c r="F61" s="143">
        <f t="shared" si="12"/>
        <v>509000000</v>
      </c>
      <c r="G61" s="143">
        <v>509000000</v>
      </c>
      <c r="H61" s="143"/>
      <c r="I61" s="143"/>
      <c r="J61" s="143"/>
      <c r="K61" s="143"/>
    </row>
    <row r="62" spans="1:11" x14ac:dyDescent="0.35">
      <c r="A62" s="127" t="s">
        <v>115</v>
      </c>
      <c r="B62" s="127" t="s">
        <v>127</v>
      </c>
      <c r="C62" s="140">
        <v>4</v>
      </c>
      <c r="D62" s="263" t="s">
        <v>29</v>
      </c>
      <c r="E62" s="143"/>
      <c r="F62" s="143">
        <f t="shared" si="12"/>
        <v>727000000</v>
      </c>
      <c r="G62" s="143">
        <v>727000000</v>
      </c>
      <c r="H62" s="143"/>
      <c r="I62" s="143"/>
      <c r="J62" s="143"/>
      <c r="K62" s="143"/>
    </row>
    <row r="63" spans="1:11" x14ac:dyDescent="0.35">
      <c r="A63" s="127" t="s">
        <v>115</v>
      </c>
      <c r="B63" s="127" t="s">
        <v>126</v>
      </c>
      <c r="C63" s="140">
        <v>5</v>
      </c>
      <c r="D63" s="263" t="s">
        <v>28</v>
      </c>
      <c r="E63" s="143"/>
      <c r="F63" s="143">
        <f t="shared" si="12"/>
        <v>509000000</v>
      </c>
      <c r="G63" s="143">
        <v>509000000</v>
      </c>
      <c r="H63" s="143"/>
      <c r="I63" s="143"/>
      <c r="J63" s="143"/>
      <c r="K63" s="143"/>
    </row>
    <row r="64" spans="1:11" x14ac:dyDescent="0.35">
      <c r="A64" s="127" t="s">
        <v>115</v>
      </c>
      <c r="B64" s="127" t="s">
        <v>130</v>
      </c>
      <c r="C64" s="140">
        <v>6</v>
      </c>
      <c r="D64" s="263" t="s">
        <v>32</v>
      </c>
      <c r="E64" s="143"/>
      <c r="F64" s="143">
        <f t="shared" si="12"/>
        <v>618000000</v>
      </c>
      <c r="G64" s="143">
        <v>618000000</v>
      </c>
      <c r="H64" s="143"/>
      <c r="I64" s="143"/>
      <c r="J64" s="143"/>
      <c r="K64" s="143"/>
    </row>
    <row r="65" spans="1:11" x14ac:dyDescent="0.35">
      <c r="A65" s="127" t="s">
        <v>115</v>
      </c>
      <c r="B65" s="127" t="s">
        <v>128</v>
      </c>
      <c r="C65" s="140">
        <v>7</v>
      </c>
      <c r="D65" s="263" t="s">
        <v>30</v>
      </c>
      <c r="E65" s="143"/>
      <c r="F65" s="143">
        <f t="shared" si="12"/>
        <v>364000000</v>
      </c>
      <c r="G65" s="143">
        <v>364000000</v>
      </c>
      <c r="H65" s="143"/>
      <c r="I65" s="143"/>
      <c r="J65" s="143"/>
      <c r="K65" s="143"/>
    </row>
    <row r="66" spans="1:11" x14ac:dyDescent="0.35">
      <c r="A66" s="127" t="s">
        <v>115</v>
      </c>
      <c r="B66" s="127" t="s">
        <v>131</v>
      </c>
      <c r="C66" s="140">
        <v>8</v>
      </c>
      <c r="D66" s="263" t="s">
        <v>33</v>
      </c>
      <c r="E66" s="143"/>
      <c r="F66" s="143">
        <f t="shared" si="12"/>
        <v>364000000</v>
      </c>
      <c r="G66" s="143">
        <v>364000000</v>
      </c>
      <c r="H66" s="143"/>
      <c r="I66" s="143"/>
      <c r="J66" s="143"/>
      <c r="K66" s="143"/>
    </row>
    <row r="67" spans="1:11" x14ac:dyDescent="0.35">
      <c r="A67" s="127" t="s">
        <v>115</v>
      </c>
      <c r="B67" s="127" t="s">
        <v>133</v>
      </c>
      <c r="C67" s="140">
        <v>9</v>
      </c>
      <c r="D67" s="263" t="s">
        <v>35</v>
      </c>
      <c r="E67" s="143"/>
      <c r="F67" s="143">
        <f t="shared" si="12"/>
        <v>291000000</v>
      </c>
      <c r="G67" s="143">
        <v>291000000</v>
      </c>
      <c r="H67" s="143"/>
      <c r="I67" s="143"/>
      <c r="J67" s="143"/>
      <c r="K67" s="143"/>
    </row>
    <row r="68" spans="1:11" s="148" customFormat="1" ht="31" x14ac:dyDescent="0.35">
      <c r="C68" s="145"/>
      <c r="D68" s="261" t="s">
        <v>18</v>
      </c>
      <c r="E68" s="147">
        <v>17912000000</v>
      </c>
      <c r="F68" s="147">
        <f>SUM(F69:F77)</f>
        <v>17912000000</v>
      </c>
      <c r="G68" s="147">
        <f>SUM(G69:G77)</f>
        <v>16708000000</v>
      </c>
      <c r="H68" s="147">
        <f>SUM(H69:H77)</f>
        <v>1204000000</v>
      </c>
      <c r="I68" s="147">
        <f>SUM(I69:I77)</f>
        <v>680796000</v>
      </c>
      <c r="J68" s="147">
        <f>SUM(J69:J77)</f>
        <v>680796000</v>
      </c>
      <c r="K68" s="147"/>
    </row>
    <row r="69" spans="1:11" x14ac:dyDescent="0.35">
      <c r="A69" s="127" t="s">
        <v>99</v>
      </c>
      <c r="B69" s="127" t="s">
        <v>100</v>
      </c>
      <c r="C69" s="140">
        <v>1</v>
      </c>
      <c r="D69" s="263" t="s">
        <v>39</v>
      </c>
      <c r="E69" s="143"/>
      <c r="F69" s="143">
        <f>SUM(G69:H69)</f>
        <v>448000000</v>
      </c>
      <c r="G69" s="143">
        <v>418000000</v>
      </c>
      <c r="H69" s="143">
        <v>30000000</v>
      </c>
      <c r="I69" s="143">
        <v>30000000</v>
      </c>
      <c r="J69" s="143">
        <f>I69</f>
        <v>30000000</v>
      </c>
      <c r="K69" s="143"/>
    </row>
    <row r="70" spans="1:11" x14ac:dyDescent="0.35">
      <c r="A70" s="127" t="s">
        <v>99</v>
      </c>
      <c r="B70" s="127" t="s">
        <v>132</v>
      </c>
      <c r="C70" s="140">
        <v>2</v>
      </c>
      <c r="D70" s="263" t="s">
        <v>34</v>
      </c>
      <c r="E70" s="143"/>
      <c r="F70" s="143">
        <f t="shared" ref="F70:F77" si="13">SUM(G70:H70)</f>
        <v>2183000000</v>
      </c>
      <c r="G70" s="143">
        <v>2036000000</v>
      </c>
      <c r="H70" s="143">
        <v>147000000</v>
      </c>
      <c r="I70" s="143">
        <v>147000000</v>
      </c>
      <c r="J70" s="143">
        <f t="shared" ref="J70:J76" si="14">I70</f>
        <v>147000000</v>
      </c>
      <c r="K70" s="143"/>
    </row>
    <row r="71" spans="1:11" x14ac:dyDescent="0.35">
      <c r="A71" s="127" t="s">
        <v>99</v>
      </c>
      <c r="B71" s="127" t="s">
        <v>129</v>
      </c>
      <c r="C71" s="140">
        <v>3</v>
      </c>
      <c r="D71" s="263" t="s">
        <v>31</v>
      </c>
      <c r="E71" s="143"/>
      <c r="F71" s="143">
        <f t="shared" si="13"/>
        <v>2183000000</v>
      </c>
      <c r="G71" s="143">
        <v>2036000000</v>
      </c>
      <c r="H71" s="143">
        <v>147000000</v>
      </c>
      <c r="I71" s="143">
        <v>147000000</v>
      </c>
      <c r="J71" s="143">
        <f t="shared" si="14"/>
        <v>147000000</v>
      </c>
      <c r="K71" s="143"/>
    </row>
    <row r="72" spans="1:11" x14ac:dyDescent="0.35">
      <c r="A72" s="127" t="s">
        <v>99</v>
      </c>
      <c r="B72" s="127" t="s">
        <v>127</v>
      </c>
      <c r="C72" s="140">
        <v>4</v>
      </c>
      <c r="D72" s="263" t="s">
        <v>29</v>
      </c>
      <c r="E72" s="143"/>
      <c r="F72" s="143">
        <f t="shared" si="13"/>
        <v>2183000000</v>
      </c>
      <c r="G72" s="143">
        <v>2037000000</v>
      </c>
      <c r="H72" s="143">
        <v>146000000</v>
      </c>
      <c r="I72" s="143">
        <v>144750000</v>
      </c>
      <c r="J72" s="143">
        <f t="shared" si="14"/>
        <v>144750000</v>
      </c>
      <c r="K72" s="143"/>
    </row>
    <row r="73" spans="1:11" x14ac:dyDescent="0.35">
      <c r="A73" s="127" t="s">
        <v>99</v>
      </c>
      <c r="B73" s="127" t="s">
        <v>126</v>
      </c>
      <c r="C73" s="140">
        <v>5</v>
      </c>
      <c r="D73" s="263" t="s">
        <v>28</v>
      </c>
      <c r="E73" s="143"/>
      <c r="F73" s="143">
        <f t="shared" si="13"/>
        <v>2183000000</v>
      </c>
      <c r="G73" s="143">
        <v>2037000000</v>
      </c>
      <c r="H73" s="143">
        <v>146000000</v>
      </c>
      <c r="I73" s="265"/>
      <c r="J73" s="143"/>
      <c r="K73" s="143"/>
    </row>
    <row r="74" spans="1:11" x14ac:dyDescent="0.35">
      <c r="A74" s="127" t="s">
        <v>99</v>
      </c>
      <c r="B74" s="127" t="s">
        <v>130</v>
      </c>
      <c r="C74" s="140">
        <v>6</v>
      </c>
      <c r="D74" s="263" t="s">
        <v>32</v>
      </c>
      <c r="E74" s="143"/>
      <c r="F74" s="143">
        <f t="shared" si="13"/>
        <v>2183000000</v>
      </c>
      <c r="G74" s="143">
        <v>2036000000</v>
      </c>
      <c r="H74" s="143">
        <v>147000000</v>
      </c>
      <c r="I74" s="143">
        <v>65046000</v>
      </c>
      <c r="J74" s="143">
        <f t="shared" si="14"/>
        <v>65046000</v>
      </c>
      <c r="K74" s="143"/>
    </row>
    <row r="75" spans="1:11" x14ac:dyDescent="0.35">
      <c r="A75" s="127" t="s">
        <v>99</v>
      </c>
      <c r="B75" s="127" t="s">
        <v>128</v>
      </c>
      <c r="C75" s="140">
        <v>7</v>
      </c>
      <c r="D75" s="263" t="s">
        <v>30</v>
      </c>
      <c r="E75" s="143"/>
      <c r="F75" s="143">
        <f t="shared" si="13"/>
        <v>2183000000</v>
      </c>
      <c r="G75" s="143">
        <v>2036000000</v>
      </c>
      <c r="H75" s="143">
        <v>147000000</v>
      </c>
      <c r="I75" s="265"/>
      <c r="J75" s="143"/>
      <c r="K75" s="143"/>
    </row>
    <row r="76" spans="1:11" x14ac:dyDescent="0.35">
      <c r="A76" s="127" t="s">
        <v>99</v>
      </c>
      <c r="B76" s="127" t="s">
        <v>131</v>
      </c>
      <c r="C76" s="140">
        <v>8</v>
      </c>
      <c r="D76" s="263" t="s">
        <v>33</v>
      </c>
      <c r="E76" s="143"/>
      <c r="F76" s="143">
        <f t="shared" si="13"/>
        <v>2183000000</v>
      </c>
      <c r="G76" s="143">
        <v>2036000000</v>
      </c>
      <c r="H76" s="143">
        <v>147000000</v>
      </c>
      <c r="I76" s="143">
        <v>147000000</v>
      </c>
      <c r="J76" s="143">
        <f t="shared" si="14"/>
        <v>147000000</v>
      </c>
      <c r="K76" s="143"/>
    </row>
    <row r="77" spans="1:11" s="126" customFormat="1" x14ac:dyDescent="0.35">
      <c r="A77" s="127" t="s">
        <v>99</v>
      </c>
      <c r="B77" s="127" t="s">
        <v>133</v>
      </c>
      <c r="C77" s="140">
        <v>9</v>
      </c>
      <c r="D77" s="263" t="s">
        <v>35</v>
      </c>
      <c r="E77" s="143"/>
      <c r="F77" s="143">
        <f t="shared" si="13"/>
        <v>2183000000</v>
      </c>
      <c r="G77" s="143">
        <v>2036000000</v>
      </c>
      <c r="H77" s="143">
        <v>147000000</v>
      </c>
      <c r="I77" s="143"/>
      <c r="J77" s="143"/>
      <c r="K77" s="143"/>
    </row>
    <row r="78" spans="1:11" s="148" customFormat="1" ht="31" x14ac:dyDescent="0.35">
      <c r="C78" s="145"/>
      <c r="D78" s="261" t="s">
        <v>142</v>
      </c>
      <c r="E78" s="147">
        <v>5200000000</v>
      </c>
      <c r="F78" s="147">
        <f>F79</f>
        <v>5200000000</v>
      </c>
      <c r="G78" s="147">
        <f>G79</f>
        <v>5200000000</v>
      </c>
      <c r="H78" s="147">
        <f>H79</f>
        <v>0</v>
      </c>
      <c r="I78" s="147">
        <f>I79</f>
        <v>0</v>
      </c>
      <c r="J78" s="147">
        <f>J79</f>
        <v>0</v>
      </c>
      <c r="K78" s="147"/>
    </row>
    <row r="79" spans="1:11" x14ac:dyDescent="0.35">
      <c r="A79" s="127" t="s">
        <v>99</v>
      </c>
      <c r="B79" s="127" t="s">
        <v>100</v>
      </c>
      <c r="C79" s="140">
        <v>1</v>
      </c>
      <c r="D79" s="263" t="s">
        <v>56</v>
      </c>
      <c r="E79" s="143"/>
      <c r="F79" s="143">
        <f>SUM(G79:H79)</f>
        <v>5200000000</v>
      </c>
      <c r="G79" s="143">
        <v>5200000000</v>
      </c>
      <c r="H79" s="143"/>
      <c r="I79" s="143"/>
      <c r="J79" s="143"/>
      <c r="K79" s="143"/>
    </row>
    <row r="80" spans="1:11" s="126" customFormat="1" ht="30" x14ac:dyDescent="0.35">
      <c r="C80" s="137" t="s">
        <v>137</v>
      </c>
      <c r="D80" s="259" t="s">
        <v>19</v>
      </c>
      <c r="E80" s="144">
        <v>3800000000</v>
      </c>
      <c r="F80" s="144">
        <f>SUM(F81:F89)</f>
        <v>3800000000</v>
      </c>
      <c r="G80" s="144">
        <f>SUM(G81:G89)</f>
        <v>3619000000</v>
      </c>
      <c r="H80" s="144">
        <f>SUM(H81:H89)</f>
        <v>181000000</v>
      </c>
      <c r="I80" s="144">
        <f>SUM(I81:I89)</f>
        <v>61580000</v>
      </c>
      <c r="J80" s="144">
        <f>SUM(J81:J89)</f>
        <v>61580000</v>
      </c>
      <c r="K80" s="144"/>
    </row>
    <row r="81" spans="1:11" x14ac:dyDescent="0.35">
      <c r="A81" s="127" t="s">
        <v>101</v>
      </c>
      <c r="B81" s="127" t="s">
        <v>102</v>
      </c>
      <c r="C81" s="140">
        <v>1</v>
      </c>
      <c r="D81" s="263" t="s">
        <v>40</v>
      </c>
      <c r="E81" s="143"/>
      <c r="F81" s="143">
        <f>SUM(G81:H81)</f>
        <v>2682000000</v>
      </c>
      <c r="G81" s="143">
        <v>2554000000</v>
      </c>
      <c r="H81" s="143">
        <v>128000000</v>
      </c>
      <c r="I81" s="143">
        <v>45580000</v>
      </c>
      <c r="J81" s="143">
        <f>I81</f>
        <v>45580000</v>
      </c>
      <c r="K81" s="143"/>
    </row>
    <row r="82" spans="1:11" x14ac:dyDescent="0.35">
      <c r="A82" s="127" t="s">
        <v>101</v>
      </c>
      <c r="B82" s="127" t="s">
        <v>132</v>
      </c>
      <c r="C82" s="140">
        <v>2</v>
      </c>
      <c r="D82" s="263" t="s">
        <v>34</v>
      </c>
      <c r="E82" s="143"/>
      <c r="F82" s="143">
        <f t="shared" ref="F82:F89" si="15">SUM(G82:H82)</f>
        <v>173000000</v>
      </c>
      <c r="G82" s="143">
        <v>165000000</v>
      </c>
      <c r="H82" s="143">
        <v>8000000</v>
      </c>
      <c r="I82" s="143">
        <v>8000000</v>
      </c>
      <c r="J82" s="143">
        <f t="shared" ref="J82:J89" si="16">I82</f>
        <v>8000000</v>
      </c>
      <c r="K82" s="143"/>
    </row>
    <row r="83" spans="1:11" x14ac:dyDescent="0.35">
      <c r="A83" s="127" t="s">
        <v>101</v>
      </c>
      <c r="B83" s="127" t="s">
        <v>129</v>
      </c>
      <c r="C83" s="140">
        <v>3</v>
      </c>
      <c r="D83" s="263" t="s">
        <v>31</v>
      </c>
      <c r="E83" s="143"/>
      <c r="F83" s="143">
        <f t="shared" si="15"/>
        <v>139000000</v>
      </c>
      <c r="G83" s="143">
        <v>132000000</v>
      </c>
      <c r="H83" s="143">
        <v>7000000</v>
      </c>
      <c r="I83" s="265"/>
      <c r="J83" s="143"/>
      <c r="K83" s="143"/>
    </row>
    <row r="84" spans="1:11" x14ac:dyDescent="0.35">
      <c r="A84" s="127" t="s">
        <v>101</v>
      </c>
      <c r="B84" s="127" t="s">
        <v>127</v>
      </c>
      <c r="C84" s="140">
        <v>4</v>
      </c>
      <c r="D84" s="263" t="s">
        <v>29</v>
      </c>
      <c r="E84" s="143"/>
      <c r="F84" s="143">
        <f t="shared" si="15"/>
        <v>147000000</v>
      </c>
      <c r="G84" s="143">
        <v>140000000</v>
      </c>
      <c r="H84" s="143">
        <v>7000000</v>
      </c>
      <c r="I84" s="265"/>
      <c r="J84" s="143"/>
      <c r="K84" s="143"/>
    </row>
    <row r="85" spans="1:11" x14ac:dyDescent="0.35">
      <c r="A85" s="127" t="s">
        <v>101</v>
      </c>
      <c r="B85" s="127" t="s">
        <v>126</v>
      </c>
      <c r="C85" s="140">
        <v>5</v>
      </c>
      <c r="D85" s="263" t="s">
        <v>28</v>
      </c>
      <c r="E85" s="143"/>
      <c r="F85" s="143">
        <f t="shared" si="15"/>
        <v>138000000</v>
      </c>
      <c r="G85" s="143">
        <v>131000000</v>
      </c>
      <c r="H85" s="143">
        <v>7000000</v>
      </c>
      <c r="I85" s="143">
        <v>7000000</v>
      </c>
      <c r="J85" s="143">
        <f t="shared" si="16"/>
        <v>7000000</v>
      </c>
      <c r="K85" s="143"/>
    </row>
    <row r="86" spans="1:11" x14ac:dyDescent="0.35">
      <c r="A86" s="127" t="s">
        <v>101</v>
      </c>
      <c r="B86" s="127" t="s">
        <v>130</v>
      </c>
      <c r="C86" s="140">
        <v>6</v>
      </c>
      <c r="D86" s="263" t="s">
        <v>32</v>
      </c>
      <c r="E86" s="143"/>
      <c r="F86" s="143">
        <f t="shared" si="15"/>
        <v>174000000</v>
      </c>
      <c r="G86" s="142">
        <v>166000000</v>
      </c>
      <c r="H86" s="142">
        <v>8000000</v>
      </c>
      <c r="I86" s="265"/>
      <c r="J86" s="143"/>
      <c r="K86" s="143"/>
    </row>
    <row r="87" spans="1:11" x14ac:dyDescent="0.35">
      <c r="A87" s="127" t="s">
        <v>101</v>
      </c>
      <c r="B87" s="127" t="s">
        <v>128</v>
      </c>
      <c r="C87" s="140">
        <v>7</v>
      </c>
      <c r="D87" s="263" t="s">
        <v>30</v>
      </c>
      <c r="E87" s="143"/>
      <c r="F87" s="143">
        <f t="shared" si="15"/>
        <v>169000000</v>
      </c>
      <c r="G87" s="143">
        <v>161000000</v>
      </c>
      <c r="H87" s="143">
        <v>8000000</v>
      </c>
      <c r="I87" s="143"/>
      <c r="J87" s="143"/>
      <c r="K87" s="143"/>
    </row>
    <row r="88" spans="1:11" x14ac:dyDescent="0.35">
      <c r="A88" s="127" t="s">
        <v>101</v>
      </c>
      <c r="B88" s="127" t="s">
        <v>131</v>
      </c>
      <c r="C88" s="140">
        <v>8</v>
      </c>
      <c r="D88" s="263" t="s">
        <v>33</v>
      </c>
      <c r="E88" s="143"/>
      <c r="F88" s="143">
        <f t="shared" si="15"/>
        <v>159000000</v>
      </c>
      <c r="G88" s="143">
        <v>152000000</v>
      </c>
      <c r="H88" s="143">
        <v>7000000</v>
      </c>
      <c r="I88" s="143"/>
      <c r="J88" s="143"/>
      <c r="K88" s="143"/>
    </row>
    <row r="89" spans="1:11" x14ac:dyDescent="0.35">
      <c r="A89" s="127" t="s">
        <v>101</v>
      </c>
      <c r="B89" s="127" t="s">
        <v>133</v>
      </c>
      <c r="C89" s="140">
        <v>9</v>
      </c>
      <c r="D89" s="263" t="s">
        <v>35</v>
      </c>
      <c r="E89" s="143"/>
      <c r="F89" s="143">
        <f t="shared" si="15"/>
        <v>19000000</v>
      </c>
      <c r="G89" s="143">
        <v>18000000</v>
      </c>
      <c r="H89" s="143">
        <v>1000000</v>
      </c>
      <c r="I89" s="143">
        <v>1000000</v>
      </c>
      <c r="J89" s="143">
        <f t="shared" si="16"/>
        <v>1000000</v>
      </c>
      <c r="K89" s="143"/>
    </row>
    <row r="90" spans="1:11" s="126" customFormat="1" ht="30" x14ac:dyDescent="0.35">
      <c r="C90" s="137" t="s">
        <v>138</v>
      </c>
      <c r="D90" s="259" t="s">
        <v>20</v>
      </c>
      <c r="E90" s="144">
        <v>3640000000</v>
      </c>
      <c r="F90" s="144">
        <f>SUM(F91:F99)</f>
        <v>3640000000</v>
      </c>
      <c r="G90" s="144">
        <f>SUM(G91:G99)</f>
        <v>3467000000</v>
      </c>
      <c r="H90" s="144">
        <f>SUM(H91:H99)</f>
        <v>173000000</v>
      </c>
      <c r="I90" s="144">
        <f>SUM(I91:I99)</f>
        <v>45000000</v>
      </c>
      <c r="J90" s="144">
        <f>SUM(J91:J99)</f>
        <v>17000000</v>
      </c>
      <c r="K90" s="144"/>
    </row>
    <row r="91" spans="1:11" x14ac:dyDescent="0.35">
      <c r="A91" s="127" t="s">
        <v>103</v>
      </c>
      <c r="B91" s="127" t="s">
        <v>104</v>
      </c>
      <c r="C91" s="140">
        <v>1</v>
      </c>
      <c r="D91" s="263" t="s">
        <v>41</v>
      </c>
      <c r="E91" s="266"/>
      <c r="F91" s="266">
        <f>SUM(G91:H91)</f>
        <v>364000000</v>
      </c>
      <c r="G91" s="266">
        <v>347000000</v>
      </c>
      <c r="H91" s="266">
        <v>17000000</v>
      </c>
      <c r="I91" s="266"/>
      <c r="J91" s="266">
        <v>17000000</v>
      </c>
      <c r="K91" s="363" t="s">
        <v>198</v>
      </c>
    </row>
    <row r="92" spans="1:11" x14ac:dyDescent="0.35">
      <c r="A92" s="127" t="s">
        <v>103</v>
      </c>
      <c r="B92" s="127" t="s">
        <v>132</v>
      </c>
      <c r="C92" s="140">
        <v>2</v>
      </c>
      <c r="D92" s="263" t="s">
        <v>34</v>
      </c>
      <c r="E92" s="143"/>
      <c r="F92" s="266">
        <f t="shared" ref="F92:F99" si="17">SUM(G92:H92)</f>
        <v>471000000</v>
      </c>
      <c r="G92" s="143">
        <v>449000000</v>
      </c>
      <c r="H92" s="143">
        <v>22000000</v>
      </c>
      <c r="I92" s="143">
        <v>22000000</v>
      </c>
      <c r="J92" s="266"/>
      <c r="K92" s="364"/>
    </row>
    <row r="93" spans="1:11" x14ac:dyDescent="0.35">
      <c r="A93" s="127" t="s">
        <v>103</v>
      </c>
      <c r="B93" s="127" t="s">
        <v>129</v>
      </c>
      <c r="C93" s="140">
        <v>3</v>
      </c>
      <c r="D93" s="263" t="s">
        <v>31</v>
      </c>
      <c r="E93" s="143"/>
      <c r="F93" s="266">
        <f t="shared" si="17"/>
        <v>415000000</v>
      </c>
      <c r="G93" s="143">
        <v>395000000</v>
      </c>
      <c r="H93" s="143">
        <v>20000000</v>
      </c>
      <c r="I93" s="265"/>
      <c r="J93" s="266"/>
      <c r="K93" s="364"/>
    </row>
    <row r="94" spans="1:11" x14ac:dyDescent="0.35">
      <c r="A94" s="127" t="s">
        <v>103</v>
      </c>
      <c r="B94" s="127" t="s">
        <v>127</v>
      </c>
      <c r="C94" s="140">
        <v>4</v>
      </c>
      <c r="D94" s="263" t="s">
        <v>29</v>
      </c>
      <c r="E94" s="143"/>
      <c r="F94" s="266">
        <f t="shared" si="17"/>
        <v>488000000</v>
      </c>
      <c r="G94" s="143">
        <v>465000000</v>
      </c>
      <c r="H94" s="143">
        <v>23000000</v>
      </c>
      <c r="I94" s="143">
        <v>23000000</v>
      </c>
      <c r="J94" s="266"/>
      <c r="K94" s="364"/>
    </row>
    <row r="95" spans="1:11" x14ac:dyDescent="0.35">
      <c r="A95" s="127" t="s">
        <v>103</v>
      </c>
      <c r="B95" s="127" t="s">
        <v>126</v>
      </c>
      <c r="C95" s="140">
        <v>5</v>
      </c>
      <c r="D95" s="263" t="s">
        <v>28</v>
      </c>
      <c r="E95" s="143"/>
      <c r="F95" s="266">
        <f t="shared" si="17"/>
        <v>415000000</v>
      </c>
      <c r="G95" s="143">
        <v>395000000</v>
      </c>
      <c r="H95" s="143">
        <v>20000000</v>
      </c>
      <c r="I95" s="143"/>
      <c r="J95" s="266"/>
      <c r="K95" s="364"/>
    </row>
    <row r="96" spans="1:11" x14ac:dyDescent="0.35">
      <c r="A96" s="127" t="s">
        <v>103</v>
      </c>
      <c r="B96" s="127" t="s">
        <v>130</v>
      </c>
      <c r="C96" s="140">
        <v>6</v>
      </c>
      <c r="D96" s="263" t="s">
        <v>32</v>
      </c>
      <c r="E96" s="143"/>
      <c r="F96" s="266">
        <f t="shared" si="17"/>
        <v>595000000</v>
      </c>
      <c r="G96" s="142">
        <v>567000000</v>
      </c>
      <c r="H96" s="142">
        <v>28000000</v>
      </c>
      <c r="I96" s="142"/>
      <c r="J96" s="266"/>
      <c r="K96" s="364"/>
    </row>
    <row r="97" spans="1:11" x14ac:dyDescent="0.35">
      <c r="A97" s="127" t="s">
        <v>103</v>
      </c>
      <c r="B97" s="127" t="s">
        <v>128</v>
      </c>
      <c r="C97" s="140">
        <v>7</v>
      </c>
      <c r="D97" s="263" t="s">
        <v>30</v>
      </c>
      <c r="E97" s="143"/>
      <c r="F97" s="266">
        <f t="shared" si="17"/>
        <v>382000000</v>
      </c>
      <c r="G97" s="143">
        <v>364000000</v>
      </c>
      <c r="H97" s="143">
        <v>18000000</v>
      </c>
      <c r="I97" s="143"/>
      <c r="J97" s="266"/>
      <c r="K97" s="364"/>
    </row>
    <row r="98" spans="1:11" x14ac:dyDescent="0.35">
      <c r="A98" s="127" t="s">
        <v>103</v>
      </c>
      <c r="B98" s="127" t="s">
        <v>131</v>
      </c>
      <c r="C98" s="140">
        <v>8</v>
      </c>
      <c r="D98" s="263" t="s">
        <v>33</v>
      </c>
      <c r="E98" s="143"/>
      <c r="F98" s="266">
        <f t="shared" si="17"/>
        <v>411000000</v>
      </c>
      <c r="G98" s="143">
        <v>391000000</v>
      </c>
      <c r="H98" s="143">
        <v>20000000</v>
      </c>
      <c r="I98" s="143"/>
      <c r="J98" s="266"/>
      <c r="K98" s="364"/>
    </row>
    <row r="99" spans="1:11" x14ac:dyDescent="0.35">
      <c r="A99" s="127" t="s">
        <v>103</v>
      </c>
      <c r="B99" s="127" t="s">
        <v>133</v>
      </c>
      <c r="C99" s="140">
        <v>9</v>
      </c>
      <c r="D99" s="263" t="s">
        <v>35</v>
      </c>
      <c r="E99" s="143"/>
      <c r="F99" s="266">
        <f t="shared" si="17"/>
        <v>99000000</v>
      </c>
      <c r="G99" s="143">
        <v>94000000</v>
      </c>
      <c r="H99" s="143">
        <v>5000000</v>
      </c>
      <c r="I99" s="143"/>
      <c r="J99" s="266"/>
      <c r="K99" s="365"/>
    </row>
    <row r="100" spans="1:11" s="126" customFormat="1" ht="30" x14ac:dyDescent="0.35">
      <c r="C100" s="137" t="s">
        <v>139</v>
      </c>
      <c r="D100" s="259" t="s">
        <v>21</v>
      </c>
      <c r="E100" s="144">
        <v>9046000000</v>
      </c>
      <c r="F100" s="144">
        <f>SUM(F101:F109)</f>
        <v>9046000000</v>
      </c>
      <c r="G100" s="144">
        <f>SUM(G101:G109)</f>
        <v>8615000000</v>
      </c>
      <c r="H100" s="144">
        <f>SUM(H101:H109)</f>
        <v>431000000</v>
      </c>
      <c r="I100" s="144">
        <f>SUM(I101:I109)</f>
        <v>268866000</v>
      </c>
      <c r="J100" s="144">
        <f>SUM(J101:J109)</f>
        <v>268866000</v>
      </c>
      <c r="K100" s="144"/>
    </row>
    <row r="101" spans="1:11" x14ac:dyDescent="0.35">
      <c r="A101" s="127" t="s">
        <v>105</v>
      </c>
      <c r="B101" s="127" t="s">
        <v>106</v>
      </c>
      <c r="C101" s="140">
        <v>1</v>
      </c>
      <c r="D101" s="263" t="s">
        <v>71</v>
      </c>
      <c r="E101" s="143"/>
      <c r="F101" s="143">
        <f>SUM(G101:H101)</f>
        <v>1085000000</v>
      </c>
      <c r="G101" s="143">
        <v>1033000000</v>
      </c>
      <c r="H101" s="143">
        <v>52000000</v>
      </c>
      <c r="I101" s="143">
        <v>33000000</v>
      </c>
      <c r="J101" s="143">
        <f>I101</f>
        <v>33000000</v>
      </c>
      <c r="K101" s="143"/>
    </row>
    <row r="102" spans="1:11" s="126" customFormat="1" x14ac:dyDescent="0.35">
      <c r="A102" s="127" t="s">
        <v>105</v>
      </c>
      <c r="B102" s="127" t="s">
        <v>132</v>
      </c>
      <c r="C102" s="140">
        <v>2</v>
      </c>
      <c r="D102" s="263" t="s">
        <v>34</v>
      </c>
      <c r="E102" s="143"/>
      <c r="F102" s="143">
        <f t="shared" ref="F102:F109" si="18">SUM(G102:H102)</f>
        <v>1274000000</v>
      </c>
      <c r="G102" s="143">
        <v>1213000000</v>
      </c>
      <c r="H102" s="143">
        <v>61000000</v>
      </c>
      <c r="I102" s="143">
        <v>61000000</v>
      </c>
      <c r="J102" s="143">
        <f t="shared" ref="J102:J108" si="19">I102</f>
        <v>61000000</v>
      </c>
      <c r="K102" s="143"/>
    </row>
    <row r="103" spans="1:11" x14ac:dyDescent="0.35">
      <c r="A103" s="127" t="s">
        <v>105</v>
      </c>
      <c r="B103" s="127" t="s">
        <v>129</v>
      </c>
      <c r="C103" s="140">
        <v>3</v>
      </c>
      <c r="D103" s="263" t="s">
        <v>31</v>
      </c>
      <c r="E103" s="143"/>
      <c r="F103" s="143">
        <f t="shared" si="18"/>
        <v>995000000</v>
      </c>
      <c r="G103" s="143">
        <v>948000000</v>
      </c>
      <c r="H103" s="143">
        <v>47000000</v>
      </c>
      <c r="I103" s="265"/>
      <c r="J103" s="143"/>
      <c r="K103" s="143"/>
    </row>
    <row r="104" spans="1:11" x14ac:dyDescent="0.35">
      <c r="A104" s="127" t="s">
        <v>105</v>
      </c>
      <c r="B104" s="127" t="s">
        <v>127</v>
      </c>
      <c r="C104" s="140">
        <v>4</v>
      </c>
      <c r="D104" s="263" t="s">
        <v>29</v>
      </c>
      <c r="E104" s="143"/>
      <c r="F104" s="143">
        <f t="shared" si="18"/>
        <v>1254000000</v>
      </c>
      <c r="G104" s="143">
        <v>1194000000</v>
      </c>
      <c r="H104" s="143">
        <v>60000000</v>
      </c>
      <c r="I104" s="143">
        <v>60000000</v>
      </c>
      <c r="J104" s="143">
        <f t="shared" si="19"/>
        <v>60000000</v>
      </c>
      <c r="K104" s="143"/>
    </row>
    <row r="105" spans="1:11" x14ac:dyDescent="0.35">
      <c r="A105" s="127" t="s">
        <v>105</v>
      </c>
      <c r="B105" s="127" t="s">
        <v>126</v>
      </c>
      <c r="C105" s="140">
        <v>5</v>
      </c>
      <c r="D105" s="263" t="s">
        <v>28</v>
      </c>
      <c r="E105" s="143"/>
      <c r="F105" s="143">
        <f t="shared" si="18"/>
        <v>976000000</v>
      </c>
      <c r="G105" s="143">
        <v>929000000</v>
      </c>
      <c r="H105" s="143">
        <v>47000000</v>
      </c>
      <c r="I105" s="143">
        <v>43555000</v>
      </c>
      <c r="J105" s="143">
        <f t="shared" si="19"/>
        <v>43555000</v>
      </c>
      <c r="K105" s="143"/>
    </row>
    <row r="106" spans="1:11" x14ac:dyDescent="0.35">
      <c r="A106" s="127" t="s">
        <v>105</v>
      </c>
      <c r="B106" s="127" t="s">
        <v>130</v>
      </c>
      <c r="C106" s="140">
        <v>6</v>
      </c>
      <c r="D106" s="263" t="s">
        <v>32</v>
      </c>
      <c r="E106" s="143"/>
      <c r="F106" s="143">
        <f t="shared" si="18"/>
        <v>1531000000</v>
      </c>
      <c r="G106" s="142">
        <v>1459000000</v>
      </c>
      <c r="H106" s="142">
        <v>72000000</v>
      </c>
      <c r="I106" s="143">
        <v>41311000</v>
      </c>
      <c r="J106" s="143">
        <f t="shared" si="19"/>
        <v>41311000</v>
      </c>
      <c r="K106" s="143"/>
    </row>
    <row r="107" spans="1:11" x14ac:dyDescent="0.35">
      <c r="A107" s="127" t="s">
        <v>105</v>
      </c>
      <c r="B107" s="127" t="s">
        <v>128</v>
      </c>
      <c r="C107" s="140">
        <v>7</v>
      </c>
      <c r="D107" s="263" t="s">
        <v>30</v>
      </c>
      <c r="E107" s="143"/>
      <c r="F107" s="143">
        <f t="shared" si="18"/>
        <v>916000000</v>
      </c>
      <c r="G107" s="143">
        <v>872000000</v>
      </c>
      <c r="H107" s="143">
        <v>44000000</v>
      </c>
      <c r="I107" s="265"/>
      <c r="J107" s="143"/>
      <c r="K107" s="143"/>
    </row>
    <row r="108" spans="1:11" x14ac:dyDescent="0.35">
      <c r="A108" s="127" t="s">
        <v>105</v>
      </c>
      <c r="B108" s="127" t="s">
        <v>131</v>
      </c>
      <c r="C108" s="140">
        <v>8</v>
      </c>
      <c r="D108" s="263" t="s">
        <v>33</v>
      </c>
      <c r="E108" s="143"/>
      <c r="F108" s="143">
        <f t="shared" si="18"/>
        <v>995000000</v>
      </c>
      <c r="G108" s="143">
        <v>948000000</v>
      </c>
      <c r="H108" s="143">
        <v>47000000</v>
      </c>
      <c r="I108" s="142">
        <v>30000000</v>
      </c>
      <c r="J108" s="143">
        <f t="shared" si="19"/>
        <v>30000000</v>
      </c>
      <c r="K108" s="143"/>
    </row>
    <row r="109" spans="1:11" x14ac:dyDescent="0.35">
      <c r="A109" s="127" t="s">
        <v>105</v>
      </c>
      <c r="B109" s="127" t="s">
        <v>133</v>
      </c>
      <c r="C109" s="140">
        <v>9</v>
      </c>
      <c r="D109" s="263" t="s">
        <v>35</v>
      </c>
      <c r="E109" s="143"/>
      <c r="F109" s="143">
        <f t="shared" si="18"/>
        <v>20000000</v>
      </c>
      <c r="G109" s="143">
        <v>19000000</v>
      </c>
      <c r="H109" s="143">
        <v>1000000</v>
      </c>
      <c r="I109" s="143"/>
      <c r="J109" s="143"/>
      <c r="K109" s="143"/>
    </row>
    <row r="110" spans="1:11" s="126" customFormat="1" ht="30" x14ac:dyDescent="0.35">
      <c r="C110" s="137" t="s">
        <v>140</v>
      </c>
      <c r="D110" s="259" t="s">
        <v>22</v>
      </c>
      <c r="E110" s="144">
        <f t="shared" ref="E110:J110" si="20">SUM(E111:E112)</f>
        <v>6794000000</v>
      </c>
      <c r="F110" s="144">
        <f t="shared" si="20"/>
        <v>1646000000</v>
      </c>
      <c r="G110" s="144">
        <f t="shared" si="20"/>
        <v>1568000000</v>
      </c>
      <c r="H110" s="144">
        <f t="shared" si="20"/>
        <v>78000000</v>
      </c>
      <c r="I110" s="144">
        <f t="shared" si="20"/>
        <v>31000000</v>
      </c>
      <c r="J110" s="144">
        <f t="shared" si="20"/>
        <v>31000000</v>
      </c>
      <c r="K110" s="144"/>
    </row>
    <row r="111" spans="1:11" s="148" customFormat="1" ht="31" x14ac:dyDescent="0.35">
      <c r="C111" s="145"/>
      <c r="D111" s="261" t="s">
        <v>145</v>
      </c>
      <c r="E111" s="147">
        <v>5148000000</v>
      </c>
      <c r="F111" s="147">
        <v>0</v>
      </c>
      <c r="G111" s="147"/>
      <c r="H111" s="147"/>
      <c r="I111" s="147"/>
      <c r="J111" s="147"/>
      <c r="K111" s="147"/>
    </row>
    <row r="112" spans="1:11" s="148" customFormat="1" ht="31" x14ac:dyDescent="0.35">
      <c r="C112" s="145"/>
      <c r="D112" s="261" t="s">
        <v>23</v>
      </c>
      <c r="E112" s="147">
        <v>1646000000</v>
      </c>
      <c r="F112" s="147">
        <f>SUM(F113:F121)</f>
        <v>1646000000</v>
      </c>
      <c r="G112" s="147">
        <f>SUM(G113:G121)</f>
        <v>1568000000</v>
      </c>
      <c r="H112" s="147">
        <f>SUM(H113:H121)</f>
        <v>78000000</v>
      </c>
      <c r="I112" s="147">
        <f>SUM(I113:I121)</f>
        <v>31000000</v>
      </c>
      <c r="J112" s="147">
        <f>SUM(J113:J121)</f>
        <v>31000000</v>
      </c>
      <c r="K112" s="147"/>
    </row>
    <row r="113" spans="1:12" x14ac:dyDescent="0.35">
      <c r="A113" s="127" t="s">
        <v>89</v>
      </c>
      <c r="B113" s="127" t="s">
        <v>92</v>
      </c>
      <c r="C113" s="140">
        <v>1</v>
      </c>
      <c r="D113" s="263" t="s">
        <v>56</v>
      </c>
      <c r="E113" s="267"/>
      <c r="F113" s="267">
        <f>SUM(G113:H113)</f>
        <v>329000000</v>
      </c>
      <c r="G113" s="267">
        <v>313000000</v>
      </c>
      <c r="H113" s="267">
        <v>16000000</v>
      </c>
      <c r="I113" s="267"/>
      <c r="J113" s="267"/>
      <c r="K113" s="267"/>
    </row>
    <row r="114" spans="1:12" x14ac:dyDescent="0.35">
      <c r="A114" s="127" t="s">
        <v>124</v>
      </c>
      <c r="B114" s="127" t="s">
        <v>132</v>
      </c>
      <c r="C114" s="140">
        <v>2</v>
      </c>
      <c r="D114" s="263" t="s">
        <v>34</v>
      </c>
      <c r="E114" s="143"/>
      <c r="F114" s="267">
        <f t="shared" ref="F114:F121" si="21">SUM(G114:H114)</f>
        <v>259000000</v>
      </c>
      <c r="G114" s="143">
        <v>247000000</v>
      </c>
      <c r="H114" s="143">
        <v>12000000</v>
      </c>
      <c r="I114" s="143">
        <v>12000000</v>
      </c>
      <c r="J114" s="267">
        <f>I114</f>
        <v>12000000</v>
      </c>
      <c r="K114" s="267"/>
    </row>
    <row r="115" spans="1:12" x14ac:dyDescent="0.35">
      <c r="A115" s="127" t="s">
        <v>124</v>
      </c>
      <c r="B115" s="127" t="s">
        <v>129</v>
      </c>
      <c r="C115" s="140">
        <v>3</v>
      </c>
      <c r="D115" s="263" t="s">
        <v>31</v>
      </c>
      <c r="E115" s="143"/>
      <c r="F115" s="267">
        <f t="shared" si="21"/>
        <v>111000000</v>
      </c>
      <c r="G115" s="143">
        <v>106000000</v>
      </c>
      <c r="H115" s="143">
        <v>5000000</v>
      </c>
      <c r="I115" s="265"/>
      <c r="J115" s="267"/>
      <c r="K115" s="267"/>
    </row>
    <row r="116" spans="1:12" x14ac:dyDescent="0.35">
      <c r="A116" s="127" t="s">
        <v>124</v>
      </c>
      <c r="B116" s="127" t="s">
        <v>127</v>
      </c>
      <c r="C116" s="140">
        <v>4</v>
      </c>
      <c r="D116" s="263" t="s">
        <v>29</v>
      </c>
      <c r="E116" s="264"/>
      <c r="F116" s="267">
        <f t="shared" si="21"/>
        <v>273000000</v>
      </c>
      <c r="G116" s="143">
        <v>260000000</v>
      </c>
      <c r="H116" s="143">
        <v>13000000</v>
      </c>
      <c r="I116" s="143">
        <v>13000000</v>
      </c>
      <c r="J116" s="267">
        <f>I116</f>
        <v>13000000</v>
      </c>
      <c r="K116" s="267"/>
    </row>
    <row r="117" spans="1:12" x14ac:dyDescent="0.35">
      <c r="A117" s="127" t="s">
        <v>124</v>
      </c>
      <c r="B117" s="127" t="s">
        <v>126</v>
      </c>
      <c r="C117" s="140">
        <v>5</v>
      </c>
      <c r="D117" s="263" t="s">
        <v>28</v>
      </c>
      <c r="E117" s="143"/>
      <c r="F117" s="267">
        <f t="shared" si="21"/>
        <v>122000000</v>
      </c>
      <c r="G117" s="143">
        <v>116000000</v>
      </c>
      <c r="H117" s="143">
        <v>6000000</v>
      </c>
      <c r="I117" s="265"/>
      <c r="J117" s="267"/>
      <c r="K117" s="267"/>
    </row>
    <row r="118" spans="1:12" x14ac:dyDescent="0.35">
      <c r="A118" s="127" t="s">
        <v>124</v>
      </c>
      <c r="B118" s="127" t="s">
        <v>130</v>
      </c>
      <c r="C118" s="140">
        <v>6</v>
      </c>
      <c r="D118" s="263" t="s">
        <v>32</v>
      </c>
      <c r="E118" s="143"/>
      <c r="F118" s="267">
        <f t="shared" si="21"/>
        <v>135000000</v>
      </c>
      <c r="G118" s="142">
        <v>129000000</v>
      </c>
      <c r="H118" s="142">
        <v>6000000</v>
      </c>
      <c r="I118" s="143">
        <v>6000000</v>
      </c>
      <c r="J118" s="267">
        <f>I118</f>
        <v>6000000</v>
      </c>
      <c r="K118" s="267"/>
    </row>
    <row r="119" spans="1:12" x14ac:dyDescent="0.35">
      <c r="A119" s="127" t="s">
        <v>124</v>
      </c>
      <c r="B119" s="127" t="s">
        <v>128</v>
      </c>
      <c r="C119" s="140">
        <v>7</v>
      </c>
      <c r="D119" s="263" t="s">
        <v>30</v>
      </c>
      <c r="E119" s="143"/>
      <c r="F119" s="267">
        <f t="shared" si="21"/>
        <v>166000000</v>
      </c>
      <c r="G119" s="143">
        <v>158000000</v>
      </c>
      <c r="H119" s="143">
        <v>8000000</v>
      </c>
      <c r="I119" s="143"/>
      <c r="J119" s="267"/>
      <c r="K119" s="267"/>
    </row>
    <row r="120" spans="1:12" x14ac:dyDescent="0.35">
      <c r="A120" s="127" t="s">
        <v>124</v>
      </c>
      <c r="B120" s="127" t="s">
        <v>131</v>
      </c>
      <c r="C120" s="140">
        <v>8</v>
      </c>
      <c r="D120" s="263" t="s">
        <v>33</v>
      </c>
      <c r="E120" s="143"/>
      <c r="F120" s="267">
        <f t="shared" si="21"/>
        <v>231000000</v>
      </c>
      <c r="G120" s="143">
        <v>220000000</v>
      </c>
      <c r="H120" s="143">
        <v>11000000</v>
      </c>
      <c r="I120" s="143"/>
      <c r="J120" s="267"/>
      <c r="K120" s="267"/>
    </row>
    <row r="121" spans="1:12" x14ac:dyDescent="0.35">
      <c r="A121" s="127" t="s">
        <v>124</v>
      </c>
      <c r="B121" s="127" t="s">
        <v>133</v>
      </c>
      <c r="C121" s="140">
        <v>9</v>
      </c>
      <c r="D121" s="263" t="s">
        <v>35</v>
      </c>
      <c r="E121" s="143"/>
      <c r="F121" s="267">
        <f t="shared" si="21"/>
        <v>20000000</v>
      </c>
      <c r="G121" s="143">
        <v>19000000</v>
      </c>
      <c r="H121" s="143">
        <v>1000000</v>
      </c>
      <c r="I121" s="143"/>
      <c r="J121" s="267"/>
      <c r="K121" s="267"/>
    </row>
    <row r="122" spans="1:12" s="126" customFormat="1" ht="45" x14ac:dyDescent="0.35">
      <c r="C122" s="137" t="s">
        <v>141</v>
      </c>
      <c r="D122" s="259" t="s">
        <v>24</v>
      </c>
      <c r="E122" s="144">
        <f t="shared" ref="E122:J122" si="22">E123+E133+E143</f>
        <v>4862000000</v>
      </c>
      <c r="F122" s="144">
        <f t="shared" si="22"/>
        <v>4862000000</v>
      </c>
      <c r="G122" s="144">
        <f t="shared" si="22"/>
        <v>4631000000</v>
      </c>
      <c r="H122" s="144">
        <f t="shared" si="22"/>
        <v>231000000</v>
      </c>
      <c r="I122" s="144">
        <f t="shared" si="22"/>
        <v>56445950</v>
      </c>
      <c r="J122" s="144">
        <f t="shared" si="22"/>
        <v>56445950</v>
      </c>
      <c r="K122" s="144"/>
    </row>
    <row r="123" spans="1:12" s="148" customFormat="1" ht="93" x14ac:dyDescent="0.35">
      <c r="C123" s="145"/>
      <c r="D123" s="261" t="s">
        <v>25</v>
      </c>
      <c r="E123" s="147">
        <v>2966000000</v>
      </c>
      <c r="F123" s="147">
        <f>SUM(F124:F132)</f>
        <v>2966000000</v>
      </c>
      <c r="G123" s="147">
        <f>SUM(G124:G132)</f>
        <v>2798000000</v>
      </c>
      <c r="H123" s="147">
        <f>SUM(H124:H132)</f>
        <v>168000000</v>
      </c>
      <c r="I123" s="147">
        <f>SUM(I124:I132)</f>
        <v>19073260</v>
      </c>
      <c r="J123" s="147">
        <f>SUM(J124:J132)</f>
        <v>19073260</v>
      </c>
      <c r="K123" s="147"/>
    </row>
    <row r="124" spans="1:12" x14ac:dyDescent="0.35">
      <c r="A124" s="127" t="s">
        <v>90</v>
      </c>
      <c r="B124" s="127" t="s">
        <v>92</v>
      </c>
      <c r="C124" s="140">
        <v>1</v>
      </c>
      <c r="D124" s="263" t="s">
        <v>56</v>
      </c>
      <c r="E124" s="267"/>
      <c r="F124" s="267">
        <f>SUM(G124:H124)</f>
        <v>1483000000</v>
      </c>
      <c r="G124" s="267">
        <v>1399000000</v>
      </c>
      <c r="H124" s="267">
        <v>84000000</v>
      </c>
      <c r="I124" s="267"/>
      <c r="J124" s="267"/>
      <c r="K124" s="267"/>
      <c r="L124" s="136"/>
    </row>
    <row r="125" spans="1:12" s="126" customFormat="1" x14ac:dyDescent="0.35">
      <c r="A125" s="127" t="s">
        <v>90</v>
      </c>
      <c r="B125" s="127" t="s">
        <v>132</v>
      </c>
      <c r="C125" s="140">
        <v>2</v>
      </c>
      <c r="D125" s="263" t="s">
        <v>34</v>
      </c>
      <c r="E125" s="143"/>
      <c r="F125" s="267">
        <f t="shared" ref="F125:F132" si="23">SUM(G125:H125)</f>
        <v>205000000</v>
      </c>
      <c r="G125" s="143">
        <v>194000000</v>
      </c>
      <c r="H125" s="143">
        <v>11000000</v>
      </c>
      <c r="I125" s="143">
        <v>11000000</v>
      </c>
      <c r="J125" s="267">
        <f>I125</f>
        <v>11000000</v>
      </c>
      <c r="K125" s="267"/>
    </row>
    <row r="126" spans="1:12" x14ac:dyDescent="0.35">
      <c r="A126" s="127" t="s">
        <v>90</v>
      </c>
      <c r="B126" s="127" t="s">
        <v>129</v>
      </c>
      <c r="C126" s="140">
        <v>3</v>
      </c>
      <c r="D126" s="263" t="s">
        <v>31</v>
      </c>
      <c r="E126" s="143"/>
      <c r="F126" s="267">
        <f t="shared" si="23"/>
        <v>192000000</v>
      </c>
      <c r="G126" s="143">
        <v>181000000</v>
      </c>
      <c r="H126" s="143">
        <v>11000000</v>
      </c>
      <c r="I126" s="265"/>
      <c r="J126" s="267"/>
      <c r="K126" s="267"/>
    </row>
    <row r="127" spans="1:12" x14ac:dyDescent="0.35">
      <c r="A127" s="127" t="s">
        <v>90</v>
      </c>
      <c r="B127" s="127" t="s">
        <v>127</v>
      </c>
      <c r="C127" s="140">
        <v>4</v>
      </c>
      <c r="D127" s="263" t="s">
        <v>29</v>
      </c>
      <c r="E127" s="264"/>
      <c r="F127" s="267">
        <f t="shared" si="23"/>
        <v>275000000</v>
      </c>
      <c r="G127" s="143">
        <v>259000000</v>
      </c>
      <c r="H127" s="143">
        <v>16000000</v>
      </c>
      <c r="I127" s="143">
        <v>7606560</v>
      </c>
      <c r="J127" s="267">
        <f>I127</f>
        <v>7606560</v>
      </c>
      <c r="K127" s="267"/>
    </row>
    <row r="128" spans="1:12" x14ac:dyDescent="0.35">
      <c r="A128" s="127" t="s">
        <v>90</v>
      </c>
      <c r="B128" s="127" t="s">
        <v>126</v>
      </c>
      <c r="C128" s="140">
        <v>5</v>
      </c>
      <c r="D128" s="263" t="s">
        <v>28</v>
      </c>
      <c r="E128" s="143"/>
      <c r="F128" s="267">
        <f t="shared" si="23"/>
        <v>192000000</v>
      </c>
      <c r="G128" s="143">
        <v>181000000</v>
      </c>
      <c r="H128" s="143">
        <v>11000000</v>
      </c>
      <c r="I128" s="265"/>
      <c r="J128" s="267"/>
      <c r="K128" s="267"/>
    </row>
    <row r="129" spans="1:11" x14ac:dyDescent="0.35">
      <c r="A129" s="127" t="s">
        <v>90</v>
      </c>
      <c r="B129" s="127" t="s">
        <v>130</v>
      </c>
      <c r="C129" s="140">
        <v>6</v>
      </c>
      <c r="D129" s="263" t="s">
        <v>32</v>
      </c>
      <c r="E129" s="142"/>
      <c r="F129" s="267">
        <f t="shared" si="23"/>
        <v>233000000</v>
      </c>
      <c r="G129" s="143">
        <v>220000000</v>
      </c>
      <c r="H129" s="143">
        <v>13000000</v>
      </c>
      <c r="I129" s="143"/>
      <c r="J129" s="267"/>
      <c r="K129" s="267"/>
    </row>
    <row r="130" spans="1:11" x14ac:dyDescent="0.35">
      <c r="A130" s="127" t="s">
        <v>90</v>
      </c>
      <c r="B130" s="127" t="s">
        <v>128</v>
      </c>
      <c r="C130" s="140">
        <v>7</v>
      </c>
      <c r="D130" s="263" t="s">
        <v>30</v>
      </c>
      <c r="E130" s="143"/>
      <c r="F130" s="267">
        <f t="shared" si="23"/>
        <v>138000000</v>
      </c>
      <c r="G130" s="143">
        <v>130000000</v>
      </c>
      <c r="H130" s="143">
        <v>8000000</v>
      </c>
      <c r="I130" s="143">
        <v>466700</v>
      </c>
      <c r="J130" s="267">
        <f>I130</f>
        <v>466700</v>
      </c>
      <c r="K130" s="267"/>
    </row>
    <row r="131" spans="1:11" s="126" customFormat="1" x14ac:dyDescent="0.35">
      <c r="A131" s="127" t="s">
        <v>90</v>
      </c>
      <c r="B131" s="127" t="s">
        <v>131</v>
      </c>
      <c r="C131" s="140">
        <v>8</v>
      </c>
      <c r="D131" s="263" t="s">
        <v>33</v>
      </c>
      <c r="E131" s="143"/>
      <c r="F131" s="267">
        <f t="shared" si="23"/>
        <v>138000000</v>
      </c>
      <c r="G131" s="143">
        <v>130000000</v>
      </c>
      <c r="H131" s="143">
        <v>8000000</v>
      </c>
      <c r="I131" s="143"/>
      <c r="J131" s="267"/>
      <c r="K131" s="267"/>
    </row>
    <row r="132" spans="1:11" x14ac:dyDescent="0.35">
      <c r="A132" s="127" t="s">
        <v>90</v>
      </c>
      <c r="B132" s="127" t="s">
        <v>133</v>
      </c>
      <c r="C132" s="140">
        <v>9</v>
      </c>
      <c r="D132" s="263" t="s">
        <v>35</v>
      </c>
      <c r="E132" s="143"/>
      <c r="F132" s="267">
        <f t="shared" si="23"/>
        <v>110000000</v>
      </c>
      <c r="G132" s="143">
        <v>104000000</v>
      </c>
      <c r="H132" s="143">
        <v>6000000</v>
      </c>
      <c r="I132" s="143"/>
      <c r="J132" s="267"/>
      <c r="K132" s="267"/>
    </row>
    <row r="133" spans="1:11" s="148" customFormat="1" ht="46.5" x14ac:dyDescent="0.35">
      <c r="C133" s="145"/>
      <c r="D133" s="261" t="s">
        <v>26</v>
      </c>
      <c r="E133" s="147">
        <v>788000000</v>
      </c>
      <c r="F133" s="147">
        <f>SUM(F134:F142)</f>
        <v>788000000</v>
      </c>
      <c r="G133" s="147">
        <f>SUM(G134:G142)</f>
        <v>788000000</v>
      </c>
      <c r="H133" s="147">
        <f>SUM(H134:H142)</f>
        <v>0</v>
      </c>
      <c r="I133" s="147">
        <f>SUM(I134:I142)</f>
        <v>0</v>
      </c>
      <c r="J133" s="147">
        <f>SUM(J134:J142)</f>
        <v>0</v>
      </c>
      <c r="K133" s="147"/>
    </row>
    <row r="134" spans="1:11" x14ac:dyDescent="0.35">
      <c r="C134" s="140">
        <v>1</v>
      </c>
      <c r="D134" s="263" t="s">
        <v>56</v>
      </c>
      <c r="E134" s="143"/>
      <c r="F134" s="143">
        <f>SUM(G134:H134)</f>
        <v>394000000</v>
      </c>
      <c r="G134" s="143">
        <v>394000000</v>
      </c>
      <c r="H134" s="143"/>
      <c r="I134" s="143"/>
      <c r="J134" s="143"/>
      <c r="K134" s="143"/>
    </row>
    <row r="135" spans="1:11" x14ac:dyDescent="0.35">
      <c r="C135" s="140">
        <v>2</v>
      </c>
      <c r="D135" s="263" t="s">
        <v>43</v>
      </c>
      <c r="E135" s="143"/>
      <c r="F135" s="143">
        <f t="shared" ref="F135:F142" si="24">SUM(G135:H135)</f>
        <v>134000000</v>
      </c>
      <c r="G135" s="143">
        <v>134000000</v>
      </c>
      <c r="H135" s="143"/>
      <c r="I135" s="143"/>
      <c r="J135" s="143"/>
      <c r="K135" s="143"/>
    </row>
    <row r="136" spans="1:11" x14ac:dyDescent="0.35">
      <c r="A136" s="127" t="s">
        <v>125</v>
      </c>
      <c r="B136" s="127" t="s">
        <v>132</v>
      </c>
      <c r="C136" s="140">
        <v>3</v>
      </c>
      <c r="D136" s="263" t="s">
        <v>34</v>
      </c>
      <c r="E136" s="143"/>
      <c r="F136" s="143">
        <f t="shared" si="24"/>
        <v>40000000</v>
      </c>
      <c r="G136" s="143">
        <v>40000000</v>
      </c>
      <c r="H136" s="143"/>
      <c r="I136" s="143"/>
      <c r="J136" s="143"/>
      <c r="K136" s="143"/>
    </row>
    <row r="137" spans="1:11" s="126" customFormat="1" x14ac:dyDescent="0.35">
      <c r="A137" s="127" t="s">
        <v>125</v>
      </c>
      <c r="B137" s="127" t="s">
        <v>129</v>
      </c>
      <c r="C137" s="140">
        <v>4</v>
      </c>
      <c r="D137" s="263" t="s">
        <v>31</v>
      </c>
      <c r="E137" s="143"/>
      <c r="F137" s="143">
        <f t="shared" si="24"/>
        <v>32000000</v>
      </c>
      <c r="G137" s="143">
        <v>32000000</v>
      </c>
      <c r="H137" s="143"/>
      <c r="I137" s="143"/>
      <c r="J137" s="143"/>
      <c r="K137" s="143"/>
    </row>
    <row r="138" spans="1:11" x14ac:dyDescent="0.35">
      <c r="A138" s="127" t="s">
        <v>125</v>
      </c>
      <c r="B138" s="127" t="s">
        <v>127</v>
      </c>
      <c r="C138" s="140">
        <v>5</v>
      </c>
      <c r="D138" s="263" t="s">
        <v>29</v>
      </c>
      <c r="E138" s="268"/>
      <c r="F138" s="143">
        <f t="shared" si="24"/>
        <v>32000000</v>
      </c>
      <c r="G138" s="143">
        <v>32000000</v>
      </c>
      <c r="H138" s="143"/>
      <c r="I138" s="143"/>
      <c r="J138" s="143"/>
      <c r="K138" s="143"/>
    </row>
    <row r="139" spans="1:11" x14ac:dyDescent="0.35">
      <c r="A139" s="127" t="s">
        <v>125</v>
      </c>
      <c r="B139" s="127" t="s">
        <v>126</v>
      </c>
      <c r="C139" s="140">
        <v>6</v>
      </c>
      <c r="D139" s="263" t="s">
        <v>28</v>
      </c>
      <c r="E139" s="143"/>
      <c r="F139" s="143">
        <f t="shared" si="24"/>
        <v>31000000</v>
      </c>
      <c r="G139" s="143">
        <v>31000000</v>
      </c>
      <c r="H139" s="143"/>
      <c r="I139" s="143"/>
      <c r="J139" s="143"/>
      <c r="K139" s="143"/>
    </row>
    <row r="140" spans="1:11" x14ac:dyDescent="0.35">
      <c r="A140" s="127" t="s">
        <v>125</v>
      </c>
      <c r="B140" s="127" t="s">
        <v>130</v>
      </c>
      <c r="C140" s="140">
        <v>7</v>
      </c>
      <c r="D140" s="263" t="s">
        <v>32</v>
      </c>
      <c r="E140" s="142"/>
      <c r="F140" s="143">
        <f t="shared" si="24"/>
        <v>51000000</v>
      </c>
      <c r="G140" s="143">
        <v>51000000</v>
      </c>
      <c r="H140" s="143"/>
      <c r="I140" s="143"/>
      <c r="J140" s="143"/>
      <c r="K140" s="143"/>
    </row>
    <row r="141" spans="1:11" x14ac:dyDescent="0.35">
      <c r="A141" s="127" t="s">
        <v>125</v>
      </c>
      <c r="B141" s="127" t="s">
        <v>128</v>
      </c>
      <c r="C141" s="140">
        <v>8</v>
      </c>
      <c r="D141" s="263" t="s">
        <v>30</v>
      </c>
      <c r="E141" s="143"/>
      <c r="F141" s="143">
        <f t="shared" si="24"/>
        <v>35000000</v>
      </c>
      <c r="G141" s="143">
        <v>35000000</v>
      </c>
      <c r="H141" s="143"/>
      <c r="I141" s="143"/>
      <c r="J141" s="143"/>
      <c r="K141" s="143"/>
    </row>
    <row r="142" spans="1:11" s="126" customFormat="1" x14ac:dyDescent="0.35">
      <c r="A142" s="127" t="s">
        <v>125</v>
      </c>
      <c r="B142" s="127" t="s">
        <v>131</v>
      </c>
      <c r="C142" s="140">
        <v>9</v>
      </c>
      <c r="D142" s="263" t="s">
        <v>33</v>
      </c>
      <c r="E142" s="143"/>
      <c r="F142" s="143">
        <f t="shared" si="24"/>
        <v>39000000</v>
      </c>
      <c r="G142" s="143">
        <v>39000000</v>
      </c>
      <c r="H142" s="143"/>
      <c r="I142" s="143"/>
      <c r="J142" s="143"/>
      <c r="K142" s="143"/>
    </row>
    <row r="143" spans="1:11" s="148" customFormat="1" ht="31" x14ac:dyDescent="0.35">
      <c r="C143" s="145"/>
      <c r="D143" s="261" t="s">
        <v>27</v>
      </c>
      <c r="E143" s="147">
        <v>1108000000</v>
      </c>
      <c r="F143" s="147">
        <f>SUM(F144:F173)</f>
        <v>1108000000</v>
      </c>
      <c r="G143" s="147">
        <f>SUM(G144:G173)</f>
        <v>1045000000</v>
      </c>
      <c r="H143" s="147">
        <f>SUM(H144:H173)</f>
        <v>63000000</v>
      </c>
      <c r="I143" s="147">
        <f>SUM(I144:I173)</f>
        <v>37372690</v>
      </c>
      <c r="J143" s="147">
        <f>SUM(J144:J173)</f>
        <v>37372690</v>
      </c>
      <c r="K143" s="147"/>
    </row>
    <row r="144" spans="1:11" x14ac:dyDescent="0.35">
      <c r="A144" s="127" t="s">
        <v>91</v>
      </c>
      <c r="B144" s="127" t="s">
        <v>98</v>
      </c>
      <c r="C144" s="140">
        <v>1</v>
      </c>
      <c r="D144" s="263" t="s">
        <v>44</v>
      </c>
      <c r="E144" s="143"/>
      <c r="F144" s="143">
        <f>SUM(G144:H144)</f>
        <v>11000000</v>
      </c>
      <c r="G144" s="143">
        <v>10000000</v>
      </c>
      <c r="H144" s="143">
        <v>1000000</v>
      </c>
      <c r="I144" s="143"/>
      <c r="J144" s="269"/>
      <c r="K144" s="269"/>
    </row>
    <row r="145" spans="1:11" x14ac:dyDescent="0.35">
      <c r="A145" s="127" t="s">
        <v>91</v>
      </c>
      <c r="B145" s="127" t="s">
        <v>92</v>
      </c>
      <c r="C145" s="140">
        <v>2</v>
      </c>
      <c r="D145" s="263" t="s">
        <v>56</v>
      </c>
      <c r="E145" s="269"/>
      <c r="F145" s="143">
        <f t="shared" ref="F145:F173" si="25">SUM(G145:H145)</f>
        <v>262000000</v>
      </c>
      <c r="G145" s="269">
        <v>252000000</v>
      </c>
      <c r="H145" s="269">
        <v>10000000</v>
      </c>
      <c r="I145" s="269">
        <v>10000000</v>
      </c>
      <c r="J145" s="269">
        <f>I145</f>
        <v>10000000</v>
      </c>
      <c r="K145" s="269"/>
    </row>
    <row r="146" spans="1:11" x14ac:dyDescent="0.35">
      <c r="A146" s="127" t="s">
        <v>91</v>
      </c>
      <c r="B146" s="127" t="s">
        <v>113</v>
      </c>
      <c r="C146" s="140">
        <v>3</v>
      </c>
      <c r="D146" s="263" t="s">
        <v>51</v>
      </c>
      <c r="E146" s="270"/>
      <c r="F146" s="143">
        <f t="shared" si="25"/>
        <v>11000000</v>
      </c>
      <c r="G146" s="270">
        <v>10000000</v>
      </c>
      <c r="H146" s="270">
        <v>1000000</v>
      </c>
      <c r="I146" s="270"/>
      <c r="J146" s="269"/>
      <c r="K146" s="269"/>
    </row>
    <row r="147" spans="1:11" x14ac:dyDescent="0.35">
      <c r="A147" s="127" t="s">
        <v>91</v>
      </c>
      <c r="B147" s="127" t="s">
        <v>109</v>
      </c>
      <c r="C147" s="140">
        <v>4</v>
      </c>
      <c r="D147" s="263" t="s">
        <v>54</v>
      </c>
      <c r="E147" s="270"/>
      <c r="F147" s="143">
        <f t="shared" si="25"/>
        <v>11000000</v>
      </c>
      <c r="G147" s="270">
        <v>10000000</v>
      </c>
      <c r="H147" s="270">
        <v>1000000</v>
      </c>
      <c r="I147" s="270"/>
      <c r="J147" s="269"/>
      <c r="K147" s="269"/>
    </row>
    <row r="148" spans="1:11" s="126" customFormat="1" x14ac:dyDescent="0.35">
      <c r="A148" s="127" t="s">
        <v>91</v>
      </c>
      <c r="B148" s="127" t="s">
        <v>106</v>
      </c>
      <c r="C148" s="140">
        <v>5</v>
      </c>
      <c r="D148" s="263" t="s">
        <v>71</v>
      </c>
      <c r="E148" s="143"/>
      <c r="F148" s="143">
        <f t="shared" si="25"/>
        <v>11000000</v>
      </c>
      <c r="G148" s="143">
        <v>10000000</v>
      </c>
      <c r="H148" s="143">
        <v>1000000</v>
      </c>
      <c r="I148" s="143"/>
      <c r="J148" s="269"/>
      <c r="K148" s="269"/>
    </row>
    <row r="149" spans="1:11" x14ac:dyDescent="0.35">
      <c r="A149" s="127" t="s">
        <v>91</v>
      </c>
      <c r="B149" s="127" t="s">
        <v>110</v>
      </c>
      <c r="C149" s="140">
        <v>6</v>
      </c>
      <c r="D149" s="263" t="s">
        <v>53</v>
      </c>
      <c r="E149" s="270"/>
      <c r="F149" s="143">
        <f t="shared" si="25"/>
        <v>11000000</v>
      </c>
      <c r="G149" s="270">
        <v>10000000</v>
      </c>
      <c r="H149" s="270">
        <v>1000000</v>
      </c>
      <c r="I149" s="270"/>
      <c r="J149" s="269"/>
      <c r="K149" s="269"/>
    </row>
    <row r="150" spans="1:11" x14ac:dyDescent="0.35">
      <c r="A150" s="127" t="s">
        <v>91</v>
      </c>
      <c r="B150" s="127" t="s">
        <v>108</v>
      </c>
      <c r="C150" s="140">
        <v>7</v>
      </c>
      <c r="D150" s="263" t="s">
        <v>46</v>
      </c>
      <c r="E150" s="271"/>
      <c r="F150" s="143">
        <f t="shared" si="25"/>
        <v>111000000</v>
      </c>
      <c r="G150" s="271">
        <v>106000000</v>
      </c>
      <c r="H150" s="271">
        <v>5000000</v>
      </c>
      <c r="I150" s="271"/>
      <c r="J150" s="269"/>
      <c r="K150" s="269"/>
    </row>
    <row r="151" spans="1:11" s="126" customFormat="1" x14ac:dyDescent="0.35">
      <c r="A151" s="127" t="s">
        <v>91</v>
      </c>
      <c r="B151" s="127" t="s">
        <v>116</v>
      </c>
      <c r="C151" s="140">
        <v>8</v>
      </c>
      <c r="D151" s="263" t="s">
        <v>50</v>
      </c>
      <c r="E151" s="143"/>
      <c r="F151" s="143">
        <f t="shared" si="25"/>
        <v>11000000</v>
      </c>
      <c r="G151" s="143">
        <v>10000000</v>
      </c>
      <c r="H151" s="143">
        <v>1000000</v>
      </c>
      <c r="I151" s="143"/>
      <c r="J151" s="269"/>
      <c r="K151" s="269"/>
    </row>
    <row r="152" spans="1:11" x14ac:dyDescent="0.35">
      <c r="A152" s="127" t="s">
        <v>91</v>
      </c>
      <c r="B152" s="127" t="s">
        <v>117</v>
      </c>
      <c r="C152" s="140">
        <v>9</v>
      </c>
      <c r="D152" s="263" t="s">
        <v>49</v>
      </c>
      <c r="E152" s="143"/>
      <c r="F152" s="143">
        <f t="shared" si="25"/>
        <v>11000000</v>
      </c>
      <c r="G152" s="143">
        <v>10000000</v>
      </c>
      <c r="H152" s="143">
        <v>1000000</v>
      </c>
      <c r="I152" s="143">
        <v>1000000</v>
      </c>
      <c r="J152" s="269">
        <f t="shared" ref="J152:J173" si="26">I152</f>
        <v>1000000</v>
      </c>
      <c r="K152" s="269"/>
    </row>
    <row r="153" spans="1:11" x14ac:dyDescent="0.35">
      <c r="A153" s="127" t="s">
        <v>91</v>
      </c>
      <c r="B153" s="127" t="s">
        <v>118</v>
      </c>
      <c r="C153" s="140">
        <v>10</v>
      </c>
      <c r="D153" s="263" t="s">
        <v>70</v>
      </c>
      <c r="E153" s="143"/>
      <c r="F153" s="143">
        <f t="shared" si="25"/>
        <v>11000000</v>
      </c>
      <c r="G153" s="143">
        <v>10000000</v>
      </c>
      <c r="H153" s="143">
        <v>1000000</v>
      </c>
      <c r="I153" s="143">
        <v>1000000</v>
      </c>
      <c r="J153" s="269">
        <f t="shared" si="26"/>
        <v>1000000</v>
      </c>
      <c r="K153" s="269"/>
    </row>
    <row r="154" spans="1:11" x14ac:dyDescent="0.35">
      <c r="A154" s="127" t="s">
        <v>91</v>
      </c>
      <c r="B154" s="127" t="s">
        <v>97</v>
      </c>
      <c r="C154" s="140">
        <v>11</v>
      </c>
      <c r="D154" s="263" t="s">
        <v>37</v>
      </c>
      <c r="E154" s="143"/>
      <c r="F154" s="143">
        <f t="shared" si="25"/>
        <v>11000000</v>
      </c>
      <c r="G154" s="143">
        <v>10000000</v>
      </c>
      <c r="H154" s="143">
        <v>1000000</v>
      </c>
      <c r="I154" s="143">
        <v>1000000</v>
      </c>
      <c r="J154" s="269">
        <f t="shared" si="26"/>
        <v>1000000</v>
      </c>
      <c r="K154" s="269"/>
    </row>
    <row r="155" spans="1:11" x14ac:dyDescent="0.35">
      <c r="A155" s="127" t="s">
        <v>91</v>
      </c>
      <c r="B155" s="127" t="s">
        <v>119</v>
      </c>
      <c r="C155" s="140">
        <v>12</v>
      </c>
      <c r="D155" s="263" t="s">
        <v>48</v>
      </c>
      <c r="E155" s="143"/>
      <c r="F155" s="143">
        <f t="shared" si="25"/>
        <v>11000000</v>
      </c>
      <c r="G155" s="143">
        <v>10000000</v>
      </c>
      <c r="H155" s="143">
        <v>1000000</v>
      </c>
      <c r="I155" s="143">
        <v>1000000</v>
      </c>
      <c r="J155" s="269">
        <f t="shared" si="26"/>
        <v>1000000</v>
      </c>
      <c r="K155" s="269"/>
    </row>
    <row r="156" spans="1:11" s="126" customFormat="1" x14ac:dyDescent="0.35">
      <c r="A156" s="127" t="s">
        <v>91</v>
      </c>
      <c r="B156" s="127" t="s">
        <v>120</v>
      </c>
      <c r="C156" s="140">
        <v>13</v>
      </c>
      <c r="D156" s="263" t="s">
        <v>47</v>
      </c>
      <c r="E156" s="143"/>
      <c r="F156" s="143">
        <f t="shared" si="25"/>
        <v>11000000</v>
      </c>
      <c r="G156" s="143">
        <v>10000000</v>
      </c>
      <c r="H156" s="143">
        <v>1000000</v>
      </c>
      <c r="I156" s="143"/>
      <c r="J156" s="269"/>
      <c r="K156" s="269"/>
    </row>
    <row r="157" spans="1:11" x14ac:dyDescent="0.35">
      <c r="A157" s="127" t="s">
        <v>91</v>
      </c>
      <c r="B157" s="127" t="s">
        <v>100</v>
      </c>
      <c r="C157" s="140">
        <v>14</v>
      </c>
      <c r="D157" s="263" t="s">
        <v>39</v>
      </c>
      <c r="E157" s="270"/>
      <c r="F157" s="143">
        <f t="shared" si="25"/>
        <v>11000000</v>
      </c>
      <c r="G157" s="270">
        <v>10000000</v>
      </c>
      <c r="H157" s="270">
        <v>1000000</v>
      </c>
      <c r="I157" s="270">
        <v>1000000</v>
      </c>
      <c r="J157" s="269">
        <f t="shared" si="26"/>
        <v>1000000</v>
      </c>
      <c r="K157" s="269"/>
    </row>
    <row r="158" spans="1:11" x14ac:dyDescent="0.35">
      <c r="A158" s="127" t="s">
        <v>91</v>
      </c>
      <c r="B158" s="127" t="s">
        <v>95</v>
      </c>
      <c r="C158" s="140">
        <v>15</v>
      </c>
      <c r="D158" s="263" t="s">
        <v>134</v>
      </c>
      <c r="E158" s="143"/>
      <c r="F158" s="143">
        <f t="shared" si="25"/>
        <v>28000000</v>
      </c>
      <c r="G158" s="143">
        <v>27000000</v>
      </c>
      <c r="H158" s="143">
        <v>1000000</v>
      </c>
      <c r="I158" s="143">
        <v>1000000</v>
      </c>
      <c r="J158" s="269">
        <f t="shared" si="26"/>
        <v>1000000</v>
      </c>
      <c r="K158" s="269"/>
    </row>
    <row r="159" spans="1:11" x14ac:dyDescent="0.35">
      <c r="A159" s="127" t="s">
        <v>91</v>
      </c>
      <c r="B159" s="127" t="s">
        <v>114</v>
      </c>
      <c r="C159" s="140">
        <v>16</v>
      </c>
      <c r="D159" s="263" t="s">
        <v>38</v>
      </c>
      <c r="E159" s="143"/>
      <c r="F159" s="143">
        <f t="shared" si="25"/>
        <v>11000000</v>
      </c>
      <c r="G159" s="143">
        <v>10000000</v>
      </c>
      <c r="H159" s="143">
        <v>1000000</v>
      </c>
      <c r="I159" s="143">
        <v>1000000</v>
      </c>
      <c r="J159" s="269">
        <f t="shared" si="26"/>
        <v>1000000</v>
      </c>
      <c r="K159" s="269"/>
    </row>
    <row r="160" spans="1:11" s="126" customFormat="1" x14ac:dyDescent="0.35">
      <c r="A160" s="127" t="s">
        <v>91</v>
      </c>
      <c r="B160" s="127" t="s">
        <v>107</v>
      </c>
      <c r="C160" s="140">
        <v>17</v>
      </c>
      <c r="D160" s="263" t="s">
        <v>45</v>
      </c>
      <c r="E160" s="143"/>
      <c r="F160" s="143">
        <f t="shared" si="25"/>
        <v>11000000</v>
      </c>
      <c r="G160" s="143">
        <v>10000000</v>
      </c>
      <c r="H160" s="143">
        <v>1000000</v>
      </c>
      <c r="I160" s="143"/>
      <c r="J160" s="269"/>
      <c r="K160" s="269"/>
    </row>
    <row r="161" spans="1:11" x14ac:dyDescent="0.35">
      <c r="A161" s="127" t="s">
        <v>91</v>
      </c>
      <c r="B161" s="127" t="s">
        <v>111</v>
      </c>
      <c r="C161" s="140">
        <v>18</v>
      </c>
      <c r="D161" s="263" t="s">
        <v>52</v>
      </c>
      <c r="E161" s="143"/>
      <c r="F161" s="143">
        <f t="shared" si="25"/>
        <v>11000000</v>
      </c>
      <c r="G161" s="143">
        <v>10000000</v>
      </c>
      <c r="H161" s="143">
        <v>1000000</v>
      </c>
      <c r="I161" s="143">
        <v>1000000</v>
      </c>
      <c r="J161" s="269">
        <f t="shared" si="26"/>
        <v>1000000</v>
      </c>
      <c r="K161" s="269"/>
    </row>
    <row r="162" spans="1:11" x14ac:dyDescent="0.35">
      <c r="A162" s="127" t="s">
        <v>91</v>
      </c>
      <c r="B162" s="127" t="s">
        <v>93</v>
      </c>
      <c r="C162" s="140">
        <v>19</v>
      </c>
      <c r="D162" s="263" t="s">
        <v>43</v>
      </c>
      <c r="E162" s="266"/>
      <c r="F162" s="143">
        <f t="shared" si="25"/>
        <v>11000000</v>
      </c>
      <c r="G162" s="266">
        <v>10000000</v>
      </c>
      <c r="H162" s="266">
        <v>1000000</v>
      </c>
      <c r="I162" s="266">
        <v>1000000</v>
      </c>
      <c r="J162" s="269">
        <f t="shared" si="26"/>
        <v>1000000</v>
      </c>
      <c r="K162" s="269"/>
    </row>
    <row r="163" spans="1:11" x14ac:dyDescent="0.35">
      <c r="A163" s="127" t="s">
        <v>91</v>
      </c>
      <c r="B163" s="127" t="s">
        <v>102</v>
      </c>
      <c r="C163" s="140">
        <v>20</v>
      </c>
      <c r="D163" s="263" t="s">
        <v>40</v>
      </c>
      <c r="E163" s="143"/>
      <c r="F163" s="143">
        <f t="shared" si="25"/>
        <v>11000000</v>
      </c>
      <c r="G163" s="143">
        <v>10000000</v>
      </c>
      <c r="H163" s="143">
        <v>1000000</v>
      </c>
      <c r="I163" s="143"/>
      <c r="J163" s="269"/>
      <c r="K163" s="269"/>
    </row>
    <row r="164" spans="1:11" s="126" customFormat="1" x14ac:dyDescent="0.35">
      <c r="A164" s="127" t="s">
        <v>91</v>
      </c>
      <c r="B164" s="127" t="s">
        <v>104</v>
      </c>
      <c r="C164" s="140">
        <v>21</v>
      </c>
      <c r="D164" s="263" t="s">
        <v>41</v>
      </c>
      <c r="E164" s="266"/>
      <c r="F164" s="143">
        <f t="shared" si="25"/>
        <v>11000000</v>
      </c>
      <c r="G164" s="266">
        <v>10000000</v>
      </c>
      <c r="H164" s="266">
        <v>1000000</v>
      </c>
      <c r="I164" s="266">
        <v>1000000</v>
      </c>
      <c r="J164" s="269">
        <f t="shared" si="26"/>
        <v>1000000</v>
      </c>
      <c r="K164" s="269"/>
    </row>
    <row r="165" spans="1:11" x14ac:dyDescent="0.35">
      <c r="A165" s="127" t="s">
        <v>91</v>
      </c>
      <c r="B165" s="127" t="s">
        <v>112</v>
      </c>
      <c r="C165" s="140">
        <v>22</v>
      </c>
      <c r="D165" s="263" t="s">
        <v>86</v>
      </c>
      <c r="E165" s="270"/>
      <c r="F165" s="143">
        <f t="shared" si="25"/>
        <v>11000000</v>
      </c>
      <c r="G165" s="270">
        <v>10000000</v>
      </c>
      <c r="H165" s="270">
        <v>1000000</v>
      </c>
      <c r="I165" s="270"/>
      <c r="J165" s="269"/>
      <c r="K165" s="269"/>
    </row>
    <row r="166" spans="1:11" x14ac:dyDescent="0.35">
      <c r="A166" s="127" t="s">
        <v>91</v>
      </c>
      <c r="B166" s="127" t="s">
        <v>132</v>
      </c>
      <c r="C166" s="140">
        <v>23</v>
      </c>
      <c r="D166" s="263" t="s">
        <v>34</v>
      </c>
      <c r="E166" s="143"/>
      <c r="F166" s="143">
        <f t="shared" si="25"/>
        <v>73000000</v>
      </c>
      <c r="G166" s="143">
        <v>69000000</v>
      </c>
      <c r="H166" s="143">
        <v>4000000</v>
      </c>
      <c r="I166" s="143">
        <v>4000000</v>
      </c>
      <c r="J166" s="269">
        <f t="shared" si="26"/>
        <v>4000000</v>
      </c>
      <c r="K166" s="269"/>
    </row>
    <row r="167" spans="1:11" x14ac:dyDescent="0.35">
      <c r="A167" s="127" t="s">
        <v>91</v>
      </c>
      <c r="B167" s="127" t="s">
        <v>129</v>
      </c>
      <c r="C167" s="140">
        <v>24</v>
      </c>
      <c r="D167" s="263" t="s">
        <v>31</v>
      </c>
      <c r="E167" s="143"/>
      <c r="F167" s="143">
        <f t="shared" si="25"/>
        <v>62000000</v>
      </c>
      <c r="G167" s="143">
        <v>59000000</v>
      </c>
      <c r="H167" s="143">
        <v>3000000</v>
      </c>
      <c r="I167" s="143"/>
      <c r="J167" s="269"/>
      <c r="K167" s="269"/>
    </row>
    <row r="168" spans="1:11" s="126" customFormat="1" x14ac:dyDescent="0.35">
      <c r="A168" s="127" t="s">
        <v>91</v>
      </c>
      <c r="B168" s="127" t="s">
        <v>127</v>
      </c>
      <c r="C168" s="140">
        <v>25</v>
      </c>
      <c r="D168" s="263" t="s">
        <v>29</v>
      </c>
      <c r="E168" s="268"/>
      <c r="F168" s="143">
        <f t="shared" si="25"/>
        <v>70000000</v>
      </c>
      <c r="G168" s="143">
        <v>66000000</v>
      </c>
      <c r="H168" s="143">
        <v>4000000</v>
      </c>
      <c r="I168" s="143">
        <v>4000000</v>
      </c>
      <c r="J168" s="269">
        <f t="shared" si="26"/>
        <v>4000000</v>
      </c>
      <c r="K168" s="269"/>
    </row>
    <row r="169" spans="1:11" x14ac:dyDescent="0.35">
      <c r="A169" s="127" t="s">
        <v>91</v>
      </c>
      <c r="B169" s="127" t="s">
        <v>126</v>
      </c>
      <c r="C169" s="140">
        <v>26</v>
      </c>
      <c r="D169" s="263" t="s">
        <v>28</v>
      </c>
      <c r="E169" s="143"/>
      <c r="F169" s="143">
        <f t="shared" si="25"/>
        <v>63000000</v>
      </c>
      <c r="G169" s="143">
        <v>59000000</v>
      </c>
      <c r="H169" s="143">
        <v>4000000</v>
      </c>
      <c r="I169" s="143">
        <v>4000000</v>
      </c>
      <c r="J169" s="269">
        <f t="shared" si="26"/>
        <v>4000000</v>
      </c>
      <c r="K169" s="269"/>
    </row>
    <row r="170" spans="1:11" x14ac:dyDescent="0.35">
      <c r="A170" s="127" t="s">
        <v>91</v>
      </c>
      <c r="B170" s="127" t="s">
        <v>130</v>
      </c>
      <c r="C170" s="140">
        <v>27</v>
      </c>
      <c r="D170" s="263" t="s">
        <v>32</v>
      </c>
      <c r="E170" s="142"/>
      <c r="F170" s="143">
        <f t="shared" si="25"/>
        <v>92000000</v>
      </c>
      <c r="G170" s="143">
        <v>87000000</v>
      </c>
      <c r="H170" s="143">
        <v>5000000</v>
      </c>
      <c r="I170" s="143">
        <v>2600000</v>
      </c>
      <c r="J170" s="269">
        <f t="shared" si="26"/>
        <v>2600000</v>
      </c>
      <c r="K170" s="269"/>
    </row>
    <row r="171" spans="1:11" s="126" customFormat="1" x14ac:dyDescent="0.35">
      <c r="A171" s="127" t="s">
        <v>91</v>
      </c>
      <c r="B171" s="127" t="s">
        <v>128</v>
      </c>
      <c r="C171" s="140">
        <v>28</v>
      </c>
      <c r="D171" s="263" t="s">
        <v>30</v>
      </c>
      <c r="E171" s="143"/>
      <c r="F171" s="143">
        <f t="shared" si="25"/>
        <v>61000000</v>
      </c>
      <c r="G171" s="143">
        <v>58000000</v>
      </c>
      <c r="H171" s="143">
        <v>3000000</v>
      </c>
      <c r="I171" s="143">
        <v>612000</v>
      </c>
      <c r="J171" s="269">
        <f t="shared" si="26"/>
        <v>612000</v>
      </c>
      <c r="K171" s="269"/>
    </row>
    <row r="172" spans="1:11" x14ac:dyDescent="0.35">
      <c r="A172" s="127" t="s">
        <v>91</v>
      </c>
      <c r="B172" s="127" t="s">
        <v>131</v>
      </c>
      <c r="C172" s="140">
        <v>29</v>
      </c>
      <c r="D172" s="263" t="s">
        <v>33</v>
      </c>
      <c r="E172" s="143"/>
      <c r="F172" s="143">
        <f t="shared" si="25"/>
        <v>66000000</v>
      </c>
      <c r="G172" s="143">
        <v>62000000</v>
      </c>
      <c r="H172" s="143">
        <v>4000000</v>
      </c>
      <c r="I172" s="143">
        <v>1160690</v>
      </c>
      <c r="J172" s="269">
        <f t="shared" si="26"/>
        <v>1160690</v>
      </c>
      <c r="K172" s="269"/>
    </row>
    <row r="173" spans="1:11" x14ac:dyDescent="0.35">
      <c r="A173" s="127" t="s">
        <v>91</v>
      </c>
      <c r="B173" s="127" t="s">
        <v>133</v>
      </c>
      <c r="C173" s="156">
        <v>30</v>
      </c>
      <c r="D173" s="272" t="s">
        <v>35</v>
      </c>
      <c r="E173" s="194"/>
      <c r="F173" s="194">
        <f t="shared" si="25"/>
        <v>11000000</v>
      </c>
      <c r="G173" s="194">
        <v>10000000</v>
      </c>
      <c r="H173" s="194">
        <v>1000000</v>
      </c>
      <c r="I173" s="194">
        <v>1000000</v>
      </c>
      <c r="J173" s="273">
        <f t="shared" si="26"/>
        <v>1000000</v>
      </c>
      <c r="K173" s="273"/>
    </row>
  </sheetData>
  <sortState xmlns:xlrd2="http://schemas.microsoft.com/office/spreadsheetml/2017/richdata2" ref="A11:L247">
    <sortCondition ref="A11:A247"/>
    <sortCondition ref="B11:B247"/>
  </sortState>
  <mergeCells count="13">
    <mergeCell ref="K5:K7"/>
    <mergeCell ref="K91:K99"/>
    <mergeCell ref="C2:K2"/>
    <mergeCell ref="C3:K3"/>
    <mergeCell ref="C9:D9"/>
    <mergeCell ref="F6:F7"/>
    <mergeCell ref="C5:C7"/>
    <mergeCell ref="D5:D7"/>
    <mergeCell ref="E5:E7"/>
    <mergeCell ref="J5:J7"/>
    <mergeCell ref="G6:H6"/>
    <mergeCell ref="F5:H5"/>
    <mergeCell ref="I5:I7"/>
  </mergeCells>
  <pageMargins left="0.94488188976377996" right="0.16" top="0.28999999999999998" bottom="0.48" header="0.18" footer="0.2"/>
  <pageSetup paperSize="9" scale="64" firstPageNumber="34" fitToHeight="0" orientation="landscape" useFirstPageNumber="1" r:id="rId1"/>
  <headerFooter>
    <oddHeader xml:space="preserve">&amp;R&amp;"Times New Roman,Bold"&amp;UBiểu số 04
</oddHeader>
    <oddFooter>&amp;C&amp;P</oddFooter>
    <evenFooter>&amp;C3&amp;N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5"/>
  <sheetViews>
    <sheetView topLeftCell="E1" zoomScale="70" zoomScaleNormal="70" workbookViewId="0">
      <selection activeCell="Y12" sqref="Y12"/>
    </sheetView>
  </sheetViews>
  <sheetFormatPr defaultRowHeight="16.5" x14ac:dyDescent="0.35"/>
  <cols>
    <col min="1" max="1" width="5.5" style="210" customWidth="1"/>
    <col min="2" max="3" width="11.33203125" style="211" customWidth="1"/>
    <col min="4" max="5" width="12.33203125" style="212" customWidth="1"/>
    <col min="6" max="6" width="12.83203125" style="211" customWidth="1"/>
    <col min="7" max="7" width="13.25" style="211" customWidth="1"/>
    <col min="8" max="8" width="11" style="211" customWidth="1"/>
    <col min="9" max="9" width="15.83203125" style="213" customWidth="1"/>
    <col min="10" max="11" width="9.5" style="213" customWidth="1"/>
    <col min="12" max="12" width="11.33203125" style="213" customWidth="1"/>
    <col min="13" max="15" width="15.58203125" style="213" customWidth="1"/>
    <col min="16" max="17" width="11.08203125" style="212" customWidth="1"/>
    <col min="18" max="20" width="15.58203125" style="212" customWidth="1"/>
    <col min="21" max="21" width="15.58203125" style="211" customWidth="1"/>
    <col min="22" max="22" width="17" style="211" customWidth="1"/>
    <col min="23" max="256" width="9" style="211"/>
    <col min="257" max="257" width="5.5" style="211" customWidth="1"/>
    <col min="258" max="267" width="11" style="211" customWidth="1"/>
    <col min="268" max="268" width="14.33203125" style="211" customWidth="1"/>
    <col min="269" max="269" width="18.83203125" style="211" customWidth="1"/>
    <col min="270" max="270" width="17.83203125" style="211" customWidth="1"/>
    <col min="271" max="271" width="19.58203125" style="211" customWidth="1"/>
    <col min="272" max="273" width="11" style="211" customWidth="1"/>
    <col min="274" max="274" width="18.08203125" style="211" customWidth="1"/>
    <col min="275" max="277" width="11" style="211" customWidth="1"/>
    <col min="278" max="512" width="9" style="211"/>
    <col min="513" max="513" width="5.5" style="211" customWidth="1"/>
    <col min="514" max="523" width="11" style="211" customWidth="1"/>
    <col min="524" max="524" width="14.33203125" style="211" customWidth="1"/>
    <col min="525" max="525" width="18.83203125" style="211" customWidth="1"/>
    <col min="526" max="526" width="17.83203125" style="211" customWidth="1"/>
    <col min="527" max="527" width="19.58203125" style="211" customWidth="1"/>
    <col min="528" max="529" width="11" style="211" customWidth="1"/>
    <col min="530" max="530" width="18.08203125" style="211" customWidth="1"/>
    <col min="531" max="533" width="11" style="211" customWidth="1"/>
    <col min="534" max="768" width="9" style="211"/>
    <col min="769" max="769" width="5.5" style="211" customWidth="1"/>
    <col min="770" max="779" width="11" style="211" customWidth="1"/>
    <col min="780" max="780" width="14.33203125" style="211" customWidth="1"/>
    <col min="781" max="781" width="18.83203125" style="211" customWidth="1"/>
    <col min="782" max="782" width="17.83203125" style="211" customWidth="1"/>
    <col min="783" max="783" width="19.58203125" style="211" customWidth="1"/>
    <col min="784" max="785" width="11" style="211" customWidth="1"/>
    <col min="786" max="786" width="18.08203125" style="211" customWidth="1"/>
    <col min="787" max="789" width="11" style="211" customWidth="1"/>
    <col min="790" max="1024" width="9" style="211"/>
    <col min="1025" max="1025" width="5.5" style="211" customWidth="1"/>
    <col min="1026" max="1035" width="11" style="211" customWidth="1"/>
    <col min="1036" max="1036" width="14.33203125" style="211" customWidth="1"/>
    <col min="1037" max="1037" width="18.83203125" style="211" customWidth="1"/>
    <col min="1038" max="1038" width="17.83203125" style="211" customWidth="1"/>
    <col min="1039" max="1039" width="19.58203125" style="211" customWidth="1"/>
    <col min="1040" max="1041" width="11" style="211" customWidth="1"/>
    <col min="1042" max="1042" width="18.08203125" style="211" customWidth="1"/>
    <col min="1043" max="1045" width="11" style="211" customWidth="1"/>
    <col min="1046" max="1280" width="9" style="211"/>
    <col min="1281" max="1281" width="5.5" style="211" customWidth="1"/>
    <col min="1282" max="1291" width="11" style="211" customWidth="1"/>
    <col min="1292" max="1292" width="14.33203125" style="211" customWidth="1"/>
    <col min="1293" max="1293" width="18.83203125" style="211" customWidth="1"/>
    <col min="1294" max="1294" width="17.83203125" style="211" customWidth="1"/>
    <col min="1295" max="1295" width="19.58203125" style="211" customWidth="1"/>
    <col min="1296" max="1297" width="11" style="211" customWidth="1"/>
    <col min="1298" max="1298" width="18.08203125" style="211" customWidth="1"/>
    <col min="1299" max="1301" width="11" style="211" customWidth="1"/>
    <col min="1302" max="1536" width="9" style="211"/>
    <col min="1537" max="1537" width="5.5" style="211" customWidth="1"/>
    <col min="1538" max="1547" width="11" style="211" customWidth="1"/>
    <col min="1548" max="1548" width="14.33203125" style="211" customWidth="1"/>
    <col min="1549" max="1549" width="18.83203125" style="211" customWidth="1"/>
    <col min="1550" max="1550" width="17.83203125" style="211" customWidth="1"/>
    <col min="1551" max="1551" width="19.58203125" style="211" customWidth="1"/>
    <col min="1552" max="1553" width="11" style="211" customWidth="1"/>
    <col min="1554" max="1554" width="18.08203125" style="211" customWidth="1"/>
    <col min="1555" max="1557" width="11" style="211" customWidth="1"/>
    <col min="1558" max="1792" width="9" style="211"/>
    <col min="1793" max="1793" width="5.5" style="211" customWidth="1"/>
    <col min="1794" max="1803" width="11" style="211" customWidth="1"/>
    <col min="1804" max="1804" width="14.33203125" style="211" customWidth="1"/>
    <col min="1805" max="1805" width="18.83203125" style="211" customWidth="1"/>
    <col min="1806" max="1806" width="17.83203125" style="211" customWidth="1"/>
    <col min="1807" max="1807" width="19.58203125" style="211" customWidth="1"/>
    <col min="1808" max="1809" width="11" style="211" customWidth="1"/>
    <col min="1810" max="1810" width="18.08203125" style="211" customWidth="1"/>
    <col min="1811" max="1813" width="11" style="211" customWidth="1"/>
    <col min="1814" max="2048" width="9" style="211"/>
    <col min="2049" max="2049" width="5.5" style="211" customWidth="1"/>
    <col min="2050" max="2059" width="11" style="211" customWidth="1"/>
    <col min="2060" max="2060" width="14.33203125" style="211" customWidth="1"/>
    <col min="2061" max="2061" width="18.83203125" style="211" customWidth="1"/>
    <col min="2062" max="2062" width="17.83203125" style="211" customWidth="1"/>
    <col min="2063" max="2063" width="19.58203125" style="211" customWidth="1"/>
    <col min="2064" max="2065" width="11" style="211" customWidth="1"/>
    <col min="2066" max="2066" width="18.08203125" style="211" customWidth="1"/>
    <col min="2067" max="2069" width="11" style="211" customWidth="1"/>
    <col min="2070" max="2304" width="9" style="211"/>
    <col min="2305" max="2305" width="5.5" style="211" customWidth="1"/>
    <col min="2306" max="2315" width="11" style="211" customWidth="1"/>
    <col min="2316" max="2316" width="14.33203125" style="211" customWidth="1"/>
    <col min="2317" max="2317" width="18.83203125" style="211" customWidth="1"/>
    <col min="2318" max="2318" width="17.83203125" style="211" customWidth="1"/>
    <col min="2319" max="2319" width="19.58203125" style="211" customWidth="1"/>
    <col min="2320" max="2321" width="11" style="211" customWidth="1"/>
    <col min="2322" max="2322" width="18.08203125" style="211" customWidth="1"/>
    <col min="2323" max="2325" width="11" style="211" customWidth="1"/>
    <col min="2326" max="2560" width="9" style="211"/>
    <col min="2561" max="2561" width="5.5" style="211" customWidth="1"/>
    <col min="2562" max="2571" width="11" style="211" customWidth="1"/>
    <col min="2572" max="2572" width="14.33203125" style="211" customWidth="1"/>
    <col min="2573" max="2573" width="18.83203125" style="211" customWidth="1"/>
    <col min="2574" max="2574" width="17.83203125" style="211" customWidth="1"/>
    <col min="2575" max="2575" width="19.58203125" style="211" customWidth="1"/>
    <col min="2576" max="2577" width="11" style="211" customWidth="1"/>
    <col min="2578" max="2578" width="18.08203125" style="211" customWidth="1"/>
    <col min="2579" max="2581" width="11" style="211" customWidth="1"/>
    <col min="2582" max="2816" width="9" style="211"/>
    <col min="2817" max="2817" width="5.5" style="211" customWidth="1"/>
    <col min="2818" max="2827" width="11" style="211" customWidth="1"/>
    <col min="2828" max="2828" width="14.33203125" style="211" customWidth="1"/>
    <col min="2829" max="2829" width="18.83203125" style="211" customWidth="1"/>
    <col min="2830" max="2830" width="17.83203125" style="211" customWidth="1"/>
    <col min="2831" max="2831" width="19.58203125" style="211" customWidth="1"/>
    <col min="2832" max="2833" width="11" style="211" customWidth="1"/>
    <col min="2834" max="2834" width="18.08203125" style="211" customWidth="1"/>
    <col min="2835" max="2837" width="11" style="211" customWidth="1"/>
    <col min="2838" max="3072" width="9" style="211"/>
    <col min="3073" max="3073" width="5.5" style="211" customWidth="1"/>
    <col min="3074" max="3083" width="11" style="211" customWidth="1"/>
    <col min="3084" max="3084" width="14.33203125" style="211" customWidth="1"/>
    <col min="3085" max="3085" width="18.83203125" style="211" customWidth="1"/>
    <col min="3086" max="3086" width="17.83203125" style="211" customWidth="1"/>
    <col min="3087" max="3087" width="19.58203125" style="211" customWidth="1"/>
    <col min="3088" max="3089" width="11" style="211" customWidth="1"/>
    <col min="3090" max="3090" width="18.08203125" style="211" customWidth="1"/>
    <col min="3091" max="3093" width="11" style="211" customWidth="1"/>
    <col min="3094" max="3328" width="9" style="211"/>
    <col min="3329" max="3329" width="5.5" style="211" customWidth="1"/>
    <col min="3330" max="3339" width="11" style="211" customWidth="1"/>
    <col min="3340" max="3340" width="14.33203125" style="211" customWidth="1"/>
    <col min="3341" max="3341" width="18.83203125" style="211" customWidth="1"/>
    <col min="3342" max="3342" width="17.83203125" style="211" customWidth="1"/>
    <col min="3343" max="3343" width="19.58203125" style="211" customWidth="1"/>
    <col min="3344" max="3345" width="11" style="211" customWidth="1"/>
    <col min="3346" max="3346" width="18.08203125" style="211" customWidth="1"/>
    <col min="3347" max="3349" width="11" style="211" customWidth="1"/>
    <col min="3350" max="3584" width="9" style="211"/>
    <col min="3585" max="3585" width="5.5" style="211" customWidth="1"/>
    <col min="3586" max="3595" width="11" style="211" customWidth="1"/>
    <col min="3596" max="3596" width="14.33203125" style="211" customWidth="1"/>
    <col min="3597" max="3597" width="18.83203125" style="211" customWidth="1"/>
    <col min="3598" max="3598" width="17.83203125" style="211" customWidth="1"/>
    <col min="3599" max="3599" width="19.58203125" style="211" customWidth="1"/>
    <col min="3600" max="3601" width="11" style="211" customWidth="1"/>
    <col min="3602" max="3602" width="18.08203125" style="211" customWidth="1"/>
    <col min="3603" max="3605" width="11" style="211" customWidth="1"/>
    <col min="3606" max="3840" width="9" style="211"/>
    <col min="3841" max="3841" width="5.5" style="211" customWidth="1"/>
    <col min="3842" max="3851" width="11" style="211" customWidth="1"/>
    <col min="3852" max="3852" width="14.33203125" style="211" customWidth="1"/>
    <col min="3853" max="3853" width="18.83203125" style="211" customWidth="1"/>
    <col min="3854" max="3854" width="17.83203125" style="211" customWidth="1"/>
    <col min="3855" max="3855" width="19.58203125" style="211" customWidth="1"/>
    <col min="3856" max="3857" width="11" style="211" customWidth="1"/>
    <col min="3858" max="3858" width="18.08203125" style="211" customWidth="1"/>
    <col min="3859" max="3861" width="11" style="211" customWidth="1"/>
    <col min="3862" max="4096" width="9" style="211"/>
    <col min="4097" max="4097" width="5.5" style="211" customWidth="1"/>
    <col min="4098" max="4107" width="11" style="211" customWidth="1"/>
    <col min="4108" max="4108" width="14.33203125" style="211" customWidth="1"/>
    <col min="4109" max="4109" width="18.83203125" style="211" customWidth="1"/>
    <col min="4110" max="4110" width="17.83203125" style="211" customWidth="1"/>
    <col min="4111" max="4111" width="19.58203125" style="211" customWidth="1"/>
    <col min="4112" max="4113" width="11" style="211" customWidth="1"/>
    <col min="4114" max="4114" width="18.08203125" style="211" customWidth="1"/>
    <col min="4115" max="4117" width="11" style="211" customWidth="1"/>
    <col min="4118" max="4352" width="9" style="211"/>
    <col min="4353" max="4353" width="5.5" style="211" customWidth="1"/>
    <col min="4354" max="4363" width="11" style="211" customWidth="1"/>
    <col min="4364" max="4364" width="14.33203125" style="211" customWidth="1"/>
    <col min="4365" max="4365" width="18.83203125" style="211" customWidth="1"/>
    <col min="4366" max="4366" width="17.83203125" style="211" customWidth="1"/>
    <col min="4367" max="4367" width="19.58203125" style="211" customWidth="1"/>
    <col min="4368" max="4369" width="11" style="211" customWidth="1"/>
    <col min="4370" max="4370" width="18.08203125" style="211" customWidth="1"/>
    <col min="4371" max="4373" width="11" style="211" customWidth="1"/>
    <col min="4374" max="4608" width="9" style="211"/>
    <col min="4609" max="4609" width="5.5" style="211" customWidth="1"/>
    <col min="4610" max="4619" width="11" style="211" customWidth="1"/>
    <col min="4620" max="4620" width="14.33203125" style="211" customWidth="1"/>
    <col min="4621" max="4621" width="18.83203125" style="211" customWidth="1"/>
    <col min="4622" max="4622" width="17.83203125" style="211" customWidth="1"/>
    <col min="4623" max="4623" width="19.58203125" style="211" customWidth="1"/>
    <col min="4624" max="4625" width="11" style="211" customWidth="1"/>
    <col min="4626" max="4626" width="18.08203125" style="211" customWidth="1"/>
    <col min="4627" max="4629" width="11" style="211" customWidth="1"/>
    <col min="4630" max="4864" width="9" style="211"/>
    <col min="4865" max="4865" width="5.5" style="211" customWidth="1"/>
    <col min="4866" max="4875" width="11" style="211" customWidth="1"/>
    <col min="4876" max="4876" width="14.33203125" style="211" customWidth="1"/>
    <col min="4877" max="4877" width="18.83203125" style="211" customWidth="1"/>
    <col min="4878" max="4878" width="17.83203125" style="211" customWidth="1"/>
    <col min="4879" max="4879" width="19.58203125" style="211" customWidth="1"/>
    <col min="4880" max="4881" width="11" style="211" customWidth="1"/>
    <col min="4882" max="4882" width="18.08203125" style="211" customWidth="1"/>
    <col min="4883" max="4885" width="11" style="211" customWidth="1"/>
    <col min="4886" max="5120" width="9" style="211"/>
    <col min="5121" max="5121" width="5.5" style="211" customWidth="1"/>
    <col min="5122" max="5131" width="11" style="211" customWidth="1"/>
    <col min="5132" max="5132" width="14.33203125" style="211" customWidth="1"/>
    <col min="5133" max="5133" width="18.83203125" style="211" customWidth="1"/>
    <col min="5134" max="5134" width="17.83203125" style="211" customWidth="1"/>
    <col min="5135" max="5135" width="19.58203125" style="211" customWidth="1"/>
    <col min="5136" max="5137" width="11" style="211" customWidth="1"/>
    <col min="5138" max="5138" width="18.08203125" style="211" customWidth="1"/>
    <col min="5139" max="5141" width="11" style="211" customWidth="1"/>
    <col min="5142" max="5376" width="9" style="211"/>
    <col min="5377" max="5377" width="5.5" style="211" customWidth="1"/>
    <col min="5378" max="5387" width="11" style="211" customWidth="1"/>
    <col min="5388" max="5388" width="14.33203125" style="211" customWidth="1"/>
    <col min="5389" max="5389" width="18.83203125" style="211" customWidth="1"/>
    <col min="5390" max="5390" width="17.83203125" style="211" customWidth="1"/>
    <col min="5391" max="5391" width="19.58203125" style="211" customWidth="1"/>
    <col min="5392" max="5393" width="11" style="211" customWidth="1"/>
    <col min="5394" max="5394" width="18.08203125" style="211" customWidth="1"/>
    <col min="5395" max="5397" width="11" style="211" customWidth="1"/>
    <col min="5398" max="5632" width="9" style="211"/>
    <col min="5633" max="5633" width="5.5" style="211" customWidth="1"/>
    <col min="5634" max="5643" width="11" style="211" customWidth="1"/>
    <col min="5644" max="5644" width="14.33203125" style="211" customWidth="1"/>
    <col min="5645" max="5645" width="18.83203125" style="211" customWidth="1"/>
    <col min="5646" max="5646" width="17.83203125" style="211" customWidth="1"/>
    <col min="5647" max="5647" width="19.58203125" style="211" customWidth="1"/>
    <col min="5648" max="5649" width="11" style="211" customWidth="1"/>
    <col min="5650" max="5650" width="18.08203125" style="211" customWidth="1"/>
    <col min="5651" max="5653" width="11" style="211" customWidth="1"/>
    <col min="5654" max="5888" width="9" style="211"/>
    <col min="5889" max="5889" width="5.5" style="211" customWidth="1"/>
    <col min="5890" max="5899" width="11" style="211" customWidth="1"/>
    <col min="5900" max="5900" width="14.33203125" style="211" customWidth="1"/>
    <col min="5901" max="5901" width="18.83203125" style="211" customWidth="1"/>
    <col min="5902" max="5902" width="17.83203125" style="211" customWidth="1"/>
    <col min="5903" max="5903" width="19.58203125" style="211" customWidth="1"/>
    <col min="5904" max="5905" width="11" style="211" customWidth="1"/>
    <col min="5906" max="5906" width="18.08203125" style="211" customWidth="1"/>
    <col min="5907" max="5909" width="11" style="211" customWidth="1"/>
    <col min="5910" max="6144" width="9" style="211"/>
    <col min="6145" max="6145" width="5.5" style="211" customWidth="1"/>
    <col min="6146" max="6155" width="11" style="211" customWidth="1"/>
    <col min="6156" max="6156" width="14.33203125" style="211" customWidth="1"/>
    <col min="6157" max="6157" width="18.83203125" style="211" customWidth="1"/>
    <col min="6158" max="6158" width="17.83203125" style="211" customWidth="1"/>
    <col min="6159" max="6159" width="19.58203125" style="211" customWidth="1"/>
    <col min="6160" max="6161" width="11" style="211" customWidth="1"/>
    <col min="6162" max="6162" width="18.08203125" style="211" customWidth="1"/>
    <col min="6163" max="6165" width="11" style="211" customWidth="1"/>
    <col min="6166" max="6400" width="9" style="211"/>
    <col min="6401" max="6401" width="5.5" style="211" customWidth="1"/>
    <col min="6402" max="6411" width="11" style="211" customWidth="1"/>
    <col min="6412" max="6412" width="14.33203125" style="211" customWidth="1"/>
    <col min="6413" max="6413" width="18.83203125" style="211" customWidth="1"/>
    <col min="6414" max="6414" width="17.83203125" style="211" customWidth="1"/>
    <col min="6415" max="6415" width="19.58203125" style="211" customWidth="1"/>
    <col min="6416" max="6417" width="11" style="211" customWidth="1"/>
    <col min="6418" max="6418" width="18.08203125" style="211" customWidth="1"/>
    <col min="6419" max="6421" width="11" style="211" customWidth="1"/>
    <col min="6422" max="6656" width="9" style="211"/>
    <col min="6657" max="6657" width="5.5" style="211" customWidth="1"/>
    <col min="6658" max="6667" width="11" style="211" customWidth="1"/>
    <col min="6668" max="6668" width="14.33203125" style="211" customWidth="1"/>
    <col min="6669" max="6669" width="18.83203125" style="211" customWidth="1"/>
    <col min="6670" max="6670" width="17.83203125" style="211" customWidth="1"/>
    <col min="6671" max="6671" width="19.58203125" style="211" customWidth="1"/>
    <col min="6672" max="6673" width="11" style="211" customWidth="1"/>
    <col min="6674" max="6674" width="18.08203125" style="211" customWidth="1"/>
    <col min="6675" max="6677" width="11" style="211" customWidth="1"/>
    <col min="6678" max="6912" width="9" style="211"/>
    <col min="6913" max="6913" width="5.5" style="211" customWidth="1"/>
    <col min="6914" max="6923" width="11" style="211" customWidth="1"/>
    <col min="6924" max="6924" width="14.33203125" style="211" customWidth="1"/>
    <col min="6925" max="6925" width="18.83203125" style="211" customWidth="1"/>
    <col min="6926" max="6926" width="17.83203125" style="211" customWidth="1"/>
    <col min="6927" max="6927" width="19.58203125" style="211" customWidth="1"/>
    <col min="6928" max="6929" width="11" style="211" customWidth="1"/>
    <col min="6930" max="6930" width="18.08203125" style="211" customWidth="1"/>
    <col min="6931" max="6933" width="11" style="211" customWidth="1"/>
    <col min="6934" max="7168" width="9" style="211"/>
    <col min="7169" max="7169" width="5.5" style="211" customWidth="1"/>
    <col min="7170" max="7179" width="11" style="211" customWidth="1"/>
    <col min="7180" max="7180" width="14.33203125" style="211" customWidth="1"/>
    <col min="7181" max="7181" width="18.83203125" style="211" customWidth="1"/>
    <col min="7182" max="7182" width="17.83203125" style="211" customWidth="1"/>
    <col min="7183" max="7183" width="19.58203125" style="211" customWidth="1"/>
    <col min="7184" max="7185" width="11" style="211" customWidth="1"/>
    <col min="7186" max="7186" width="18.08203125" style="211" customWidth="1"/>
    <col min="7187" max="7189" width="11" style="211" customWidth="1"/>
    <col min="7190" max="7424" width="9" style="211"/>
    <col min="7425" max="7425" width="5.5" style="211" customWidth="1"/>
    <col min="7426" max="7435" width="11" style="211" customWidth="1"/>
    <col min="7436" max="7436" width="14.33203125" style="211" customWidth="1"/>
    <col min="7437" max="7437" width="18.83203125" style="211" customWidth="1"/>
    <col min="7438" max="7438" width="17.83203125" style="211" customWidth="1"/>
    <col min="7439" max="7439" width="19.58203125" style="211" customWidth="1"/>
    <col min="7440" max="7441" width="11" style="211" customWidth="1"/>
    <col min="7442" max="7442" width="18.08203125" style="211" customWidth="1"/>
    <col min="7443" max="7445" width="11" style="211" customWidth="1"/>
    <col min="7446" max="7680" width="9" style="211"/>
    <col min="7681" max="7681" width="5.5" style="211" customWidth="1"/>
    <col min="7682" max="7691" width="11" style="211" customWidth="1"/>
    <col min="7692" max="7692" width="14.33203125" style="211" customWidth="1"/>
    <col min="7693" max="7693" width="18.83203125" style="211" customWidth="1"/>
    <col min="7694" max="7694" width="17.83203125" style="211" customWidth="1"/>
    <col min="7695" max="7695" width="19.58203125" style="211" customWidth="1"/>
    <col min="7696" max="7697" width="11" style="211" customWidth="1"/>
    <col min="7698" max="7698" width="18.08203125" style="211" customWidth="1"/>
    <col min="7699" max="7701" width="11" style="211" customWidth="1"/>
    <col min="7702" max="7936" width="9" style="211"/>
    <col min="7937" max="7937" width="5.5" style="211" customWidth="1"/>
    <col min="7938" max="7947" width="11" style="211" customWidth="1"/>
    <col min="7948" max="7948" width="14.33203125" style="211" customWidth="1"/>
    <col min="7949" max="7949" width="18.83203125" style="211" customWidth="1"/>
    <col min="7950" max="7950" width="17.83203125" style="211" customWidth="1"/>
    <col min="7951" max="7951" width="19.58203125" style="211" customWidth="1"/>
    <col min="7952" max="7953" width="11" style="211" customWidth="1"/>
    <col min="7954" max="7954" width="18.08203125" style="211" customWidth="1"/>
    <col min="7955" max="7957" width="11" style="211" customWidth="1"/>
    <col min="7958" max="8192" width="9" style="211"/>
    <col min="8193" max="8193" width="5.5" style="211" customWidth="1"/>
    <col min="8194" max="8203" width="11" style="211" customWidth="1"/>
    <col min="8204" max="8204" width="14.33203125" style="211" customWidth="1"/>
    <col min="8205" max="8205" width="18.83203125" style="211" customWidth="1"/>
    <col min="8206" max="8206" width="17.83203125" style="211" customWidth="1"/>
    <col min="8207" max="8207" width="19.58203125" style="211" customWidth="1"/>
    <col min="8208" max="8209" width="11" style="211" customWidth="1"/>
    <col min="8210" max="8210" width="18.08203125" style="211" customWidth="1"/>
    <col min="8211" max="8213" width="11" style="211" customWidth="1"/>
    <col min="8214" max="8448" width="9" style="211"/>
    <col min="8449" max="8449" width="5.5" style="211" customWidth="1"/>
    <col min="8450" max="8459" width="11" style="211" customWidth="1"/>
    <col min="8460" max="8460" width="14.33203125" style="211" customWidth="1"/>
    <col min="8461" max="8461" width="18.83203125" style="211" customWidth="1"/>
    <col min="8462" max="8462" width="17.83203125" style="211" customWidth="1"/>
    <col min="8463" max="8463" width="19.58203125" style="211" customWidth="1"/>
    <col min="8464" max="8465" width="11" style="211" customWidth="1"/>
    <col min="8466" max="8466" width="18.08203125" style="211" customWidth="1"/>
    <col min="8467" max="8469" width="11" style="211" customWidth="1"/>
    <col min="8470" max="8704" width="9" style="211"/>
    <col min="8705" max="8705" width="5.5" style="211" customWidth="1"/>
    <col min="8706" max="8715" width="11" style="211" customWidth="1"/>
    <col min="8716" max="8716" width="14.33203125" style="211" customWidth="1"/>
    <col min="8717" max="8717" width="18.83203125" style="211" customWidth="1"/>
    <col min="8718" max="8718" width="17.83203125" style="211" customWidth="1"/>
    <col min="8719" max="8719" width="19.58203125" style="211" customWidth="1"/>
    <col min="8720" max="8721" width="11" style="211" customWidth="1"/>
    <col min="8722" max="8722" width="18.08203125" style="211" customWidth="1"/>
    <col min="8723" max="8725" width="11" style="211" customWidth="1"/>
    <col min="8726" max="8960" width="9" style="211"/>
    <col min="8961" max="8961" width="5.5" style="211" customWidth="1"/>
    <col min="8962" max="8971" width="11" style="211" customWidth="1"/>
    <col min="8972" max="8972" width="14.33203125" style="211" customWidth="1"/>
    <col min="8973" max="8973" width="18.83203125" style="211" customWidth="1"/>
    <col min="8974" max="8974" width="17.83203125" style="211" customWidth="1"/>
    <col min="8975" max="8975" width="19.58203125" style="211" customWidth="1"/>
    <col min="8976" max="8977" width="11" style="211" customWidth="1"/>
    <col min="8978" max="8978" width="18.08203125" style="211" customWidth="1"/>
    <col min="8979" max="8981" width="11" style="211" customWidth="1"/>
    <col min="8982" max="9216" width="9" style="211"/>
    <col min="9217" max="9217" width="5.5" style="211" customWidth="1"/>
    <col min="9218" max="9227" width="11" style="211" customWidth="1"/>
    <col min="9228" max="9228" width="14.33203125" style="211" customWidth="1"/>
    <col min="9229" max="9229" width="18.83203125" style="211" customWidth="1"/>
    <col min="9230" max="9230" width="17.83203125" style="211" customWidth="1"/>
    <col min="9231" max="9231" width="19.58203125" style="211" customWidth="1"/>
    <col min="9232" max="9233" width="11" style="211" customWidth="1"/>
    <col min="9234" max="9234" width="18.08203125" style="211" customWidth="1"/>
    <col min="9235" max="9237" width="11" style="211" customWidth="1"/>
    <col min="9238" max="9472" width="9" style="211"/>
    <col min="9473" max="9473" width="5.5" style="211" customWidth="1"/>
    <col min="9474" max="9483" width="11" style="211" customWidth="1"/>
    <col min="9484" max="9484" width="14.33203125" style="211" customWidth="1"/>
    <col min="9485" max="9485" width="18.83203125" style="211" customWidth="1"/>
    <col min="9486" max="9486" width="17.83203125" style="211" customWidth="1"/>
    <col min="9487" max="9487" width="19.58203125" style="211" customWidth="1"/>
    <col min="9488" max="9489" width="11" style="211" customWidth="1"/>
    <col min="9490" max="9490" width="18.08203125" style="211" customWidth="1"/>
    <col min="9491" max="9493" width="11" style="211" customWidth="1"/>
    <col min="9494" max="9728" width="9" style="211"/>
    <col min="9729" max="9729" width="5.5" style="211" customWidth="1"/>
    <col min="9730" max="9739" width="11" style="211" customWidth="1"/>
    <col min="9740" max="9740" width="14.33203125" style="211" customWidth="1"/>
    <col min="9741" max="9741" width="18.83203125" style="211" customWidth="1"/>
    <col min="9742" max="9742" width="17.83203125" style="211" customWidth="1"/>
    <col min="9743" max="9743" width="19.58203125" style="211" customWidth="1"/>
    <col min="9744" max="9745" width="11" style="211" customWidth="1"/>
    <col min="9746" max="9746" width="18.08203125" style="211" customWidth="1"/>
    <col min="9747" max="9749" width="11" style="211" customWidth="1"/>
    <col min="9750" max="9984" width="9" style="211"/>
    <col min="9985" max="9985" width="5.5" style="211" customWidth="1"/>
    <col min="9986" max="9995" width="11" style="211" customWidth="1"/>
    <col min="9996" max="9996" width="14.33203125" style="211" customWidth="1"/>
    <col min="9997" max="9997" width="18.83203125" style="211" customWidth="1"/>
    <col min="9998" max="9998" width="17.83203125" style="211" customWidth="1"/>
    <col min="9999" max="9999" width="19.58203125" style="211" customWidth="1"/>
    <col min="10000" max="10001" width="11" style="211" customWidth="1"/>
    <col min="10002" max="10002" width="18.08203125" style="211" customWidth="1"/>
    <col min="10003" max="10005" width="11" style="211" customWidth="1"/>
    <col min="10006" max="10240" width="9" style="211"/>
    <col min="10241" max="10241" width="5.5" style="211" customWidth="1"/>
    <col min="10242" max="10251" width="11" style="211" customWidth="1"/>
    <col min="10252" max="10252" width="14.33203125" style="211" customWidth="1"/>
    <col min="10253" max="10253" width="18.83203125" style="211" customWidth="1"/>
    <col min="10254" max="10254" width="17.83203125" style="211" customWidth="1"/>
    <col min="10255" max="10255" width="19.58203125" style="211" customWidth="1"/>
    <col min="10256" max="10257" width="11" style="211" customWidth="1"/>
    <col min="10258" max="10258" width="18.08203125" style="211" customWidth="1"/>
    <col min="10259" max="10261" width="11" style="211" customWidth="1"/>
    <col min="10262" max="10496" width="9" style="211"/>
    <col min="10497" max="10497" width="5.5" style="211" customWidth="1"/>
    <col min="10498" max="10507" width="11" style="211" customWidth="1"/>
    <col min="10508" max="10508" width="14.33203125" style="211" customWidth="1"/>
    <col min="10509" max="10509" width="18.83203125" style="211" customWidth="1"/>
    <col min="10510" max="10510" width="17.83203125" style="211" customWidth="1"/>
    <col min="10511" max="10511" width="19.58203125" style="211" customWidth="1"/>
    <col min="10512" max="10513" width="11" style="211" customWidth="1"/>
    <col min="10514" max="10514" width="18.08203125" style="211" customWidth="1"/>
    <col min="10515" max="10517" width="11" style="211" customWidth="1"/>
    <col min="10518" max="10752" width="9" style="211"/>
    <col min="10753" max="10753" width="5.5" style="211" customWidth="1"/>
    <col min="10754" max="10763" width="11" style="211" customWidth="1"/>
    <col min="10764" max="10764" width="14.33203125" style="211" customWidth="1"/>
    <col min="10765" max="10765" width="18.83203125" style="211" customWidth="1"/>
    <col min="10766" max="10766" width="17.83203125" style="211" customWidth="1"/>
    <col min="10767" max="10767" width="19.58203125" style="211" customWidth="1"/>
    <col min="10768" max="10769" width="11" style="211" customWidth="1"/>
    <col min="10770" max="10770" width="18.08203125" style="211" customWidth="1"/>
    <col min="10771" max="10773" width="11" style="211" customWidth="1"/>
    <col min="10774" max="11008" width="9" style="211"/>
    <col min="11009" max="11009" width="5.5" style="211" customWidth="1"/>
    <col min="11010" max="11019" width="11" style="211" customWidth="1"/>
    <col min="11020" max="11020" width="14.33203125" style="211" customWidth="1"/>
    <col min="11021" max="11021" width="18.83203125" style="211" customWidth="1"/>
    <col min="11022" max="11022" width="17.83203125" style="211" customWidth="1"/>
    <col min="11023" max="11023" width="19.58203125" style="211" customWidth="1"/>
    <col min="11024" max="11025" width="11" style="211" customWidth="1"/>
    <col min="11026" max="11026" width="18.08203125" style="211" customWidth="1"/>
    <col min="11027" max="11029" width="11" style="211" customWidth="1"/>
    <col min="11030" max="11264" width="9" style="211"/>
    <col min="11265" max="11265" width="5.5" style="211" customWidth="1"/>
    <col min="11266" max="11275" width="11" style="211" customWidth="1"/>
    <col min="11276" max="11276" width="14.33203125" style="211" customWidth="1"/>
    <col min="11277" max="11277" width="18.83203125" style="211" customWidth="1"/>
    <col min="11278" max="11278" width="17.83203125" style="211" customWidth="1"/>
    <col min="11279" max="11279" width="19.58203125" style="211" customWidth="1"/>
    <col min="11280" max="11281" width="11" style="211" customWidth="1"/>
    <col min="11282" max="11282" width="18.08203125" style="211" customWidth="1"/>
    <col min="11283" max="11285" width="11" style="211" customWidth="1"/>
    <col min="11286" max="11520" width="9" style="211"/>
    <col min="11521" max="11521" width="5.5" style="211" customWidth="1"/>
    <col min="11522" max="11531" width="11" style="211" customWidth="1"/>
    <col min="11532" max="11532" width="14.33203125" style="211" customWidth="1"/>
    <col min="11533" max="11533" width="18.83203125" style="211" customWidth="1"/>
    <col min="11534" max="11534" width="17.83203125" style="211" customWidth="1"/>
    <col min="11535" max="11535" width="19.58203125" style="211" customWidth="1"/>
    <col min="11536" max="11537" width="11" style="211" customWidth="1"/>
    <col min="11538" max="11538" width="18.08203125" style="211" customWidth="1"/>
    <col min="11539" max="11541" width="11" style="211" customWidth="1"/>
    <col min="11542" max="11776" width="9" style="211"/>
    <col min="11777" max="11777" width="5.5" style="211" customWidth="1"/>
    <col min="11778" max="11787" width="11" style="211" customWidth="1"/>
    <col min="11788" max="11788" width="14.33203125" style="211" customWidth="1"/>
    <col min="11789" max="11789" width="18.83203125" style="211" customWidth="1"/>
    <col min="11790" max="11790" width="17.83203125" style="211" customWidth="1"/>
    <col min="11791" max="11791" width="19.58203125" style="211" customWidth="1"/>
    <col min="11792" max="11793" width="11" style="211" customWidth="1"/>
    <col min="11794" max="11794" width="18.08203125" style="211" customWidth="1"/>
    <col min="11795" max="11797" width="11" style="211" customWidth="1"/>
    <col min="11798" max="12032" width="9" style="211"/>
    <col min="12033" max="12033" width="5.5" style="211" customWidth="1"/>
    <col min="12034" max="12043" width="11" style="211" customWidth="1"/>
    <col min="12044" max="12044" width="14.33203125" style="211" customWidth="1"/>
    <col min="12045" max="12045" width="18.83203125" style="211" customWidth="1"/>
    <col min="12046" max="12046" width="17.83203125" style="211" customWidth="1"/>
    <col min="12047" max="12047" width="19.58203125" style="211" customWidth="1"/>
    <col min="12048" max="12049" width="11" style="211" customWidth="1"/>
    <col min="12050" max="12050" width="18.08203125" style="211" customWidth="1"/>
    <col min="12051" max="12053" width="11" style="211" customWidth="1"/>
    <col min="12054" max="12288" width="9" style="211"/>
    <col min="12289" max="12289" width="5.5" style="211" customWidth="1"/>
    <col min="12290" max="12299" width="11" style="211" customWidth="1"/>
    <col min="12300" max="12300" width="14.33203125" style="211" customWidth="1"/>
    <col min="12301" max="12301" width="18.83203125" style="211" customWidth="1"/>
    <col min="12302" max="12302" width="17.83203125" style="211" customWidth="1"/>
    <col min="12303" max="12303" width="19.58203125" style="211" customWidth="1"/>
    <col min="12304" max="12305" width="11" style="211" customWidth="1"/>
    <col min="12306" max="12306" width="18.08203125" style="211" customWidth="1"/>
    <col min="12307" max="12309" width="11" style="211" customWidth="1"/>
    <col min="12310" max="12544" width="9" style="211"/>
    <col min="12545" max="12545" width="5.5" style="211" customWidth="1"/>
    <col min="12546" max="12555" width="11" style="211" customWidth="1"/>
    <col min="12556" max="12556" width="14.33203125" style="211" customWidth="1"/>
    <col min="12557" max="12557" width="18.83203125" style="211" customWidth="1"/>
    <col min="12558" max="12558" width="17.83203125" style="211" customWidth="1"/>
    <col min="12559" max="12559" width="19.58203125" style="211" customWidth="1"/>
    <col min="12560" max="12561" width="11" style="211" customWidth="1"/>
    <col min="12562" max="12562" width="18.08203125" style="211" customWidth="1"/>
    <col min="12563" max="12565" width="11" style="211" customWidth="1"/>
    <col min="12566" max="12800" width="9" style="211"/>
    <col min="12801" max="12801" width="5.5" style="211" customWidth="1"/>
    <col min="12802" max="12811" width="11" style="211" customWidth="1"/>
    <col min="12812" max="12812" width="14.33203125" style="211" customWidth="1"/>
    <col min="12813" max="12813" width="18.83203125" style="211" customWidth="1"/>
    <col min="12814" max="12814" width="17.83203125" style="211" customWidth="1"/>
    <col min="12815" max="12815" width="19.58203125" style="211" customWidth="1"/>
    <col min="12816" max="12817" width="11" style="211" customWidth="1"/>
    <col min="12818" max="12818" width="18.08203125" style="211" customWidth="1"/>
    <col min="12819" max="12821" width="11" style="211" customWidth="1"/>
    <col min="12822" max="13056" width="9" style="211"/>
    <col min="13057" max="13057" width="5.5" style="211" customWidth="1"/>
    <col min="13058" max="13067" width="11" style="211" customWidth="1"/>
    <col min="13068" max="13068" width="14.33203125" style="211" customWidth="1"/>
    <col min="13069" max="13069" width="18.83203125" style="211" customWidth="1"/>
    <col min="13070" max="13070" width="17.83203125" style="211" customWidth="1"/>
    <col min="13071" max="13071" width="19.58203125" style="211" customWidth="1"/>
    <col min="13072" max="13073" width="11" style="211" customWidth="1"/>
    <col min="13074" max="13074" width="18.08203125" style="211" customWidth="1"/>
    <col min="13075" max="13077" width="11" style="211" customWidth="1"/>
    <col min="13078" max="13312" width="9" style="211"/>
    <col min="13313" max="13313" width="5.5" style="211" customWidth="1"/>
    <col min="13314" max="13323" width="11" style="211" customWidth="1"/>
    <col min="13324" max="13324" width="14.33203125" style="211" customWidth="1"/>
    <col min="13325" max="13325" width="18.83203125" style="211" customWidth="1"/>
    <col min="13326" max="13326" width="17.83203125" style="211" customWidth="1"/>
    <col min="13327" max="13327" width="19.58203125" style="211" customWidth="1"/>
    <col min="13328" max="13329" width="11" style="211" customWidth="1"/>
    <col min="13330" max="13330" width="18.08203125" style="211" customWidth="1"/>
    <col min="13331" max="13333" width="11" style="211" customWidth="1"/>
    <col min="13334" max="13568" width="9" style="211"/>
    <col min="13569" max="13569" width="5.5" style="211" customWidth="1"/>
    <col min="13570" max="13579" width="11" style="211" customWidth="1"/>
    <col min="13580" max="13580" width="14.33203125" style="211" customWidth="1"/>
    <col min="13581" max="13581" width="18.83203125" style="211" customWidth="1"/>
    <col min="13582" max="13582" width="17.83203125" style="211" customWidth="1"/>
    <col min="13583" max="13583" width="19.58203125" style="211" customWidth="1"/>
    <col min="13584" max="13585" width="11" style="211" customWidth="1"/>
    <col min="13586" max="13586" width="18.08203125" style="211" customWidth="1"/>
    <col min="13587" max="13589" width="11" style="211" customWidth="1"/>
    <col min="13590" max="13824" width="9" style="211"/>
    <col min="13825" max="13825" width="5.5" style="211" customWidth="1"/>
    <col min="13826" max="13835" width="11" style="211" customWidth="1"/>
    <col min="13836" max="13836" width="14.33203125" style="211" customWidth="1"/>
    <col min="13837" max="13837" width="18.83203125" style="211" customWidth="1"/>
    <col min="13838" max="13838" width="17.83203125" style="211" customWidth="1"/>
    <col min="13839" max="13839" width="19.58203125" style="211" customWidth="1"/>
    <col min="13840" max="13841" width="11" style="211" customWidth="1"/>
    <col min="13842" max="13842" width="18.08203125" style="211" customWidth="1"/>
    <col min="13843" max="13845" width="11" style="211" customWidth="1"/>
    <col min="13846" max="14080" width="9" style="211"/>
    <col min="14081" max="14081" width="5.5" style="211" customWidth="1"/>
    <col min="14082" max="14091" width="11" style="211" customWidth="1"/>
    <col min="14092" max="14092" width="14.33203125" style="211" customWidth="1"/>
    <col min="14093" max="14093" width="18.83203125" style="211" customWidth="1"/>
    <col min="14094" max="14094" width="17.83203125" style="211" customWidth="1"/>
    <col min="14095" max="14095" width="19.58203125" style="211" customWidth="1"/>
    <col min="14096" max="14097" width="11" style="211" customWidth="1"/>
    <col min="14098" max="14098" width="18.08203125" style="211" customWidth="1"/>
    <col min="14099" max="14101" width="11" style="211" customWidth="1"/>
    <col min="14102" max="14336" width="9" style="211"/>
    <col min="14337" max="14337" width="5.5" style="211" customWidth="1"/>
    <col min="14338" max="14347" width="11" style="211" customWidth="1"/>
    <col min="14348" max="14348" width="14.33203125" style="211" customWidth="1"/>
    <col min="14349" max="14349" width="18.83203125" style="211" customWidth="1"/>
    <col min="14350" max="14350" width="17.83203125" style="211" customWidth="1"/>
    <col min="14351" max="14351" width="19.58203125" style="211" customWidth="1"/>
    <col min="14352" max="14353" width="11" style="211" customWidth="1"/>
    <col min="14354" max="14354" width="18.08203125" style="211" customWidth="1"/>
    <col min="14355" max="14357" width="11" style="211" customWidth="1"/>
    <col min="14358" max="14592" width="9" style="211"/>
    <col min="14593" max="14593" width="5.5" style="211" customWidth="1"/>
    <col min="14594" max="14603" width="11" style="211" customWidth="1"/>
    <col min="14604" max="14604" width="14.33203125" style="211" customWidth="1"/>
    <col min="14605" max="14605" width="18.83203125" style="211" customWidth="1"/>
    <col min="14606" max="14606" width="17.83203125" style="211" customWidth="1"/>
    <col min="14607" max="14607" width="19.58203125" style="211" customWidth="1"/>
    <col min="14608" max="14609" width="11" style="211" customWidth="1"/>
    <col min="14610" max="14610" width="18.08203125" style="211" customWidth="1"/>
    <col min="14611" max="14613" width="11" style="211" customWidth="1"/>
    <col min="14614" max="14848" width="9" style="211"/>
    <col min="14849" max="14849" width="5.5" style="211" customWidth="1"/>
    <col min="14850" max="14859" width="11" style="211" customWidth="1"/>
    <col min="14860" max="14860" width="14.33203125" style="211" customWidth="1"/>
    <col min="14861" max="14861" width="18.83203125" style="211" customWidth="1"/>
    <col min="14862" max="14862" width="17.83203125" style="211" customWidth="1"/>
    <col min="14863" max="14863" width="19.58203125" style="211" customWidth="1"/>
    <col min="14864" max="14865" width="11" style="211" customWidth="1"/>
    <col min="14866" max="14866" width="18.08203125" style="211" customWidth="1"/>
    <col min="14867" max="14869" width="11" style="211" customWidth="1"/>
    <col min="14870" max="15104" width="9" style="211"/>
    <col min="15105" max="15105" width="5.5" style="211" customWidth="1"/>
    <col min="15106" max="15115" width="11" style="211" customWidth="1"/>
    <col min="15116" max="15116" width="14.33203125" style="211" customWidth="1"/>
    <col min="15117" max="15117" width="18.83203125" style="211" customWidth="1"/>
    <col min="15118" max="15118" width="17.83203125" style="211" customWidth="1"/>
    <col min="15119" max="15119" width="19.58203125" style="211" customWidth="1"/>
    <col min="15120" max="15121" width="11" style="211" customWidth="1"/>
    <col min="15122" max="15122" width="18.08203125" style="211" customWidth="1"/>
    <col min="15123" max="15125" width="11" style="211" customWidth="1"/>
    <col min="15126" max="15360" width="9" style="211"/>
    <col min="15361" max="15361" width="5.5" style="211" customWidth="1"/>
    <col min="15362" max="15371" width="11" style="211" customWidth="1"/>
    <col min="15372" max="15372" width="14.33203125" style="211" customWidth="1"/>
    <col min="15373" max="15373" width="18.83203125" style="211" customWidth="1"/>
    <col min="15374" max="15374" width="17.83203125" style="211" customWidth="1"/>
    <col min="15375" max="15375" width="19.58203125" style="211" customWidth="1"/>
    <col min="15376" max="15377" width="11" style="211" customWidth="1"/>
    <col min="15378" max="15378" width="18.08203125" style="211" customWidth="1"/>
    <col min="15379" max="15381" width="11" style="211" customWidth="1"/>
    <col min="15382" max="15616" width="9" style="211"/>
    <col min="15617" max="15617" width="5.5" style="211" customWidth="1"/>
    <col min="15618" max="15627" width="11" style="211" customWidth="1"/>
    <col min="15628" max="15628" width="14.33203125" style="211" customWidth="1"/>
    <col min="15629" max="15629" width="18.83203125" style="211" customWidth="1"/>
    <col min="15630" max="15630" width="17.83203125" style="211" customWidth="1"/>
    <col min="15631" max="15631" width="19.58203125" style="211" customWidth="1"/>
    <col min="15632" max="15633" width="11" style="211" customWidth="1"/>
    <col min="15634" max="15634" width="18.08203125" style="211" customWidth="1"/>
    <col min="15635" max="15637" width="11" style="211" customWidth="1"/>
    <col min="15638" max="15872" width="9" style="211"/>
    <col min="15873" max="15873" width="5.5" style="211" customWidth="1"/>
    <col min="15874" max="15883" width="11" style="211" customWidth="1"/>
    <col min="15884" max="15884" width="14.33203125" style="211" customWidth="1"/>
    <col min="15885" max="15885" width="18.83203125" style="211" customWidth="1"/>
    <col min="15886" max="15886" width="17.83203125" style="211" customWidth="1"/>
    <col min="15887" max="15887" width="19.58203125" style="211" customWidth="1"/>
    <col min="15888" max="15889" width="11" style="211" customWidth="1"/>
    <col min="15890" max="15890" width="18.08203125" style="211" customWidth="1"/>
    <col min="15891" max="15893" width="11" style="211" customWidth="1"/>
    <col min="15894" max="16128" width="9" style="211"/>
    <col min="16129" max="16129" width="5.5" style="211" customWidth="1"/>
    <col min="16130" max="16139" width="11" style="211" customWidth="1"/>
    <col min="16140" max="16140" width="14.33203125" style="211" customWidth="1"/>
    <col min="16141" max="16141" width="18.83203125" style="211" customWidth="1"/>
    <col min="16142" max="16142" width="17.83203125" style="211" customWidth="1"/>
    <col min="16143" max="16143" width="19.58203125" style="211" customWidth="1"/>
    <col min="16144" max="16145" width="11" style="211" customWidth="1"/>
    <col min="16146" max="16146" width="18.08203125" style="211" customWidth="1"/>
    <col min="16147" max="16149" width="11" style="211" customWidth="1"/>
    <col min="16150" max="16384" width="9" style="211"/>
  </cols>
  <sheetData>
    <row r="1" spans="1:54" ht="21.75" customHeight="1" x14ac:dyDescent="0.35">
      <c r="R1" s="370" t="s">
        <v>343</v>
      </c>
      <c r="S1" s="370"/>
      <c r="T1" s="370"/>
      <c r="U1" s="370"/>
    </row>
    <row r="2" spans="1:54" ht="43.5" customHeight="1" x14ac:dyDescent="0.35">
      <c r="A2" s="366" t="s">
        <v>267</v>
      </c>
      <c r="B2" s="366"/>
      <c r="C2" s="366"/>
      <c r="D2" s="366"/>
      <c r="E2" s="366"/>
      <c r="F2" s="366"/>
      <c r="G2" s="366"/>
      <c r="H2" s="366"/>
      <c r="I2" s="366"/>
      <c r="J2" s="366"/>
      <c r="K2" s="366"/>
      <c r="L2" s="366"/>
      <c r="M2" s="366"/>
      <c r="N2" s="366"/>
      <c r="O2" s="366"/>
      <c r="P2" s="366"/>
      <c r="Q2" s="366"/>
      <c r="R2" s="366"/>
      <c r="S2" s="366"/>
      <c r="T2" s="366"/>
      <c r="U2" s="366"/>
    </row>
    <row r="3" spans="1:54" ht="23.25" customHeight="1" x14ac:dyDescent="0.35">
      <c r="A3" s="355" t="str">
        <f>'B1-Tổng hợp DTTS'!A4:T4</f>
        <v>(Kèm theo Nghị quyết số       /NQ-HĐND ngày     tháng 4 năm 2023 của Hội đồng nhân dân tỉnh Bắc Kạn)</v>
      </c>
      <c r="B3" s="367"/>
      <c r="C3" s="367"/>
      <c r="D3" s="367"/>
      <c r="E3" s="367"/>
      <c r="F3" s="367"/>
      <c r="G3" s="367"/>
      <c r="H3" s="367"/>
      <c r="I3" s="367"/>
      <c r="J3" s="367"/>
      <c r="K3" s="367"/>
      <c r="L3" s="367"/>
      <c r="M3" s="367"/>
      <c r="N3" s="367"/>
      <c r="O3" s="367"/>
      <c r="P3" s="367"/>
      <c r="Q3" s="367"/>
      <c r="R3" s="367"/>
      <c r="S3" s="367"/>
      <c r="T3" s="367"/>
      <c r="U3" s="367"/>
    </row>
    <row r="4" spans="1:54" ht="25.5" customHeight="1" x14ac:dyDescent="0.35">
      <c r="F4" s="215"/>
      <c r="G4" s="215"/>
      <c r="H4" s="215"/>
      <c r="P4" s="216"/>
      <c r="Q4" s="216"/>
      <c r="R4" s="373" t="s">
        <v>78</v>
      </c>
      <c r="S4" s="373"/>
      <c r="T4" s="373"/>
      <c r="U4" s="373"/>
    </row>
    <row r="5" spans="1:54" s="127" customFormat="1" ht="37.5" customHeight="1" x14ac:dyDescent="0.35">
      <c r="A5" s="362" t="s">
        <v>153</v>
      </c>
      <c r="B5" s="362" t="s">
        <v>154</v>
      </c>
      <c r="C5" s="362" t="s">
        <v>177</v>
      </c>
      <c r="D5" s="362" t="s">
        <v>178</v>
      </c>
      <c r="E5" s="362" t="s">
        <v>179</v>
      </c>
      <c r="F5" s="362" t="s">
        <v>180</v>
      </c>
      <c r="G5" s="362" t="s">
        <v>155</v>
      </c>
      <c r="H5" s="362" t="s">
        <v>181</v>
      </c>
      <c r="I5" s="362" t="s">
        <v>156</v>
      </c>
      <c r="J5" s="362" t="s">
        <v>184</v>
      </c>
      <c r="K5" s="362"/>
      <c r="L5" s="362"/>
      <c r="M5" s="362" t="s">
        <v>192</v>
      </c>
      <c r="N5" s="362"/>
      <c r="O5" s="362"/>
      <c r="P5" s="362" t="s">
        <v>157</v>
      </c>
      <c r="Q5" s="372" t="s">
        <v>336</v>
      </c>
      <c r="R5" s="372" t="s">
        <v>185</v>
      </c>
      <c r="S5" s="362" t="s">
        <v>186</v>
      </c>
      <c r="T5" s="362"/>
      <c r="U5" s="362"/>
    </row>
    <row r="6" spans="1:54" s="127" customFormat="1" ht="19.5" customHeight="1" x14ac:dyDescent="0.35">
      <c r="A6" s="362"/>
      <c r="B6" s="362"/>
      <c r="C6" s="362"/>
      <c r="D6" s="362"/>
      <c r="E6" s="362"/>
      <c r="F6" s="362"/>
      <c r="G6" s="362"/>
      <c r="H6" s="362"/>
      <c r="I6" s="362"/>
      <c r="J6" s="362" t="s">
        <v>158</v>
      </c>
      <c r="K6" s="362" t="s">
        <v>159</v>
      </c>
      <c r="L6" s="362" t="s">
        <v>160</v>
      </c>
      <c r="M6" s="372" t="s">
        <v>161</v>
      </c>
      <c r="N6" s="372" t="s">
        <v>162</v>
      </c>
      <c r="O6" s="372" t="s">
        <v>163</v>
      </c>
      <c r="P6" s="362"/>
      <c r="Q6" s="372"/>
      <c r="R6" s="372"/>
      <c r="S6" s="362" t="s">
        <v>161</v>
      </c>
      <c r="T6" s="362" t="s">
        <v>73</v>
      </c>
      <c r="U6" s="362"/>
    </row>
    <row r="7" spans="1:54" s="127" customFormat="1" ht="102" customHeight="1" x14ac:dyDescent="0.35">
      <c r="A7" s="362"/>
      <c r="B7" s="362"/>
      <c r="C7" s="362"/>
      <c r="D7" s="362"/>
      <c r="E7" s="362"/>
      <c r="F7" s="362"/>
      <c r="G7" s="362"/>
      <c r="H7" s="362"/>
      <c r="I7" s="362"/>
      <c r="J7" s="362"/>
      <c r="K7" s="362"/>
      <c r="L7" s="362"/>
      <c r="M7" s="372"/>
      <c r="N7" s="372"/>
      <c r="O7" s="372"/>
      <c r="P7" s="362"/>
      <c r="Q7" s="372"/>
      <c r="R7" s="372"/>
      <c r="S7" s="362"/>
      <c r="T7" s="102" t="s">
        <v>164</v>
      </c>
      <c r="U7" s="102" t="s">
        <v>165</v>
      </c>
    </row>
    <row r="8" spans="1:54" s="134" customFormat="1" ht="18.75" customHeight="1" x14ac:dyDescent="0.35">
      <c r="A8" s="133">
        <v>1</v>
      </c>
      <c r="B8" s="133">
        <v>2</v>
      </c>
      <c r="C8" s="133">
        <v>3</v>
      </c>
      <c r="D8" s="133">
        <v>4</v>
      </c>
      <c r="E8" s="133">
        <v>5</v>
      </c>
      <c r="F8" s="133">
        <v>6</v>
      </c>
      <c r="G8" s="133">
        <v>7</v>
      </c>
      <c r="H8" s="133">
        <v>8</v>
      </c>
      <c r="I8" s="133">
        <v>9</v>
      </c>
      <c r="J8" s="133">
        <v>10</v>
      </c>
      <c r="K8" s="133">
        <v>11</v>
      </c>
      <c r="L8" s="133" t="s">
        <v>193</v>
      </c>
      <c r="M8" s="133" t="s">
        <v>194</v>
      </c>
      <c r="N8" s="133">
        <v>14</v>
      </c>
      <c r="O8" s="133">
        <v>15</v>
      </c>
      <c r="P8" s="133" t="s">
        <v>195</v>
      </c>
      <c r="Q8" s="133">
        <v>17</v>
      </c>
      <c r="R8" s="133">
        <v>18</v>
      </c>
      <c r="S8" s="133" t="s">
        <v>196</v>
      </c>
      <c r="T8" s="133">
        <v>20</v>
      </c>
      <c r="U8" s="133">
        <v>21</v>
      </c>
    </row>
    <row r="9" spans="1:54" ht="27.75" customHeight="1" x14ac:dyDescent="0.35">
      <c r="A9" s="371" t="s">
        <v>6</v>
      </c>
      <c r="B9" s="371"/>
      <c r="C9" s="371"/>
      <c r="D9" s="371"/>
      <c r="E9" s="371"/>
      <c r="F9" s="371"/>
      <c r="G9" s="371"/>
      <c r="H9" s="371"/>
      <c r="I9" s="371"/>
      <c r="J9" s="217"/>
      <c r="K9" s="217"/>
      <c r="L9" s="217"/>
      <c r="M9" s="218">
        <f>M10+M13</f>
        <v>2882794075</v>
      </c>
      <c r="N9" s="218">
        <f t="shared" ref="N9:U9" si="0">N10+N13</f>
        <v>2516182000</v>
      </c>
      <c r="O9" s="218">
        <f t="shared" si="0"/>
        <v>366612075</v>
      </c>
      <c r="P9" s="218"/>
      <c r="Q9" s="218">
        <f t="shared" si="0"/>
        <v>0</v>
      </c>
      <c r="R9" s="218">
        <f t="shared" si="0"/>
        <v>2516182000</v>
      </c>
      <c r="S9" s="218">
        <f t="shared" si="0"/>
        <v>2516182000</v>
      </c>
      <c r="T9" s="218">
        <f t="shared" si="0"/>
        <v>2101944000</v>
      </c>
      <c r="U9" s="218">
        <f t="shared" si="0"/>
        <v>414238000</v>
      </c>
    </row>
    <row r="10" spans="1:54" ht="24" customHeight="1" x14ac:dyDescent="0.35">
      <c r="A10" s="219" t="s">
        <v>1</v>
      </c>
      <c r="B10" s="376" t="s">
        <v>183</v>
      </c>
      <c r="C10" s="376"/>
      <c r="D10" s="376"/>
      <c r="E10" s="376"/>
      <c r="F10" s="376"/>
      <c r="G10" s="376"/>
      <c r="H10" s="376"/>
      <c r="I10" s="376"/>
      <c r="J10" s="221"/>
      <c r="K10" s="221"/>
      <c r="L10" s="222"/>
      <c r="M10" s="223">
        <f t="shared" ref="M10:U11" si="1">M11</f>
        <v>1500000000</v>
      </c>
      <c r="N10" s="223">
        <f t="shared" si="1"/>
        <v>1200000000</v>
      </c>
      <c r="O10" s="223">
        <f t="shared" si="1"/>
        <v>300000000</v>
      </c>
      <c r="P10" s="222"/>
      <c r="Q10" s="223">
        <f t="shared" si="1"/>
        <v>0</v>
      </c>
      <c r="R10" s="223">
        <f t="shared" si="1"/>
        <v>1200000000</v>
      </c>
      <c r="S10" s="223">
        <f t="shared" si="1"/>
        <v>1200000000</v>
      </c>
      <c r="T10" s="223">
        <f t="shared" si="1"/>
        <v>1002313000</v>
      </c>
      <c r="U10" s="223">
        <f t="shared" si="1"/>
        <v>197687000</v>
      </c>
    </row>
    <row r="11" spans="1:54" ht="24" customHeight="1" x14ac:dyDescent="0.35">
      <c r="A11" s="219"/>
      <c r="B11" s="376" t="s">
        <v>34</v>
      </c>
      <c r="C11" s="376"/>
      <c r="D11" s="376"/>
      <c r="E11" s="376"/>
      <c r="F11" s="220"/>
      <c r="G11" s="220"/>
      <c r="H11" s="220"/>
      <c r="I11" s="220"/>
      <c r="J11" s="224"/>
      <c r="K11" s="224"/>
      <c r="L11" s="222"/>
      <c r="M11" s="225">
        <f t="shared" si="1"/>
        <v>1500000000</v>
      </c>
      <c r="N11" s="225">
        <f t="shared" si="1"/>
        <v>1200000000</v>
      </c>
      <c r="O11" s="225">
        <f t="shared" si="1"/>
        <v>300000000</v>
      </c>
      <c r="P11" s="222"/>
      <c r="Q11" s="225">
        <f t="shared" si="1"/>
        <v>0</v>
      </c>
      <c r="R11" s="225">
        <f t="shared" si="1"/>
        <v>1200000000</v>
      </c>
      <c r="S11" s="225">
        <f t="shared" si="1"/>
        <v>1200000000</v>
      </c>
      <c r="T11" s="225">
        <f t="shared" si="1"/>
        <v>1002313000</v>
      </c>
      <c r="U11" s="225">
        <f t="shared" si="1"/>
        <v>197687000</v>
      </c>
    </row>
    <row r="12" spans="1:54" s="129" customFormat="1" ht="106.5" customHeight="1" x14ac:dyDescent="0.35">
      <c r="A12" s="226">
        <v>1</v>
      </c>
      <c r="B12" s="226" t="s">
        <v>166</v>
      </c>
      <c r="C12" s="226" t="s">
        <v>188</v>
      </c>
      <c r="D12" s="226" t="s">
        <v>167</v>
      </c>
      <c r="E12" s="226" t="s">
        <v>189</v>
      </c>
      <c r="F12" s="226" t="s">
        <v>168</v>
      </c>
      <c r="G12" s="226" t="s">
        <v>169</v>
      </c>
      <c r="H12" s="226" t="s">
        <v>190</v>
      </c>
      <c r="I12" s="226" t="s">
        <v>170</v>
      </c>
      <c r="J12" s="227">
        <v>8</v>
      </c>
      <c r="K12" s="227">
        <v>6</v>
      </c>
      <c r="L12" s="228">
        <f>K12/J12</f>
        <v>0.75</v>
      </c>
      <c r="M12" s="229">
        <f>N12+O12</f>
        <v>1500000000</v>
      </c>
      <c r="N12" s="229">
        <v>1200000000</v>
      </c>
      <c r="O12" s="229">
        <v>300000000</v>
      </c>
      <c r="P12" s="228">
        <f>N12/M12</f>
        <v>0.8</v>
      </c>
      <c r="Q12" s="225">
        <v>0</v>
      </c>
      <c r="R12" s="229">
        <f>+N12</f>
        <v>1200000000</v>
      </c>
      <c r="S12" s="229">
        <f>SUM(T12:U12)</f>
        <v>1200000000</v>
      </c>
      <c r="T12" s="229">
        <f>ROUND(R12/(1+0.19693)-252000,-3)</f>
        <v>1002313000</v>
      </c>
      <c r="U12" s="229">
        <f>ROUND(T12*19.693%,-3)+302000</f>
        <v>197687000</v>
      </c>
      <c r="V12" s="211"/>
    </row>
    <row r="13" spans="1:54" ht="24" customHeight="1" x14ac:dyDescent="0.35">
      <c r="A13" s="219" t="s">
        <v>2</v>
      </c>
      <c r="B13" s="376" t="s">
        <v>182</v>
      </c>
      <c r="C13" s="376"/>
      <c r="D13" s="376"/>
      <c r="E13" s="376"/>
      <c r="F13" s="376"/>
      <c r="G13" s="376"/>
      <c r="H13" s="376"/>
      <c r="I13" s="376"/>
      <c r="J13" s="221"/>
      <c r="K13" s="221"/>
      <c r="L13" s="222"/>
      <c r="M13" s="223">
        <f t="shared" ref="M13:U13" si="2">M14</f>
        <v>1382794075</v>
      </c>
      <c r="N13" s="223">
        <f t="shared" si="2"/>
        <v>1316182000</v>
      </c>
      <c r="O13" s="223">
        <f t="shared" si="2"/>
        <v>66612075</v>
      </c>
      <c r="P13" s="222"/>
      <c r="Q13" s="223">
        <f t="shared" si="2"/>
        <v>0</v>
      </c>
      <c r="R13" s="223">
        <f t="shared" si="2"/>
        <v>1316182000</v>
      </c>
      <c r="S13" s="223">
        <f t="shared" si="2"/>
        <v>1316182000</v>
      </c>
      <c r="T13" s="223">
        <f t="shared" si="2"/>
        <v>1099631000</v>
      </c>
      <c r="U13" s="223">
        <f t="shared" si="2"/>
        <v>216551000</v>
      </c>
    </row>
    <row r="14" spans="1:54" s="230" customFormat="1" ht="24" customHeight="1" x14ac:dyDescent="0.35">
      <c r="A14" s="219"/>
      <c r="B14" s="377" t="s">
        <v>29</v>
      </c>
      <c r="C14" s="377"/>
      <c r="D14" s="377"/>
      <c r="E14" s="377"/>
      <c r="F14" s="219"/>
      <c r="G14" s="219"/>
      <c r="H14" s="219"/>
      <c r="I14" s="219"/>
      <c r="J14" s="224"/>
      <c r="K14" s="224"/>
      <c r="L14" s="222"/>
      <c r="M14" s="225">
        <f t="shared" ref="M14:U14" si="3">SUM(M15:M16)</f>
        <v>1382794075</v>
      </c>
      <c r="N14" s="225">
        <f t="shared" si="3"/>
        <v>1316182000</v>
      </c>
      <c r="O14" s="225">
        <f t="shared" si="3"/>
        <v>66612075</v>
      </c>
      <c r="P14" s="222"/>
      <c r="Q14" s="225">
        <f t="shared" si="3"/>
        <v>0</v>
      </c>
      <c r="R14" s="225">
        <f t="shared" si="3"/>
        <v>1316182000</v>
      </c>
      <c r="S14" s="225">
        <f t="shared" si="3"/>
        <v>1316182000</v>
      </c>
      <c r="T14" s="225">
        <f t="shared" si="3"/>
        <v>1099631000</v>
      </c>
      <c r="U14" s="225">
        <f t="shared" si="3"/>
        <v>216551000</v>
      </c>
      <c r="V14" s="211"/>
    </row>
    <row r="15" spans="1:54" s="235" customFormat="1" ht="104.25" customHeight="1" x14ac:dyDescent="0.35">
      <c r="A15" s="231">
        <v>1</v>
      </c>
      <c r="B15" s="226" t="s">
        <v>171</v>
      </c>
      <c r="C15" s="226" t="s">
        <v>172</v>
      </c>
      <c r="D15" s="226" t="s">
        <v>173</v>
      </c>
      <c r="E15" s="226" t="s">
        <v>173</v>
      </c>
      <c r="F15" s="226" t="s">
        <v>174</v>
      </c>
      <c r="G15" s="374" t="s">
        <v>333</v>
      </c>
      <c r="H15" s="226" t="s">
        <v>190</v>
      </c>
      <c r="I15" s="232" t="s">
        <v>191</v>
      </c>
      <c r="J15" s="226">
        <v>12</v>
      </c>
      <c r="K15" s="226">
        <v>12</v>
      </c>
      <c r="L15" s="228">
        <f>K15/J15</f>
        <v>1</v>
      </c>
      <c r="M15" s="229">
        <v>657016750</v>
      </c>
      <c r="N15" s="233">
        <v>624965500</v>
      </c>
      <c r="O15" s="233">
        <v>32051250</v>
      </c>
      <c r="P15" s="228">
        <f>N15/M15</f>
        <v>0.95121699713135166</v>
      </c>
      <c r="Q15" s="229">
        <v>0</v>
      </c>
      <c r="R15" s="233">
        <f>+N15</f>
        <v>624965500</v>
      </c>
      <c r="S15" s="229">
        <f>SUM(T15:U15)</f>
        <v>624966000</v>
      </c>
      <c r="T15" s="229">
        <f>ROUND(R15/(1+0.19693),-3)</f>
        <v>522140000</v>
      </c>
      <c r="U15" s="229">
        <f>ROUND(T15*19.693%,-3)+1000</f>
        <v>102826000</v>
      </c>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34"/>
    </row>
    <row r="16" spans="1:54" s="235" customFormat="1" ht="104.25" customHeight="1" x14ac:dyDescent="0.35">
      <c r="A16" s="236">
        <v>2</v>
      </c>
      <c r="B16" s="237" t="s">
        <v>175</v>
      </c>
      <c r="C16" s="237" t="s">
        <v>172</v>
      </c>
      <c r="D16" s="237" t="s">
        <v>176</v>
      </c>
      <c r="E16" s="237" t="s">
        <v>187</v>
      </c>
      <c r="F16" s="237" t="s">
        <v>174</v>
      </c>
      <c r="G16" s="375"/>
      <c r="H16" s="237" t="s">
        <v>190</v>
      </c>
      <c r="I16" s="238" t="s">
        <v>191</v>
      </c>
      <c r="J16" s="237">
        <v>15</v>
      </c>
      <c r="K16" s="237">
        <v>15</v>
      </c>
      <c r="L16" s="239">
        <f>K16/J16</f>
        <v>1</v>
      </c>
      <c r="M16" s="240">
        <f>N16+O16</f>
        <v>725777325</v>
      </c>
      <c r="N16" s="241">
        <v>691216500</v>
      </c>
      <c r="O16" s="241">
        <f>N16*0.05</f>
        <v>34560825</v>
      </c>
      <c r="P16" s="239">
        <f>N16/M16</f>
        <v>0.95238095238095233</v>
      </c>
      <c r="Q16" s="240">
        <v>0</v>
      </c>
      <c r="R16" s="241">
        <f>N16</f>
        <v>691216500</v>
      </c>
      <c r="S16" s="240">
        <f>SUM(T16:U16)</f>
        <v>691216000</v>
      </c>
      <c r="T16" s="240">
        <f>ROUND(R16/(1+0.19693),-3)</f>
        <v>577491000</v>
      </c>
      <c r="U16" s="240">
        <f>ROUND(T16*19.693%,-3)</f>
        <v>113725000</v>
      </c>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34"/>
    </row>
    <row r="17" spans="1:20" x14ac:dyDescent="0.35">
      <c r="B17" s="242"/>
      <c r="C17" s="242"/>
    </row>
    <row r="18" spans="1:20" x14ac:dyDescent="0.35">
      <c r="B18" s="242"/>
      <c r="C18" s="242"/>
      <c r="I18" s="212"/>
      <c r="J18" s="212"/>
      <c r="K18" s="212"/>
      <c r="M18" s="212"/>
      <c r="N18" s="212"/>
      <c r="Q18" s="243"/>
    </row>
    <row r="19" spans="1:20" s="230" customFormat="1" x14ac:dyDescent="0.35">
      <c r="A19" s="129"/>
      <c r="B19" s="244"/>
      <c r="C19" s="244"/>
      <c r="D19" s="214"/>
      <c r="E19" s="214"/>
      <c r="F19" s="245"/>
      <c r="G19" s="245"/>
      <c r="H19" s="245"/>
      <c r="I19" s="246"/>
      <c r="J19" s="247"/>
      <c r="K19" s="247"/>
      <c r="L19" s="248"/>
      <c r="M19" s="247"/>
      <c r="N19" s="247"/>
      <c r="O19" s="249"/>
      <c r="P19" s="214"/>
      <c r="Q19" s="250"/>
      <c r="R19" s="214"/>
      <c r="S19" s="214"/>
      <c r="T19" s="214"/>
    </row>
    <row r="20" spans="1:20" x14ac:dyDescent="0.35">
      <c r="F20" s="251"/>
      <c r="G20" s="251"/>
      <c r="H20" s="251"/>
      <c r="I20" s="246"/>
      <c r="J20" s="247"/>
      <c r="K20" s="247"/>
      <c r="M20" s="247"/>
      <c r="N20" s="247"/>
      <c r="O20" s="252"/>
    </row>
    <row r="21" spans="1:20" x14ac:dyDescent="0.35">
      <c r="F21" s="251"/>
      <c r="G21" s="251"/>
      <c r="H21" s="251"/>
      <c r="I21" s="246"/>
      <c r="J21" s="247"/>
      <c r="K21" s="247"/>
      <c r="M21" s="247"/>
      <c r="N21" s="247"/>
      <c r="O21" s="252"/>
    </row>
    <row r="22" spans="1:20" x14ac:dyDescent="0.35">
      <c r="I22" s="253"/>
      <c r="J22" s="254"/>
      <c r="K22" s="254"/>
      <c r="M22" s="254"/>
      <c r="N22" s="254"/>
    </row>
    <row r="23" spans="1:20" x14ac:dyDescent="0.35">
      <c r="I23" s="252"/>
      <c r="J23" s="252"/>
      <c r="K23" s="252"/>
      <c r="M23" s="252"/>
      <c r="N23" s="252"/>
    </row>
    <row r="24" spans="1:20" x14ac:dyDescent="0.35">
      <c r="I24" s="247"/>
      <c r="J24" s="247"/>
      <c r="K24" s="247"/>
      <c r="M24" s="247"/>
      <c r="N24" s="247"/>
    </row>
    <row r="25" spans="1:20" x14ac:dyDescent="0.35">
      <c r="I25" s="252"/>
      <c r="J25" s="252"/>
      <c r="K25" s="252"/>
      <c r="M25" s="252"/>
      <c r="N25" s="252"/>
    </row>
  </sheetData>
  <mergeCells count="33">
    <mergeCell ref="G15:G16"/>
    <mergeCell ref="B11:E11"/>
    <mergeCell ref="B14:E14"/>
    <mergeCell ref="B10:I10"/>
    <mergeCell ref="B13:I13"/>
    <mergeCell ref="R1:U1"/>
    <mergeCell ref="A9:I9"/>
    <mergeCell ref="Q5:Q7"/>
    <mergeCell ref="R5:R7"/>
    <mergeCell ref="S5:U5"/>
    <mergeCell ref="J6:J7"/>
    <mergeCell ref="K6:K7"/>
    <mergeCell ref="L6:L7"/>
    <mergeCell ref="M6:M7"/>
    <mergeCell ref="N6:N7"/>
    <mergeCell ref="O6:O7"/>
    <mergeCell ref="S6:S7"/>
    <mergeCell ref="P5:P7"/>
    <mergeCell ref="A2:U2"/>
    <mergeCell ref="A3:U3"/>
    <mergeCell ref="R4:U4"/>
    <mergeCell ref="A5:A7"/>
    <mergeCell ref="B5:B7"/>
    <mergeCell ref="C5:C7"/>
    <mergeCell ref="D5:D7"/>
    <mergeCell ref="E5:E7"/>
    <mergeCell ref="F5:F7"/>
    <mergeCell ref="T6:U6"/>
    <mergeCell ref="G5:G7"/>
    <mergeCell ref="H5:H7"/>
    <mergeCell ref="I5:I7"/>
    <mergeCell ref="J5:L5"/>
    <mergeCell ref="M5:O5"/>
  </mergeCells>
  <pageMargins left="0.7" right="0.27" top="0.31" bottom="0.32" header="0.18" footer="0.3"/>
  <pageSetup paperSize="8" firstPageNumber="38"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S30"/>
  <sheetViews>
    <sheetView topLeftCell="A6" zoomScale="85" zoomScaleNormal="85" workbookViewId="0">
      <selection activeCell="L17" sqref="L17"/>
    </sheetView>
  </sheetViews>
  <sheetFormatPr defaultColWidth="9" defaultRowHeight="15.5" x14ac:dyDescent="0.35"/>
  <cols>
    <col min="1" max="1" width="6" style="111" customWidth="1"/>
    <col min="2" max="2" width="34.33203125" style="109" customWidth="1"/>
    <col min="3" max="3" width="13.5" style="114" customWidth="1"/>
    <col min="4" max="4" width="13.5" style="109" customWidth="1"/>
    <col min="5" max="5" width="13.5" style="114" customWidth="1"/>
    <col min="6" max="7" width="13.5" style="109" customWidth="1"/>
    <col min="8" max="8" width="11.83203125" style="109" customWidth="1"/>
    <col min="9" max="9" width="12" style="109" customWidth="1"/>
    <col min="10" max="10" width="11.83203125" style="115" customWidth="1"/>
    <col min="11" max="11" width="10.5" style="109" customWidth="1"/>
    <col min="12" max="12" width="13.25" style="109" customWidth="1"/>
    <col min="13" max="16" width="10.5" style="109" customWidth="1"/>
    <col min="17" max="18" width="11.83203125" style="109" customWidth="1"/>
    <col min="19" max="19" width="12" style="109" customWidth="1"/>
    <col min="20" max="16384" width="9" style="109"/>
  </cols>
  <sheetData>
    <row r="1" spans="1:19" ht="19.5" customHeight="1" x14ac:dyDescent="0.35">
      <c r="A1" s="195"/>
      <c r="B1" s="196"/>
      <c r="C1" s="197"/>
      <c r="D1" s="196"/>
      <c r="E1" s="197"/>
      <c r="F1" s="196"/>
      <c r="G1" s="196"/>
      <c r="H1" s="196"/>
      <c r="I1" s="196"/>
      <c r="J1" s="198"/>
      <c r="K1" s="196"/>
      <c r="L1" s="196"/>
      <c r="M1" s="196"/>
      <c r="N1" s="196"/>
      <c r="O1" s="196"/>
      <c r="P1" s="379" t="s">
        <v>348</v>
      </c>
      <c r="Q1" s="379"/>
      <c r="R1" s="379"/>
    </row>
    <row r="2" spans="1:19" ht="39.75" customHeight="1" x14ac:dyDescent="0.35">
      <c r="A2" s="382" t="s">
        <v>339</v>
      </c>
      <c r="B2" s="382"/>
      <c r="C2" s="382"/>
      <c r="D2" s="382"/>
      <c r="E2" s="382"/>
      <c r="F2" s="382"/>
      <c r="G2" s="382"/>
      <c r="H2" s="382"/>
      <c r="I2" s="382"/>
      <c r="J2" s="382"/>
      <c r="K2" s="382"/>
      <c r="L2" s="382"/>
      <c r="M2" s="382"/>
      <c r="N2" s="382"/>
      <c r="O2" s="382"/>
      <c r="P2" s="382"/>
      <c r="Q2" s="382"/>
      <c r="R2" s="382"/>
    </row>
    <row r="3" spans="1:19" ht="23.25" customHeight="1" x14ac:dyDescent="0.35">
      <c r="A3" s="383" t="str">
        <f>'B1.2-DTTS-Pbổ DAPTSX'!A3:U3</f>
        <v>(Kèm theo Nghị quyết số       /NQ-HĐND ngày     tháng 4 năm 2023 của Hội đồng nhân dân tỉnh Bắc Kạn)</v>
      </c>
      <c r="B3" s="383"/>
      <c r="C3" s="383"/>
      <c r="D3" s="383"/>
      <c r="E3" s="383"/>
      <c r="F3" s="383"/>
      <c r="G3" s="383"/>
      <c r="H3" s="383"/>
      <c r="I3" s="383"/>
      <c r="J3" s="383"/>
      <c r="K3" s="383"/>
      <c r="L3" s="383"/>
      <c r="M3" s="383"/>
      <c r="N3" s="383"/>
      <c r="O3" s="383"/>
      <c r="P3" s="383"/>
      <c r="Q3" s="383"/>
      <c r="R3" s="383"/>
    </row>
    <row r="4" spans="1:19" ht="18" x14ac:dyDescent="0.35">
      <c r="A4" s="195"/>
      <c r="B4" s="196"/>
      <c r="C4" s="197"/>
      <c r="D4" s="196"/>
      <c r="E4" s="197"/>
      <c r="F4" s="196"/>
      <c r="G4" s="196"/>
      <c r="H4" s="196"/>
      <c r="I4" s="196"/>
      <c r="J4" s="199"/>
      <c r="K4" s="199"/>
      <c r="L4" s="199"/>
      <c r="M4" s="199"/>
      <c r="N4" s="199"/>
      <c r="O4" s="199"/>
      <c r="P4" s="384" t="s">
        <v>78</v>
      </c>
      <c r="Q4" s="384"/>
      <c r="R4" s="384"/>
    </row>
    <row r="5" spans="1:19" ht="36.75" customHeight="1" x14ac:dyDescent="0.35">
      <c r="A5" s="360" t="s">
        <v>0</v>
      </c>
      <c r="B5" s="360" t="s">
        <v>286</v>
      </c>
      <c r="C5" s="360" t="s">
        <v>287</v>
      </c>
      <c r="D5" s="360"/>
      <c r="E5" s="360"/>
      <c r="F5" s="362" t="s">
        <v>308</v>
      </c>
      <c r="G5" s="362"/>
      <c r="H5" s="362"/>
      <c r="I5" s="362" t="s">
        <v>337</v>
      </c>
      <c r="J5" s="362"/>
      <c r="K5" s="362"/>
      <c r="L5" s="362"/>
      <c r="M5" s="362"/>
      <c r="N5" s="362"/>
      <c r="O5" s="362"/>
      <c r="P5" s="362"/>
      <c r="Q5" s="362"/>
      <c r="R5" s="362"/>
    </row>
    <row r="6" spans="1:19" s="112" customFormat="1" ht="125.25" customHeight="1" x14ac:dyDescent="0.35">
      <c r="A6" s="360"/>
      <c r="B6" s="360"/>
      <c r="C6" s="360"/>
      <c r="D6" s="360"/>
      <c r="E6" s="360"/>
      <c r="F6" s="360" t="s">
        <v>309</v>
      </c>
      <c r="G6" s="360"/>
      <c r="H6" s="360"/>
      <c r="I6" s="360" t="s">
        <v>291</v>
      </c>
      <c r="J6" s="165" t="s">
        <v>310</v>
      </c>
      <c r="K6" s="165" t="s">
        <v>309</v>
      </c>
      <c r="L6" s="360" t="s">
        <v>311</v>
      </c>
      <c r="M6" s="360"/>
      <c r="N6" s="360"/>
      <c r="O6" s="165" t="s">
        <v>312</v>
      </c>
      <c r="P6" s="165" t="s">
        <v>312</v>
      </c>
      <c r="Q6" s="165" t="s">
        <v>313</v>
      </c>
      <c r="R6" s="165" t="s">
        <v>313</v>
      </c>
    </row>
    <row r="7" spans="1:19" s="112" customFormat="1" ht="68.25" customHeight="1" x14ac:dyDescent="0.35">
      <c r="A7" s="360"/>
      <c r="B7" s="360"/>
      <c r="C7" s="360"/>
      <c r="D7" s="360"/>
      <c r="E7" s="360"/>
      <c r="F7" s="360" t="s">
        <v>289</v>
      </c>
      <c r="G7" s="360"/>
      <c r="H7" s="360"/>
      <c r="I7" s="360"/>
      <c r="J7" s="165" t="s">
        <v>289</v>
      </c>
      <c r="K7" s="165" t="s">
        <v>289</v>
      </c>
      <c r="L7" s="165" t="s">
        <v>314</v>
      </c>
      <c r="M7" s="360" t="s">
        <v>289</v>
      </c>
      <c r="N7" s="360"/>
      <c r="O7" s="360" t="s">
        <v>328</v>
      </c>
      <c r="P7" s="360"/>
      <c r="Q7" s="360" t="s">
        <v>314</v>
      </c>
      <c r="R7" s="360"/>
    </row>
    <row r="8" spans="1:19" s="112" customFormat="1" ht="21" customHeight="1" x14ac:dyDescent="0.35">
      <c r="A8" s="360"/>
      <c r="B8" s="360"/>
      <c r="C8" s="381" t="s">
        <v>290</v>
      </c>
      <c r="D8" s="360" t="s">
        <v>73</v>
      </c>
      <c r="E8" s="360"/>
      <c r="F8" s="360" t="s">
        <v>315</v>
      </c>
      <c r="G8" s="360"/>
      <c r="H8" s="360"/>
      <c r="I8" s="360"/>
      <c r="J8" s="378" t="s">
        <v>292</v>
      </c>
      <c r="K8" s="360" t="s">
        <v>315</v>
      </c>
      <c r="L8" s="360" t="s">
        <v>315</v>
      </c>
      <c r="M8" s="360" t="s">
        <v>316</v>
      </c>
      <c r="N8" s="360" t="s">
        <v>317</v>
      </c>
      <c r="O8" s="360" t="s">
        <v>315</v>
      </c>
      <c r="P8" s="360" t="s">
        <v>318</v>
      </c>
      <c r="Q8" s="360" t="s">
        <v>315</v>
      </c>
      <c r="R8" s="360" t="s">
        <v>318</v>
      </c>
    </row>
    <row r="9" spans="1:19" s="112" customFormat="1" ht="21" customHeight="1" x14ac:dyDescent="0.35">
      <c r="A9" s="360"/>
      <c r="B9" s="360"/>
      <c r="C9" s="381"/>
      <c r="D9" s="360"/>
      <c r="E9" s="360"/>
      <c r="F9" s="360" t="s">
        <v>290</v>
      </c>
      <c r="G9" s="360" t="s">
        <v>73</v>
      </c>
      <c r="H9" s="360"/>
      <c r="I9" s="360"/>
      <c r="J9" s="378"/>
      <c r="K9" s="360"/>
      <c r="L9" s="360"/>
      <c r="M9" s="360"/>
      <c r="N9" s="360"/>
      <c r="O9" s="360"/>
      <c r="P9" s="360"/>
      <c r="Q9" s="360"/>
      <c r="R9" s="360"/>
    </row>
    <row r="10" spans="1:19" ht="38.25" customHeight="1" x14ac:dyDescent="0.35">
      <c r="A10" s="360"/>
      <c r="B10" s="360"/>
      <c r="C10" s="381"/>
      <c r="D10" s="165" t="s">
        <v>74</v>
      </c>
      <c r="E10" s="200" t="s">
        <v>292</v>
      </c>
      <c r="F10" s="360"/>
      <c r="G10" s="165" t="s">
        <v>74</v>
      </c>
      <c r="H10" s="165" t="s">
        <v>292</v>
      </c>
      <c r="I10" s="360"/>
      <c r="J10" s="378"/>
      <c r="K10" s="165" t="s">
        <v>292</v>
      </c>
      <c r="L10" s="165" t="s">
        <v>292</v>
      </c>
      <c r="M10" s="165" t="s">
        <v>292</v>
      </c>
      <c r="N10" s="165" t="s">
        <v>292</v>
      </c>
      <c r="O10" s="165" t="s">
        <v>292</v>
      </c>
      <c r="P10" s="165" t="s">
        <v>292</v>
      </c>
      <c r="Q10" s="165" t="s">
        <v>292</v>
      </c>
      <c r="R10" s="165" t="s">
        <v>292</v>
      </c>
    </row>
    <row r="11" spans="1:19" s="110" customFormat="1" ht="30" customHeight="1" x14ac:dyDescent="0.35">
      <c r="A11" s="380" t="s">
        <v>6</v>
      </c>
      <c r="B11" s="380"/>
      <c r="C11" s="168">
        <f t="shared" ref="C11:R11" si="0">C12+C16</f>
        <v>5270289665</v>
      </c>
      <c r="D11" s="168">
        <f t="shared" si="0"/>
        <v>4228214000</v>
      </c>
      <c r="E11" s="168">
        <f t="shared" si="0"/>
        <v>1042075665</v>
      </c>
      <c r="F11" s="168">
        <f t="shared" si="0"/>
        <v>4355030000</v>
      </c>
      <c r="G11" s="168">
        <f t="shared" si="0"/>
        <v>4228214000</v>
      </c>
      <c r="H11" s="168">
        <f t="shared" si="0"/>
        <v>126816000</v>
      </c>
      <c r="I11" s="168">
        <f t="shared" si="0"/>
        <v>915259665</v>
      </c>
      <c r="J11" s="201">
        <f t="shared" si="0"/>
        <v>354619665</v>
      </c>
      <c r="K11" s="168">
        <f t="shared" si="0"/>
        <v>10620000</v>
      </c>
      <c r="L11" s="168">
        <f t="shared" si="0"/>
        <v>438000000</v>
      </c>
      <c r="M11" s="168">
        <f t="shared" si="0"/>
        <v>7000000</v>
      </c>
      <c r="N11" s="168">
        <f t="shared" si="0"/>
        <v>26000000</v>
      </c>
      <c r="O11" s="168">
        <f t="shared" si="0"/>
        <v>2000000</v>
      </c>
      <c r="P11" s="168">
        <f t="shared" si="0"/>
        <v>4000000</v>
      </c>
      <c r="Q11" s="168">
        <f t="shared" si="0"/>
        <v>49300000</v>
      </c>
      <c r="R11" s="168">
        <f t="shared" si="0"/>
        <v>23720000</v>
      </c>
    </row>
    <row r="12" spans="1:19" s="110" customFormat="1" ht="21" customHeight="1" x14ac:dyDescent="0.35">
      <c r="A12" s="169" t="s">
        <v>1</v>
      </c>
      <c r="B12" s="170" t="s">
        <v>293</v>
      </c>
      <c r="C12" s="202">
        <f t="shared" ref="C12:R12" si="1">SUM(C13:C15)</f>
        <v>828503000</v>
      </c>
      <c r="D12" s="202">
        <f t="shared" si="1"/>
        <v>422821000</v>
      </c>
      <c r="E12" s="202">
        <f t="shared" si="1"/>
        <v>405682000</v>
      </c>
      <c r="F12" s="202">
        <f t="shared" si="1"/>
        <v>435503000</v>
      </c>
      <c r="G12" s="202">
        <f t="shared" si="1"/>
        <v>422821000</v>
      </c>
      <c r="H12" s="202">
        <f t="shared" si="1"/>
        <v>12682000</v>
      </c>
      <c r="I12" s="203">
        <f t="shared" si="1"/>
        <v>393000000</v>
      </c>
      <c r="J12" s="203">
        <f t="shared" si="1"/>
        <v>64000000</v>
      </c>
      <c r="K12" s="203">
        <f t="shared" si="1"/>
        <v>0</v>
      </c>
      <c r="L12" s="203">
        <f t="shared" si="1"/>
        <v>294000000</v>
      </c>
      <c r="M12" s="203">
        <f t="shared" si="1"/>
        <v>0</v>
      </c>
      <c r="N12" s="203">
        <f t="shared" si="1"/>
        <v>0</v>
      </c>
      <c r="O12" s="203">
        <f t="shared" si="1"/>
        <v>0</v>
      </c>
      <c r="P12" s="203">
        <f t="shared" si="1"/>
        <v>0</v>
      </c>
      <c r="Q12" s="203">
        <f t="shared" si="1"/>
        <v>23000000</v>
      </c>
      <c r="R12" s="203">
        <f t="shared" si="1"/>
        <v>12000000</v>
      </c>
    </row>
    <row r="13" spans="1:19" ht="22.5" customHeight="1" x14ac:dyDescent="0.35">
      <c r="A13" s="172">
        <v>1</v>
      </c>
      <c r="B13" s="173" t="s">
        <v>393</v>
      </c>
      <c r="C13" s="174">
        <f>SUM(D13:E13)</f>
        <v>435503000</v>
      </c>
      <c r="D13" s="204">
        <f>G13</f>
        <v>422821000</v>
      </c>
      <c r="E13" s="174">
        <f>H13+I13</f>
        <v>12682000</v>
      </c>
      <c r="F13" s="204">
        <f>SUM(G13:H13)</f>
        <v>435503000</v>
      </c>
      <c r="G13" s="204">
        <v>422821000</v>
      </c>
      <c r="H13" s="204">
        <v>12682000</v>
      </c>
      <c r="I13" s="205">
        <f>SUM(J13:R13)</f>
        <v>0</v>
      </c>
      <c r="J13" s="205"/>
      <c r="K13" s="205"/>
      <c r="L13" s="205"/>
      <c r="M13" s="205"/>
      <c r="N13" s="205"/>
      <c r="O13" s="205"/>
      <c r="P13" s="205"/>
      <c r="Q13" s="205"/>
      <c r="R13" s="205"/>
    </row>
    <row r="14" spans="1:19" ht="21" customHeight="1" x14ac:dyDescent="0.35">
      <c r="A14" s="172">
        <v>2</v>
      </c>
      <c r="B14" s="173" t="s">
        <v>392</v>
      </c>
      <c r="C14" s="174">
        <f t="shared" ref="C14:C15" si="2">SUM(D14:E14)</f>
        <v>197000000</v>
      </c>
      <c r="D14" s="204">
        <f t="shared" ref="D14:D15" si="3">G14</f>
        <v>0</v>
      </c>
      <c r="E14" s="174">
        <f t="shared" ref="E14:E15" si="4">H14+I14</f>
        <v>197000000</v>
      </c>
      <c r="F14" s="204">
        <f t="shared" ref="F14:F15" si="5">SUM(G14:H14)</f>
        <v>0</v>
      </c>
      <c r="G14" s="174"/>
      <c r="H14" s="174"/>
      <c r="I14" s="205">
        <f t="shared" ref="I14:I15" si="6">SUM(J14:R14)</f>
        <v>197000000</v>
      </c>
      <c r="J14" s="205">
        <v>64000000</v>
      </c>
      <c r="K14" s="205"/>
      <c r="L14" s="205">
        <v>98000000</v>
      </c>
      <c r="M14" s="205"/>
      <c r="N14" s="205"/>
      <c r="O14" s="205"/>
      <c r="P14" s="205"/>
      <c r="Q14" s="205">
        <v>23000000</v>
      </c>
      <c r="R14" s="205">
        <v>12000000</v>
      </c>
    </row>
    <row r="15" spans="1:19" ht="21" customHeight="1" x14ac:dyDescent="0.35">
      <c r="A15" s="172">
        <v>3</v>
      </c>
      <c r="B15" s="173" t="s">
        <v>209</v>
      </c>
      <c r="C15" s="174">
        <f t="shared" si="2"/>
        <v>196000000</v>
      </c>
      <c r="D15" s="204">
        <f t="shared" si="3"/>
        <v>0</v>
      </c>
      <c r="E15" s="174">
        <f t="shared" si="4"/>
        <v>196000000</v>
      </c>
      <c r="F15" s="204">
        <f t="shared" si="5"/>
        <v>0</v>
      </c>
      <c r="G15" s="174"/>
      <c r="H15" s="174"/>
      <c r="I15" s="205">
        <f t="shared" si="6"/>
        <v>196000000</v>
      </c>
      <c r="J15" s="205"/>
      <c r="K15" s="205"/>
      <c r="L15" s="205">
        <v>196000000</v>
      </c>
      <c r="M15" s="205"/>
      <c r="N15" s="205"/>
      <c r="O15" s="205"/>
      <c r="P15" s="205"/>
      <c r="Q15" s="205"/>
      <c r="R15" s="205"/>
    </row>
    <row r="16" spans="1:19" s="110" customFormat="1" ht="21" customHeight="1" x14ac:dyDescent="0.35">
      <c r="A16" s="175" t="s">
        <v>2</v>
      </c>
      <c r="B16" s="176" t="s">
        <v>294</v>
      </c>
      <c r="C16" s="202">
        <f>SUM(C17:C24)</f>
        <v>4441786665</v>
      </c>
      <c r="D16" s="202">
        <f t="shared" ref="D16:R16" si="7">SUM(D17:D24)</f>
        <v>3805393000</v>
      </c>
      <c r="E16" s="202">
        <f t="shared" si="7"/>
        <v>636393665</v>
      </c>
      <c r="F16" s="202">
        <f t="shared" si="7"/>
        <v>3919527000</v>
      </c>
      <c r="G16" s="202">
        <f t="shared" si="7"/>
        <v>3805393000</v>
      </c>
      <c r="H16" s="202">
        <f t="shared" si="7"/>
        <v>114134000</v>
      </c>
      <c r="I16" s="203">
        <f t="shared" si="7"/>
        <v>522259665</v>
      </c>
      <c r="J16" s="203">
        <f t="shared" si="7"/>
        <v>290619665</v>
      </c>
      <c r="K16" s="203">
        <f t="shared" si="7"/>
        <v>10620000</v>
      </c>
      <c r="L16" s="203">
        <f t="shared" si="7"/>
        <v>144000000</v>
      </c>
      <c r="M16" s="203">
        <f t="shared" si="7"/>
        <v>7000000</v>
      </c>
      <c r="N16" s="203">
        <f t="shared" si="7"/>
        <v>26000000</v>
      </c>
      <c r="O16" s="203">
        <f t="shared" si="7"/>
        <v>2000000</v>
      </c>
      <c r="P16" s="203">
        <f t="shared" si="7"/>
        <v>4000000</v>
      </c>
      <c r="Q16" s="203">
        <f t="shared" si="7"/>
        <v>26300000</v>
      </c>
      <c r="R16" s="203">
        <f t="shared" si="7"/>
        <v>11720000</v>
      </c>
      <c r="S16" s="109"/>
    </row>
    <row r="17" spans="1:18" ht="21" customHeight="1" x14ac:dyDescent="0.35">
      <c r="A17" s="172">
        <v>1</v>
      </c>
      <c r="B17" s="177" t="s">
        <v>28</v>
      </c>
      <c r="C17" s="206">
        <f>SUM(D17:E17)</f>
        <v>490566000</v>
      </c>
      <c r="D17" s="206">
        <f>G17</f>
        <v>413174000</v>
      </c>
      <c r="E17" s="206">
        <f>H17+I17</f>
        <v>77392000</v>
      </c>
      <c r="F17" s="206">
        <f>SUM(G17:H17)</f>
        <v>425566000</v>
      </c>
      <c r="G17" s="206">
        <v>413174000</v>
      </c>
      <c r="H17" s="204">
        <v>12392000</v>
      </c>
      <c r="I17" s="205">
        <f>SUM(J17:R17)</f>
        <v>65000000</v>
      </c>
      <c r="J17" s="205">
        <v>40000000</v>
      </c>
      <c r="K17" s="205"/>
      <c r="L17" s="205">
        <v>25000000</v>
      </c>
      <c r="M17" s="205"/>
      <c r="N17" s="205"/>
      <c r="O17" s="205"/>
      <c r="P17" s="205"/>
      <c r="Q17" s="205"/>
      <c r="R17" s="205"/>
    </row>
    <row r="18" spans="1:18" ht="21" customHeight="1" x14ac:dyDescent="0.35">
      <c r="A18" s="172">
        <v>2</v>
      </c>
      <c r="B18" s="177" t="s">
        <v>29</v>
      </c>
      <c r="C18" s="206">
        <f t="shared" ref="C18:C24" si="8">SUM(D18:E18)</f>
        <v>456181465</v>
      </c>
      <c r="D18" s="206">
        <f t="shared" ref="D18:D24" si="9">G18</f>
        <v>428144000</v>
      </c>
      <c r="E18" s="206">
        <f t="shared" ref="E18:E24" si="10">H18+I18</f>
        <v>28037465</v>
      </c>
      <c r="F18" s="206">
        <f t="shared" ref="F18:F24" si="11">SUM(G18:H18)</f>
        <v>440985000</v>
      </c>
      <c r="G18" s="206">
        <v>428144000</v>
      </c>
      <c r="H18" s="204">
        <v>12841000</v>
      </c>
      <c r="I18" s="205">
        <f t="shared" ref="I18:I24" si="12">SUM(J18:R18)</f>
        <v>15196465</v>
      </c>
      <c r="J18" s="205">
        <v>6896465</v>
      </c>
      <c r="K18" s="205"/>
      <c r="L18" s="205">
        <v>0</v>
      </c>
      <c r="M18" s="205"/>
      <c r="N18" s="205">
        <v>4000000</v>
      </c>
      <c r="O18" s="205"/>
      <c r="P18" s="205"/>
      <c r="Q18" s="205">
        <v>4300000</v>
      </c>
      <c r="R18" s="205"/>
    </row>
    <row r="19" spans="1:18" ht="21" customHeight="1" x14ac:dyDescent="0.35">
      <c r="A19" s="172">
        <v>3</v>
      </c>
      <c r="B19" s="177" t="s">
        <v>30</v>
      </c>
      <c r="C19" s="206">
        <f t="shared" si="8"/>
        <v>701433000</v>
      </c>
      <c r="D19" s="206">
        <f t="shared" si="9"/>
        <v>622755000</v>
      </c>
      <c r="E19" s="206">
        <f t="shared" si="10"/>
        <v>78678000</v>
      </c>
      <c r="F19" s="206">
        <f t="shared" si="11"/>
        <v>641433000</v>
      </c>
      <c r="G19" s="206">
        <v>622755000</v>
      </c>
      <c r="H19" s="204">
        <v>18678000</v>
      </c>
      <c r="I19" s="205">
        <f t="shared" si="12"/>
        <v>60000000</v>
      </c>
      <c r="J19" s="205">
        <v>60000000</v>
      </c>
      <c r="K19" s="205"/>
      <c r="L19" s="205">
        <v>0</v>
      </c>
      <c r="M19" s="205"/>
      <c r="N19" s="205">
        <v>0</v>
      </c>
      <c r="O19" s="205"/>
      <c r="P19" s="205"/>
      <c r="Q19" s="205">
        <v>0</v>
      </c>
      <c r="R19" s="205"/>
    </row>
    <row r="20" spans="1:18" ht="21" customHeight="1" x14ac:dyDescent="0.35">
      <c r="A20" s="172">
        <v>4</v>
      </c>
      <c r="B20" s="177" t="s">
        <v>31</v>
      </c>
      <c r="C20" s="206">
        <f t="shared" si="8"/>
        <v>440403000</v>
      </c>
      <c r="D20" s="206">
        <f t="shared" si="9"/>
        <v>378743000</v>
      </c>
      <c r="E20" s="206">
        <f t="shared" si="10"/>
        <v>61660000</v>
      </c>
      <c r="F20" s="206">
        <f t="shared" si="11"/>
        <v>390103000</v>
      </c>
      <c r="G20" s="206">
        <v>378743000</v>
      </c>
      <c r="H20" s="204">
        <v>11360000</v>
      </c>
      <c r="I20" s="205">
        <f t="shared" si="12"/>
        <v>50300000</v>
      </c>
      <c r="J20" s="205">
        <v>9300000</v>
      </c>
      <c r="K20" s="205"/>
      <c r="L20" s="205">
        <v>23000000</v>
      </c>
      <c r="M20" s="205"/>
      <c r="N20" s="205">
        <v>5000000</v>
      </c>
      <c r="O20" s="205">
        <v>1000000</v>
      </c>
      <c r="P20" s="205">
        <v>1000000</v>
      </c>
      <c r="Q20" s="205">
        <v>7000000</v>
      </c>
      <c r="R20" s="205">
        <v>4000000</v>
      </c>
    </row>
    <row r="21" spans="1:18" ht="21" customHeight="1" x14ac:dyDescent="0.35">
      <c r="A21" s="172">
        <v>5</v>
      </c>
      <c r="B21" s="177" t="s">
        <v>32</v>
      </c>
      <c r="C21" s="206">
        <f t="shared" si="8"/>
        <v>640874000</v>
      </c>
      <c r="D21" s="206">
        <f t="shared" si="9"/>
        <v>544911000</v>
      </c>
      <c r="E21" s="206">
        <f t="shared" si="10"/>
        <v>95963000</v>
      </c>
      <c r="F21" s="206">
        <f t="shared" si="11"/>
        <v>561254000</v>
      </c>
      <c r="G21" s="206">
        <v>544911000</v>
      </c>
      <c r="H21" s="204">
        <v>16343000</v>
      </c>
      <c r="I21" s="205">
        <f t="shared" si="12"/>
        <v>79620000</v>
      </c>
      <c r="J21" s="205">
        <v>43000000</v>
      </c>
      <c r="K21" s="205">
        <v>10620000</v>
      </c>
      <c r="L21" s="205">
        <v>26000000</v>
      </c>
      <c r="M21" s="205"/>
      <c r="N21" s="205">
        <v>0</v>
      </c>
      <c r="O21" s="205">
        <v>0</v>
      </c>
      <c r="P21" s="205">
        <v>0</v>
      </c>
      <c r="Q21" s="205">
        <v>0</v>
      </c>
      <c r="R21" s="205">
        <v>0</v>
      </c>
    </row>
    <row r="22" spans="1:18" ht="21" customHeight="1" x14ac:dyDescent="0.35">
      <c r="A22" s="172">
        <v>6</v>
      </c>
      <c r="B22" s="177" t="s">
        <v>33</v>
      </c>
      <c r="C22" s="206">
        <f t="shared" si="8"/>
        <v>794243000</v>
      </c>
      <c r="D22" s="206">
        <f t="shared" si="9"/>
        <v>661677000</v>
      </c>
      <c r="E22" s="206">
        <f t="shared" si="10"/>
        <v>132566000</v>
      </c>
      <c r="F22" s="206">
        <f t="shared" si="11"/>
        <v>681523000</v>
      </c>
      <c r="G22" s="206">
        <v>661677000</v>
      </c>
      <c r="H22" s="204">
        <v>19846000</v>
      </c>
      <c r="I22" s="205">
        <f t="shared" si="12"/>
        <v>112720000</v>
      </c>
      <c r="J22" s="205">
        <v>64000000</v>
      </c>
      <c r="K22" s="205"/>
      <c r="L22" s="205">
        <v>29000000</v>
      </c>
      <c r="M22" s="205">
        <v>7000000</v>
      </c>
      <c r="N22" s="205">
        <v>8000000</v>
      </c>
      <c r="O22" s="205">
        <v>0</v>
      </c>
      <c r="P22" s="205">
        <v>2000000</v>
      </c>
      <c r="Q22" s="205">
        <v>0</v>
      </c>
      <c r="R22" s="205">
        <v>2720000</v>
      </c>
    </row>
    <row r="23" spans="1:18" ht="21" customHeight="1" x14ac:dyDescent="0.35">
      <c r="A23" s="172">
        <v>7</v>
      </c>
      <c r="B23" s="177" t="s">
        <v>34</v>
      </c>
      <c r="C23" s="206">
        <f t="shared" si="8"/>
        <v>628381200</v>
      </c>
      <c r="D23" s="206">
        <f t="shared" si="9"/>
        <v>516467999.99999994</v>
      </c>
      <c r="E23" s="206">
        <f t="shared" si="10"/>
        <v>111913200</v>
      </c>
      <c r="F23" s="206">
        <f t="shared" si="11"/>
        <v>531957999.99999994</v>
      </c>
      <c r="G23" s="206">
        <v>516467999.99999994</v>
      </c>
      <c r="H23" s="204">
        <v>15490000</v>
      </c>
      <c r="I23" s="205">
        <f t="shared" si="12"/>
        <v>96423200</v>
      </c>
      <c r="J23" s="205">
        <v>44423200</v>
      </c>
      <c r="K23" s="205"/>
      <c r="L23" s="205">
        <v>26000000</v>
      </c>
      <c r="M23" s="205"/>
      <c r="N23" s="205">
        <v>9000000</v>
      </c>
      <c r="O23" s="205">
        <v>1000000</v>
      </c>
      <c r="P23" s="205">
        <v>1000000</v>
      </c>
      <c r="Q23" s="205">
        <v>10000000</v>
      </c>
      <c r="R23" s="205">
        <v>5000000</v>
      </c>
    </row>
    <row r="24" spans="1:18" ht="21" customHeight="1" x14ac:dyDescent="0.35">
      <c r="A24" s="178">
        <v>8</v>
      </c>
      <c r="B24" s="179" t="s">
        <v>35</v>
      </c>
      <c r="C24" s="207">
        <f t="shared" si="8"/>
        <v>289705000</v>
      </c>
      <c r="D24" s="207">
        <f t="shared" si="9"/>
        <v>239521000</v>
      </c>
      <c r="E24" s="207">
        <f t="shared" si="10"/>
        <v>50184000</v>
      </c>
      <c r="F24" s="207">
        <f t="shared" si="11"/>
        <v>246705000</v>
      </c>
      <c r="G24" s="207">
        <v>239521000</v>
      </c>
      <c r="H24" s="208">
        <v>7184000</v>
      </c>
      <c r="I24" s="209">
        <f t="shared" si="12"/>
        <v>43000000</v>
      </c>
      <c r="J24" s="209">
        <v>23000000</v>
      </c>
      <c r="K24" s="209"/>
      <c r="L24" s="209">
        <v>15000000</v>
      </c>
      <c r="M24" s="209"/>
      <c r="N24" s="209"/>
      <c r="O24" s="209"/>
      <c r="P24" s="209"/>
      <c r="Q24" s="209">
        <v>5000000</v>
      </c>
      <c r="R24" s="209">
        <v>0</v>
      </c>
    </row>
    <row r="27" spans="1:18" x14ac:dyDescent="0.35">
      <c r="K27" s="116"/>
      <c r="L27" s="116"/>
      <c r="M27" s="116"/>
      <c r="N27" s="116"/>
      <c r="O27" s="116"/>
      <c r="P27" s="116"/>
      <c r="Q27" s="116"/>
      <c r="R27" s="116"/>
    </row>
    <row r="28" spans="1:18" x14ac:dyDescent="0.35">
      <c r="I28" s="117"/>
      <c r="K28" s="113"/>
      <c r="L28" s="113"/>
      <c r="M28" s="113"/>
      <c r="N28" s="113"/>
      <c r="O28" s="113"/>
      <c r="P28" s="113"/>
      <c r="Q28" s="113"/>
      <c r="R28" s="113"/>
    </row>
    <row r="29" spans="1:18" x14ac:dyDescent="0.35">
      <c r="K29" s="113"/>
      <c r="L29" s="113"/>
      <c r="M29" s="113"/>
      <c r="N29" s="113"/>
      <c r="O29" s="113"/>
      <c r="P29" s="113"/>
      <c r="Q29" s="113"/>
      <c r="R29" s="113"/>
    </row>
    <row r="30" spans="1:18" x14ac:dyDescent="0.35">
      <c r="K30" s="113"/>
      <c r="L30" s="113"/>
      <c r="M30" s="113"/>
      <c r="N30" s="113"/>
      <c r="O30" s="113"/>
      <c r="P30" s="113"/>
      <c r="Q30" s="113"/>
      <c r="R30" s="113"/>
    </row>
  </sheetData>
  <mergeCells count="31">
    <mergeCell ref="P1:R1"/>
    <mergeCell ref="A11:B11"/>
    <mergeCell ref="C8:C10"/>
    <mergeCell ref="D8:E9"/>
    <mergeCell ref="N8:N9"/>
    <mergeCell ref="L6:N6"/>
    <mergeCell ref="P8:P9"/>
    <mergeCell ref="M7:N7"/>
    <mergeCell ref="A2:R2"/>
    <mergeCell ref="A3:R3"/>
    <mergeCell ref="P4:R4"/>
    <mergeCell ref="A5:A10"/>
    <mergeCell ref="B5:B10"/>
    <mergeCell ref="C5:E7"/>
    <mergeCell ref="F5:H5"/>
    <mergeCell ref="F9:F10"/>
    <mergeCell ref="G9:H9"/>
    <mergeCell ref="F8:H8"/>
    <mergeCell ref="J8:J10"/>
    <mergeCell ref="K8:K9"/>
    <mergeCell ref="I6:I10"/>
    <mergeCell ref="F7:H7"/>
    <mergeCell ref="F6:H6"/>
    <mergeCell ref="O7:P7"/>
    <mergeCell ref="I5:R5"/>
    <mergeCell ref="Q8:Q9"/>
    <mergeCell ref="R8:R9"/>
    <mergeCell ref="L8:L9"/>
    <mergeCell ref="M8:M9"/>
    <mergeCell ref="O8:O9"/>
    <mergeCell ref="Q7:R7"/>
  </mergeCells>
  <pageMargins left="0.56999999999999995" right="0.28000000000000003" top="0.49" bottom="0.24" header="0.3" footer="0.23"/>
  <pageSetup paperSize="9" scale="55" firstPageNumber="8" pageOrder="overThenDown" orientation="landscape" useFirstPageNumber="1" r:id="rId1"/>
  <headerFooter>
    <oddHeader>&amp;C7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2"/>
  <sheetViews>
    <sheetView workbookViewId="0">
      <selection activeCell="H9" sqref="H9"/>
    </sheetView>
  </sheetViews>
  <sheetFormatPr defaultColWidth="9" defaultRowHeight="15.5" x14ac:dyDescent="0.35"/>
  <cols>
    <col min="1" max="1" width="5.5" style="49" customWidth="1"/>
    <col min="2" max="2" width="62.83203125" style="11" customWidth="1"/>
    <col min="3" max="3" width="19.75" style="11" customWidth="1"/>
    <col min="4" max="4" width="19.08203125" style="11" customWidth="1"/>
    <col min="5" max="5" width="19.25" style="11" customWidth="1"/>
    <col min="6" max="6" width="16.5" style="11" customWidth="1"/>
    <col min="7" max="7" width="20.33203125" style="11" customWidth="1"/>
    <col min="8" max="8" width="20.25" style="11" customWidth="1"/>
    <col min="9" max="16384" width="9" style="11"/>
  </cols>
  <sheetData>
    <row r="1" spans="1:9" ht="23.25" customHeight="1" x14ac:dyDescent="0.35">
      <c r="A1" s="126"/>
      <c r="B1" s="127"/>
      <c r="C1" s="127"/>
      <c r="D1" s="127"/>
      <c r="E1" s="127"/>
      <c r="F1" s="127"/>
      <c r="G1" s="385" t="s">
        <v>344</v>
      </c>
      <c r="H1" s="385"/>
    </row>
    <row r="2" spans="1:9" ht="42.75" customHeight="1" x14ac:dyDescent="0.35">
      <c r="A2" s="389" t="s">
        <v>220</v>
      </c>
      <c r="B2" s="389"/>
      <c r="C2" s="389"/>
      <c r="D2" s="389"/>
      <c r="E2" s="389"/>
      <c r="F2" s="389"/>
      <c r="G2" s="389"/>
      <c r="H2" s="389"/>
    </row>
    <row r="3" spans="1:9" ht="21.75" customHeight="1" x14ac:dyDescent="0.35">
      <c r="A3" s="390" t="str">
        <f>'B1.2-DTTS-Pbổ DAPTSX'!A3:U3</f>
        <v>(Kèm theo Nghị quyết số       /NQ-HĐND ngày     tháng 4 năm 2023 của Hội đồng nhân dân tỉnh Bắc Kạn)</v>
      </c>
      <c r="B3" s="367"/>
      <c r="C3" s="367"/>
      <c r="D3" s="367"/>
      <c r="E3" s="367"/>
      <c r="F3" s="367"/>
      <c r="G3" s="367"/>
      <c r="H3" s="367"/>
    </row>
    <row r="4" spans="1:9" ht="24" customHeight="1" x14ac:dyDescent="0.35">
      <c r="A4" s="184"/>
      <c r="B4" s="127"/>
      <c r="C4" s="127"/>
      <c r="D4" s="127"/>
      <c r="E4" s="127"/>
      <c r="F4" s="127"/>
      <c r="G4" s="356" t="s">
        <v>151</v>
      </c>
      <c r="H4" s="356"/>
    </row>
    <row r="5" spans="1:9" ht="36.75" customHeight="1" x14ac:dyDescent="0.35">
      <c r="A5" s="362" t="s">
        <v>0</v>
      </c>
      <c r="B5" s="362" t="s">
        <v>3</v>
      </c>
      <c r="C5" s="362" t="s">
        <v>143</v>
      </c>
      <c r="D5" s="386" t="s">
        <v>218</v>
      </c>
      <c r="E5" s="386"/>
      <c r="F5" s="386"/>
      <c r="G5" s="369" t="s">
        <v>338</v>
      </c>
      <c r="H5" s="386" t="s">
        <v>152</v>
      </c>
    </row>
    <row r="6" spans="1:9" ht="24.75" customHeight="1" x14ac:dyDescent="0.35">
      <c r="A6" s="362"/>
      <c r="B6" s="362"/>
      <c r="C6" s="362"/>
      <c r="D6" s="386" t="s">
        <v>201</v>
      </c>
      <c r="E6" s="386" t="s">
        <v>73</v>
      </c>
      <c r="F6" s="386"/>
      <c r="G6" s="369"/>
      <c r="H6" s="386"/>
    </row>
    <row r="7" spans="1:9" ht="80.25" customHeight="1" x14ac:dyDescent="0.35">
      <c r="A7" s="362"/>
      <c r="B7" s="362"/>
      <c r="C7" s="362"/>
      <c r="D7" s="386"/>
      <c r="E7" s="125" t="s">
        <v>74</v>
      </c>
      <c r="F7" s="125" t="s">
        <v>148</v>
      </c>
      <c r="G7" s="369"/>
      <c r="H7" s="386"/>
    </row>
    <row r="8" spans="1:9" s="48" customFormat="1" ht="16.5" customHeight="1" x14ac:dyDescent="0.35">
      <c r="A8" s="133" t="s">
        <v>4</v>
      </c>
      <c r="B8" s="133" t="s">
        <v>5</v>
      </c>
      <c r="C8" s="133">
        <v>1</v>
      </c>
      <c r="D8" s="133" t="s">
        <v>202</v>
      </c>
      <c r="E8" s="133">
        <v>3</v>
      </c>
      <c r="F8" s="133">
        <v>4</v>
      </c>
      <c r="G8" s="104">
        <v>5</v>
      </c>
      <c r="H8" s="104">
        <v>6</v>
      </c>
    </row>
    <row r="9" spans="1:9" s="3" customFormat="1" ht="24" customHeight="1" x14ac:dyDescent="0.35">
      <c r="A9" s="387" t="s">
        <v>203</v>
      </c>
      <c r="B9" s="388"/>
      <c r="C9" s="135">
        <f t="shared" ref="C9:H9" si="0">C13+C23+C25+C43+C51+C10</f>
        <v>51613000000</v>
      </c>
      <c r="D9" s="135">
        <f t="shared" si="0"/>
        <v>38659380000</v>
      </c>
      <c r="E9" s="135">
        <f t="shared" si="0"/>
        <v>36521810000</v>
      </c>
      <c r="F9" s="135">
        <f t="shared" si="0"/>
        <v>2137570000</v>
      </c>
      <c r="G9" s="135">
        <f t="shared" si="0"/>
        <v>915659174</v>
      </c>
      <c r="H9" s="135">
        <f t="shared" si="0"/>
        <v>915259665</v>
      </c>
      <c r="I9" s="103"/>
    </row>
    <row r="10" spans="1:9" s="3" customFormat="1" ht="51" customHeight="1" x14ac:dyDescent="0.35">
      <c r="A10" s="185" t="s">
        <v>1</v>
      </c>
      <c r="B10" s="186" t="s">
        <v>329</v>
      </c>
      <c r="C10" s="144">
        <v>4022000000</v>
      </c>
      <c r="D10" s="144">
        <v>1965000000</v>
      </c>
      <c r="E10" s="144">
        <v>1907000000</v>
      </c>
      <c r="F10" s="144">
        <v>58000000</v>
      </c>
      <c r="G10" s="144">
        <v>284509</v>
      </c>
      <c r="H10" s="144"/>
      <c r="I10" s="103"/>
    </row>
    <row r="11" spans="1:9" s="3" customFormat="1" ht="51.75" customHeight="1" x14ac:dyDescent="0.35">
      <c r="A11" s="145"/>
      <c r="B11" s="187" t="s">
        <v>330</v>
      </c>
      <c r="C11" s="147"/>
      <c r="D11" s="147">
        <v>1965000000</v>
      </c>
      <c r="E11" s="147">
        <v>1907000000</v>
      </c>
      <c r="F11" s="147">
        <v>58000000</v>
      </c>
      <c r="G11" s="147">
        <v>284509</v>
      </c>
      <c r="H11" s="147"/>
      <c r="I11" s="103"/>
    </row>
    <row r="12" spans="1:9" s="3" customFormat="1" ht="24" customHeight="1" x14ac:dyDescent="0.35">
      <c r="A12" s="140">
        <v>1</v>
      </c>
      <c r="B12" s="188" t="s">
        <v>30</v>
      </c>
      <c r="C12" s="188"/>
      <c r="D12" s="143">
        <v>1965000000</v>
      </c>
      <c r="E12" s="143">
        <v>1907000000</v>
      </c>
      <c r="F12" s="143">
        <v>58000000</v>
      </c>
      <c r="G12" s="143">
        <v>284509</v>
      </c>
      <c r="H12" s="143"/>
      <c r="I12" s="103"/>
    </row>
    <row r="13" spans="1:9" s="3" customFormat="1" ht="15" x14ac:dyDescent="0.35">
      <c r="A13" s="185" t="s">
        <v>2</v>
      </c>
      <c r="B13" s="186" t="s">
        <v>204</v>
      </c>
      <c r="C13" s="144">
        <v>16062000000</v>
      </c>
      <c r="D13" s="144">
        <f>SUM(D14:D22)</f>
        <v>16062000000</v>
      </c>
      <c r="E13" s="144">
        <f t="shared" ref="E13:H13" si="1">SUM(E14:E22)</f>
        <v>14585000000</v>
      </c>
      <c r="F13" s="144">
        <f t="shared" si="1"/>
        <v>1477000000</v>
      </c>
      <c r="G13" s="144">
        <f t="shared" si="1"/>
        <v>354619665</v>
      </c>
      <c r="H13" s="144">
        <f t="shared" si="1"/>
        <v>354619665</v>
      </c>
    </row>
    <row r="14" spans="1:9" x14ac:dyDescent="0.35">
      <c r="A14" s="140">
        <v>1</v>
      </c>
      <c r="B14" s="188" t="s">
        <v>205</v>
      </c>
      <c r="C14" s="188"/>
      <c r="D14" s="143">
        <f t="shared" ref="D14" si="2">E14+F14</f>
        <v>2202000000</v>
      </c>
      <c r="E14" s="143">
        <v>2138000000</v>
      </c>
      <c r="F14" s="143">
        <v>64000000</v>
      </c>
      <c r="G14" s="143">
        <v>64000000</v>
      </c>
      <c r="H14" s="143">
        <v>64000000</v>
      </c>
    </row>
    <row r="15" spans="1:9" x14ac:dyDescent="0.35">
      <c r="A15" s="140">
        <v>2</v>
      </c>
      <c r="B15" s="189" t="s">
        <v>28</v>
      </c>
      <c r="C15" s="189"/>
      <c r="D15" s="143">
        <v>1355000000</v>
      </c>
      <c r="E15" s="143">
        <v>1315000000</v>
      </c>
      <c r="F15" s="143">
        <v>40000000</v>
      </c>
      <c r="G15" s="143">
        <v>40000000</v>
      </c>
      <c r="H15" s="143">
        <v>40000000</v>
      </c>
    </row>
    <row r="16" spans="1:9" x14ac:dyDescent="0.35">
      <c r="A16" s="140">
        <v>3</v>
      </c>
      <c r="B16" s="189" t="s">
        <v>29</v>
      </c>
      <c r="C16" s="189"/>
      <c r="D16" s="143">
        <v>2437000000</v>
      </c>
      <c r="E16" s="143">
        <v>1693000000</v>
      </c>
      <c r="F16" s="143">
        <v>744000000</v>
      </c>
      <c r="G16" s="143">
        <v>6896465</v>
      </c>
      <c r="H16" s="143">
        <v>6896465</v>
      </c>
    </row>
    <row r="17" spans="1:8" x14ac:dyDescent="0.35">
      <c r="A17" s="140">
        <v>4</v>
      </c>
      <c r="B17" s="189" t="s">
        <v>30</v>
      </c>
      <c r="C17" s="189"/>
      <c r="D17" s="143">
        <f>E17+F17</f>
        <v>2043000000</v>
      </c>
      <c r="E17" s="143">
        <v>1983000000</v>
      </c>
      <c r="F17" s="143">
        <v>60000000</v>
      </c>
      <c r="G17" s="143">
        <v>60000000</v>
      </c>
      <c r="H17" s="143">
        <v>60000000</v>
      </c>
    </row>
    <row r="18" spans="1:8" x14ac:dyDescent="0.35">
      <c r="A18" s="140">
        <v>5</v>
      </c>
      <c r="B18" s="189" t="s">
        <v>31</v>
      </c>
      <c r="C18" s="189"/>
      <c r="D18" s="143">
        <f>E18+F18</f>
        <v>1242000000</v>
      </c>
      <c r="E18" s="143">
        <v>1206000000</v>
      </c>
      <c r="F18" s="143">
        <v>36000000</v>
      </c>
      <c r="G18" s="143">
        <v>9300000</v>
      </c>
      <c r="H18" s="143">
        <v>9300000</v>
      </c>
    </row>
    <row r="19" spans="1:8" x14ac:dyDescent="0.35">
      <c r="A19" s="140">
        <v>6</v>
      </c>
      <c r="B19" s="189" t="s">
        <v>32</v>
      </c>
      <c r="C19" s="189"/>
      <c r="D19" s="143">
        <f>E19+F19</f>
        <v>1787000000</v>
      </c>
      <c r="E19" s="143">
        <v>1735000000</v>
      </c>
      <c r="F19" s="143">
        <v>52000000</v>
      </c>
      <c r="G19" s="143">
        <v>43000000</v>
      </c>
      <c r="H19" s="143">
        <v>43000000</v>
      </c>
    </row>
    <row r="20" spans="1:8" x14ac:dyDescent="0.35">
      <c r="A20" s="140">
        <v>7</v>
      </c>
      <c r="B20" s="189" t="s">
        <v>33</v>
      </c>
      <c r="C20" s="189"/>
      <c r="D20" s="143">
        <f>E20+F20</f>
        <v>2171000000</v>
      </c>
      <c r="E20" s="143">
        <v>2107000000</v>
      </c>
      <c r="F20" s="143">
        <v>64000000</v>
      </c>
      <c r="G20" s="143">
        <v>64000000</v>
      </c>
      <c r="H20" s="143">
        <v>64000000</v>
      </c>
    </row>
    <row r="21" spans="1:8" x14ac:dyDescent="0.35">
      <c r="A21" s="140">
        <v>8</v>
      </c>
      <c r="B21" s="189" t="s">
        <v>34</v>
      </c>
      <c r="C21" s="189"/>
      <c r="D21" s="143">
        <v>2039000000</v>
      </c>
      <c r="E21" s="143">
        <v>1645000000</v>
      </c>
      <c r="F21" s="143">
        <v>394000000</v>
      </c>
      <c r="G21" s="143">
        <v>44423200</v>
      </c>
      <c r="H21" s="143">
        <v>44423200</v>
      </c>
    </row>
    <row r="22" spans="1:8" x14ac:dyDescent="0.35">
      <c r="A22" s="140">
        <v>9</v>
      </c>
      <c r="B22" s="189" t="s">
        <v>35</v>
      </c>
      <c r="C22" s="189"/>
      <c r="D22" s="143">
        <f>E22+F22</f>
        <v>786000000</v>
      </c>
      <c r="E22" s="143">
        <v>763000000</v>
      </c>
      <c r="F22" s="143">
        <v>23000000</v>
      </c>
      <c r="G22" s="143">
        <v>23000000</v>
      </c>
      <c r="H22" s="143">
        <v>23000000</v>
      </c>
    </row>
    <row r="23" spans="1:8" s="3" customFormat="1" ht="15" x14ac:dyDescent="0.35">
      <c r="A23" s="137" t="s">
        <v>135</v>
      </c>
      <c r="B23" s="190" t="s">
        <v>206</v>
      </c>
      <c r="C23" s="144">
        <v>6353000000</v>
      </c>
      <c r="D23" s="144">
        <f>D24</f>
        <v>1221380000</v>
      </c>
      <c r="E23" s="144">
        <f t="shared" ref="E23:H23" si="3">E24</f>
        <v>1185810000</v>
      </c>
      <c r="F23" s="144">
        <f t="shared" si="3"/>
        <v>35570000</v>
      </c>
      <c r="G23" s="144">
        <f t="shared" si="3"/>
        <v>10620000</v>
      </c>
      <c r="H23" s="144">
        <f t="shared" si="3"/>
        <v>10620000</v>
      </c>
    </row>
    <row r="24" spans="1:8" x14ac:dyDescent="0.35">
      <c r="A24" s="140">
        <v>1</v>
      </c>
      <c r="B24" s="189" t="s">
        <v>32</v>
      </c>
      <c r="C24" s="189"/>
      <c r="D24" s="143">
        <f>E24+F24</f>
        <v>1221380000</v>
      </c>
      <c r="E24" s="143">
        <v>1185810000</v>
      </c>
      <c r="F24" s="143">
        <v>35570000</v>
      </c>
      <c r="G24" s="143">
        <v>10620000</v>
      </c>
      <c r="H24" s="143">
        <v>10620000</v>
      </c>
    </row>
    <row r="25" spans="1:8" s="3" customFormat="1" ht="15" x14ac:dyDescent="0.35">
      <c r="A25" s="137" t="s">
        <v>136</v>
      </c>
      <c r="B25" s="186" t="s">
        <v>207</v>
      </c>
      <c r="C25" s="144">
        <f t="shared" ref="C25:H25" si="4">C26+C35+C37</f>
        <v>19340000000</v>
      </c>
      <c r="D25" s="144">
        <f t="shared" si="4"/>
        <v>16419000000</v>
      </c>
      <c r="E25" s="144">
        <f t="shared" si="4"/>
        <v>15938000000</v>
      </c>
      <c r="F25" s="144">
        <f t="shared" si="4"/>
        <v>481000000</v>
      </c>
      <c r="G25" s="144">
        <f t="shared" si="4"/>
        <v>471115000</v>
      </c>
      <c r="H25" s="144">
        <f t="shared" si="4"/>
        <v>471000000</v>
      </c>
    </row>
    <row r="26" spans="1:8" s="9" customFormat="1" ht="31" x14ac:dyDescent="0.35">
      <c r="A26" s="145"/>
      <c r="B26" s="187" t="s">
        <v>208</v>
      </c>
      <c r="C26" s="147">
        <v>16784000000</v>
      </c>
      <c r="D26" s="147">
        <f>SUM(D27:D34)</f>
        <v>14988000000</v>
      </c>
      <c r="E26" s="147">
        <f>SUM(E27:E34)</f>
        <v>14550000000</v>
      </c>
      <c r="F26" s="147">
        <f>SUM(F27:F34)</f>
        <v>438000000</v>
      </c>
      <c r="G26" s="147">
        <f>SUM(G27:G34)</f>
        <v>438000000</v>
      </c>
      <c r="H26" s="147">
        <f>SUM(H27:H34)</f>
        <v>438000000</v>
      </c>
    </row>
    <row r="27" spans="1:8" x14ac:dyDescent="0.35">
      <c r="A27" s="140">
        <v>1</v>
      </c>
      <c r="B27" s="188" t="s">
        <v>209</v>
      </c>
      <c r="C27" s="188"/>
      <c r="D27" s="143">
        <f>E27+F27</f>
        <v>6714000000</v>
      </c>
      <c r="E27" s="143">
        <v>6518000000</v>
      </c>
      <c r="F27" s="143">
        <v>196000000</v>
      </c>
      <c r="G27" s="143">
        <v>196000000</v>
      </c>
      <c r="H27" s="143">
        <v>196000000</v>
      </c>
    </row>
    <row r="28" spans="1:8" x14ac:dyDescent="0.35">
      <c r="A28" s="140">
        <v>2</v>
      </c>
      <c r="B28" s="188" t="s">
        <v>205</v>
      </c>
      <c r="C28" s="188"/>
      <c r="D28" s="143">
        <f t="shared" ref="D28" si="5">E28+F28</f>
        <v>3356000000</v>
      </c>
      <c r="E28" s="143">
        <v>3258000000</v>
      </c>
      <c r="F28" s="143">
        <v>98000000</v>
      </c>
      <c r="G28" s="143">
        <v>98000000</v>
      </c>
      <c r="H28" s="143">
        <v>98000000</v>
      </c>
    </row>
    <row r="29" spans="1:8" x14ac:dyDescent="0.35">
      <c r="A29" s="140">
        <v>3</v>
      </c>
      <c r="B29" s="191" t="s">
        <v>28</v>
      </c>
      <c r="C29" s="191"/>
      <c r="D29" s="143">
        <f>E29+F29</f>
        <v>854000000</v>
      </c>
      <c r="E29" s="143">
        <v>829000000</v>
      </c>
      <c r="F29" s="143">
        <v>25000000</v>
      </c>
      <c r="G29" s="143">
        <v>25000000</v>
      </c>
      <c r="H29" s="143">
        <v>25000000</v>
      </c>
    </row>
    <row r="30" spans="1:8" x14ac:dyDescent="0.35">
      <c r="A30" s="140">
        <v>4</v>
      </c>
      <c r="B30" s="191" t="s">
        <v>31</v>
      </c>
      <c r="C30" s="191"/>
      <c r="D30" s="143">
        <f>E30+F30</f>
        <v>798000000</v>
      </c>
      <c r="E30" s="143">
        <v>775000000</v>
      </c>
      <c r="F30" s="143">
        <v>23000000</v>
      </c>
      <c r="G30" s="143">
        <v>23000000</v>
      </c>
      <c r="H30" s="143">
        <v>23000000</v>
      </c>
    </row>
    <row r="31" spans="1:8" x14ac:dyDescent="0.35">
      <c r="A31" s="140">
        <v>5</v>
      </c>
      <c r="B31" s="191" t="s">
        <v>32</v>
      </c>
      <c r="C31" s="191"/>
      <c r="D31" s="143">
        <f>E31+F31</f>
        <v>895000000</v>
      </c>
      <c r="E31" s="143">
        <v>869000000</v>
      </c>
      <c r="F31" s="143">
        <v>26000000</v>
      </c>
      <c r="G31" s="143">
        <v>26000000</v>
      </c>
      <c r="H31" s="143">
        <v>26000000</v>
      </c>
    </row>
    <row r="32" spans="1:8" x14ac:dyDescent="0.35">
      <c r="A32" s="140">
        <v>6</v>
      </c>
      <c r="B32" s="191" t="s">
        <v>33</v>
      </c>
      <c r="C32" s="191"/>
      <c r="D32" s="143">
        <f>E32+F32</f>
        <v>985000000</v>
      </c>
      <c r="E32" s="143">
        <v>956000000</v>
      </c>
      <c r="F32" s="143">
        <v>29000000</v>
      </c>
      <c r="G32" s="143">
        <v>29000000</v>
      </c>
      <c r="H32" s="143">
        <v>29000000</v>
      </c>
    </row>
    <row r="33" spans="1:8" x14ac:dyDescent="0.35">
      <c r="A33" s="140">
        <v>7</v>
      </c>
      <c r="B33" s="191" t="s">
        <v>34</v>
      </c>
      <c r="C33" s="191"/>
      <c r="D33" s="143">
        <f>E33+F33</f>
        <v>882000000</v>
      </c>
      <c r="E33" s="143">
        <v>856000000</v>
      </c>
      <c r="F33" s="143">
        <v>26000000</v>
      </c>
      <c r="G33" s="143">
        <v>26000000</v>
      </c>
      <c r="H33" s="143">
        <v>26000000</v>
      </c>
    </row>
    <row r="34" spans="1:8" x14ac:dyDescent="0.35">
      <c r="A34" s="140">
        <v>8</v>
      </c>
      <c r="B34" s="191" t="s">
        <v>35</v>
      </c>
      <c r="C34" s="191"/>
      <c r="D34" s="143">
        <v>504000000</v>
      </c>
      <c r="E34" s="143">
        <v>489000000</v>
      </c>
      <c r="F34" s="143">
        <v>15000000</v>
      </c>
      <c r="G34" s="143">
        <v>15000000</v>
      </c>
      <c r="H34" s="143">
        <v>15000000</v>
      </c>
    </row>
    <row r="35" spans="1:8" s="9" customFormat="1" x14ac:dyDescent="0.35">
      <c r="A35" s="145"/>
      <c r="B35" s="187" t="s">
        <v>210</v>
      </c>
      <c r="C35" s="147">
        <v>531000000</v>
      </c>
      <c r="D35" s="147">
        <f>SUM(D36:D36)</f>
        <v>225000000</v>
      </c>
      <c r="E35" s="147">
        <f>SUM(E36:E36)</f>
        <v>218000000</v>
      </c>
      <c r="F35" s="147">
        <f>SUM(F36:F36)</f>
        <v>7000000</v>
      </c>
      <c r="G35" s="147">
        <f>SUM(G36:G36)</f>
        <v>7000000</v>
      </c>
      <c r="H35" s="147">
        <f>SUM(H36:H36)</f>
        <v>7000000</v>
      </c>
    </row>
    <row r="36" spans="1:8" x14ac:dyDescent="0.35">
      <c r="A36" s="192">
        <v>1</v>
      </c>
      <c r="B36" s="141" t="s">
        <v>33</v>
      </c>
      <c r="C36" s="141"/>
      <c r="D36" s="143">
        <f>E36+F36</f>
        <v>225000000</v>
      </c>
      <c r="E36" s="143">
        <v>218000000</v>
      </c>
      <c r="F36" s="143">
        <v>7000000</v>
      </c>
      <c r="G36" s="143">
        <v>7000000</v>
      </c>
      <c r="H36" s="143">
        <v>7000000</v>
      </c>
    </row>
    <row r="37" spans="1:8" s="9" customFormat="1" x14ac:dyDescent="0.35">
      <c r="A37" s="145"/>
      <c r="B37" s="187" t="s">
        <v>211</v>
      </c>
      <c r="C37" s="147">
        <v>2025000000</v>
      </c>
      <c r="D37" s="147">
        <f>SUM(D38:D42)</f>
        <v>1206000000</v>
      </c>
      <c r="E37" s="147">
        <f>SUM(E38:E42)</f>
        <v>1170000000</v>
      </c>
      <c r="F37" s="147">
        <f>SUM(F38:F42)</f>
        <v>36000000</v>
      </c>
      <c r="G37" s="147">
        <f>SUM(G38:G42)</f>
        <v>26115000</v>
      </c>
      <c r="H37" s="147">
        <f>SUM(H38:H42)</f>
        <v>26000000</v>
      </c>
    </row>
    <row r="38" spans="1:8" x14ac:dyDescent="0.35">
      <c r="A38" s="140">
        <v>1</v>
      </c>
      <c r="B38" s="141" t="s">
        <v>29</v>
      </c>
      <c r="C38" s="141"/>
      <c r="D38" s="143">
        <f>E38+F38</f>
        <v>221000000</v>
      </c>
      <c r="E38" s="143">
        <v>214000000</v>
      </c>
      <c r="F38" s="143">
        <v>7000000</v>
      </c>
      <c r="G38" s="143">
        <v>4000000</v>
      </c>
      <c r="H38" s="143">
        <v>4000000</v>
      </c>
    </row>
    <row r="39" spans="1:8" x14ac:dyDescent="0.35">
      <c r="A39" s="140">
        <v>2</v>
      </c>
      <c r="B39" s="141" t="s">
        <v>31</v>
      </c>
      <c r="C39" s="141"/>
      <c r="D39" s="143">
        <f>E39+F39</f>
        <v>179000000</v>
      </c>
      <c r="E39" s="143">
        <v>174000000</v>
      </c>
      <c r="F39" s="143">
        <v>5000000</v>
      </c>
      <c r="G39" s="143">
        <v>5000000</v>
      </c>
      <c r="H39" s="143">
        <v>5000000</v>
      </c>
    </row>
    <row r="40" spans="1:8" x14ac:dyDescent="0.35">
      <c r="A40" s="140">
        <v>3</v>
      </c>
      <c r="B40" s="141" t="s">
        <v>32</v>
      </c>
      <c r="C40" s="141"/>
      <c r="D40" s="143">
        <f>E40+F40</f>
        <v>228000000</v>
      </c>
      <c r="E40" s="143">
        <v>221000000</v>
      </c>
      <c r="F40" s="143">
        <v>7000000</v>
      </c>
      <c r="G40" s="143">
        <v>115000</v>
      </c>
      <c r="H40" s="143"/>
    </row>
    <row r="41" spans="1:8" x14ac:dyDescent="0.35">
      <c r="A41" s="140">
        <v>4</v>
      </c>
      <c r="B41" s="141" t="s">
        <v>33</v>
      </c>
      <c r="C41" s="141"/>
      <c r="D41" s="143">
        <f>E41+F41</f>
        <v>277000000</v>
      </c>
      <c r="E41" s="143">
        <v>269000000</v>
      </c>
      <c r="F41" s="143">
        <v>8000000</v>
      </c>
      <c r="G41" s="143">
        <v>8000000</v>
      </c>
      <c r="H41" s="143">
        <v>8000000</v>
      </c>
    </row>
    <row r="42" spans="1:8" x14ac:dyDescent="0.35">
      <c r="A42" s="140">
        <v>5</v>
      </c>
      <c r="B42" s="141" t="s">
        <v>34</v>
      </c>
      <c r="C42" s="141"/>
      <c r="D42" s="143">
        <f>E42+F42</f>
        <v>301000000</v>
      </c>
      <c r="E42" s="143">
        <v>292000000</v>
      </c>
      <c r="F42" s="143">
        <v>9000000</v>
      </c>
      <c r="G42" s="143">
        <v>9000000</v>
      </c>
      <c r="H42" s="143">
        <v>9000000</v>
      </c>
    </row>
    <row r="43" spans="1:8" s="3" customFormat="1" ht="15" x14ac:dyDescent="0.35">
      <c r="A43" s="137" t="s">
        <v>137</v>
      </c>
      <c r="B43" s="186" t="s">
        <v>212</v>
      </c>
      <c r="C43" s="144">
        <f t="shared" ref="C43:H43" si="6">C44+C47</f>
        <v>899000000</v>
      </c>
      <c r="D43" s="144">
        <f t="shared" si="6"/>
        <v>199000000</v>
      </c>
      <c r="E43" s="144">
        <f t="shared" si="6"/>
        <v>193000000</v>
      </c>
      <c r="F43" s="144">
        <f t="shared" si="6"/>
        <v>6000000</v>
      </c>
      <c r="G43" s="144">
        <f t="shared" si="6"/>
        <v>6000000</v>
      </c>
      <c r="H43" s="144">
        <f t="shared" si="6"/>
        <v>6000000</v>
      </c>
    </row>
    <row r="44" spans="1:8" s="9" customFormat="1" x14ac:dyDescent="0.35">
      <c r="A44" s="145"/>
      <c r="B44" s="146" t="s">
        <v>213</v>
      </c>
      <c r="C44" s="147">
        <v>400000000</v>
      </c>
      <c r="D44" s="147">
        <f>SUM(D45:D46)</f>
        <v>68000000</v>
      </c>
      <c r="E44" s="147">
        <f>SUM(E45:E46)</f>
        <v>66000000</v>
      </c>
      <c r="F44" s="147">
        <f>SUM(F45:F46)</f>
        <v>2000000</v>
      </c>
      <c r="G44" s="147">
        <f>SUM(G45:G46)</f>
        <v>2000000</v>
      </c>
      <c r="H44" s="147">
        <f>SUM(H45:H46)</f>
        <v>2000000</v>
      </c>
    </row>
    <row r="45" spans="1:8" x14ac:dyDescent="0.35">
      <c r="A45" s="140">
        <v>1</v>
      </c>
      <c r="B45" s="141" t="s">
        <v>31</v>
      </c>
      <c r="C45" s="141"/>
      <c r="D45" s="143">
        <f>E45+F45</f>
        <v>29000000</v>
      </c>
      <c r="E45" s="143">
        <v>28000000</v>
      </c>
      <c r="F45" s="143">
        <v>1000000</v>
      </c>
      <c r="G45" s="143">
        <v>1000000</v>
      </c>
      <c r="H45" s="143">
        <v>1000000</v>
      </c>
    </row>
    <row r="46" spans="1:8" x14ac:dyDescent="0.35">
      <c r="A46" s="140">
        <v>2</v>
      </c>
      <c r="B46" s="141" t="s">
        <v>34</v>
      </c>
      <c r="C46" s="141"/>
      <c r="D46" s="143">
        <f>E46+F46</f>
        <v>39000000</v>
      </c>
      <c r="E46" s="143">
        <v>38000000</v>
      </c>
      <c r="F46" s="143">
        <v>1000000</v>
      </c>
      <c r="G46" s="143">
        <v>1000000</v>
      </c>
      <c r="H46" s="143">
        <v>1000000</v>
      </c>
    </row>
    <row r="47" spans="1:8" s="9" customFormat="1" x14ac:dyDescent="0.35">
      <c r="A47" s="145"/>
      <c r="B47" s="146" t="s">
        <v>214</v>
      </c>
      <c r="C47" s="147">
        <v>499000000</v>
      </c>
      <c r="D47" s="147">
        <f>SUM(D48:D50)</f>
        <v>131000000</v>
      </c>
      <c r="E47" s="147">
        <f>SUM(E48:E50)</f>
        <v>127000000</v>
      </c>
      <c r="F47" s="147">
        <f>SUM(F48:F50)</f>
        <v>4000000</v>
      </c>
      <c r="G47" s="147">
        <f>SUM(G48:G50)</f>
        <v>4000000</v>
      </c>
      <c r="H47" s="147">
        <f>SUM(H48:H50)</f>
        <v>4000000</v>
      </c>
    </row>
    <row r="48" spans="1:8" x14ac:dyDescent="0.35">
      <c r="A48" s="140">
        <v>1</v>
      </c>
      <c r="B48" s="141" t="s">
        <v>31</v>
      </c>
      <c r="C48" s="141"/>
      <c r="D48" s="143">
        <f>E48+F48</f>
        <v>34000000</v>
      </c>
      <c r="E48" s="143">
        <v>33000000</v>
      </c>
      <c r="F48" s="143">
        <v>1000000</v>
      </c>
      <c r="G48" s="143">
        <v>1000000</v>
      </c>
      <c r="H48" s="143">
        <v>1000000</v>
      </c>
    </row>
    <row r="49" spans="1:8" x14ac:dyDescent="0.35">
      <c r="A49" s="140">
        <v>2</v>
      </c>
      <c r="B49" s="141" t="s">
        <v>33</v>
      </c>
      <c r="C49" s="141"/>
      <c r="D49" s="143">
        <f>E49+F49</f>
        <v>51000000</v>
      </c>
      <c r="E49" s="143">
        <v>49000000</v>
      </c>
      <c r="F49" s="143">
        <v>2000000</v>
      </c>
      <c r="G49" s="143">
        <v>2000000</v>
      </c>
      <c r="H49" s="143">
        <v>2000000</v>
      </c>
    </row>
    <row r="50" spans="1:8" x14ac:dyDescent="0.35">
      <c r="A50" s="140">
        <v>3</v>
      </c>
      <c r="B50" s="141" t="s">
        <v>34</v>
      </c>
      <c r="C50" s="141"/>
      <c r="D50" s="143">
        <f>E50+F50</f>
        <v>46000000</v>
      </c>
      <c r="E50" s="143">
        <v>45000000</v>
      </c>
      <c r="F50" s="143">
        <v>1000000</v>
      </c>
      <c r="G50" s="143">
        <v>1000000</v>
      </c>
      <c r="H50" s="143">
        <v>1000000</v>
      </c>
    </row>
    <row r="51" spans="1:8" s="3" customFormat="1" ht="15" x14ac:dyDescent="0.35">
      <c r="A51" s="137" t="s">
        <v>138</v>
      </c>
      <c r="B51" s="138" t="s">
        <v>215</v>
      </c>
      <c r="C51" s="144">
        <f t="shared" ref="C51:H51" si="7">C52+C58</f>
        <v>4937000000</v>
      </c>
      <c r="D51" s="144">
        <f t="shared" si="7"/>
        <v>2793000000</v>
      </c>
      <c r="E51" s="144">
        <f t="shared" si="7"/>
        <v>2713000000</v>
      </c>
      <c r="F51" s="144">
        <f t="shared" si="7"/>
        <v>80000000</v>
      </c>
      <c r="G51" s="144">
        <f t="shared" si="7"/>
        <v>73020000</v>
      </c>
      <c r="H51" s="144">
        <f t="shared" si="7"/>
        <v>73020000</v>
      </c>
    </row>
    <row r="52" spans="1:8" s="9" customFormat="1" x14ac:dyDescent="0.35">
      <c r="A52" s="145"/>
      <c r="B52" s="146" t="s">
        <v>216</v>
      </c>
      <c r="C52" s="147">
        <v>3225000000</v>
      </c>
      <c r="D52" s="147">
        <f>SUM(D53:D57)</f>
        <v>1846000000</v>
      </c>
      <c r="E52" s="147">
        <f>SUM(E53:E57)</f>
        <v>1793000000</v>
      </c>
      <c r="F52" s="147">
        <f>SUM(F53:F57)</f>
        <v>53000000</v>
      </c>
      <c r="G52" s="147">
        <f>SUM(G53:G57)</f>
        <v>49300000</v>
      </c>
      <c r="H52" s="147">
        <f>SUM(H53:H57)</f>
        <v>49300000</v>
      </c>
    </row>
    <row r="53" spans="1:8" x14ac:dyDescent="0.35">
      <c r="A53" s="140">
        <v>1</v>
      </c>
      <c r="B53" s="141" t="s">
        <v>205</v>
      </c>
      <c r="C53" s="141"/>
      <c r="D53" s="143">
        <f t="shared" ref="D53" si="8">E53+F53</f>
        <v>805000000</v>
      </c>
      <c r="E53" s="143">
        <v>782000000</v>
      </c>
      <c r="F53" s="143">
        <v>23000000</v>
      </c>
      <c r="G53" s="143">
        <v>23000000</v>
      </c>
      <c r="H53" s="143">
        <v>23000000</v>
      </c>
    </row>
    <row r="54" spans="1:8" x14ac:dyDescent="0.35">
      <c r="A54" s="140">
        <v>2</v>
      </c>
      <c r="B54" s="141" t="s">
        <v>29</v>
      </c>
      <c r="C54" s="141"/>
      <c r="D54" s="143">
        <f>E54+F54</f>
        <v>285000000</v>
      </c>
      <c r="E54" s="143">
        <v>277000000</v>
      </c>
      <c r="F54" s="143">
        <v>8000000</v>
      </c>
      <c r="G54" s="143">
        <v>4300000</v>
      </c>
      <c r="H54" s="143">
        <v>4300000</v>
      </c>
    </row>
    <row r="55" spans="1:8" x14ac:dyDescent="0.35">
      <c r="A55" s="140">
        <v>3</v>
      </c>
      <c r="B55" s="141" t="s">
        <v>31</v>
      </c>
      <c r="C55" s="141"/>
      <c r="D55" s="143">
        <v>252000000</v>
      </c>
      <c r="E55" s="143">
        <v>245000000</v>
      </c>
      <c r="F55" s="143">
        <v>7000000</v>
      </c>
      <c r="G55" s="143">
        <v>7000000</v>
      </c>
      <c r="H55" s="143">
        <v>7000000</v>
      </c>
    </row>
    <row r="56" spans="1:8" x14ac:dyDescent="0.35">
      <c r="A56" s="140">
        <v>4</v>
      </c>
      <c r="B56" s="191" t="s">
        <v>34</v>
      </c>
      <c r="C56" s="191"/>
      <c r="D56" s="143">
        <f>E56+F56</f>
        <v>344000000</v>
      </c>
      <c r="E56" s="143">
        <v>334000000</v>
      </c>
      <c r="F56" s="143">
        <v>10000000</v>
      </c>
      <c r="G56" s="143">
        <v>10000000</v>
      </c>
      <c r="H56" s="143">
        <v>10000000</v>
      </c>
    </row>
    <row r="57" spans="1:8" x14ac:dyDescent="0.35">
      <c r="A57" s="140">
        <v>5</v>
      </c>
      <c r="B57" s="141" t="s">
        <v>35</v>
      </c>
      <c r="C57" s="141"/>
      <c r="D57" s="143">
        <f>E57+F57</f>
        <v>160000000</v>
      </c>
      <c r="E57" s="143">
        <v>155000000</v>
      </c>
      <c r="F57" s="143">
        <v>5000000</v>
      </c>
      <c r="G57" s="143">
        <v>5000000</v>
      </c>
      <c r="H57" s="143">
        <v>5000000</v>
      </c>
    </row>
    <row r="58" spans="1:8" s="9" customFormat="1" x14ac:dyDescent="0.35">
      <c r="A58" s="145"/>
      <c r="B58" s="146" t="s">
        <v>217</v>
      </c>
      <c r="C58" s="147">
        <v>1712000000</v>
      </c>
      <c r="D58" s="147">
        <f>SUM(D59:D62)</f>
        <v>947000000</v>
      </c>
      <c r="E58" s="147">
        <f>SUM(E59:E62)</f>
        <v>920000000</v>
      </c>
      <c r="F58" s="147">
        <f>SUM(F59:F62)</f>
        <v>27000000</v>
      </c>
      <c r="G58" s="147">
        <f>SUM(G59:G62)</f>
        <v>23720000</v>
      </c>
      <c r="H58" s="147">
        <f>SUM(H59:H62)</f>
        <v>23720000</v>
      </c>
    </row>
    <row r="59" spans="1:8" x14ac:dyDescent="0.35">
      <c r="A59" s="140">
        <v>1</v>
      </c>
      <c r="B59" s="141" t="s">
        <v>205</v>
      </c>
      <c r="C59" s="141"/>
      <c r="D59" s="143">
        <f t="shared" ref="D59" si="9">E59+F59</f>
        <v>427000000</v>
      </c>
      <c r="E59" s="143">
        <v>415000000</v>
      </c>
      <c r="F59" s="143">
        <v>12000000</v>
      </c>
      <c r="G59" s="143">
        <v>12000000</v>
      </c>
      <c r="H59" s="143">
        <v>12000000</v>
      </c>
    </row>
    <row r="60" spans="1:8" x14ac:dyDescent="0.35">
      <c r="A60" s="140">
        <v>2</v>
      </c>
      <c r="B60" s="141" t="s">
        <v>31</v>
      </c>
      <c r="C60" s="141"/>
      <c r="D60" s="143">
        <v>135000000</v>
      </c>
      <c r="E60" s="143">
        <v>131000000</v>
      </c>
      <c r="F60" s="143">
        <v>4000000</v>
      </c>
      <c r="G60" s="143">
        <v>4000000</v>
      </c>
      <c r="H60" s="143">
        <v>4000000</v>
      </c>
    </row>
    <row r="61" spans="1:8" x14ac:dyDescent="0.35">
      <c r="A61" s="140">
        <v>3</v>
      </c>
      <c r="B61" s="141" t="s">
        <v>33</v>
      </c>
      <c r="C61" s="141"/>
      <c r="D61" s="143">
        <f>E61+F61</f>
        <v>202000000</v>
      </c>
      <c r="E61" s="143">
        <v>196000000</v>
      </c>
      <c r="F61" s="143">
        <v>6000000</v>
      </c>
      <c r="G61" s="143">
        <v>2720000</v>
      </c>
      <c r="H61" s="143">
        <v>2720000</v>
      </c>
    </row>
    <row r="62" spans="1:8" x14ac:dyDescent="0.35">
      <c r="A62" s="156">
        <v>4</v>
      </c>
      <c r="B62" s="193" t="s">
        <v>34</v>
      </c>
      <c r="C62" s="193"/>
      <c r="D62" s="194">
        <f>E62+F62</f>
        <v>183000000</v>
      </c>
      <c r="E62" s="194">
        <v>178000000</v>
      </c>
      <c r="F62" s="194">
        <v>5000000</v>
      </c>
      <c r="G62" s="194">
        <v>5000000</v>
      </c>
      <c r="H62" s="194">
        <v>5000000</v>
      </c>
    </row>
  </sheetData>
  <mergeCells count="13">
    <mergeCell ref="G1:H1"/>
    <mergeCell ref="D5:F5"/>
    <mergeCell ref="D6:D7"/>
    <mergeCell ref="E6:F6"/>
    <mergeCell ref="A9:B9"/>
    <mergeCell ref="A2:H2"/>
    <mergeCell ref="A3:H3"/>
    <mergeCell ref="G4:H4"/>
    <mergeCell ref="A5:A7"/>
    <mergeCell ref="B5:B7"/>
    <mergeCell ref="C5:C7"/>
    <mergeCell ref="G5:G7"/>
    <mergeCell ref="H5:H7"/>
  </mergeCells>
  <pageMargins left="0.7" right="0.28000000000000003" top="0.39" bottom="0.44" header="0.3" footer="0.21"/>
  <pageSetup paperSize="8" firstPageNumber="42"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3"/>
  <sheetViews>
    <sheetView workbookViewId="0">
      <selection activeCell="P10" sqref="P10"/>
    </sheetView>
  </sheetViews>
  <sheetFormatPr defaultColWidth="7.83203125" defaultRowHeight="18" x14ac:dyDescent="0.35"/>
  <cols>
    <col min="1" max="1" width="6.25" style="50" customWidth="1"/>
    <col min="2" max="2" width="21.83203125" style="51" customWidth="1"/>
    <col min="3" max="3" width="8.5" style="50" customWidth="1"/>
    <col min="4" max="4" width="7.75" style="50" customWidth="1"/>
    <col min="5" max="5" width="8.83203125" style="52" customWidth="1"/>
    <col min="6" max="6" width="8.5" style="52" customWidth="1"/>
    <col min="7" max="7" width="6.5" style="52" customWidth="1"/>
    <col min="8" max="8" width="6.25" style="52" customWidth="1"/>
    <col min="9" max="9" width="7.33203125" style="52" customWidth="1"/>
    <col min="10" max="10" width="9.25" style="52" customWidth="1"/>
    <col min="11" max="11" width="9.5" style="52" customWidth="1"/>
    <col min="12" max="12" width="12.75" style="52" customWidth="1"/>
    <col min="13" max="13" width="7.58203125" style="52" customWidth="1"/>
    <col min="14" max="14" width="9" style="52" customWidth="1"/>
    <col min="15" max="15" width="8.25" style="52" customWidth="1"/>
    <col min="16" max="16" width="14.08203125" style="52" customWidth="1"/>
    <col min="17" max="17" width="13.08203125" style="52" customWidth="1"/>
    <col min="18" max="18" width="13.75" style="51" customWidth="1"/>
    <col min="19" max="19" width="13.5" style="51" customWidth="1"/>
    <col min="20" max="20" width="12" style="51" hidden="1" customWidth="1"/>
    <col min="21" max="21" width="13.75" style="51" hidden="1" customWidth="1"/>
    <col min="22" max="22" width="12.83203125" style="51" hidden="1" customWidth="1"/>
    <col min="23" max="30" width="7.83203125" style="51" customWidth="1"/>
    <col min="31" max="16384" width="7.83203125" style="51"/>
  </cols>
  <sheetData>
    <row r="1" spans="1:22" x14ac:dyDescent="0.35">
      <c r="A1" s="181"/>
      <c r="B1" s="182"/>
      <c r="C1" s="181"/>
      <c r="D1" s="181"/>
      <c r="E1" s="183"/>
      <c r="F1" s="183"/>
      <c r="G1" s="183"/>
      <c r="H1" s="183"/>
      <c r="I1" s="183"/>
      <c r="J1" s="183"/>
      <c r="K1" s="183"/>
      <c r="L1" s="183"/>
      <c r="M1" s="183"/>
      <c r="N1" s="183"/>
      <c r="O1" s="183"/>
      <c r="P1" s="183"/>
      <c r="Q1" s="183"/>
      <c r="R1" s="400" t="s">
        <v>345</v>
      </c>
      <c r="S1" s="400"/>
    </row>
    <row r="2" spans="1:22" s="53" customFormat="1" ht="24.75" customHeight="1" x14ac:dyDescent="0.35">
      <c r="A2" s="400" t="s">
        <v>266</v>
      </c>
      <c r="B2" s="400"/>
      <c r="C2" s="400"/>
      <c r="D2" s="400"/>
      <c r="E2" s="400"/>
      <c r="F2" s="400"/>
      <c r="G2" s="400"/>
      <c r="H2" s="400"/>
      <c r="I2" s="400"/>
      <c r="J2" s="400"/>
      <c r="K2" s="400"/>
      <c r="L2" s="400"/>
      <c r="M2" s="400"/>
      <c r="N2" s="400"/>
      <c r="O2" s="400"/>
      <c r="P2" s="400"/>
      <c r="Q2" s="400"/>
      <c r="R2" s="400"/>
      <c r="S2" s="400"/>
    </row>
    <row r="3" spans="1:22" ht="24" customHeight="1" x14ac:dyDescent="0.35">
      <c r="A3" s="401" t="str">
        <f>'B2.1-GN-Pbổ lại NSĐP'!A3:H3</f>
        <v>(Kèm theo Nghị quyết số       /NQ-HĐND ngày     tháng 4 năm 2023 của Hội đồng nhân dân tỉnh Bắc Kạn)</v>
      </c>
      <c r="B3" s="402"/>
      <c r="C3" s="402"/>
      <c r="D3" s="402"/>
      <c r="E3" s="402"/>
      <c r="F3" s="402"/>
      <c r="G3" s="402"/>
      <c r="H3" s="402"/>
      <c r="I3" s="402"/>
      <c r="J3" s="402"/>
      <c r="K3" s="402"/>
      <c r="L3" s="402"/>
      <c r="M3" s="402"/>
      <c r="N3" s="402"/>
      <c r="O3" s="402"/>
      <c r="P3" s="402"/>
      <c r="Q3" s="402"/>
      <c r="R3" s="402"/>
      <c r="S3" s="402"/>
    </row>
    <row r="4" spans="1:22" x14ac:dyDescent="0.35">
      <c r="A4" s="54"/>
      <c r="B4" s="55"/>
      <c r="C4" s="54"/>
      <c r="D4" s="54"/>
      <c r="E4" s="56"/>
      <c r="F4" s="56"/>
      <c r="G4" s="56"/>
      <c r="H4" s="56"/>
      <c r="I4" s="56"/>
      <c r="J4" s="56"/>
      <c r="K4" s="56"/>
      <c r="L4" s="56"/>
      <c r="M4" s="56"/>
      <c r="N4" s="56"/>
      <c r="O4" s="56"/>
      <c r="P4" s="56"/>
      <c r="Q4" s="56"/>
      <c r="R4" s="55"/>
      <c r="S4" s="55"/>
    </row>
    <row r="5" spans="1:22" s="120" customFormat="1" ht="52.5" customHeight="1" x14ac:dyDescent="0.35">
      <c r="A5" s="394" t="s">
        <v>0</v>
      </c>
      <c r="B5" s="394" t="s">
        <v>221</v>
      </c>
      <c r="C5" s="396" t="s">
        <v>222</v>
      </c>
      <c r="D5" s="397"/>
      <c r="E5" s="396" t="s">
        <v>223</v>
      </c>
      <c r="F5" s="397"/>
      <c r="G5" s="398" t="s">
        <v>224</v>
      </c>
      <c r="H5" s="399"/>
      <c r="I5" s="396" t="s">
        <v>225</v>
      </c>
      <c r="J5" s="397"/>
      <c r="K5" s="392" t="s">
        <v>226</v>
      </c>
      <c r="L5" s="119" t="s">
        <v>227</v>
      </c>
      <c r="M5" s="392" t="s">
        <v>228</v>
      </c>
      <c r="N5" s="392" t="s">
        <v>229</v>
      </c>
      <c r="O5" s="392" t="s">
        <v>230</v>
      </c>
      <c r="P5" s="392" t="s">
        <v>231</v>
      </c>
      <c r="Q5" s="392" t="s">
        <v>232</v>
      </c>
      <c r="R5" s="394" t="s">
        <v>233</v>
      </c>
      <c r="S5" s="394" t="s">
        <v>234</v>
      </c>
      <c r="U5" s="121"/>
    </row>
    <row r="6" spans="1:22" s="120" customFormat="1" ht="90" x14ac:dyDescent="0.35">
      <c r="A6" s="395"/>
      <c r="B6" s="395"/>
      <c r="C6" s="58" t="s">
        <v>235</v>
      </c>
      <c r="D6" s="58" t="s">
        <v>236</v>
      </c>
      <c r="E6" s="58" t="s">
        <v>235</v>
      </c>
      <c r="F6" s="58" t="s">
        <v>236</v>
      </c>
      <c r="G6" s="58" t="s">
        <v>237</v>
      </c>
      <c r="H6" s="58" t="s">
        <v>238</v>
      </c>
      <c r="I6" s="58" t="s">
        <v>235</v>
      </c>
      <c r="J6" s="58" t="s">
        <v>239</v>
      </c>
      <c r="K6" s="393"/>
      <c r="L6" s="58" t="s">
        <v>240</v>
      </c>
      <c r="M6" s="393"/>
      <c r="N6" s="393"/>
      <c r="O6" s="393"/>
      <c r="P6" s="393"/>
      <c r="Q6" s="393"/>
      <c r="R6" s="395"/>
      <c r="S6" s="395"/>
    </row>
    <row r="7" spans="1:22" s="64" customFormat="1" ht="16.5" customHeight="1" x14ac:dyDescent="0.35">
      <c r="A7" s="59" t="s">
        <v>4</v>
      </c>
      <c r="B7" s="59" t="s">
        <v>5</v>
      </c>
      <c r="C7" s="60" t="s">
        <v>241</v>
      </c>
      <c r="D7" s="61">
        <v>1</v>
      </c>
      <c r="E7" s="60" t="s">
        <v>242</v>
      </c>
      <c r="F7" s="61">
        <v>2</v>
      </c>
      <c r="G7" s="61" t="s">
        <v>243</v>
      </c>
      <c r="H7" s="61">
        <v>3</v>
      </c>
      <c r="I7" s="60" t="s">
        <v>244</v>
      </c>
      <c r="J7" s="61">
        <v>4</v>
      </c>
      <c r="K7" s="61" t="s">
        <v>245</v>
      </c>
      <c r="L7" s="61" t="s">
        <v>246</v>
      </c>
      <c r="M7" s="61" t="s">
        <v>247</v>
      </c>
      <c r="N7" s="62">
        <v>8</v>
      </c>
      <c r="O7" s="61">
        <v>9</v>
      </c>
      <c r="P7" s="61" t="s">
        <v>248</v>
      </c>
      <c r="Q7" s="61" t="s">
        <v>249</v>
      </c>
      <c r="R7" s="61" t="s">
        <v>250</v>
      </c>
      <c r="S7" s="61">
        <v>13</v>
      </c>
      <c r="T7" s="63"/>
    </row>
    <row r="8" spans="1:22" s="57" customFormat="1" ht="24.75" customHeight="1" x14ac:dyDescent="0.35">
      <c r="A8" s="391" t="s">
        <v>6</v>
      </c>
      <c r="B8" s="391"/>
      <c r="C8" s="105"/>
      <c r="D8" s="105"/>
      <c r="E8" s="105"/>
      <c r="F8" s="105"/>
      <c r="G8" s="106"/>
      <c r="H8" s="106"/>
      <c r="I8" s="105"/>
      <c r="J8" s="105"/>
      <c r="K8" s="105"/>
      <c r="L8" s="105"/>
      <c r="M8" s="107"/>
      <c r="N8" s="105"/>
      <c r="O8" s="105"/>
      <c r="P8" s="108">
        <f>P9+P11</f>
        <v>4228.2139999999999</v>
      </c>
      <c r="Q8" s="108">
        <f>Q9+Q11</f>
        <v>126.816</v>
      </c>
      <c r="R8" s="108">
        <f>R9+R11</f>
        <v>4355.03</v>
      </c>
      <c r="S8" s="108">
        <f>S9+S11</f>
        <v>4355.03</v>
      </c>
      <c r="T8" s="65"/>
      <c r="U8" s="65">
        <f>P8*0.85</f>
        <v>3593.9818999999998</v>
      </c>
      <c r="V8" s="66">
        <f>U8*0.03</f>
        <v>107.81945699999999</v>
      </c>
    </row>
    <row r="9" spans="1:22" s="72" customFormat="1" ht="22.5" customHeight="1" x14ac:dyDescent="0.35">
      <c r="A9" s="67" t="s">
        <v>1</v>
      </c>
      <c r="B9" s="68" t="s">
        <v>84</v>
      </c>
      <c r="C9" s="67"/>
      <c r="D9" s="67"/>
      <c r="E9" s="69"/>
      <c r="F9" s="69"/>
      <c r="G9" s="69"/>
      <c r="H9" s="69"/>
      <c r="I9" s="69"/>
      <c r="J9" s="69"/>
      <c r="K9" s="69"/>
      <c r="L9" s="69"/>
      <c r="M9" s="69"/>
      <c r="N9" s="69"/>
      <c r="O9" s="69"/>
      <c r="P9" s="70">
        <f>P10</f>
        <v>422.82100000000003</v>
      </c>
      <c r="Q9" s="70">
        <f>Q10</f>
        <v>12.682</v>
      </c>
      <c r="R9" s="70">
        <f>P9+Q9</f>
        <v>435.50300000000004</v>
      </c>
      <c r="S9" s="70">
        <f>R9</f>
        <v>435.50300000000004</v>
      </c>
      <c r="T9" s="71"/>
      <c r="U9" s="71"/>
      <c r="V9" s="71"/>
    </row>
    <row r="10" spans="1:22" ht="37.5" customHeight="1" x14ac:dyDescent="0.35">
      <c r="A10" s="73">
        <v>1</v>
      </c>
      <c r="B10" s="74" t="s">
        <v>134</v>
      </c>
      <c r="C10" s="73"/>
      <c r="D10" s="73"/>
      <c r="E10" s="75"/>
      <c r="F10" s="75"/>
      <c r="G10" s="75"/>
      <c r="H10" s="75"/>
      <c r="I10" s="75"/>
      <c r="J10" s="75"/>
      <c r="K10" s="75"/>
      <c r="L10" s="75"/>
      <c r="M10" s="75"/>
      <c r="N10" s="75"/>
      <c r="O10" s="75"/>
      <c r="P10" s="76">
        <v>422.82100000000003</v>
      </c>
      <c r="Q10" s="76">
        <v>12.682</v>
      </c>
      <c r="R10" s="76">
        <f t="shared" ref="R10" si="0">P10+Q10</f>
        <v>435.50300000000004</v>
      </c>
      <c r="S10" s="76">
        <v>435.50300000000004</v>
      </c>
      <c r="U10" s="51" t="s">
        <v>251</v>
      </c>
      <c r="V10" s="51" t="s">
        <v>252</v>
      </c>
    </row>
    <row r="11" spans="1:22" s="57" customFormat="1" ht="21.75" customHeight="1" x14ac:dyDescent="0.35">
      <c r="A11" s="67" t="s">
        <v>2</v>
      </c>
      <c r="B11" s="68" t="s">
        <v>85</v>
      </c>
      <c r="C11" s="69"/>
      <c r="D11" s="69"/>
      <c r="E11" s="69"/>
      <c r="F11" s="69"/>
      <c r="G11" s="77"/>
      <c r="H11" s="77"/>
      <c r="I11" s="69"/>
      <c r="J11" s="69"/>
      <c r="K11" s="69"/>
      <c r="L11" s="69"/>
      <c r="M11" s="78">
        <f>SUM(M12:M19)</f>
        <v>12.71</v>
      </c>
      <c r="N11" s="69"/>
      <c r="O11" s="69"/>
      <c r="P11" s="70">
        <f>SUM(P12:P19)</f>
        <v>3805.393</v>
      </c>
      <c r="Q11" s="70">
        <f>SUM(Q12:Q19)</f>
        <v>114.134</v>
      </c>
      <c r="R11" s="70">
        <f>SUM(R12:R19)</f>
        <v>3919.527</v>
      </c>
      <c r="S11" s="70">
        <f>SUM(S12:S19)</f>
        <v>3919.527</v>
      </c>
      <c r="T11" s="79"/>
      <c r="U11" s="80"/>
    </row>
    <row r="12" spans="1:22" ht="21.75" customHeight="1" x14ac:dyDescent="0.35">
      <c r="A12" s="81">
        <v>1</v>
      </c>
      <c r="B12" s="82" t="s">
        <v>35</v>
      </c>
      <c r="C12" s="73">
        <f>2.76+1.04</f>
        <v>3.8</v>
      </c>
      <c r="D12" s="73">
        <v>0.4</v>
      </c>
      <c r="E12" s="83">
        <f>332+125</f>
        <v>457</v>
      </c>
      <c r="F12" s="84">
        <v>0.4</v>
      </c>
      <c r="G12" s="83"/>
      <c r="H12" s="85"/>
      <c r="I12" s="83">
        <v>8</v>
      </c>
      <c r="J12" s="85">
        <v>1</v>
      </c>
      <c r="K12" s="85">
        <f t="shared" ref="K12:K19" si="1">D12+F12</f>
        <v>0.8</v>
      </c>
      <c r="L12" s="85">
        <f>H12*2.5+J12</f>
        <v>1</v>
      </c>
      <c r="M12" s="85">
        <f>K12*L12</f>
        <v>0.8</v>
      </c>
      <c r="N12" s="123">
        <f>$P$11/$M$11</f>
        <v>299.40149488591658</v>
      </c>
      <c r="O12" s="123">
        <f>$Q$11/$M$11</f>
        <v>8.9798583792289524</v>
      </c>
      <c r="P12" s="76">
        <v>239.52099999999999</v>
      </c>
      <c r="Q12" s="76">
        <v>7.1840000000000002</v>
      </c>
      <c r="R12" s="76">
        <f>P12+Q12</f>
        <v>246.70499999999998</v>
      </c>
      <c r="S12" s="76">
        <v>246.70500000000001</v>
      </c>
      <c r="T12" s="86"/>
      <c r="U12" s="87">
        <f>M12*N12</f>
        <v>239.52119590873326</v>
      </c>
      <c r="V12" s="87">
        <f>M12*O12</f>
        <v>7.1838867033831626</v>
      </c>
    </row>
    <row r="13" spans="1:22" ht="21.75" customHeight="1" x14ac:dyDescent="0.35">
      <c r="A13" s="81">
        <v>2</v>
      </c>
      <c r="B13" s="82" t="s">
        <v>33</v>
      </c>
      <c r="C13" s="73">
        <f>53.54+15.61</f>
        <v>69.150000000000006</v>
      </c>
      <c r="D13" s="73">
        <v>0.9</v>
      </c>
      <c r="E13" s="83">
        <f>3992+1164</f>
        <v>5156</v>
      </c>
      <c r="F13" s="84">
        <v>0.8</v>
      </c>
      <c r="G13" s="83" t="s">
        <v>253</v>
      </c>
      <c r="H13" s="85">
        <v>0.12</v>
      </c>
      <c r="I13" s="83">
        <v>10</v>
      </c>
      <c r="J13" s="85">
        <v>1</v>
      </c>
      <c r="K13" s="85">
        <f t="shared" si="1"/>
        <v>1.7000000000000002</v>
      </c>
      <c r="L13" s="85">
        <f>H13*2.5+J13</f>
        <v>1.3</v>
      </c>
      <c r="M13" s="85">
        <f>K13*L13</f>
        <v>2.2100000000000004</v>
      </c>
      <c r="N13" s="123">
        <f>$P$11/$M$11</f>
        <v>299.40149488591658</v>
      </c>
      <c r="O13" s="123">
        <f t="shared" ref="O13:O19" si="2">$Q$11/$M$11</f>
        <v>8.9798583792289524</v>
      </c>
      <c r="P13" s="76">
        <v>661.67700000000002</v>
      </c>
      <c r="Q13" s="76">
        <v>19.846</v>
      </c>
      <c r="R13" s="76">
        <f>P13+Q13</f>
        <v>681.52300000000002</v>
      </c>
      <c r="S13" s="76">
        <v>681.52300000000002</v>
      </c>
      <c r="U13" s="87">
        <f t="shared" ref="U13:U19" si="3">M13*N13</f>
        <v>661.6773036978758</v>
      </c>
      <c r="V13" s="87">
        <f t="shared" ref="V13:V19" si="4">M13*O13</f>
        <v>19.845487018095987</v>
      </c>
    </row>
    <row r="14" spans="1:22" ht="21.75" customHeight="1" x14ac:dyDescent="0.35">
      <c r="A14" s="81">
        <v>3</v>
      </c>
      <c r="B14" s="82" t="s">
        <v>34</v>
      </c>
      <c r="C14" s="73">
        <f>28.33+13.31</f>
        <v>41.64</v>
      </c>
      <c r="D14" s="73">
        <v>0.7</v>
      </c>
      <c r="E14" s="83">
        <f>3443+1618</f>
        <v>5061</v>
      </c>
      <c r="F14" s="84">
        <v>0.8</v>
      </c>
      <c r="G14" s="83"/>
      <c r="H14" s="85"/>
      <c r="I14" s="83">
        <v>15</v>
      </c>
      <c r="J14" s="85">
        <v>1.1499999999999999</v>
      </c>
      <c r="K14" s="85">
        <f t="shared" si="1"/>
        <v>1.5</v>
      </c>
      <c r="L14" s="85">
        <f t="shared" ref="L14" si="5">H14*2.5+J14</f>
        <v>1.1499999999999999</v>
      </c>
      <c r="M14" s="85">
        <f>K14*L14</f>
        <v>1.7249999999999999</v>
      </c>
      <c r="N14" s="123">
        <f>$P$11/$M$11</f>
        <v>299.40149488591658</v>
      </c>
      <c r="O14" s="123">
        <f t="shared" si="2"/>
        <v>8.9798583792289524</v>
      </c>
      <c r="P14" s="76">
        <v>516.46799999999996</v>
      </c>
      <c r="Q14" s="76">
        <v>15.49</v>
      </c>
      <c r="R14" s="76">
        <f t="shared" ref="R14:R19" si="6">P14+Q14</f>
        <v>531.95799999999997</v>
      </c>
      <c r="S14" s="76">
        <v>531.95799999999997</v>
      </c>
      <c r="U14" s="87">
        <f t="shared" si="3"/>
        <v>516.46757867820611</v>
      </c>
      <c r="V14" s="87">
        <f t="shared" si="4"/>
        <v>15.490255704169941</v>
      </c>
    </row>
    <row r="15" spans="1:22" ht="21.75" customHeight="1" x14ac:dyDescent="0.35">
      <c r="A15" s="81">
        <v>4</v>
      </c>
      <c r="B15" s="82" t="s">
        <v>30</v>
      </c>
      <c r="C15" s="73">
        <f>51.13+12.29</f>
        <v>63.42</v>
      </c>
      <c r="D15" s="73">
        <v>0.9</v>
      </c>
      <c r="E15" s="83">
        <f>3803+914</f>
        <v>4717</v>
      </c>
      <c r="F15" s="84">
        <v>0.7</v>
      </c>
      <c r="G15" s="83" t="s">
        <v>253</v>
      </c>
      <c r="H15" s="85">
        <v>0.12</v>
      </c>
      <c r="I15" s="83">
        <v>10</v>
      </c>
      <c r="J15" s="85">
        <v>1</v>
      </c>
      <c r="K15" s="85">
        <f t="shared" si="1"/>
        <v>1.6</v>
      </c>
      <c r="L15" s="85">
        <f>H15*2.5+J15</f>
        <v>1.3</v>
      </c>
      <c r="M15" s="85">
        <f t="shared" ref="M15:M19" si="7">K15*L15</f>
        <v>2.08</v>
      </c>
      <c r="N15" s="123">
        <f t="shared" ref="N15:N19" si="8">$P$11/$M$11</f>
        <v>299.40149488591658</v>
      </c>
      <c r="O15" s="123">
        <f t="shared" si="2"/>
        <v>8.9798583792289524</v>
      </c>
      <c r="P15" s="76">
        <v>622.755</v>
      </c>
      <c r="Q15" s="76">
        <v>18.678000000000001</v>
      </c>
      <c r="R15" s="76">
        <f t="shared" si="6"/>
        <v>641.43299999999999</v>
      </c>
      <c r="S15" s="76">
        <v>641.43299999999999</v>
      </c>
      <c r="U15" s="87">
        <f t="shared" si="3"/>
        <v>622.75510936270655</v>
      </c>
      <c r="V15" s="87">
        <f t="shared" si="4"/>
        <v>18.678105428796222</v>
      </c>
    </row>
    <row r="16" spans="1:22" ht="21.75" customHeight="1" x14ac:dyDescent="0.35">
      <c r="A16" s="81">
        <v>5</v>
      </c>
      <c r="B16" s="82" t="s">
        <v>31</v>
      </c>
      <c r="C16" s="73">
        <f>20.66+10.3</f>
        <v>30.96</v>
      </c>
      <c r="D16" s="73">
        <v>0.6</v>
      </c>
      <c r="E16" s="83">
        <f>1791+893</f>
        <v>2684</v>
      </c>
      <c r="F16" s="84">
        <v>0.5</v>
      </c>
      <c r="G16" s="83"/>
      <c r="H16" s="84"/>
      <c r="I16" s="83">
        <v>14</v>
      </c>
      <c r="J16" s="85">
        <v>1.1499999999999999</v>
      </c>
      <c r="K16" s="85">
        <f t="shared" si="1"/>
        <v>1.1000000000000001</v>
      </c>
      <c r="L16" s="85">
        <f>H16*2.5+J16</f>
        <v>1.1499999999999999</v>
      </c>
      <c r="M16" s="85">
        <f t="shared" si="7"/>
        <v>1.2649999999999999</v>
      </c>
      <c r="N16" s="123">
        <f t="shared" si="8"/>
        <v>299.40149488591658</v>
      </c>
      <c r="O16" s="123">
        <f t="shared" si="2"/>
        <v>8.9798583792289524</v>
      </c>
      <c r="P16" s="76">
        <v>378.74299999999999</v>
      </c>
      <c r="Q16" s="76">
        <v>11.36</v>
      </c>
      <c r="R16" s="76">
        <f t="shared" si="6"/>
        <v>390.10300000000001</v>
      </c>
      <c r="S16" s="76">
        <v>390.10300000000001</v>
      </c>
      <c r="U16" s="87">
        <f t="shared" si="3"/>
        <v>378.74289103068446</v>
      </c>
      <c r="V16" s="87">
        <f t="shared" si="4"/>
        <v>11.359520849724625</v>
      </c>
    </row>
    <row r="17" spans="1:22" ht="21.75" customHeight="1" x14ac:dyDescent="0.35">
      <c r="A17" s="81">
        <v>6</v>
      </c>
      <c r="B17" s="82" t="s">
        <v>29</v>
      </c>
      <c r="C17" s="73">
        <f>18.37+8.75</f>
        <v>27.12</v>
      </c>
      <c r="D17" s="73">
        <v>0.5</v>
      </c>
      <c r="E17" s="83">
        <f>2424+1155</f>
        <v>3579</v>
      </c>
      <c r="F17" s="84">
        <v>0.6</v>
      </c>
      <c r="G17" s="83"/>
      <c r="H17" s="84"/>
      <c r="I17" s="83">
        <v>20</v>
      </c>
      <c r="J17" s="85">
        <v>1.3</v>
      </c>
      <c r="K17" s="85">
        <f t="shared" si="1"/>
        <v>1.1000000000000001</v>
      </c>
      <c r="L17" s="85">
        <f>H17*2.5+J17</f>
        <v>1.3</v>
      </c>
      <c r="M17" s="85">
        <f t="shared" si="7"/>
        <v>1.4300000000000002</v>
      </c>
      <c r="N17" s="123">
        <f t="shared" si="8"/>
        <v>299.40149488591658</v>
      </c>
      <c r="O17" s="123">
        <f t="shared" si="2"/>
        <v>8.9798583792289524</v>
      </c>
      <c r="P17" s="76">
        <v>428.14400000000001</v>
      </c>
      <c r="Q17" s="76">
        <v>12.840999999999999</v>
      </c>
      <c r="R17" s="76">
        <f t="shared" si="6"/>
        <v>440.98500000000001</v>
      </c>
      <c r="S17" s="76">
        <v>440.98500000000001</v>
      </c>
      <c r="U17" s="87">
        <f t="shared" si="3"/>
        <v>428.14413768686074</v>
      </c>
      <c r="V17" s="87">
        <f t="shared" si="4"/>
        <v>12.841197482297403</v>
      </c>
    </row>
    <row r="18" spans="1:22" ht="21.75" customHeight="1" x14ac:dyDescent="0.35">
      <c r="A18" s="81">
        <v>7</v>
      </c>
      <c r="B18" s="82" t="s">
        <v>28</v>
      </c>
      <c r="C18" s="73">
        <f>21.32+12.08</f>
        <v>33.4</v>
      </c>
      <c r="D18" s="73">
        <v>0.6</v>
      </c>
      <c r="E18" s="83">
        <f>2208+1251</f>
        <v>3459</v>
      </c>
      <c r="F18" s="84">
        <v>0.6</v>
      </c>
      <c r="G18" s="83"/>
      <c r="H18" s="84"/>
      <c r="I18" s="83">
        <v>14</v>
      </c>
      <c r="J18" s="85">
        <v>1.1499999999999999</v>
      </c>
      <c r="K18" s="85">
        <f t="shared" si="1"/>
        <v>1.2</v>
      </c>
      <c r="L18" s="85">
        <f>H18*2.5+J18</f>
        <v>1.1499999999999999</v>
      </c>
      <c r="M18" s="85">
        <f t="shared" si="7"/>
        <v>1.38</v>
      </c>
      <c r="N18" s="123">
        <f t="shared" si="8"/>
        <v>299.40149488591658</v>
      </c>
      <c r="O18" s="123">
        <f t="shared" si="2"/>
        <v>8.9798583792289524</v>
      </c>
      <c r="P18" s="76">
        <v>413.17399999999998</v>
      </c>
      <c r="Q18" s="76">
        <v>12.391999999999999</v>
      </c>
      <c r="R18" s="76">
        <f t="shared" si="6"/>
        <v>425.56599999999997</v>
      </c>
      <c r="S18" s="76">
        <v>425.56599999999997</v>
      </c>
      <c r="U18" s="87">
        <f t="shared" si="3"/>
        <v>413.17406294256483</v>
      </c>
      <c r="V18" s="87">
        <f t="shared" si="4"/>
        <v>12.392204563335953</v>
      </c>
    </row>
    <row r="19" spans="1:22" ht="21.75" customHeight="1" x14ac:dyDescent="0.35">
      <c r="A19" s="88">
        <v>8</v>
      </c>
      <c r="B19" s="89" t="s">
        <v>32</v>
      </c>
      <c r="C19" s="90">
        <f>38.83+8.01</f>
        <v>46.839999999999996</v>
      </c>
      <c r="D19" s="90">
        <v>0.7</v>
      </c>
      <c r="E19" s="91">
        <f>3953+815</f>
        <v>4768</v>
      </c>
      <c r="F19" s="92">
        <v>0.7</v>
      </c>
      <c r="G19" s="91"/>
      <c r="H19" s="92"/>
      <c r="I19" s="91">
        <v>17</v>
      </c>
      <c r="J19" s="93">
        <v>1.3</v>
      </c>
      <c r="K19" s="93">
        <f t="shared" si="1"/>
        <v>1.4</v>
      </c>
      <c r="L19" s="93">
        <f>H19*2.5+J19</f>
        <v>1.3</v>
      </c>
      <c r="M19" s="93">
        <f t="shared" si="7"/>
        <v>1.8199999999999998</v>
      </c>
      <c r="N19" s="124">
        <f t="shared" si="8"/>
        <v>299.40149488591658</v>
      </c>
      <c r="O19" s="124">
        <f t="shared" si="2"/>
        <v>8.9798583792289524</v>
      </c>
      <c r="P19" s="94">
        <v>544.91099999999994</v>
      </c>
      <c r="Q19" s="94">
        <v>16.343</v>
      </c>
      <c r="R19" s="94">
        <f t="shared" si="6"/>
        <v>561.25399999999991</v>
      </c>
      <c r="S19" s="94">
        <v>561.25399999999991</v>
      </c>
      <c r="U19" s="87">
        <f t="shared" si="3"/>
        <v>544.91072069236816</v>
      </c>
      <c r="V19" s="87">
        <f t="shared" si="4"/>
        <v>16.343342250196692</v>
      </c>
    </row>
    <row r="21" spans="1:22" x14ac:dyDescent="0.35">
      <c r="B21" s="95" t="s">
        <v>254</v>
      </c>
      <c r="P21" s="96"/>
      <c r="R21" s="97"/>
    </row>
    <row r="22" spans="1:22" x14ac:dyDescent="0.35">
      <c r="B22" s="98" t="s">
        <v>255</v>
      </c>
      <c r="R22" s="97"/>
    </row>
    <row r="23" spans="1:22" x14ac:dyDescent="0.35">
      <c r="B23" s="98" t="s">
        <v>256</v>
      </c>
      <c r="R23" s="97"/>
    </row>
    <row r="24" spans="1:22" ht="21.5" x14ac:dyDescent="0.35">
      <c r="B24" s="99" t="s">
        <v>257</v>
      </c>
    </row>
    <row r="25" spans="1:22" x14ac:dyDescent="0.35">
      <c r="B25" s="98" t="s">
        <v>258</v>
      </c>
    </row>
    <row r="26" spans="1:22" ht="21.5" x14ac:dyDescent="0.35">
      <c r="B26" s="100" t="s">
        <v>259</v>
      </c>
    </row>
    <row r="27" spans="1:22" ht="21.5" x14ac:dyDescent="0.35">
      <c r="B27" s="100" t="s">
        <v>260</v>
      </c>
    </row>
    <row r="28" spans="1:22" ht="21.5" x14ac:dyDescent="0.35">
      <c r="B28" s="100" t="s">
        <v>261</v>
      </c>
    </row>
    <row r="29" spans="1:22" ht="21" x14ac:dyDescent="0.35">
      <c r="B29" s="98" t="s">
        <v>262</v>
      </c>
    </row>
    <row r="30" spans="1:22" ht="21" x14ac:dyDescent="0.35">
      <c r="B30" s="98" t="s">
        <v>263</v>
      </c>
    </row>
    <row r="31" spans="1:22" x14ac:dyDescent="0.35">
      <c r="B31" s="100" t="s">
        <v>264</v>
      </c>
    </row>
    <row r="32" spans="1:22" x14ac:dyDescent="0.4">
      <c r="B32" s="101"/>
    </row>
    <row r="33" spans="2:2" x14ac:dyDescent="0.35">
      <c r="B33" s="98" t="s">
        <v>265</v>
      </c>
    </row>
  </sheetData>
  <mergeCells count="18">
    <mergeCell ref="R1:S1"/>
    <mergeCell ref="R5:R6"/>
    <mergeCell ref="S5:S6"/>
    <mergeCell ref="A2:S2"/>
    <mergeCell ref="A3:S3"/>
    <mergeCell ref="A8:B8"/>
    <mergeCell ref="N5:N6"/>
    <mergeCell ref="O5:O6"/>
    <mergeCell ref="P5:P6"/>
    <mergeCell ref="Q5:Q6"/>
    <mergeCell ref="A5:A6"/>
    <mergeCell ref="B5:B6"/>
    <mergeCell ref="C5:D5"/>
    <mergeCell ref="E5:F5"/>
    <mergeCell ref="G5:H5"/>
    <mergeCell ref="I5:J5"/>
    <mergeCell ref="K5:K6"/>
    <mergeCell ref="M5:M6"/>
  </mergeCells>
  <pageMargins left="0.33" right="0.16" top="0.45" bottom="0.4" header="0.3" footer="0.18"/>
  <pageSetup paperSize="8" firstPageNumber="44" orientation="landscape" useFirstPageNumber="1" r:id="rId1"/>
  <headerFoot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eb4ac11a4a947c2a</MaTinBai>
    <_dlc_DocId xmlns="ae4e42cd-c673-4541-a17d-d353a4125f5e">DDYPFUVZ5X6F-6-5229</_dlc_DocId>
    <_dlc_DocIdUrl xmlns="ae4e42cd-c673-4541-a17d-d353a4125f5e">
      <Url>https://dbdc.backan.gov.vn/_layouts/15/DocIdRedir.aspx?ID=DDYPFUVZ5X6F-6-5229</Url>
      <Description>DDYPFUVZ5X6F-6-5229</Description>
    </_dlc_DocIdUrl>
  </documentManagement>
</p:properties>
</file>

<file path=customXml/itemProps1.xml><?xml version="1.0" encoding="utf-8"?>
<ds:datastoreItem xmlns:ds="http://schemas.openxmlformats.org/officeDocument/2006/customXml" ds:itemID="{C28ACBE7-1C55-43AC-8182-1EB5CC7A9E5A}"/>
</file>

<file path=customXml/itemProps2.xml><?xml version="1.0" encoding="utf-8"?>
<ds:datastoreItem xmlns:ds="http://schemas.openxmlformats.org/officeDocument/2006/customXml" ds:itemID="{D570FA7C-FCD7-48BD-BD6B-297F01AB301F}"/>
</file>

<file path=customXml/itemProps3.xml><?xml version="1.0" encoding="utf-8"?>
<ds:datastoreItem xmlns:ds="http://schemas.openxmlformats.org/officeDocument/2006/customXml" ds:itemID="{671DE6C0-67C2-4C04-BECA-81BE2F655D3F}"/>
</file>

<file path=customXml/itemProps4.xml><?xml version="1.0" encoding="utf-8"?>
<ds:datastoreItem xmlns:ds="http://schemas.openxmlformats.org/officeDocument/2006/customXml" ds:itemID="{FE7DDCBF-96D3-46FE-BED4-967E58072F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12</vt:i4>
      </vt:variant>
      <vt:variant>
        <vt:lpstr>Phạm vi Có tên</vt:lpstr>
      </vt:variant>
      <vt:variant>
        <vt:i4>6</vt:i4>
      </vt:variant>
    </vt:vector>
  </HeadingPairs>
  <TitlesOfParts>
    <vt:vector size="18" baseType="lpstr">
      <vt:lpstr>Gốc</vt:lpstr>
      <vt:lpstr>Biểu TH</vt:lpstr>
      <vt:lpstr>B1-Tổng hợp DTTS</vt:lpstr>
      <vt:lpstr>B1.1-DTTS-Pbổ lại NSĐP</vt:lpstr>
      <vt:lpstr>B1.2-DTTS-Pbổ DAPTSX</vt:lpstr>
      <vt:lpstr>B2-Tổng hợp GN</vt:lpstr>
      <vt:lpstr>B2.1-GN-Pbổ lại NSĐP</vt:lpstr>
      <vt:lpstr>B2.2-GN-Pbổ DAPTSX</vt:lpstr>
      <vt:lpstr>B3-Tổng hợp NTM</vt:lpstr>
      <vt:lpstr> B4-CĐS</vt:lpstr>
      <vt:lpstr>B5-NVK</vt:lpstr>
      <vt:lpstr>B3.1-NTM-Pbổ lại NSĐP</vt:lpstr>
      <vt:lpstr>' B4-CĐS'!Vùng_In</vt:lpstr>
      <vt:lpstr>'B1-Tổng hợp DTTS'!Vùng_In</vt:lpstr>
      <vt:lpstr>'B2-Tổng hợp GN'!Vùng_In</vt:lpstr>
      <vt:lpstr>'B3-Tổng hợp NTM'!Vùng_In</vt:lpstr>
      <vt:lpstr>'B5-NVK'!Vùng_In</vt:lpstr>
      <vt:lpstr>'Biểu TH'!Vùng_In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vinhhanh</dc:creator>
  <cp:lastModifiedBy>Đồng Thanh Hoàn</cp:lastModifiedBy>
  <cp:lastPrinted>2023-04-09T08:03:20Z</cp:lastPrinted>
  <dcterms:created xsi:type="dcterms:W3CDTF">2022-06-21T06:31:59Z</dcterms:created>
  <dcterms:modified xsi:type="dcterms:W3CDTF">2023-04-09T08:03:27Z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f710b82c-6838-4272-aefa-6361762cd35f</vt:lpwstr>
  </property>
</Properties>
</file>