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1.xml" ContentType="application/vnd.openxmlformats-officedocument.spreadsheetml.comment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AppData\Local\Temp\VNPT Plugin\df3b13e5-f10a-4b73-ba7a-7330718c2fe1\"/>
    </mc:Choice>
  </mc:AlternateContent>
  <bookViews>
    <workbookView xWindow="270" yWindow="0" windowWidth="20250" windowHeight="12960" activeTab="1"/>
  </bookViews>
  <sheets>
    <sheet name="Bieu 15" sheetId="1" r:id="rId1"/>
    <sheet name="Bieu 16" sheetId="2" r:id="rId2"/>
    <sheet name="Bieu 16a" sheetId="3" r:id="rId3"/>
    <sheet name="Bieu 16b" sheetId="4" r:id="rId4"/>
    <sheet name="Bieu 30" sheetId="5" r:id="rId5"/>
    <sheet name="Bieu 32" sheetId="6" r:id="rId6"/>
    <sheet name="Bieu 33" sheetId="7" r:id="rId7"/>
    <sheet name="Bieu 34" sheetId="8" r:id="rId8"/>
  </sheets>
  <externalReferences>
    <externalReference r:id="rId9"/>
    <externalReference r:id="rId10"/>
    <externalReference r:id="rId11"/>
  </externalReferences>
  <definedNames>
    <definedName name="_xlnm.Print_Area" localSheetId="0">'Bieu 15'!$A$1:$E$37</definedName>
    <definedName name="_xlnm.Print_Area" localSheetId="1">'Bieu 16'!$A$1:$AA$55</definedName>
    <definedName name="_xlnm.Print_Area" localSheetId="2">'Bieu 16a'!$A$1:$N$69</definedName>
    <definedName name="_xlnm.Print_Area" localSheetId="3">'Bieu 16b'!$A$1:$R$61</definedName>
    <definedName name="_xlnm.Print_Area" localSheetId="4">'Bieu 30'!$A$1:$E$39</definedName>
    <definedName name="_xlnm.Print_Area" localSheetId="5">'Bieu 32'!$A$1:$S$17</definedName>
    <definedName name="_xlnm.Print_Area" localSheetId="6">'Bieu 33'!$A$1:$J$30</definedName>
    <definedName name="_xlnm.Print_Area" localSheetId="7">'Bieu 34'!$A$1:$I$52</definedName>
  </definedNames>
  <calcPr calcId="162913"/>
</workbook>
</file>

<file path=xl/calcChain.xml><?xml version="1.0" encoding="utf-8"?>
<calcChain xmlns="http://schemas.openxmlformats.org/spreadsheetml/2006/main">
  <c r="L7" i="6" l="1"/>
  <c r="M7" i="6"/>
  <c r="N7" i="6"/>
  <c r="K7" i="6"/>
  <c r="G7" i="6"/>
  <c r="F7" i="6"/>
  <c r="E17" i="6"/>
  <c r="E16" i="6"/>
  <c r="D7" i="6"/>
  <c r="C7" i="6"/>
  <c r="E7" i="6" l="1"/>
  <c r="H48" i="3"/>
  <c r="H49" i="3"/>
  <c r="H47" i="3"/>
  <c r="H9" i="3" s="1"/>
  <c r="H8" i="3" s="1"/>
  <c r="G9" i="3"/>
  <c r="G8" i="3" s="1"/>
  <c r="I9" i="8" l="1"/>
  <c r="I28" i="8"/>
  <c r="I12" i="8"/>
  <c r="I11" i="8" s="1"/>
  <c r="D46" i="8"/>
  <c r="D45" i="8" s="1"/>
  <c r="E46" i="8"/>
  <c r="F46" i="8"/>
  <c r="G46" i="8"/>
  <c r="H46" i="8"/>
  <c r="H45" i="8" s="1"/>
  <c r="H10" i="8" s="1"/>
  <c r="H8" i="8" s="1"/>
  <c r="D49" i="8"/>
  <c r="E49" i="8"/>
  <c r="F49" i="8"/>
  <c r="G49" i="8"/>
  <c r="H49" i="8"/>
  <c r="I46" i="8"/>
  <c r="C50" i="8"/>
  <c r="I50" i="8" s="1"/>
  <c r="I49" i="8" s="1"/>
  <c r="F8" i="7"/>
  <c r="F7" i="7" s="1"/>
  <c r="G8" i="7"/>
  <c r="G7" i="7"/>
  <c r="H16" i="7"/>
  <c r="H15" i="7"/>
  <c r="H13" i="7"/>
  <c r="H10" i="7"/>
  <c r="J9" i="7"/>
  <c r="I9" i="7"/>
  <c r="H9" i="7" s="1"/>
  <c r="J27" i="7"/>
  <c r="I27" i="7"/>
  <c r="H27" i="7"/>
  <c r="H26" i="7"/>
  <c r="I20" i="7"/>
  <c r="H16" i="6"/>
  <c r="H7" i="6" s="1"/>
  <c r="D17" i="5"/>
  <c r="E26" i="5"/>
  <c r="D8" i="5"/>
  <c r="C18" i="5"/>
  <c r="E18" i="5" s="1"/>
  <c r="E17" i="5" s="1"/>
  <c r="E9" i="5"/>
  <c r="D8" i="4"/>
  <c r="C8" i="4"/>
  <c r="C7" i="4" s="1"/>
  <c r="AK7" i="4"/>
  <c r="AJ7" i="4"/>
  <c r="H45" i="4"/>
  <c r="J45" i="4" s="1"/>
  <c r="H44" i="4"/>
  <c r="J44" i="4" s="1"/>
  <c r="H43" i="4"/>
  <c r="L48" i="3"/>
  <c r="E9" i="3"/>
  <c r="E8" i="3" s="1"/>
  <c r="F9" i="3"/>
  <c r="F8" i="3" s="1"/>
  <c r="D9" i="3"/>
  <c r="L49" i="3"/>
  <c r="L47" i="3"/>
  <c r="K49" i="3"/>
  <c r="K48" i="3"/>
  <c r="E8" i="2"/>
  <c r="E7" i="2" s="1"/>
  <c r="H37" i="2"/>
  <c r="H38" i="2"/>
  <c r="H39" i="2"/>
  <c r="H40" i="2"/>
  <c r="H41" i="2"/>
  <c r="H42" i="2"/>
  <c r="H43" i="2"/>
  <c r="H44" i="2"/>
  <c r="H45" i="2"/>
  <c r="H46" i="2"/>
  <c r="H47" i="2"/>
  <c r="H48" i="2"/>
  <c r="H49" i="2"/>
  <c r="H50" i="2"/>
  <c r="H51" i="2"/>
  <c r="H52" i="2"/>
  <c r="H53" i="2"/>
  <c r="H54" i="2"/>
  <c r="H55" i="2"/>
  <c r="H36" i="2"/>
  <c r="H11" i="2"/>
  <c r="H12" i="2"/>
  <c r="H13" i="2"/>
  <c r="H14" i="2"/>
  <c r="H15" i="2"/>
  <c r="H16" i="2"/>
  <c r="H17" i="2"/>
  <c r="H18" i="2"/>
  <c r="H19" i="2"/>
  <c r="H20" i="2"/>
  <c r="H21" i="2"/>
  <c r="H22" i="2"/>
  <c r="H23" i="2"/>
  <c r="H24" i="2"/>
  <c r="H25" i="2"/>
  <c r="H26" i="2"/>
  <c r="H27" i="2"/>
  <c r="H28" i="2"/>
  <c r="H29" i="2"/>
  <c r="H30" i="2"/>
  <c r="H31" i="2"/>
  <c r="H10" i="2"/>
  <c r="G37" i="2"/>
  <c r="G38" i="2"/>
  <c r="G39" i="2"/>
  <c r="G40" i="2"/>
  <c r="G41" i="2"/>
  <c r="G42" i="2"/>
  <c r="G43" i="2"/>
  <c r="G44" i="2"/>
  <c r="G45" i="2"/>
  <c r="G46" i="2"/>
  <c r="G47" i="2"/>
  <c r="G48" i="2"/>
  <c r="G49" i="2"/>
  <c r="G50" i="2"/>
  <c r="G51" i="2"/>
  <c r="G52" i="2"/>
  <c r="G53" i="2"/>
  <c r="G54" i="2"/>
  <c r="G55" i="2"/>
  <c r="G36" i="2"/>
  <c r="G14" i="2"/>
  <c r="G15" i="2"/>
  <c r="G16" i="2"/>
  <c r="G17" i="2"/>
  <c r="G18" i="2"/>
  <c r="G19" i="2"/>
  <c r="G20" i="2"/>
  <c r="G21" i="2"/>
  <c r="G22" i="2"/>
  <c r="G23" i="2"/>
  <c r="G24" i="2"/>
  <c r="G25" i="2"/>
  <c r="G26" i="2"/>
  <c r="G27" i="2"/>
  <c r="G28" i="2"/>
  <c r="G29" i="2"/>
  <c r="G30" i="2"/>
  <c r="G31" i="2"/>
  <c r="G11" i="2"/>
  <c r="G12" i="2"/>
  <c r="G13" i="2"/>
  <c r="G10" i="2"/>
  <c r="G33" i="2"/>
  <c r="G34" i="2"/>
  <c r="G35" i="2"/>
  <c r="G32" i="2"/>
  <c r="D35" i="2"/>
  <c r="D34" i="2"/>
  <c r="D32" i="2"/>
  <c r="F33" i="2"/>
  <c r="H33" i="2" s="1"/>
  <c r="F34" i="2"/>
  <c r="F35" i="2"/>
  <c r="F32" i="2"/>
  <c r="E24" i="1"/>
  <c r="E25" i="1"/>
  <c r="E26" i="1"/>
  <c r="E28" i="1"/>
  <c r="E29" i="1"/>
  <c r="E30" i="1"/>
  <c r="E31" i="1"/>
  <c r="E33" i="1"/>
  <c r="E34" i="1"/>
  <c r="E35" i="1"/>
  <c r="E36" i="1"/>
  <c r="E23" i="1"/>
  <c r="E21" i="1"/>
  <c r="D20" i="1"/>
  <c r="D19" i="1" s="1"/>
  <c r="C22" i="1"/>
  <c r="E22" i="1" s="1"/>
  <c r="C18" i="1"/>
  <c r="E18" i="1" s="1"/>
  <c r="E13" i="1"/>
  <c r="E14" i="1"/>
  <c r="E15" i="1"/>
  <c r="D9" i="1"/>
  <c r="D8" i="1" s="1"/>
  <c r="E11" i="1"/>
  <c r="E10" i="1"/>
  <c r="C9" i="1"/>
  <c r="H32" i="2" l="1"/>
  <c r="G45" i="8"/>
  <c r="E9" i="1"/>
  <c r="E45" i="8"/>
  <c r="G44" i="4"/>
  <c r="I44" i="4" s="1"/>
  <c r="G43" i="4"/>
  <c r="I43" i="4" s="1"/>
  <c r="G45" i="4"/>
  <c r="I45" i="4" s="1"/>
  <c r="J43" i="4"/>
  <c r="J8" i="4" s="1"/>
  <c r="H34" i="2"/>
  <c r="H35" i="2"/>
  <c r="F45" i="8"/>
  <c r="F10" i="8" s="1"/>
  <c r="F8" i="8" s="1"/>
  <c r="F8" i="2"/>
  <c r="F7" i="2" s="1"/>
  <c r="I8" i="7"/>
  <c r="I7" i="7" s="1"/>
  <c r="I45" i="8"/>
  <c r="I10" i="8" s="1"/>
  <c r="I8" i="8" s="1"/>
  <c r="D7" i="4"/>
  <c r="D32" i="1"/>
  <c r="I8" i="4" l="1"/>
  <c r="I7" i="4" s="1"/>
  <c r="J7" i="4"/>
  <c r="AH8" i="4"/>
  <c r="H3" i="3"/>
  <c r="C49" i="8" l="1"/>
  <c r="C46" i="8"/>
  <c r="C28" i="8"/>
  <c r="D29" i="8" s="1"/>
  <c r="C12" i="8"/>
  <c r="C11" i="8" s="1"/>
  <c r="E27" i="7"/>
  <c r="D27" i="7"/>
  <c r="C26" i="7"/>
  <c r="C23" i="7"/>
  <c r="C22" i="7"/>
  <c r="E20" i="7"/>
  <c r="J20" i="7" s="1"/>
  <c r="C16" i="7"/>
  <c r="C15" i="7"/>
  <c r="C13" i="7"/>
  <c r="D9" i="7"/>
  <c r="C10" i="7"/>
  <c r="E9" i="7"/>
  <c r="C17" i="5"/>
  <c r="E8" i="7" l="1"/>
  <c r="H20" i="7"/>
  <c r="H8" i="7" s="1"/>
  <c r="H7" i="7" s="1"/>
  <c r="J8" i="7"/>
  <c r="J7" i="7" s="1"/>
  <c r="C20" i="7"/>
  <c r="E7" i="7"/>
  <c r="C45" i="8"/>
  <c r="C10" i="8" s="1"/>
  <c r="C27" i="7"/>
  <c r="D8" i="7"/>
  <c r="D7" i="7" s="1"/>
  <c r="C9" i="7"/>
  <c r="C8" i="7" l="1"/>
  <c r="C7" i="7" s="1"/>
  <c r="E11" i="8"/>
  <c r="E10" i="8" s="1"/>
  <c r="E8" i="8" s="1"/>
  <c r="C8" i="8"/>
  <c r="C16" i="5" l="1"/>
  <c r="E16" i="5" s="1"/>
  <c r="E8" i="5" s="1"/>
  <c r="J16" i="5" l="1"/>
  <c r="J9" i="5"/>
  <c r="U10" i="1"/>
  <c r="U11" i="1"/>
  <c r="U16" i="1"/>
  <c r="U17" i="1"/>
  <c r="U18" i="1"/>
  <c r="Q3" i="6"/>
  <c r="F35" i="5"/>
  <c r="C26" i="5"/>
  <c r="G24" i="5"/>
  <c r="H9" i="5"/>
  <c r="H10" i="5" s="1"/>
  <c r="C8" i="5"/>
  <c r="F8" i="5" s="1"/>
  <c r="AD50" i="4"/>
  <c r="V50" i="4"/>
  <c r="AD49" i="4"/>
  <c r="V49" i="4"/>
  <c r="T44" i="4"/>
  <c r="S44" i="4"/>
  <c r="S42" i="4" s="1"/>
  <c r="AD38" i="4"/>
  <c r="AD32" i="4"/>
  <c r="V32" i="4"/>
  <c r="P18" i="4"/>
  <c r="P15" i="4"/>
  <c r="AD9" i="4"/>
  <c r="P9" i="4"/>
  <c r="P12" i="4" s="1"/>
  <c r="U8" i="4"/>
  <c r="U7" i="4" s="1"/>
  <c r="AD8" i="4"/>
  <c r="AD7" i="4" s="1"/>
  <c r="AE7" i="4"/>
  <c r="AC7" i="4"/>
  <c r="AB7" i="4"/>
  <c r="AA7" i="4"/>
  <c r="Z7" i="4"/>
  <c r="Y7" i="4"/>
  <c r="X7" i="4"/>
  <c r="T7" i="4"/>
  <c r="S7" i="4"/>
  <c r="R7" i="4"/>
  <c r="Q7" i="4"/>
  <c r="V6" i="4"/>
  <c r="O70" i="3"/>
  <c r="O69" i="3"/>
  <c r="O68" i="3"/>
  <c r="O67" i="3"/>
  <c r="O66" i="3"/>
  <c r="O65" i="3"/>
  <c r="O64" i="3"/>
  <c r="O63" i="3"/>
  <c r="O62" i="3"/>
  <c r="O61" i="3"/>
  <c r="O60" i="3"/>
  <c r="R56" i="3"/>
  <c r="O55" i="3"/>
  <c r="R54" i="3"/>
  <c r="O53" i="3"/>
  <c r="R51" i="3"/>
  <c r="O51" i="3"/>
  <c r="R50" i="3"/>
  <c r="O50" i="3"/>
  <c r="O49" i="3"/>
  <c r="S48" i="3"/>
  <c r="R48" i="3" s="1"/>
  <c r="O48" i="3"/>
  <c r="O47" i="3"/>
  <c r="O46" i="3"/>
  <c r="R45" i="3"/>
  <c r="O45" i="3"/>
  <c r="R42" i="3"/>
  <c r="R41" i="3"/>
  <c r="O41" i="3"/>
  <c r="O40" i="3"/>
  <c r="R39" i="3"/>
  <c r="O39" i="3"/>
  <c r="O38" i="3"/>
  <c r="R37" i="3"/>
  <c r="O35" i="3"/>
  <c r="O34" i="3"/>
  <c r="R33" i="3"/>
  <c r="O33" i="3"/>
  <c r="O32" i="3"/>
  <c r="R31" i="3"/>
  <c r="O31" i="3"/>
  <c r="R30" i="3"/>
  <c r="O30" i="3"/>
  <c r="O29" i="3"/>
  <c r="O28" i="3"/>
  <c r="R27" i="3"/>
  <c r="O27" i="3"/>
  <c r="R26" i="3"/>
  <c r="O26" i="3"/>
  <c r="R25" i="3"/>
  <c r="O25" i="3"/>
  <c r="R24" i="3"/>
  <c r="O24" i="3"/>
  <c r="R23" i="3"/>
  <c r="O23" i="3"/>
  <c r="R22" i="3"/>
  <c r="O22" i="3"/>
  <c r="R21" i="3"/>
  <c r="O21" i="3"/>
  <c r="R20" i="3"/>
  <c r="O20" i="3"/>
  <c r="R19" i="3"/>
  <c r="O19" i="3"/>
  <c r="R18" i="3"/>
  <c r="O18" i="3"/>
  <c r="R17" i="3"/>
  <c r="O17" i="3"/>
  <c r="R16" i="3"/>
  <c r="O16" i="3"/>
  <c r="R15" i="3"/>
  <c r="O15" i="3"/>
  <c r="R14" i="3"/>
  <c r="O14" i="3"/>
  <c r="O13" i="3"/>
  <c r="Q10" i="3"/>
  <c r="P10" i="3"/>
  <c r="Z49" i="2"/>
  <c r="Z48" i="2"/>
  <c r="Z47" i="2"/>
  <c r="X47" i="2"/>
  <c r="V47" i="2"/>
  <c r="T47" i="2"/>
  <c r="R47" i="2"/>
  <c r="P47" i="2"/>
  <c r="N47" i="2"/>
  <c r="L47" i="2"/>
  <c r="J47" i="2"/>
  <c r="Z46" i="2"/>
  <c r="Z45" i="2"/>
  <c r="Z44" i="2"/>
  <c r="Z43" i="2"/>
  <c r="Z42" i="2"/>
  <c r="Z41" i="2"/>
  <c r="Z40" i="2"/>
  <c r="Y39" i="2"/>
  <c r="Z39" i="2" s="1"/>
  <c r="X39" i="2"/>
  <c r="W39" i="2"/>
  <c r="V39" i="2"/>
  <c r="U39" i="2"/>
  <c r="T39" i="2"/>
  <c r="S39" i="2"/>
  <c r="R39" i="2"/>
  <c r="Q39" i="2"/>
  <c r="P39" i="2"/>
  <c r="O39" i="2"/>
  <c r="N39" i="2"/>
  <c r="M39" i="2"/>
  <c r="L39" i="2"/>
  <c r="K39" i="2"/>
  <c r="J39" i="2"/>
  <c r="I39" i="2"/>
  <c r="Z38" i="2"/>
  <c r="Z37" i="2"/>
  <c r="Z36" i="2"/>
  <c r="Z35" i="2"/>
  <c r="Z34" i="2"/>
  <c r="Z33" i="2"/>
  <c r="X32" i="2"/>
  <c r="V32" i="2"/>
  <c r="T32" i="2"/>
  <c r="R32" i="2"/>
  <c r="P32" i="2"/>
  <c r="N32" i="2"/>
  <c r="L32" i="2"/>
  <c r="J32" i="2"/>
  <c r="Z31" i="2"/>
  <c r="Z30" i="2"/>
  <c r="Z28" i="2"/>
  <c r="Z27" i="2"/>
  <c r="Z26" i="2"/>
  <c r="Z25" i="2"/>
  <c r="Y24" i="2"/>
  <c r="X24" i="2"/>
  <c r="W24" i="2"/>
  <c r="V24" i="2"/>
  <c r="U24" i="2"/>
  <c r="T24" i="2"/>
  <c r="S24" i="2"/>
  <c r="R24" i="2"/>
  <c r="Q24" i="2"/>
  <c r="P24" i="2"/>
  <c r="O24" i="2"/>
  <c r="N24" i="2"/>
  <c r="M24" i="2"/>
  <c r="L24" i="2"/>
  <c r="K24" i="2"/>
  <c r="J24" i="2"/>
  <c r="I24" i="2"/>
  <c r="B23" i="2"/>
  <c r="Z22" i="2"/>
  <c r="Z21" i="2"/>
  <c r="Y20" i="2"/>
  <c r="X20" i="2"/>
  <c r="W20" i="2"/>
  <c r="V20" i="2"/>
  <c r="U20" i="2"/>
  <c r="T20" i="2"/>
  <c r="S20" i="2"/>
  <c r="R20" i="2"/>
  <c r="Q20" i="2"/>
  <c r="P20" i="2"/>
  <c r="O20" i="2"/>
  <c r="N20" i="2"/>
  <c r="M20" i="2"/>
  <c r="L20" i="2"/>
  <c r="K20" i="2"/>
  <c r="J20" i="2"/>
  <c r="I20" i="2"/>
  <c r="Z17" i="2"/>
  <c r="Z16" i="2"/>
  <c r="AB15" i="2"/>
  <c r="Z15" i="2"/>
  <c r="AB14" i="2"/>
  <c r="Y14" i="2"/>
  <c r="X14" i="2"/>
  <c r="W14" i="2"/>
  <c r="V14" i="2"/>
  <c r="U14" i="2"/>
  <c r="T14" i="2"/>
  <c r="S14" i="2"/>
  <c r="R14" i="2"/>
  <c r="Q14" i="2"/>
  <c r="P14" i="2"/>
  <c r="O14" i="2"/>
  <c r="N14" i="2"/>
  <c r="M14" i="2"/>
  <c r="L14" i="2"/>
  <c r="K14" i="2"/>
  <c r="J14" i="2"/>
  <c r="I14" i="2"/>
  <c r="Z12" i="2"/>
  <c r="Z10" i="2"/>
  <c r="AB9" i="2"/>
  <c r="AB11" i="2" s="1"/>
  <c r="Y9" i="2"/>
  <c r="X9" i="2"/>
  <c r="W9" i="2"/>
  <c r="V9" i="2"/>
  <c r="U9" i="2"/>
  <c r="T9" i="2"/>
  <c r="S9" i="2"/>
  <c r="R9" i="2"/>
  <c r="Q9" i="2"/>
  <c r="P9" i="2"/>
  <c r="O9" i="2"/>
  <c r="N9" i="2"/>
  <c r="M9" i="2"/>
  <c r="L9" i="2"/>
  <c r="K9" i="2"/>
  <c r="J9" i="2"/>
  <c r="I9" i="2"/>
  <c r="D9" i="2"/>
  <c r="C9" i="2"/>
  <c r="G9" i="2" s="1"/>
  <c r="G8" i="2" s="1"/>
  <c r="G7" i="2" s="1"/>
  <c r="AA7" i="2"/>
  <c r="F30" i="1"/>
  <c r="C27" i="1"/>
  <c r="E27" i="1" s="1"/>
  <c r="G21" i="1"/>
  <c r="C20" i="1"/>
  <c r="E20" i="1" s="1"/>
  <c r="F19" i="1"/>
  <c r="G19" i="1"/>
  <c r="F13" i="1"/>
  <c r="C12" i="1"/>
  <c r="E12" i="1" s="1"/>
  <c r="E8" i="1" s="1"/>
  <c r="G11" i="1"/>
  <c r="K9" i="1"/>
  <c r="Z9" i="2" l="1"/>
  <c r="E19" i="1"/>
  <c r="E32" i="1" s="1"/>
  <c r="N8" i="2"/>
  <c r="N7" i="2" s="1"/>
  <c r="D8" i="2"/>
  <c r="AJ8" i="2" s="1"/>
  <c r="H9" i="2"/>
  <c r="H8" i="2" s="1"/>
  <c r="H7" i="2" s="1"/>
  <c r="K8" i="2"/>
  <c r="K7" i="2" s="1"/>
  <c r="S8" i="2"/>
  <c r="S7" i="2" s="1"/>
  <c r="P8" i="4"/>
  <c r="P7" i="4" s="1"/>
  <c r="V8" i="4"/>
  <c r="W8" i="4" s="1"/>
  <c r="W7" i="4" s="1"/>
  <c r="S10" i="3"/>
  <c r="AB16" i="2"/>
  <c r="J8" i="2"/>
  <c r="J7" i="2" s="1"/>
  <c r="V8" i="2"/>
  <c r="V7" i="2" s="1"/>
  <c r="Q8" i="2"/>
  <c r="Q7" i="2" s="1"/>
  <c r="Z14" i="2"/>
  <c r="H15" i="1"/>
  <c r="L3" i="3"/>
  <c r="C8" i="2"/>
  <c r="C8" i="1"/>
  <c r="AD14" i="4"/>
  <c r="C19" i="1"/>
  <c r="Z24" i="2"/>
  <c r="I8" i="2"/>
  <c r="I7" i="2" s="1"/>
  <c r="U8" i="2"/>
  <c r="U7" i="2" s="1"/>
  <c r="P8" i="2"/>
  <c r="P7" i="2" s="1"/>
  <c r="S16" i="1"/>
  <c r="S17" i="1" s="1"/>
  <c r="R8" i="2"/>
  <c r="R7" i="2" s="1"/>
  <c r="M8" i="2"/>
  <c r="M7" i="2" s="1"/>
  <c r="Y8" i="2"/>
  <c r="Y7" i="2" s="1"/>
  <c r="T8" i="2"/>
  <c r="T7" i="2" s="1"/>
  <c r="P19" i="4"/>
  <c r="L8" i="2"/>
  <c r="L7" i="2" s="1"/>
  <c r="X8" i="2"/>
  <c r="X7" i="2" s="1"/>
  <c r="U9" i="1"/>
  <c r="AB27" i="2"/>
  <c r="Z20" i="2"/>
  <c r="O8" i="2"/>
  <c r="O7" i="2" s="1"/>
  <c r="W8" i="2"/>
  <c r="W7" i="2" s="1"/>
  <c r="T9" i="4"/>
  <c r="AF7" i="4"/>
  <c r="AD10" i="4"/>
  <c r="V7" i="4"/>
  <c r="R10" i="3"/>
  <c r="X10" i="3"/>
  <c r="O12" i="3"/>
  <c r="F20" i="1"/>
  <c r="M19" i="1"/>
  <c r="D7" i="2" l="1"/>
  <c r="AJ7" i="2" s="1"/>
  <c r="Z8" i="2"/>
  <c r="Z7" i="2" s="1"/>
  <c r="C32" i="1"/>
  <c r="R32" i="1" s="1"/>
  <c r="M21" i="1"/>
  <c r="H9" i="1"/>
  <c r="S19" i="1"/>
  <c r="G20" i="1"/>
  <c r="G22" i="1" s="1"/>
  <c r="F10" i="1"/>
  <c r="F15" i="1" s="1"/>
  <c r="W8" i="1"/>
  <c r="F3" i="3"/>
  <c r="C7" i="2"/>
  <c r="AI8" i="2"/>
  <c r="J19" i="1"/>
  <c r="F11" i="1"/>
  <c r="I19" i="1"/>
  <c r="F8" i="1"/>
  <c r="Q9" i="4"/>
  <c r="P9" i="3"/>
  <c r="P8" i="3" s="1"/>
  <c r="Y10" i="3"/>
  <c r="Y12" i="3"/>
  <c r="T10" i="3"/>
  <c r="T12" i="3" s="1"/>
  <c r="X14" i="3"/>
  <c r="F18" i="1" l="1"/>
  <c r="P3" i="3"/>
  <c r="AI7" i="2"/>
  <c r="Y14" i="3"/>
  <c r="Y8" i="3" s="1"/>
  <c r="Y15" i="3"/>
  <c r="Y16" i="3" s="1"/>
  <c r="O9" i="3" l="1"/>
  <c r="D8" i="3"/>
  <c r="O8" i="3" s="1"/>
  <c r="Q9" i="3"/>
  <c r="R8" i="3" s="1"/>
  <c r="R9" i="3" l="1"/>
  <c r="D8" i="8"/>
  <c r="G8" i="8"/>
  <c r="G28" i="8"/>
  <c r="G10" i="8"/>
  <c r="D11" i="8"/>
  <c r="D10" i="8"/>
</calcChain>
</file>

<file path=xl/comments1.xml><?xml version="1.0" encoding="utf-8"?>
<comments xmlns="http://schemas.openxmlformats.org/spreadsheetml/2006/main">
  <authors>
    <author>hoa</author>
    <author>hien</author>
  </authors>
  <commentList>
    <comment ref="B47" authorId="0" shapeId="0">
      <text>
        <r>
          <rPr>
            <b/>
            <sz val="9"/>
            <color indexed="81"/>
            <rFont val="Tahoma"/>
            <family val="2"/>
          </rPr>
          <t>hoa:</t>
        </r>
        <r>
          <rPr>
            <sz val="9"/>
            <color indexed="81"/>
            <rFont val="Tahoma"/>
            <family val="2"/>
          </rPr>
          <t xml:space="preserve">
Trừ thu phạt atgt
</t>
        </r>
      </text>
    </comment>
    <comment ref="Z47" authorId="1" shapeId="0">
      <text>
        <r>
          <rPr>
            <b/>
            <sz val="9"/>
            <color indexed="81"/>
            <rFont val="Tahoma"/>
            <family val="2"/>
          </rPr>
          <t>hien:</t>
        </r>
        <r>
          <rPr>
            <sz val="9"/>
            <color indexed="81"/>
            <rFont val="Tahoma"/>
            <family val="2"/>
          </rPr>
          <t xml:space="preserve">
Trong đó: TP ATGT 8.000 đ</t>
        </r>
      </text>
    </comment>
  </commentList>
</comments>
</file>

<file path=xl/comments2.xml><?xml version="1.0" encoding="utf-8"?>
<comments xmlns="http://schemas.openxmlformats.org/spreadsheetml/2006/main">
  <authors>
    <author>hoa</author>
  </authors>
  <commentList>
    <comment ref="B50" authorId="0" shapeId="0">
      <text>
        <r>
          <rPr>
            <b/>
            <sz val="9"/>
            <color indexed="81"/>
            <rFont val="Tahoma"/>
            <family val="2"/>
          </rPr>
          <t>hoa:</t>
        </r>
        <r>
          <rPr>
            <sz val="9"/>
            <color indexed="81"/>
            <rFont val="Tahoma"/>
            <family val="2"/>
          </rPr>
          <t xml:space="preserve">
Trừ thu phạt atgt
</t>
        </r>
      </text>
    </comment>
  </commentList>
</comments>
</file>

<file path=xl/sharedStrings.xml><?xml version="1.0" encoding="utf-8"?>
<sst xmlns="http://schemas.openxmlformats.org/spreadsheetml/2006/main" count="623" uniqueCount="239">
  <si>
    <t>CÂN ĐỐI NGÂN SÁCH ĐỊA PHƯƠNG NĂM 2023</t>
  </si>
  <si>
    <t>Đơn vị: Triệu đồng</t>
  </si>
  <si>
    <t>STT</t>
  </si>
  <si>
    <t>Nội dung</t>
  </si>
  <si>
    <t>Dự toán năm 2023</t>
  </si>
  <si>
    <t>A</t>
  </si>
  <si>
    <t>B</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</si>
  <si>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</si>
  <si>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</si>
  <si>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</si>
  <si>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</si>
  <si>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</si>
  <si>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</si>
  <si>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</si>
  <si>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</si>
  <si>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</si>
  <si>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thực hiện cải cách tiền lương</t>
  </si>
  <si>
    <t>Thu bổ sung có mục tiêu</t>
  </si>
  <si>
    <t>III</t>
  </si>
  <si>
    <t>Thu từ quỹ dự trữ tài chính</t>
  </si>
  <si>
    <t>IV</t>
  </si>
  <si>
    <t>Thu kết dư</t>
  </si>
  <si>
    <t>V</t>
  </si>
  <si>
    <t>Thu chuyển nguồn từ năm trước chuyển sang</t>
  </si>
  <si>
    <t>TỔNG CHI NSĐP</t>
  </si>
  <si>
    <t>chuyển nguồn sang năm sau + kết dư</t>
  </si>
  <si>
    <t xml:space="preserve">Tổng chi cân đối NSĐP </t>
  </si>
  <si>
    <t xml:space="preserve">Chi đầu tư phát triển </t>
  </si>
  <si>
    <t>Chi thường xuyên</t>
  </si>
  <si>
    <t xml:space="preserve">Chi trả nợ lãi, phí các khoản do chính quyền địa phương vay </t>
  </si>
  <si>
    <t xml:space="preserve">Chi bổ sung quỹ dự trữ tài chính </t>
  </si>
  <si>
    <t>Dự phòng ngân sách</t>
  </si>
  <si>
    <t>Chi tạo nguồn, điều chỉnh tiền lương</t>
  </si>
  <si>
    <t>Chi các chương trình mục tiêu, CTMTQG</t>
  </si>
  <si>
    <t>Chi đầu tư thực hiện Chương trình, dự án</t>
  </si>
  <si>
    <t>Chi sự nghiệp thực hiện các chế độ, chính sách, nhiệm vụ</t>
  </si>
  <si>
    <t>Chi các chương trình mục tiêu quốc gia</t>
  </si>
  <si>
    <t>Chi chuyển nguồn sang năm sau</t>
  </si>
  <si>
    <t>C</t>
  </si>
  <si>
    <t xml:space="preserve">BỘI CHI NSĐP </t>
  </si>
  <si>
    <t>D</t>
  </si>
  <si>
    <t xml:space="preserve">CHI TRẢ NỢ GỐC CỦA NSĐP </t>
  </si>
  <si>
    <t>Từ nguồn vay để trả nợ gốc</t>
  </si>
  <si>
    <t>Từ nguồn bội thu, tăng thu, tiết kiệm chi, kết dư ngân sách cấp tỉnh</t>
  </si>
  <si>
    <t>E</t>
  </si>
  <si>
    <t xml:space="preserve">TỔNG MỨC VAY CỦA NSĐP </t>
  </si>
  <si>
    <t>So sánh (%)</t>
  </si>
  <si>
    <t>Thành phố Bắc Kạn</t>
  </si>
  <si>
    <t>Huyện Bạch Thông</t>
  </si>
  <si>
    <t>Huyện Chợ Mới</t>
  </si>
  <si>
    <t>Huyện Chợ Đồn</t>
  </si>
  <si>
    <t>Huyện Na Rì</t>
  </si>
  <si>
    <t>Huyện Ngân Sơn</t>
  </si>
  <si>
    <t>Huyện Ba Bể</t>
  </si>
  <si>
    <t>Huyện Pác Nặm</t>
  </si>
  <si>
    <t>VP Cục Thuế</t>
  </si>
  <si>
    <t>Hải quan</t>
  </si>
  <si>
    <t>Tổng thu NSNN</t>
  </si>
  <si>
    <t>Thu NSĐP</t>
  </si>
  <si>
    <t>TỔNG THU NSNN</t>
  </si>
  <si>
    <t>Thu nội địa</t>
  </si>
  <si>
    <t xml:space="preserve">Thu từ khu vực DNNN do trung ương quản lý </t>
  </si>
  <si>
    <t xml:space="preserve"> - Thuế giá trị gia tăng</t>
  </si>
  <si>
    <t xml:space="preserve"> - Thuế thu nhập doanh nghiệp</t>
  </si>
  <si>
    <t xml:space="preserve"> - Thuế tài nguyên</t>
  </si>
  <si>
    <t xml:space="preserve"> - Thu khác</t>
  </si>
  <si>
    <t xml:space="preserve">Thu từ khu vực DNNN do địa phương quản lý </t>
  </si>
  <si>
    <t xml:space="preserve"> - Thuế tiêu thụ đặc biệt</t>
  </si>
  <si>
    <t xml:space="preserve">Thu từ khu vực doanh nghiệp có vốn đầu tư nước ngoài </t>
  </si>
  <si>
    <t>Thu từ khu vực kinh tế ngoài quốc doanh</t>
  </si>
  <si>
    <t>Thuế thu nhập cá nhân</t>
  </si>
  <si>
    <t>Thuế sử dụng đất nông nghiệp</t>
  </si>
  <si>
    <t>Thu tiền sử dụng đất</t>
  </si>
  <si>
    <t>Thuế sử dụng đất phi nông nghiệp</t>
  </si>
  <si>
    <t>Tiền cho thuê đất, thuê mặt nước</t>
  </si>
  <si>
    <t>Thu từ bán tài sản nhà nước (sắp xếp lại, xử lý nhà đất thuộc sở hữu nhà nước)</t>
  </si>
  <si>
    <t xml:space="preserve">Thuế bảo vệ môi trường </t>
  </si>
  <si>
    <t xml:space="preserve"> - Thuế BVMT thu từ hàng hóa sản xuất, kinh doanh trong nước</t>
  </si>
  <si>
    <t xml:space="preserve"> - Thuế BVMT thu từ hàng hóa nhập khẩu</t>
  </si>
  <si>
    <t>Lệ phí trước bạ</t>
  </si>
  <si>
    <t xml:space="preserve"> - Trước bạ đất</t>
  </si>
  <si>
    <t xml:space="preserve"> - Trước bạ phương tiện</t>
  </si>
  <si>
    <t>Thu phí, lệ phí</t>
  </si>
  <si>
    <t>Phí và lệ phí trung ương</t>
  </si>
  <si>
    <t>Phí và lệ phí tỉnh</t>
  </si>
  <si>
    <t>Phí và lệ phí huyện</t>
  </si>
  <si>
    <t>Phí và lệ phí xã, phường</t>
  </si>
  <si>
    <t>Thu khác ngân sách</t>
  </si>
  <si>
    <t>Thu tiền cấp quyền khai thác khoáng sản</t>
  </si>
  <si>
    <t xml:space="preserve">Thu từ hoạt động xổ số kiến thiết </t>
  </si>
  <si>
    <t xml:space="preserve"> - Thu từ hoạt động xổ số kiến thiết </t>
  </si>
  <si>
    <t xml:space="preserve"> - Thu từ hoạt động xổ số điện toán</t>
  </si>
  <si>
    <t>Thu từ quỹ đất công ích và thu hoa lợi, công sản khác</t>
  </si>
  <si>
    <t>Thu từ dầu thô</t>
  </si>
  <si>
    <t>Thu từ hoạt động xuất, nhập khẩu</t>
  </si>
  <si>
    <t xml:space="preserve"> - Thuế GTGT thu từ hàng hóa nhập khẩu</t>
  </si>
  <si>
    <t xml:space="preserve"> - Thuế xuất khẩu</t>
  </si>
  <si>
    <t xml:space="preserve"> - Thuế nhập khẩu</t>
  </si>
  <si>
    <t xml:space="preserve"> - Thuế TTĐB thu từ hàng hóa nhập khẩu</t>
  </si>
  <si>
    <t>Thu viện trợ</t>
  </si>
  <si>
    <t>Tăng thu các huyện</t>
  </si>
  <si>
    <t>TW giao</t>
  </si>
  <si>
    <t>Tỉnh giao</t>
  </si>
  <si>
    <t>Ko tính CCTL</t>
  </si>
  <si>
    <t>tỉnh</t>
  </si>
  <si>
    <t>CCTL</t>
  </si>
  <si>
    <t>Tăng chi ĐT</t>
  </si>
  <si>
    <t>Huyện</t>
  </si>
  <si>
    <t xml:space="preserve"> - Thu về khí thiên nhiên, khí than</t>
  </si>
  <si>
    <t xml:space="preserve"> -</t>
  </si>
  <si>
    <t>Thuế BVMT thu từ hàng hóa sản xuất, kinh doanh trong nước</t>
  </si>
  <si>
    <t>Thuế BVMT thu từ hàng hóa nhập khẩu</t>
  </si>
  <si>
    <t>Trước bạ đất</t>
  </si>
  <si>
    <t>Trước bạ phương tiện</t>
  </si>
  <si>
    <t>Phí và lệ phí địa phương</t>
  </si>
  <si>
    <t xml:space="preserve"> </t>
  </si>
  <si>
    <t>Trong đó: Phí BVMT đối với khai thác khoáng sản</t>
  </si>
  <si>
    <t>Thu từ hoạt động xổ số</t>
  </si>
  <si>
    <t>Thu tiền cấp quyền khai thác khoáng sản, nước</t>
  </si>
  <si>
    <t>Trong đó: Thu trung ương</t>
  </si>
  <si>
    <t>Thu Trung ương</t>
  </si>
  <si>
    <t>Trong đó: Thu phạt vi phạm ATGT</t>
  </si>
  <si>
    <t>Thu phạt VPHC do cơ quan Thuế thực hiện</t>
  </si>
  <si>
    <t>Thu địa phương</t>
  </si>
  <si>
    <t>Trong đó: thu tiền bảo vệ, phát triển đất trồng lúa</t>
  </si>
  <si>
    <t>Thuế xuất khẩu</t>
  </si>
  <si>
    <t xml:space="preserve">NGÂN SÁCH CẤP TỈNH </t>
  </si>
  <si>
    <t xml:space="preserve">Nguồn thu ngân sách </t>
  </si>
  <si>
    <t>Thu ngân sách được hưởng theo phân cấp</t>
  </si>
  <si>
    <t>Thu bổ sung từ ngân sách cấp trên</t>
  </si>
  <si>
    <t xml:space="preserve">Thu từ quỹ dự trữ tài chính </t>
  </si>
  <si>
    <t>Chi ngân sách</t>
  </si>
  <si>
    <t xml:space="preserve">Chi thuộc nhiệm vụ của ngân sách cấp tỉnh </t>
  </si>
  <si>
    <t>Chi bổ sung cho ngân sách cấp dưới</t>
  </si>
  <si>
    <t>Chi bổ sung cân đối ngân sách</t>
  </si>
  <si>
    <t>Chi thực hiện cải cách tiền lương</t>
  </si>
  <si>
    <t>Chi bổ sung có mục tiêu</t>
  </si>
  <si>
    <t>Bội chi NSĐP</t>
  </si>
  <si>
    <t xml:space="preserve">NGÂN SÁCH HUYỆN </t>
  </si>
  <si>
    <t xml:space="preserve">Chi ngân sách </t>
  </si>
  <si>
    <t>Chi thuộc nhiệm vụ của ngân sách cấp huyện (xã)</t>
  </si>
  <si>
    <t>Chi bổ sung cho ngân sách cấp dưới (2)</t>
  </si>
  <si>
    <t>Tên đơn vị (1)</t>
  </si>
  <si>
    <t>Tổng thu NSNN trên địa bàn</t>
  </si>
  <si>
    <t>I- Thu nội địa</t>
  </si>
  <si>
    <t>Bao gồm</t>
  </si>
  <si>
    <t>II- Thu từ hoạt động xuất nhập khẩu</t>
  </si>
  <si>
    <t>1. Thu từ khu vực DNNN do trung ương quản lý</t>
  </si>
  <si>
    <t>8. Thu tiền sử dụng đất</t>
  </si>
  <si>
    <t>9.Thu từ bán tài sản nhà nước (sắp xếp lại, xử lý nhà đất thuộc sở hữu nhà nước)</t>
  </si>
  <si>
    <t>10. Thu xổ số kiến thiết</t>
  </si>
  <si>
    <t>11. Tiền cho thuê đất, thuê mặt nước</t>
  </si>
  <si>
    <t>1. Thuế giá trị gia tăng thu từ hàng hóa nhập khẩu</t>
  </si>
  <si>
    <t>2. Thuế xuất khẩu</t>
  </si>
  <si>
    <t>TỔNG SỐ</t>
  </si>
  <si>
    <t>Văn phòng Cục thuế</t>
  </si>
  <si>
    <t>Chi Cục Hải quan</t>
  </si>
  <si>
    <r>
      <t>Ghi chú: </t>
    </r>
    <r>
      <rPr>
        <i/>
        <sz val="10"/>
        <rFont val="Times New Roman"/>
        <family val="1"/>
      </rPr>
      <t>(1) Thu ngân sách nhà nước trên địa bàn tỉnh chi tiết đến từng huyện; thu ngân sách nhà nước trên địa bàn huyện chi tiết đến từng xã.</t>
    </r>
  </si>
  <si>
    <t>(2) Thu nội địa chi tiết từng khu vực thu, khoản thu.</t>
  </si>
  <si>
    <t>(3) Thu NSNN trên địa bàn huyện, xã không có thu từ dầu thô, thu từ hoạt động xuất, nhập khẩu. Các chỉ tiêu cột 6, 7, 8, 9, 10, 11, 12, 13 chỉ ghi dòng tổng số.</t>
  </si>
  <si>
    <t xml:space="preserve">Nội dung </t>
  </si>
  <si>
    <t>Ngân sách địa phương</t>
  </si>
  <si>
    <t xml:space="preserve"> Ngân sách cấp tỉnh </t>
  </si>
  <si>
    <t>Ngân sách huyện</t>
  </si>
  <si>
    <t>1=2+3</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</si>
  <si>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</si>
  <si>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</si>
  <si>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</si>
  <si>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</si>
  <si>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</si>
  <si>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</si>
  <si>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</si>
  <si>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</si>
  <si>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 xml:space="preserve">Chi đầu tư từ nguồn tiết kiệm chi thường xuyên </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</si>
  <si>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</si>
  <si>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</si>
  <si>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</si>
  <si>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 xml:space="preserve">Chi khoa học và công nghệ </t>
  </si>
  <si>
    <t xml:space="preserve">Chi trả nợ lãi các khoản do chính quyền địa phương vay </t>
  </si>
  <si>
    <t>CHI CÁC CHƯƠNG TRÌNH, DỰ ÁN, NHIỆM VỤ</t>
  </si>
  <si>
    <t xml:space="preserve">CHI BỔ SUNG  CHO NGÂN SÁCH CẤP DƯỚI </t>
  </si>
  <si>
    <t>CHI NGÂN SÁCH CẤP TỈNH THEO LĨNH VỰC</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</si>
  <si>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</si>
  <si>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</si>
  <si>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</si>
  <si>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</si>
  <si>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</si>
  <si>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</si>
  <si>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</si>
  <si>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</si>
  <si>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</si>
  <si>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</si>
  <si>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</si>
  <si>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</si>
  <si>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bổ sung quỹ dự trữ tài chính</t>
  </si>
  <si>
    <t>Dự toán chưa phân bổ</t>
  </si>
  <si>
    <t>Chi đầu tư phát triển</t>
  </si>
  <si>
    <t>1.1</t>
  </si>
  <si>
    <t>Nguồn vốn cân đối ngân sách địa phương</t>
  </si>
  <si>
    <t>1.2</t>
  </si>
  <si>
    <t>Nguồn Trung ương bổ sung có mục tiêu</t>
  </si>
  <si>
    <t>2.1</t>
  </si>
  <si>
    <t>2.2</t>
  </si>
  <si>
    <t>Số điều chỉnh (Tăng +, Giảm -)</t>
  </si>
  <si>
    <t>Dự toán sau điều chỉnh</t>
  </si>
  <si>
    <t>Dự toán năm 2023 sau điều chỉnh</t>
  </si>
  <si>
    <t>…</t>
  </si>
  <si>
    <t xml:space="preserve"> …</t>
  </si>
  <si>
    <t>Tổng thu NSNN trên địa bàn (sau điều chỉnh)</t>
  </si>
  <si>
    <t>I- Thu nội địa sau điều chỉnh</t>
  </si>
  <si>
    <t>Ngân sách địa phương sau điều chỉnh</t>
  </si>
  <si>
    <t xml:space="preserve"> 5=1+4</t>
  </si>
  <si>
    <t xml:space="preserve"> 3=1+2</t>
  </si>
  <si>
    <t>6=4+5</t>
  </si>
  <si>
    <t xml:space="preserve"> 5=1+3</t>
  </si>
  <si>
    <t xml:space="preserve"> 6=2+4</t>
  </si>
  <si>
    <t>3=1+2</t>
  </si>
  <si>
    <t>5=1+3</t>
  </si>
  <si>
    <t>6=2+4</t>
  </si>
  <si>
    <t>Ghi chú:</t>
  </si>
  <si>
    <t>Do khoản thu tiền bán tài sản công năm 2022 chuyển sang thu năm 2023 làm thu ngân sách địa phương năm 2023 tăng 41.550 triệu đồng</t>
  </si>
  <si>
    <t>DỰ TOÁN ĐIỀU CHỈNH CHI NGÂN SÁCH CẤP TỈNH THEO LĨNH VỰC NĂM 2023</t>
  </si>
  <si>
    <t>DỰ TOÁN ĐIỀU CHỈNH CHI NGÂN SÁCH ĐỊA PHƯƠNG, CHI NGÂN SÁCH CẤP TỈNH VÀ CHI NGÂN SÁCH HUYỆN THEO CƠ CẤU CHI NĂM 2023</t>
  </si>
  <si>
    <t>DỰ TOÁN ĐIỀU CHỈNH THU NGÂN SÁCH NHÀ NƯỚC TRÊN ĐỊA BÀN TỪNG HUYỆN THEO LĨNH VỰC NĂM 2023</t>
  </si>
  <si>
    <t>CÂN ĐỐI NGUỒN THU, CHI DỰ TOÁN NGÂN SÁCH CẤP TỈNH VÀ NGÂN SÁCH HUYỆN NĂM 2023 (Dự toán điều chỉnh)</t>
  </si>
  <si>
    <t>DỰ TOÁN ĐIỀU CHỈNH THU NGÂN SÁCH NHÀ NƯỚC THEO LĨNH VỰC NĂM 2023</t>
  </si>
  <si>
    <t>DỰ TOÁN ĐIỀU CHỈNH THU NGÂN SÁCH NHÀ NƯỚC TRUNG ƯƠNG VÀ TỈNH GIAO NĂM 2023</t>
  </si>
  <si>
    <t>(Dự toán điều chỉnh)</t>
  </si>
  <si>
    <r>
      <t xml:space="preserve">Ghi chú: </t>
    </r>
    <r>
      <rPr>
        <i/>
        <sz val="11"/>
        <rFont val="Times New Roman"/>
        <family val="1"/>
      </rPr>
      <t xml:space="preserve">Điều chỉnh giảm thu chuyển nguồn năm trước sang 37.250 triệu đồng, tăng chi thường xuyên 4.300 triệu đồng và tăng tương ứng số thu ngân sách địa phương hưởng 100% của năm 2023 lên 41.550 triệu đồng, do khoản thu ngân sách năm 2022 từ bán đấu giá tài sản trên đất, chuyển nhượng quyền sử dụng đất đối với khu trụ sở Sở Văn hóa, Thể thao và Du lịch (cũ) và Đoàn Nghệ thuật Dân tộc tỉnh Bắc Kạn (cũ) chuyển sang thu năm 2023 do đơn vị trúng đấu giá chậm nộp tiền đợt 2 hơn 3 tháng so với thời hạn quy định; việc điều chỉnh dẫn đến tổng thu và tổng chi ngân sách địa phương tăng 4.300 triệu đồng. </t>
    </r>
  </si>
  <si>
    <t>Số điều chỉnh 
(Tăng +, Giảm -)</t>
  </si>
  <si>
    <t>Thu cổ tức, lợi nhuận được chia và lợi nhuận sau thuế NSĐP hưởng 100%</t>
  </si>
  <si>
    <t>Chi thực hiên cải cách tiền lương</t>
  </si>
  <si>
    <t xml:space="preserve"> Trong đó: Số thu không kể tiền sử dụng đất, xổ số</t>
  </si>
  <si>
    <t>Thu từ hoạt động xuất nhập khẩu</t>
  </si>
  <si>
    <t>(Kèm theo Nghị quyết số           /NQ-HĐND ngày       /4/2023 của HĐND tỉnh)</t>
  </si>
  <si>
    <t>(Kèm theo Nghị quyết số          /NQ-HĐND ngày        /4/2023 của HĐND tỉnh)</t>
  </si>
  <si>
    <t>Văn phòng Cục Thuế</t>
  </si>
  <si>
    <t>Chi cục Hải quan Bắc Kạn</t>
  </si>
  <si>
    <t>Đơn vị tính: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</si>
</sst>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 _₫_-;\-* #,##0.00\ _₫_-;_-* &quot;-&quot;??\ _₫_-;_-@_-"/>
    <numFmt numFmtId="165" formatCode="#,##0.0"/>
    <numFmt numFmtId="166" formatCode="_(* #,##0_);_(* \(#,##0\);_(* &quot;-&quot;??_);_(@_)"/>
    <numFmt numFmtId="167" formatCode="#,##0;[Red]#,##0"/>
    <numFmt numFmtId="168" formatCode="#,##0_ ;\-#,##0\ "/>
    <numFmt numFmtId="169" formatCode="_-* #,##0\ _₫_-;\-* #,##0\ _₫_-;_-* &quot;-&quot;??\ _₫_-;_-@_-"/>
  </numFmts>
  <fonts count="48" x14ac:knownFonts="1">
    <font>
      <sz val="12"/>
      <color theme="1"/>
      <name val="Times New Roman"/>
      <family val="2"/>
      <charset val="163"/>
    </font>
    <font>
      <sz val="12"/>
      <color theme="1"/>
      <name val="Times New Roman"/>
      <family val="2"/>
      <charset val="163"/>
    </font>
    <font>
      <b/>
      <sz val="14"/>
      <name val="Times New Roman"/>
      <family val="1"/>
    </font>
    <font>
      <sz val="11"/>
      <name val="Times New Roman"/>
      <family val="1"/>
    </font>
    <font>
      <i/>
      <sz val="12"/>
      <name val="Times New Roman"/>
      <family val="1"/>
    </font>
    <font>
      <i/>
      <sz val="11"/>
      <name val="Times New Roman"/>
      <family val="1"/>
    </font>
    <font>
      <b/>
      <sz val="11"/>
      <name val="Times New Roman"/>
      <family val="1"/>
    </font>
    <font>
      <sz val="12"/>
      <color theme="1"/>
      <name val="Times New Roman"/>
      <family val="2"/>
    </font>
    <font>
      <b/>
      <i/>
      <sz val="11"/>
      <name val="Times New Roman"/>
      <family val="1"/>
    </font>
    <font>
      <sz val="10"/>
      <name val="Times New Roman"/>
      <family val="1"/>
    </font>
    <font>
      <i/>
      <sz val="10"/>
      <name val="Times New Roman"/>
      <family val="1"/>
    </font>
    <font>
      <b/>
      <sz val="10"/>
      <name val="Times New Roman"/>
      <family val="1"/>
    </font>
    <font>
      <sz val="13"/>
      <name val="Times New Roman"/>
      <family val="1"/>
    </font>
    <font>
      <sz val="13"/>
      <name val="Arial"/>
      <family val="2"/>
    </font>
    <font>
      <b/>
      <sz val="9"/>
      <name val="Times New Roman"/>
      <family val="1"/>
    </font>
    <font>
      <b/>
      <i/>
      <sz val="10"/>
      <name val="Times New Roman"/>
      <family val="1"/>
    </font>
    <font>
      <b/>
      <sz val="9"/>
      <color indexed="81"/>
      <name val="Tahoma"/>
      <family val="2"/>
    </font>
    <font>
      <sz val="9"/>
      <color indexed="81"/>
      <name val="Tahoma"/>
      <family val="2"/>
    </font>
    <font>
      <sz val="12"/>
      <name val=".VnTime"/>
      <family val="2"/>
    </font>
    <font>
      <b/>
      <sz val="12"/>
      <name val="Times New Roman"/>
      <family val="1"/>
    </font>
    <font>
      <sz val="10"/>
      <name val="Times New Roman"/>
      <family val="2"/>
    </font>
    <font>
      <sz val="7"/>
      <name val="Times New Roman"/>
      <family val="2"/>
    </font>
    <font>
      <sz val="7"/>
      <name val=".VnTime"/>
      <family val="2"/>
    </font>
    <font>
      <b/>
      <sz val="7"/>
      <name val="Times New Roman"/>
      <family val="1"/>
    </font>
    <font>
      <i/>
      <sz val="8"/>
      <name val="Times New Roman"/>
      <family val="1"/>
    </font>
    <font>
      <b/>
      <sz val="10"/>
      <name val="Calibri"/>
      <family val="2"/>
      <scheme val="minor"/>
    </font>
    <font>
      <sz val="11"/>
      <color theme="1"/>
      <name val="Calibri"/>
      <family val="2"/>
      <scheme val="minor"/>
    </font>
    <font>
      <sz val="13"/>
      <name val="Times New Roman"/>
      <family val="1"/>
      <charset val="163"/>
    </font>
    <font>
      <sz val="11"/>
      <color indexed="8"/>
      <name val="Calibri"/>
      <family val="2"/>
    </font>
    <font>
      <i/>
      <sz val="9"/>
      <name val="Times New Roman"/>
      <family val="1"/>
    </font>
    <font>
      <sz val="7"/>
      <name val="Times New Roman"/>
      <family val="1"/>
    </font>
    <font>
      <i/>
      <sz val="7"/>
      <name val="Times New Roman"/>
      <family val="1"/>
    </font>
    <font>
      <sz val="8"/>
      <name val="Times New Roman"/>
      <family val="1"/>
    </font>
    <font>
      <b/>
      <sz val="9"/>
      <name val="Arial Narrow"/>
      <family val="2"/>
    </font>
    <font>
      <b/>
      <sz val="8"/>
      <name val="Times New Roman"/>
      <family val="1"/>
    </font>
    <font>
      <sz val="9"/>
      <name val="Times New Roman"/>
      <family val="1"/>
    </font>
    <font>
      <sz val="9"/>
      <name val="Arial Narrow"/>
      <family val="2"/>
    </font>
    <font>
      <i/>
      <sz val="9"/>
      <name val="Arial Narrow"/>
      <family val="2"/>
    </font>
    <font>
      <b/>
      <i/>
      <sz val="9"/>
      <name val="Arial Narrow"/>
      <family val="2"/>
    </font>
    <font>
      <b/>
      <sz val="11"/>
      <color rgb="FF0000FF"/>
      <name val="Times New Roman"/>
      <family val="1"/>
    </font>
    <font>
      <i/>
      <sz val="12"/>
      <color theme="1"/>
      <name val="Times New Roman"/>
      <family val="1"/>
    </font>
    <font>
      <sz val="12"/>
      <color theme="1"/>
      <name val="Times New Roman"/>
      <family val="1"/>
    </font>
    <font>
      <sz val="12"/>
      <color rgb="FF000000"/>
      <name val="Times New Roman"/>
      <family val="1"/>
    </font>
    <font>
      <b/>
      <sz val="13"/>
      <name val="Times New Roman"/>
      <family val="1"/>
    </font>
    <font>
      <sz val="12"/>
      <name val="Times New Roman"/>
      <family val="1"/>
    </font>
    <font>
      <b/>
      <i/>
      <sz val="12"/>
      <name val="Times New Roman"/>
      <family val="1"/>
    </font>
    <font>
      <sz val="10"/>
      <name val="MS Sans Serif"/>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164" fontId="1" fillId="0" borderId="0" applyFont="0" applyFill="0" applyBorder="0" applyAlignment="0" applyProtection="0"/>
    <xf numFmtId="0" fontId="12" fillId="0" borderId="0"/>
    <xf numFmtId="0" fontId="13" fillId="0" borderId="0"/>
    <xf numFmtId="0" fontId="18" fillId="0" borderId="0"/>
    <xf numFmtId="0" fontId="7" fillId="0" borderId="0"/>
    <xf numFmtId="43" fontId="7" fillId="0" borderId="0" applyFont="0" applyFill="0" applyBorder="0" applyAlignment="0" applyProtection="0"/>
    <xf numFmtId="0" fontId="7" fillId="0" borderId="0"/>
    <xf numFmtId="0" fontId="26" fillId="0" borderId="0"/>
    <xf numFmtId="0" fontId="27" fillId="0" borderId="0"/>
    <xf numFmtId="0" fontId="28" fillId="0" borderId="0"/>
    <xf numFmtId="43" fontId="7" fillId="0" borderId="0" applyFont="0" applyFill="0" applyBorder="0" applyAlignment="0" applyProtection="0"/>
  </cellStyleXfs>
  <cellXfs count="288">
    <xf numFmtId="0" fontId="0" fillId="0" borderId="0" xfId="0"/>
    <xf numFmtId="0" fontId="3" fillId="2" borderId="0" xfId="0" applyFont="1" applyFill="1"/>
    <xf numFmtId="0" fontId="5" fillId="2" borderId="0" xfId="0" applyFont="1" applyFill="1" applyAlignment="1">
      <alignment horizontal="righ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justify" vertical="center" wrapText="1"/>
    </xf>
    <xf numFmtId="3" fontId="6" fillId="2" borderId="5" xfId="0" applyNumberFormat="1" applyFont="1" applyFill="1" applyBorder="1" applyAlignment="1">
      <alignment vertical="center" wrapText="1"/>
    </xf>
    <xf numFmtId="3" fontId="6" fillId="2" borderId="0" xfId="0" applyNumberFormat="1" applyFont="1" applyFill="1"/>
    <xf numFmtId="3" fontId="3" fillId="2" borderId="0" xfId="0" applyNumberFormat="1" applyFont="1" applyFill="1"/>
    <xf numFmtId="165" fontId="3" fillId="2" borderId="0" xfId="0" applyNumberFormat="1" applyFont="1" applyFill="1"/>
    <xf numFmtId="0" fontId="3" fillId="2" borderId="5" xfId="0" applyFont="1" applyFill="1" applyBorder="1" applyAlignment="1">
      <alignment horizontal="center" vertical="center" wrapText="1"/>
    </xf>
    <xf numFmtId="0" fontId="3" fillId="2" borderId="5" xfId="0" applyFont="1" applyFill="1" applyBorder="1" applyAlignment="1">
      <alignment horizontal="justify" vertical="center" wrapText="1"/>
    </xf>
    <xf numFmtId="3" fontId="3" fillId="2" borderId="5" xfId="0" applyNumberFormat="1" applyFont="1" applyFill="1" applyBorder="1" applyAlignment="1">
      <alignment vertical="center" wrapText="1"/>
    </xf>
    <xf numFmtId="3" fontId="3" fillId="2" borderId="5" xfId="1" applyNumberFormat="1" applyFont="1" applyFill="1" applyBorder="1" applyAlignment="1">
      <alignment horizontal="right" vertical="center" wrapText="1"/>
    </xf>
    <xf numFmtId="0" fontId="3" fillId="2" borderId="5" xfId="0" applyFont="1" applyFill="1" applyBorder="1" applyAlignment="1">
      <alignment vertical="center" wrapText="1"/>
    </xf>
    <xf numFmtId="3" fontId="6" fillId="2" borderId="5" xfId="1" applyNumberFormat="1" applyFont="1" applyFill="1" applyBorder="1" applyAlignment="1">
      <alignment vertical="center" wrapText="1"/>
    </xf>
    <xf numFmtId="3" fontId="3" fillId="3" borderId="0" xfId="0" applyNumberFormat="1" applyFont="1" applyFill="1"/>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justify" vertical="center" wrapText="1"/>
    </xf>
    <xf numFmtId="3" fontId="6" fillId="2" borderId="6" xfId="0" applyNumberFormat="1" applyFont="1" applyFill="1" applyBorder="1" applyAlignment="1">
      <alignment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0" xfId="0" applyFont="1" applyFill="1" applyAlignment="1">
      <alignment horizontal="left"/>
    </xf>
    <xf numFmtId="3" fontId="4" fillId="0" borderId="0" xfId="0" applyNumberFormat="1" applyFont="1" applyAlignment="1">
      <alignment horizontal="center" vertical="center"/>
    </xf>
    <xf numFmtId="0" fontId="4" fillId="0" borderId="0" xfId="0" applyFont="1" applyAlignment="1">
      <alignment horizontal="center" vertical="center"/>
    </xf>
    <xf numFmtId="0" fontId="14" fillId="2" borderId="5" xfId="0" applyFont="1" applyFill="1" applyBorder="1" applyAlignment="1">
      <alignment horizontal="justify"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justify" vertical="center" wrapText="1"/>
    </xf>
    <xf numFmtId="166" fontId="11" fillId="2" borderId="5" xfId="1" applyNumberFormat="1" applyFont="1" applyFill="1" applyBorder="1"/>
    <xf numFmtId="0" fontId="11" fillId="2" borderId="0" xfId="0" applyFont="1" applyFill="1"/>
    <xf numFmtId="0" fontId="11" fillId="2" borderId="6" xfId="0" applyFont="1" applyFill="1" applyBorder="1" applyAlignment="1">
      <alignment horizontal="center" vertical="center" wrapText="1"/>
    </xf>
    <xf numFmtId="166" fontId="9" fillId="2" borderId="5" xfId="1" applyNumberFormat="1" applyFont="1" applyFill="1" applyBorder="1"/>
    <xf numFmtId="0" fontId="9" fillId="2" borderId="0" xfId="0" applyFont="1" applyFill="1"/>
    <xf numFmtId="0" fontId="11" fillId="2" borderId="1" xfId="5" applyFont="1" applyFill="1" applyBorder="1" applyAlignment="1">
      <alignment horizontal="center" vertical="center" wrapText="1"/>
    </xf>
    <xf numFmtId="166" fontId="20" fillId="2" borderId="0" xfId="0" applyNumberFormat="1" applyFont="1" applyFill="1"/>
    <xf numFmtId="0" fontId="20" fillId="2" borderId="0" xfId="0" applyFont="1" applyFill="1"/>
    <xf numFmtId="0" fontId="30" fillId="2" borderId="0" xfId="0" applyFont="1" applyFill="1"/>
    <xf numFmtId="0" fontId="31" fillId="2" borderId="0" xfId="0" applyFont="1" applyFill="1" applyAlignment="1">
      <alignment horizontal="right" vertical="center"/>
    </xf>
    <xf numFmtId="166" fontId="30" fillId="2" borderId="0" xfId="0" applyNumberFormat="1" applyFont="1" applyFill="1"/>
    <xf numFmtId="0" fontId="14" fillId="2" borderId="1" xfId="2" applyFont="1" applyFill="1" applyBorder="1" applyAlignment="1">
      <alignment horizontal="center" vertical="center" wrapText="1"/>
    </xf>
    <xf numFmtId="0" fontId="14" fillId="2" borderId="1" xfId="0" applyFont="1" applyFill="1" applyBorder="1" applyAlignment="1">
      <alignment horizontal="center" vertical="center" wrapText="1"/>
    </xf>
    <xf numFmtId="168" fontId="30" fillId="2" borderId="0" xfId="0" applyNumberFormat="1" applyFont="1" applyFill="1"/>
    <xf numFmtId="0" fontId="32" fillId="2" borderId="0" xfId="0" applyFont="1" applyFill="1"/>
    <xf numFmtId="0" fontId="14" fillId="2" borderId="4" xfId="0" applyFont="1" applyFill="1" applyBorder="1" applyAlignment="1">
      <alignment horizontal="center" vertical="center" wrapText="1"/>
    </xf>
    <xf numFmtId="168" fontId="23" fillId="2" borderId="4" xfId="11" applyNumberFormat="1" applyFont="1" applyFill="1" applyBorder="1" applyAlignment="1">
      <alignment horizontal="right" vertical="center"/>
    </xf>
    <xf numFmtId="168" fontId="34" fillId="2" borderId="0" xfId="0" applyNumberFormat="1" applyFont="1" applyFill="1" applyAlignment="1">
      <alignment vertical="center"/>
    </xf>
    <xf numFmtId="0" fontId="34" fillId="2" borderId="0" xfId="0" applyFont="1" applyFill="1" applyAlignment="1">
      <alignment vertical="center"/>
    </xf>
    <xf numFmtId="0" fontId="14" fillId="2" borderId="5" xfId="0" applyFont="1" applyFill="1" applyBorder="1" applyAlignment="1">
      <alignment horizontal="center" vertical="center" wrapText="1"/>
    </xf>
    <xf numFmtId="166" fontId="23" fillId="2" borderId="0" xfId="0" applyNumberFormat="1" applyFont="1" applyFill="1" applyAlignment="1">
      <alignment vertical="center"/>
    </xf>
    <xf numFmtId="0" fontId="23" fillId="2" borderId="0" xfId="0" applyFont="1" applyFill="1" applyAlignment="1">
      <alignment vertical="center"/>
    </xf>
    <xf numFmtId="166" fontId="34" fillId="2" borderId="0" xfId="0" applyNumberFormat="1" applyFont="1" applyFill="1" applyAlignment="1">
      <alignment vertical="center"/>
    </xf>
    <xf numFmtId="166" fontId="23" fillId="2" borderId="4" xfId="11" applyNumberFormat="1" applyFont="1" applyFill="1" applyBorder="1" applyAlignment="1">
      <alignment vertical="center"/>
    </xf>
    <xf numFmtId="37" fontId="23" fillId="2" borderId="0" xfId="0" applyNumberFormat="1" applyFont="1" applyFill="1" applyAlignment="1">
      <alignment vertical="center"/>
    </xf>
    <xf numFmtId="0" fontId="35" fillId="2" borderId="5" xfId="0" applyFont="1" applyFill="1" applyBorder="1" applyAlignment="1">
      <alignment horizontal="center" vertical="center" wrapText="1"/>
    </xf>
    <xf numFmtId="0" fontId="30" fillId="2" borderId="0" xfId="0" applyFont="1" applyFill="1" applyAlignment="1">
      <alignment vertical="center"/>
    </xf>
    <xf numFmtId="0" fontId="32" fillId="2" borderId="0" xfId="0" applyFont="1" applyFill="1" applyAlignment="1">
      <alignment vertical="center"/>
    </xf>
    <xf numFmtId="166" fontId="32" fillId="2" borderId="0" xfId="0" applyNumberFormat="1" applyFont="1" applyFill="1" applyAlignment="1">
      <alignment vertical="center"/>
    </xf>
    <xf numFmtId="168" fontId="32" fillId="2" borderId="0" xfId="0" applyNumberFormat="1" applyFont="1" applyFill="1" applyAlignment="1">
      <alignment vertical="center"/>
    </xf>
    <xf numFmtId="166" fontId="30" fillId="2" borderId="0" xfId="0" applyNumberFormat="1" applyFont="1" applyFill="1" applyAlignment="1">
      <alignment vertical="center"/>
    </xf>
    <xf numFmtId="166" fontId="30" fillId="2" borderId="10" xfId="11" applyNumberFormat="1" applyFont="1" applyFill="1" applyBorder="1" applyAlignment="1">
      <alignment vertical="center"/>
    </xf>
    <xf numFmtId="168" fontId="23" fillId="2" borderId="0" xfId="0" applyNumberFormat="1" applyFont="1" applyFill="1" applyAlignment="1">
      <alignment vertical="center"/>
    </xf>
    <xf numFmtId="0" fontId="29" fillId="2" borderId="5" xfId="0" applyFont="1" applyFill="1" applyBorder="1" applyAlignment="1">
      <alignment horizontal="center" vertical="center" wrapText="1"/>
    </xf>
    <xf numFmtId="0" fontId="31" fillId="2" borderId="0" xfId="0" applyFont="1" applyFill="1" applyAlignment="1">
      <alignment vertical="center"/>
    </xf>
    <xf numFmtId="0" fontId="24" fillId="2" borderId="0" xfId="0" applyFont="1" applyFill="1" applyAlignment="1">
      <alignment vertical="center"/>
    </xf>
    <xf numFmtId="166" fontId="24" fillId="2" borderId="0" xfId="0" applyNumberFormat="1" applyFont="1" applyFill="1" applyAlignment="1">
      <alignment vertical="center"/>
    </xf>
    <xf numFmtId="0" fontId="14" fillId="2" borderId="5" xfId="7" applyFont="1" applyFill="1" applyBorder="1" applyAlignment="1">
      <alignment horizontal="center" vertical="center" wrapText="1"/>
    </xf>
    <xf numFmtId="0" fontId="14" fillId="2" borderId="6"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9" fillId="2" borderId="0" xfId="0" applyFont="1" applyFill="1" applyAlignment="1">
      <alignment vertical="center"/>
    </xf>
    <xf numFmtId="0" fontId="8" fillId="2" borderId="1" xfId="0" applyFont="1" applyFill="1" applyBorder="1" applyAlignment="1">
      <alignment horizontal="center" vertical="center" wrapText="1"/>
    </xf>
    <xf numFmtId="0" fontId="6" fillId="2" borderId="1" xfId="0" applyFont="1" applyFill="1" applyBorder="1" applyAlignment="1">
      <alignment vertical="center" wrapText="1"/>
    </xf>
    <xf numFmtId="3" fontId="3" fillId="2" borderId="1" xfId="0" applyNumberFormat="1" applyFont="1" applyFill="1" applyBorder="1" applyAlignment="1">
      <alignment vertical="center" wrapText="1"/>
    </xf>
    <xf numFmtId="0" fontId="6" fillId="2" borderId="4" xfId="0" applyFont="1" applyFill="1" applyBorder="1" applyAlignment="1">
      <alignment vertical="center" wrapText="1"/>
    </xf>
    <xf numFmtId="3" fontId="6" fillId="2" borderId="4" xfId="0" applyNumberFormat="1" applyFont="1" applyFill="1" applyBorder="1" applyAlignment="1">
      <alignmen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3" fontId="5" fillId="2" borderId="5" xfId="0" applyNumberFormat="1" applyFont="1" applyFill="1" applyBorder="1" applyAlignment="1">
      <alignment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vertical="center" wrapText="1"/>
    </xf>
    <xf numFmtId="3" fontId="6" fillId="2" borderId="13" xfId="0" applyNumberFormat="1" applyFont="1" applyFill="1" applyBorder="1" applyAlignment="1">
      <alignment vertical="center" wrapText="1"/>
    </xf>
    <xf numFmtId="3" fontId="39" fillId="2" borderId="0" xfId="0" applyNumberFormat="1" applyFont="1" applyFill="1"/>
    <xf numFmtId="43" fontId="6" fillId="2" borderId="0" xfId="11" applyFont="1" applyFill="1"/>
    <xf numFmtId="0" fontId="6" fillId="2" borderId="0" xfId="0" applyFont="1" applyFill="1"/>
    <xf numFmtId="3" fontId="3" fillId="2" borderId="6" xfId="0" applyNumberFormat="1" applyFont="1" applyFill="1" applyBorder="1" applyAlignment="1">
      <alignment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vertical="center" wrapText="1"/>
    </xf>
    <xf numFmtId="3" fontId="9" fillId="2" borderId="5" xfId="0" applyNumberFormat="1" applyFont="1" applyFill="1" applyBorder="1" applyAlignment="1">
      <alignment vertical="center" wrapText="1"/>
    </xf>
    <xf numFmtId="3" fontId="9" fillId="2" borderId="6" xfId="0" applyNumberFormat="1" applyFont="1" applyFill="1" applyBorder="1" applyAlignment="1">
      <alignment vertical="center" wrapText="1"/>
    </xf>
    <xf numFmtId="166" fontId="5" fillId="2" borderId="5" xfId="11" applyNumberFormat="1" applyFont="1" applyFill="1" applyBorder="1" applyAlignment="1">
      <alignment vertical="center" wrapText="1"/>
    </xf>
    <xf numFmtId="0" fontId="3" fillId="2" borderId="6" xfId="0" applyFont="1" applyFill="1" applyBorder="1" applyAlignment="1">
      <alignment horizontal="justify" vertical="center" wrapText="1"/>
    </xf>
    <xf numFmtId="3" fontId="42" fillId="2" borderId="6" xfId="0" applyNumberFormat="1" applyFont="1" applyFill="1" applyBorder="1" applyAlignment="1">
      <alignment vertical="center" wrapText="1"/>
    </xf>
    <xf numFmtId="0" fontId="44" fillId="0" borderId="0" xfId="0" applyFont="1"/>
    <xf numFmtId="3" fontId="44" fillId="0" borderId="0" xfId="0" applyNumberFormat="1" applyFont="1"/>
    <xf numFmtId="3" fontId="44" fillId="2" borderId="0" xfId="0" applyNumberFormat="1" applyFont="1" applyFill="1"/>
    <xf numFmtId="0" fontId="44" fillId="2" borderId="0" xfId="0" applyFont="1" applyFill="1"/>
    <xf numFmtId="3" fontId="46" fillId="2" borderId="0" xfId="0" applyNumberFormat="1" applyFont="1" applyFill="1"/>
    <xf numFmtId="0" fontId="19" fillId="0" borderId="0" xfId="0" applyFont="1"/>
    <xf numFmtId="3" fontId="19" fillId="0" borderId="0" xfId="0" applyNumberFormat="1" applyFont="1" applyAlignment="1">
      <alignment horizontal="right" vertical="center" wrapText="1"/>
    </xf>
    <xf numFmtId="0" fontId="44" fillId="0" borderId="0" xfId="0" applyFont="1" applyAlignment="1">
      <alignment horizontal="left"/>
    </xf>
    <xf numFmtId="0" fontId="6" fillId="2" borderId="4" xfId="0" applyFont="1" applyFill="1" applyBorder="1" applyAlignment="1">
      <alignment horizontal="justify" vertical="center" wrapText="1"/>
    </xf>
    <xf numFmtId="0" fontId="4" fillId="0" borderId="0" xfId="0" applyFont="1" applyAlignment="1">
      <alignment vertical="center"/>
    </xf>
    <xf numFmtId="166" fontId="11" fillId="2" borderId="4" xfId="1" applyNumberFormat="1" applyFont="1" applyFill="1" applyBorder="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Alignment="1">
      <alignment horizontal="right" vertical="center"/>
    </xf>
    <xf numFmtId="0" fontId="11" fillId="2" borderId="1" xfId="2"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166" fontId="9" fillId="2" borderId="0" xfId="0" applyNumberFormat="1" applyFont="1" applyFill="1"/>
    <xf numFmtId="166" fontId="11" fillId="2" borderId="0" xfId="0" applyNumberFormat="1" applyFont="1" applyFill="1"/>
    <xf numFmtId="166" fontId="9" fillId="2" borderId="10" xfId="1" applyNumberFormat="1" applyFont="1" applyFill="1" applyBorder="1"/>
    <xf numFmtId="0" fontId="9" fillId="2" borderId="5" xfId="3" applyFont="1" applyFill="1" applyBorder="1" applyAlignment="1">
      <alignment horizontal="left"/>
    </xf>
    <xf numFmtId="169" fontId="9" fillId="2" borderId="0" xfId="1" applyNumberFormat="1" applyFont="1" applyFill="1"/>
    <xf numFmtId="0" fontId="10" fillId="2" borderId="5" xfId="0" applyFont="1" applyFill="1" applyBorder="1" applyAlignment="1">
      <alignment horizontal="center" vertical="center" wrapText="1"/>
    </xf>
    <xf numFmtId="166" fontId="10" fillId="2" borderId="5" xfId="1" applyNumberFormat="1" applyFont="1" applyFill="1" applyBorder="1"/>
    <xf numFmtId="166" fontId="15" fillId="2" borderId="5" xfId="1" applyNumberFormat="1" applyFont="1" applyFill="1" applyBorder="1"/>
    <xf numFmtId="0" fontId="10" fillId="2" borderId="0" xfId="0" applyFont="1" applyFill="1"/>
    <xf numFmtId="0" fontId="15" fillId="2" borderId="0" xfId="0" applyFont="1" applyFill="1" applyAlignment="1">
      <alignment vertical="center"/>
    </xf>
    <xf numFmtId="0" fontId="25" fillId="2" borderId="0" xfId="0" applyFont="1" applyFill="1"/>
    <xf numFmtId="0" fontId="21" fillId="2" borderId="0" xfId="0" applyFont="1" applyFill="1"/>
    <xf numFmtId="3" fontId="4" fillId="2" borderId="0" xfId="4" applyNumberFormat="1" applyFont="1" applyFill="1" applyAlignment="1" applyProtection="1">
      <alignment horizontal="center"/>
      <protection locked="0"/>
    </xf>
    <xf numFmtId="3" fontId="20" fillId="2" borderId="0" xfId="0" applyNumberFormat="1" applyFont="1" applyFill="1"/>
    <xf numFmtId="0" fontId="22" fillId="2" borderId="0" xfId="4" applyFont="1" applyFill="1" applyAlignment="1" applyProtection="1">
      <alignment horizontal="center"/>
      <protection locked="0"/>
    </xf>
    <xf numFmtId="0" fontId="22" fillId="2" borderId="0" xfId="4" applyFont="1" applyFill="1" applyProtection="1">
      <protection locked="0"/>
    </xf>
    <xf numFmtId="0" fontId="23" fillId="2" borderId="11" xfId="4" applyFont="1" applyFill="1" applyBorder="1" applyAlignment="1" applyProtection="1">
      <alignment vertical="top"/>
      <protection locked="0"/>
    </xf>
    <xf numFmtId="167" fontId="9" fillId="2" borderId="0" xfId="0" applyNumberFormat="1" applyFont="1" applyFill="1"/>
    <xf numFmtId="166" fontId="25" fillId="2" borderId="0" xfId="0" applyNumberFormat="1" applyFont="1" applyFill="1"/>
    <xf numFmtId="166" fontId="9" fillId="2" borderId="5" xfId="6" applyNumberFormat="1" applyFont="1" applyFill="1" applyBorder="1"/>
    <xf numFmtId="166" fontId="10" fillId="2" borderId="0" xfId="0" applyNumberFormat="1" applyFont="1" applyFill="1"/>
    <xf numFmtId="168" fontId="20" fillId="2" borderId="0" xfId="0" applyNumberFormat="1" applyFont="1" applyFill="1"/>
    <xf numFmtId="0" fontId="11" fillId="2" borderId="12" xfId="0" applyFont="1" applyFill="1" applyBorder="1" applyAlignment="1">
      <alignment horizontal="center" vertical="center" wrapText="1"/>
    </xf>
    <xf numFmtId="3" fontId="11" fillId="2" borderId="12" xfId="0" applyNumberFormat="1" applyFont="1" applyFill="1" applyBorder="1" applyAlignment="1">
      <alignment vertical="center" wrapText="1"/>
    </xf>
    <xf numFmtId="3" fontId="11" fillId="2" borderId="0" xfId="0" applyNumberFormat="1" applyFont="1" applyFill="1" applyAlignment="1">
      <alignment vertical="center"/>
    </xf>
    <xf numFmtId="0" fontId="11" fillId="2" borderId="0" xfId="0" applyFont="1" applyFill="1" applyAlignment="1">
      <alignment vertical="center"/>
    </xf>
    <xf numFmtId="166" fontId="9" fillId="2" borderId="5" xfId="11" applyNumberFormat="1" applyFont="1" applyFill="1" applyBorder="1" applyAlignment="1">
      <alignment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vertical="center" wrapText="1"/>
    </xf>
    <xf numFmtId="0" fontId="10" fillId="2" borderId="0" xfId="0" applyFont="1" applyFill="1" applyAlignment="1">
      <alignment vertical="center"/>
    </xf>
    <xf numFmtId="0" fontId="0" fillId="2" borderId="5" xfId="0" applyFill="1" applyBorder="1"/>
    <xf numFmtId="0" fontId="41" fillId="2" borderId="5" xfId="0" applyFont="1" applyFill="1" applyBorder="1"/>
    <xf numFmtId="3" fontId="42" fillId="2" borderId="5" xfId="0" applyNumberFormat="1" applyFont="1" applyFill="1" applyBorder="1" applyAlignment="1">
      <alignment vertical="center" wrapText="1"/>
    </xf>
    <xf numFmtId="0" fontId="0" fillId="2" borderId="6" xfId="0" applyFill="1" applyBorder="1"/>
    <xf numFmtId="0" fontId="0" fillId="2" borderId="0" xfId="0" applyFill="1"/>
    <xf numFmtId="0" fontId="5" fillId="2" borderId="0" xfId="0" applyFont="1" applyFill="1"/>
    <xf numFmtId="0" fontId="0" fillId="2" borderId="1" xfId="0" applyFill="1" applyBorder="1"/>
    <xf numFmtId="0" fontId="0" fillId="2" borderId="1" xfId="0" applyFill="1" applyBorder="1" applyAlignment="1">
      <alignment horizontal="center"/>
    </xf>
    <xf numFmtId="3" fontId="0" fillId="2" borderId="0" xfId="0" applyNumberFormat="1" applyFill="1"/>
    <xf numFmtId="3" fontId="0" fillId="2" borderId="5" xfId="0" applyNumberFormat="1" applyFill="1" applyBorder="1"/>
    <xf numFmtId="0" fontId="8" fillId="2" borderId="5" xfId="0" applyFont="1" applyFill="1" applyBorder="1" applyAlignment="1">
      <alignment horizontal="center" vertical="center" wrapText="1"/>
    </xf>
    <xf numFmtId="0" fontId="8" fillId="2" borderId="5" xfId="0" applyFont="1" applyFill="1" applyBorder="1" applyAlignment="1">
      <alignment horizontal="justify" vertical="center" wrapText="1"/>
    </xf>
    <xf numFmtId="3" fontId="8" fillId="2" borderId="5" xfId="0" applyNumberFormat="1" applyFont="1" applyFill="1" applyBorder="1" applyAlignment="1">
      <alignment vertical="center" wrapText="1"/>
    </xf>
    <xf numFmtId="0" fontId="5" fillId="2" borderId="5" xfId="0" applyFont="1" applyFill="1" applyBorder="1" applyAlignment="1">
      <alignment horizontal="justify" vertical="center" wrapText="1"/>
    </xf>
    <xf numFmtId="0" fontId="40" fillId="2" borderId="5" xfId="0" applyFont="1" applyFill="1" applyBorder="1"/>
    <xf numFmtId="0" fontId="40" fillId="2" borderId="0" xfId="0" applyFont="1" applyFill="1"/>
    <xf numFmtId="3" fontId="5" fillId="2" borderId="5" xfId="0" applyNumberFormat="1" applyFont="1" applyFill="1" applyBorder="1" applyAlignment="1">
      <alignment horizontal="justify" vertical="center" wrapText="1"/>
    </xf>
    <xf numFmtId="0" fontId="8" fillId="2" borderId="5" xfId="0" applyFont="1" applyFill="1" applyBorder="1" applyAlignment="1">
      <alignment vertical="center" wrapText="1"/>
    </xf>
    <xf numFmtId="0" fontId="41" fillId="2" borderId="0" xfId="0" applyFont="1" applyFill="1"/>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 fillId="2" borderId="0" xfId="0" applyFont="1" applyFill="1" applyAlignment="1">
      <alignment horizontal="right" vertical="center"/>
    </xf>
    <xf numFmtId="0" fontId="4" fillId="2" borderId="11" xfId="0" applyFont="1" applyFill="1" applyBorder="1" applyAlignment="1">
      <alignment vertical="center"/>
    </xf>
    <xf numFmtId="0" fontId="19" fillId="2" borderId="1" xfId="0" applyFont="1" applyFill="1" applyBorder="1" applyAlignment="1">
      <alignment horizontal="center" vertical="center" wrapText="1"/>
    </xf>
    <xf numFmtId="0" fontId="44" fillId="2" borderId="1" xfId="0" applyFont="1" applyFill="1" applyBorder="1"/>
    <xf numFmtId="0" fontId="11" fillId="2" borderId="1" xfId="5" applyFont="1" applyFill="1" applyBorder="1" applyAlignment="1">
      <alignment horizontal="left" vertical="center" wrapText="1"/>
    </xf>
    <xf numFmtId="167" fontId="11" fillId="2" borderId="1" xfId="0" applyNumberFormat="1" applyFont="1" applyFill="1" applyBorder="1" applyAlignment="1">
      <alignment horizontal="center" vertical="center"/>
    </xf>
    <xf numFmtId="166" fontId="11" fillId="2" borderId="1" xfId="6" applyNumberFormat="1" applyFont="1" applyFill="1" applyBorder="1" applyAlignment="1">
      <alignment vertical="center"/>
    </xf>
    <xf numFmtId="0" fontId="11" fillId="2" borderId="1" xfId="7" applyFont="1" applyFill="1" applyBorder="1" applyAlignment="1">
      <alignment horizontal="left" vertical="center" wrapText="1"/>
    </xf>
    <xf numFmtId="0" fontId="11" fillId="2" borderId="1" xfId="0" applyFont="1" applyFill="1" applyBorder="1" applyAlignment="1">
      <alignment horizontal="left" vertical="center" wrapText="1"/>
    </xf>
    <xf numFmtId="166" fontId="11" fillId="2" borderId="1" xfId="6" applyNumberFormat="1" applyFont="1" applyFill="1" applyBorder="1" applyAlignment="1">
      <alignment horizontal="center" vertical="center"/>
    </xf>
    <xf numFmtId="167" fontId="15" fillId="2" borderId="1" xfId="0" applyNumberFormat="1" applyFont="1" applyFill="1" applyBorder="1" applyAlignment="1">
      <alignment horizontal="center" vertical="center"/>
    </xf>
    <xf numFmtId="0" fontId="9" fillId="2" borderId="1" xfId="7" applyFont="1" applyFill="1" applyBorder="1" applyAlignment="1">
      <alignment horizontal="left" vertical="center" wrapText="1"/>
    </xf>
    <xf numFmtId="0" fontId="9" fillId="2" borderId="1" xfId="3" applyFont="1" applyFill="1" applyBorder="1" applyAlignment="1">
      <alignment horizontal="left" vertical="center"/>
    </xf>
    <xf numFmtId="166" fontId="9" fillId="2" borderId="1" xfId="6"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166" fontId="9" fillId="2" borderId="1" xfId="6" applyNumberFormat="1" applyFont="1" applyFill="1" applyBorder="1" applyAlignment="1">
      <alignment vertical="center"/>
    </xf>
    <xf numFmtId="0" fontId="9" fillId="2" borderId="1" xfId="3" applyFont="1" applyFill="1" applyBorder="1" applyAlignment="1">
      <alignment horizontal="left" vertical="center" wrapText="1"/>
    </xf>
    <xf numFmtId="167" fontId="11" fillId="2" borderId="1" xfId="8" applyNumberFormat="1" applyFont="1" applyFill="1" applyBorder="1" applyAlignment="1">
      <alignment horizontal="center" vertical="center"/>
    </xf>
    <xf numFmtId="167" fontId="9" fillId="2" borderId="1" xfId="9" applyNumberFormat="1" applyFont="1" applyFill="1" applyBorder="1" applyAlignment="1">
      <alignment horizontal="center" vertical="center"/>
    </xf>
    <xf numFmtId="167" fontId="11" fillId="2" borderId="1" xfId="1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8" fontId="10" fillId="2" borderId="1" xfId="6" applyNumberFormat="1" applyFont="1" applyFill="1" applyBorder="1" applyAlignment="1">
      <alignment horizontal="center" vertical="center" wrapText="1"/>
    </xf>
    <xf numFmtId="167" fontId="9" fillId="2" borderId="1" xfId="10" applyNumberFormat="1" applyFont="1" applyFill="1" applyBorder="1" applyAlignment="1">
      <alignment horizontal="center" vertical="center"/>
    </xf>
    <xf numFmtId="167" fontId="11" fillId="2" borderId="1" xfId="9" applyNumberFormat="1" applyFont="1" applyFill="1" applyBorder="1" applyAlignment="1">
      <alignment horizontal="center" vertical="center"/>
    </xf>
    <xf numFmtId="0" fontId="15" fillId="2" borderId="1" xfId="7" applyFont="1" applyFill="1" applyBorder="1" applyAlignment="1">
      <alignment horizontal="left" vertical="center" wrapText="1"/>
    </xf>
    <xf numFmtId="166" fontId="10" fillId="2" borderId="1" xfId="6" applyNumberFormat="1" applyFont="1" applyFill="1" applyBorder="1" applyAlignment="1">
      <alignment horizontal="center" vertical="center"/>
    </xf>
    <xf numFmtId="166" fontId="10" fillId="2" borderId="1" xfId="6" applyNumberFormat="1" applyFont="1" applyFill="1" applyBorder="1" applyAlignment="1">
      <alignment vertical="center"/>
    </xf>
    <xf numFmtId="0" fontId="10" fillId="2" borderId="1" xfId="3" applyFont="1" applyFill="1" applyBorder="1" applyAlignment="1">
      <alignment horizontal="left" vertical="center"/>
    </xf>
    <xf numFmtId="167" fontId="10" fillId="2" borderId="1" xfId="9" applyNumberFormat="1" applyFont="1" applyFill="1" applyBorder="1" applyAlignment="1">
      <alignment horizontal="center" vertical="center"/>
    </xf>
    <xf numFmtId="166" fontId="11" fillId="2" borderId="1" xfId="1" applyNumberFormat="1" applyFont="1" applyFill="1" applyBorder="1" applyAlignment="1">
      <alignment horizontal="center" vertical="center" wrapText="1"/>
    </xf>
    <xf numFmtId="167" fontId="11" fillId="2" borderId="1" xfId="0" applyNumberFormat="1" applyFont="1" applyFill="1" applyBorder="1" applyAlignment="1">
      <alignment horizontal="right" vertical="center"/>
    </xf>
    <xf numFmtId="166" fontId="11" fillId="2" borderId="1" xfId="11" applyNumberFormat="1" applyFont="1" applyFill="1" applyBorder="1" applyAlignment="1">
      <alignment horizontal="left" vertical="center"/>
    </xf>
    <xf numFmtId="0" fontId="14" fillId="2" borderId="1" xfId="0" applyFont="1" applyFill="1" applyBorder="1" applyAlignment="1">
      <alignment horizontal="justify" vertical="center" wrapText="1"/>
    </xf>
    <xf numFmtId="167" fontId="15" fillId="2" borderId="1" xfId="9" applyNumberFormat="1" applyFont="1" applyFill="1" applyBorder="1" applyAlignment="1">
      <alignment horizontal="center" vertical="center"/>
    </xf>
    <xf numFmtId="167" fontId="10" fillId="2" borderId="1" xfId="0" applyNumberFormat="1" applyFont="1" applyFill="1" applyBorder="1" applyAlignment="1">
      <alignment horizontal="center" vertical="center"/>
    </xf>
    <xf numFmtId="0" fontId="10" fillId="2" borderId="1" xfId="7" applyFont="1" applyFill="1" applyBorder="1" applyAlignment="1">
      <alignment horizontal="left" vertical="center" wrapText="1"/>
    </xf>
    <xf numFmtId="168" fontId="11" fillId="2" borderId="1" xfId="6"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168" fontId="15" fillId="2" borderId="1" xfId="6" applyNumberFormat="1" applyFont="1" applyFill="1" applyBorder="1" applyAlignment="1">
      <alignment horizontal="center" vertical="center" wrapText="1"/>
    </xf>
    <xf numFmtId="166" fontId="15" fillId="2" borderId="1" xfId="6" applyNumberFormat="1" applyFont="1" applyFill="1" applyBorder="1" applyAlignment="1">
      <alignment vertical="center"/>
    </xf>
    <xf numFmtId="166" fontId="15" fillId="2" borderId="1" xfId="6" applyNumberFormat="1" applyFont="1" applyFill="1" applyBorder="1" applyAlignment="1">
      <alignment horizontal="center" vertical="center"/>
    </xf>
    <xf numFmtId="0" fontId="29" fillId="2" borderId="1" xfId="0" applyFont="1" applyFill="1" applyBorder="1" applyAlignment="1">
      <alignment horizontal="left" vertical="center" wrapText="1"/>
    </xf>
    <xf numFmtId="0" fontId="9" fillId="2"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166" fontId="9" fillId="2" borderId="1" xfId="6" applyNumberFormat="1" applyFont="1" applyFill="1" applyBorder="1" applyAlignment="1">
      <alignment horizontal="center" vertical="center" wrapText="1"/>
    </xf>
    <xf numFmtId="0" fontId="11" fillId="2" borderId="1" xfId="5" applyFont="1" applyFill="1" applyBorder="1" applyAlignment="1">
      <alignment horizontal="justify" vertical="center" wrapText="1"/>
    </xf>
    <xf numFmtId="3" fontId="19" fillId="2" borderId="1" xfId="0" applyNumberFormat="1" applyFont="1" applyFill="1" applyBorder="1" applyAlignment="1">
      <alignment horizontal="right" vertical="center" wrapText="1"/>
    </xf>
    <xf numFmtId="0" fontId="19" fillId="2" borderId="1" xfId="0" applyFont="1" applyFill="1" applyBorder="1" applyAlignment="1">
      <alignment vertical="center" wrapText="1"/>
    </xf>
    <xf numFmtId="3" fontId="44" fillId="2" borderId="1" xfId="0" applyNumberFormat="1" applyFont="1" applyFill="1" applyBorder="1"/>
    <xf numFmtId="3" fontId="45" fillId="2" borderId="1" xfId="0" applyNumberFormat="1" applyFont="1" applyFill="1" applyBorder="1" applyAlignment="1">
      <alignment horizontal="right" vertical="center" wrapText="1"/>
    </xf>
    <xf numFmtId="0" fontId="44" fillId="2" borderId="1" xfId="0" applyFont="1" applyFill="1" applyBorder="1" applyAlignment="1">
      <alignment horizontal="center" vertical="center" wrapText="1"/>
    </xf>
    <xf numFmtId="0" fontId="44" fillId="2" borderId="1" xfId="0" applyFont="1" applyFill="1" applyBorder="1" applyAlignment="1">
      <alignment vertical="center" wrapText="1"/>
    </xf>
    <xf numFmtId="3" fontId="44" fillId="2" borderId="1" xfId="0" applyNumberFormat="1" applyFont="1" applyFill="1" applyBorder="1" applyAlignment="1">
      <alignment horizontal="right" vertical="center" wrapText="1"/>
    </xf>
    <xf numFmtId="43" fontId="44" fillId="2" borderId="1" xfId="11" applyFont="1" applyFill="1" applyBorder="1" applyAlignment="1">
      <alignment horizontal="right" vertical="center" wrapText="1"/>
    </xf>
    <xf numFmtId="166" fontId="44" fillId="2" borderId="1" xfId="11" applyNumberFormat="1" applyFont="1" applyFill="1" applyBorder="1" applyAlignment="1">
      <alignment horizontal="right" vertical="center" wrapText="1"/>
    </xf>
    <xf numFmtId="3" fontId="19" fillId="2" borderId="1" xfId="0" applyNumberFormat="1" applyFont="1" applyFill="1" applyBorder="1" applyAlignment="1">
      <alignment vertical="center" wrapText="1"/>
    </xf>
    <xf numFmtId="166" fontId="11" fillId="2" borderId="1" xfId="1" applyNumberFormat="1" applyFont="1" applyFill="1" applyBorder="1" applyAlignment="1">
      <alignment vertical="center"/>
    </xf>
    <xf numFmtId="0" fontId="11" fillId="2" borderId="1" xfId="0" applyFont="1" applyFill="1" applyBorder="1" applyAlignment="1">
      <alignment horizontal="justify" vertical="center" wrapText="1"/>
    </xf>
    <xf numFmtId="166" fontId="11" fillId="2" borderId="1" xfId="1" applyNumberFormat="1" applyFont="1" applyFill="1" applyBorder="1" applyAlignment="1"/>
    <xf numFmtId="0" fontId="9" fillId="2" borderId="1" xfId="3" applyFont="1" applyFill="1" applyBorder="1" applyAlignment="1">
      <alignment horizontal="justify"/>
    </xf>
    <xf numFmtId="166" fontId="9" fillId="2" borderId="1" xfId="1" applyNumberFormat="1" applyFont="1" applyFill="1" applyBorder="1" applyAlignment="1">
      <alignment horizontal="center" vertical="center" wrapText="1"/>
    </xf>
    <xf numFmtId="166" fontId="9" fillId="2" borderId="1" xfId="1" applyNumberFormat="1" applyFont="1" applyFill="1" applyBorder="1"/>
    <xf numFmtId="0" fontId="9" fillId="2" borderId="1" xfId="3" applyFont="1" applyFill="1" applyBorder="1" applyAlignment="1">
      <alignment horizontal="justify" vertical="center"/>
    </xf>
    <xf numFmtId="166" fontId="11" fillId="2" borderId="1" xfId="1" applyNumberFormat="1" applyFont="1" applyFill="1" applyBorder="1"/>
    <xf numFmtId="0" fontId="10"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166" fontId="9" fillId="2" borderId="1" xfId="1" applyNumberFormat="1" applyFont="1" applyFill="1" applyBorder="1" applyAlignment="1">
      <alignment vertical="center"/>
    </xf>
    <xf numFmtId="168" fontId="33" fillId="2" borderId="1" xfId="11" applyNumberFormat="1" applyFont="1" applyFill="1" applyBorder="1" applyAlignment="1">
      <alignment horizontal="right" vertical="center"/>
    </xf>
    <xf numFmtId="0" fontId="35" fillId="2" borderId="1" xfId="3" applyFont="1" applyFill="1" applyBorder="1" applyAlignment="1">
      <alignment horizontal="justify" vertical="center"/>
    </xf>
    <xf numFmtId="168" fontId="36" fillId="2" borderId="1" xfId="11" applyNumberFormat="1" applyFont="1" applyFill="1" applyBorder="1" applyAlignment="1">
      <alignment horizontal="right" vertical="center" wrapText="1"/>
    </xf>
    <xf numFmtId="168" fontId="36" fillId="2" borderId="1" xfId="11" applyNumberFormat="1" applyFont="1" applyFill="1" applyBorder="1" applyAlignment="1">
      <alignment horizontal="right" vertical="center"/>
    </xf>
    <xf numFmtId="168" fontId="33" fillId="2" borderId="1" xfId="11" applyNumberFormat="1" applyFont="1" applyFill="1" applyBorder="1" applyAlignment="1">
      <alignment vertical="center"/>
    </xf>
    <xf numFmtId="168" fontId="33" fillId="2" borderId="1" xfId="11" applyNumberFormat="1" applyFont="1" applyFill="1" applyBorder="1" applyAlignment="1">
      <alignment horizontal="right" vertical="center" wrapText="1"/>
    </xf>
    <xf numFmtId="0" fontId="29" fillId="2" borderId="1" xfId="0" applyFont="1" applyFill="1" applyBorder="1" applyAlignment="1">
      <alignment horizontal="justify" vertical="center" wrapText="1"/>
    </xf>
    <xf numFmtId="168" fontId="37" fillId="2" borderId="1" xfId="11" applyNumberFormat="1" applyFont="1" applyFill="1" applyBorder="1" applyAlignment="1">
      <alignment horizontal="right" vertical="center" wrapText="1"/>
    </xf>
    <xf numFmtId="168" fontId="37" fillId="2" borderId="1" xfId="11" applyNumberFormat="1" applyFont="1" applyFill="1" applyBorder="1" applyAlignment="1">
      <alignment horizontal="right" vertical="center"/>
    </xf>
    <xf numFmtId="168" fontId="38" fillId="2" borderId="1" xfId="11" applyNumberFormat="1" applyFont="1" applyFill="1" applyBorder="1" applyAlignment="1">
      <alignment horizontal="right" vertical="center"/>
    </xf>
    <xf numFmtId="0" fontId="14" fillId="2" borderId="1" xfId="7" applyFont="1" applyFill="1" applyBorder="1" applyAlignment="1">
      <alignment horizontal="justify" vertical="center" wrapText="1"/>
    </xf>
    <xf numFmtId="0" fontId="8" fillId="2" borderId="7" xfId="0" applyFont="1" applyFill="1" applyBorder="1" applyAlignment="1">
      <alignment horizontal="left" wrapText="1"/>
    </xf>
    <xf numFmtId="0" fontId="5" fillId="2" borderId="0" xfId="0" applyFont="1" applyFill="1" applyAlignment="1">
      <alignment horizontal="left" vertical="center" wrapText="1"/>
    </xf>
    <xf numFmtId="0" fontId="2"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1" xfId="0" applyFont="1" applyFill="1" applyBorder="1" applyAlignment="1">
      <alignment horizontal="center"/>
    </xf>
    <xf numFmtId="0" fontId="3" fillId="2" borderId="11" xfId="0" applyFont="1" applyFill="1" applyBorder="1" applyAlignment="1">
      <alignment horizontal="center"/>
    </xf>
    <xf numFmtId="0" fontId="4" fillId="2" borderId="0" xfId="0" applyFont="1" applyFill="1" applyAlignment="1">
      <alignment horizontal="left" vertical="center" wrapText="1"/>
    </xf>
    <xf numFmtId="0" fontId="11" fillId="2" borderId="1"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9" fillId="2" borderId="0" xfId="4" applyFont="1" applyFill="1" applyAlignment="1" applyProtection="1">
      <alignment horizontal="center" vertical="center"/>
      <protection locked="0"/>
    </xf>
    <xf numFmtId="3" fontId="4" fillId="2" borderId="0" xfId="4" applyNumberFormat="1" applyFont="1" applyFill="1" applyAlignment="1" applyProtection="1">
      <alignment horizontal="center"/>
      <protection locked="0"/>
    </xf>
    <xf numFmtId="0" fontId="24" fillId="2" borderId="11" xfId="4" applyFont="1" applyFill="1" applyBorder="1" applyAlignment="1" applyProtection="1">
      <alignment horizontal="right"/>
      <protection locked="0"/>
    </xf>
    <xf numFmtId="0" fontId="11" fillId="2" borderId="1" xfId="5" applyFont="1" applyFill="1" applyBorder="1" applyAlignment="1">
      <alignment horizontal="center" vertical="center" wrapText="1"/>
    </xf>
    <xf numFmtId="0" fontId="19" fillId="2" borderId="0" xfId="0" applyFont="1" applyFill="1" applyAlignment="1">
      <alignment horizontal="center" vertical="center"/>
    </xf>
    <xf numFmtId="0" fontId="31" fillId="2" borderId="11"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4" fillId="2" borderId="11" xfId="0" applyFont="1" applyFill="1" applyBorder="1" applyAlignment="1">
      <alignment horizontal="center"/>
    </xf>
    <xf numFmtId="0" fontId="8" fillId="2" borderId="7" xfId="0" applyFont="1" applyFill="1" applyBorder="1" applyAlignment="1">
      <alignment horizontal="left" vertical="center" wrapText="1"/>
    </xf>
    <xf numFmtId="0" fontId="19" fillId="2" borderId="0" xfId="0" applyFont="1" applyFill="1" applyAlignment="1">
      <alignment horizontal="center" vertical="center" wrapText="1"/>
    </xf>
    <xf numFmtId="3" fontId="5" fillId="2" borderId="0" xfId="0" applyNumberFormat="1" applyFont="1" applyFill="1" applyAlignment="1">
      <alignment horizontal="center" vertical="center"/>
    </xf>
    <xf numFmtId="0" fontId="5" fillId="2" borderId="0" xfId="0" applyFont="1" applyFill="1" applyAlignment="1">
      <alignment horizontal="center" vertical="center"/>
    </xf>
    <xf numFmtId="3" fontId="4"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10" fillId="2" borderId="1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4" fillId="0" borderId="0" xfId="0" applyFont="1" applyAlignment="1">
      <alignment horizontal="left"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0" xfId="0" applyFont="1" applyFill="1" applyBorder="1" applyAlignment="1">
      <alignment horizontal="center" vertical="center" wrapText="1"/>
    </xf>
    <xf numFmtId="3" fontId="4" fillId="0" borderId="0" xfId="0" applyNumberFormat="1" applyFont="1" applyAlignment="1">
      <alignment horizontal="center" vertical="center"/>
    </xf>
    <xf numFmtId="0" fontId="43" fillId="0" borderId="0" xfId="0" applyFont="1" applyAlignment="1">
      <alignment horizontal="center" vertical="center" wrapText="1"/>
    </xf>
    <xf numFmtId="0" fontId="45" fillId="0" borderId="0" xfId="0" applyFont="1" applyAlignment="1">
      <alignment horizontal="left" vertical="center" wrapText="1"/>
    </xf>
  </cellXfs>
  <cellStyles count="12">
    <cellStyle name="Comma" xfId="1" builtinId="3"/>
    <cellStyle name="Comma 6" xfId="11"/>
    <cellStyle name="Comma 7" xfId="6"/>
    <cellStyle name="Normal" xfId="0" builtinId="0"/>
    <cellStyle name="Normal 2 6" xfId="8"/>
    <cellStyle name="Normal 2_TK hang nam" xfId="10"/>
    <cellStyle name="Normal 4" xfId="9"/>
    <cellStyle name="Normal 6" xfId="7"/>
    <cellStyle name="Normal 7" xfId="5"/>
    <cellStyle name="Normal_Bieu 01" xfId="3"/>
    <cellStyle name="Normal_DT thu NSNN 2007 phan bo lai 2" xfId="4"/>
    <cellStyle name="Normal_Mau Tong hop DT2010" xfId="2"/>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enstc/Downloads/DT%20thu%202021%20(L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AppData/Local/Temp/VNPT%20Plugin/f3853f4a-2fa8-4417-adcf-edac191ff1b9/Bieu%20kem%20DT%20NQ%20dc%20DT%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AppData/Local/Temp/VNPT%20Plugin/f3853f4a-2fa8-4417-adcf-edac191ff1b9/Bi&#7875;u%20DT%202023%20k&#232;m%20NQ%20(chu&#7849;n%20ph&#225;t%20h&#224;nh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mục báo cáo"/>
      <sheetName val="Biểu 06 DT "/>
      <sheetName val="Biểu 07 DT"/>
      <sheetName val="Biểu 08DT phí, LP"/>
      <sheetName val="Biểu 09DT"/>
      <sheetName val="Biểu 10DT TG thu (T)"/>
      <sheetName val="03N Biểu 07"/>
      <sheetName val="03N Biểu 08 (T)"/>
      <sheetName val="03N Biểu 09"/>
      <sheetName val="03N Biểu 10"/>
      <sheetName val="03N Biểu 11"/>
      <sheetName val="Biểu 12"/>
      <sheetName val="Biểu 13 (L)"/>
      <sheetName val="Biểu 14"/>
      <sheetName val="Biểu 15"/>
      <sheetName val="Biểu 16 (T)"/>
      <sheetName val="Biểu 16a(T)"/>
      <sheetName val="Biểu 16b(T)"/>
      <sheetName val="Biểu 17"/>
      <sheetName val="Biểu 18 (PĐT)"/>
      <sheetName val="Biểu 18"/>
      <sheetName val="Biểu 19"/>
      <sheetName val="Biểu 20"/>
      <sheetName val="Biểu 21"/>
      <sheetName val="Biểu 22"/>
      <sheetName val="Biểu 23"/>
      <sheetName val="Biểu 24"/>
      <sheetName val="Biểu 25"/>
      <sheetName val="Biểu 25 (ĐT)"/>
      <sheetName val="Biểu 26"/>
      <sheetName val="Bieu_26"/>
      <sheetName val="B27_Ngọc"/>
      <sheetName val="Biểu 27"/>
      <sheetName val="Bieu_29"/>
      <sheetName val="Biểu 30"/>
      <sheetName val="Biểu 31"/>
      <sheetName val="Biểu 32"/>
      <sheetName val="Biểu 33"/>
      <sheetName val="Biểu 34"/>
      <sheetName val="Biểu 35"/>
      <sheetName val="Biểu 36"/>
      <sheetName val="Biểu 37"/>
      <sheetName val="Biểu 37 a DT SC Tr.sơ"/>
      <sheetName val="Biểu 38."/>
      <sheetName val="Biểu 39"/>
      <sheetName val="Biểu 41"/>
      <sheetName val="Biểu 42"/>
      <sheetName val="Biểu 43."/>
      <sheetName val="Biểu 44."/>
      <sheetName val="Biểu 46."/>
      <sheetName val="Biểu 47."/>
      <sheetName val="VĐT"/>
      <sheetName val="CTMT TPMT"/>
      <sheetName val="TL 1490"/>
      <sheetName val="TL 1390"/>
      <sheetName val="Biểu 29"/>
      <sheetName val="Biểu 38"/>
      <sheetName val="Biểu 40"/>
      <sheetName val="CTMTQG 2019"/>
      <sheetName val="Biểu 28"/>
      <sheetName val="Biểu 43"/>
      <sheetName val="Biểu 44"/>
      <sheetName val="Biểu 45"/>
      <sheetName val="Biểu 47"/>
      <sheetName val="TLg1300"/>
    </sheetNames>
    <sheetDataSet>
      <sheetData sheetId="0"/>
      <sheetData sheetId="1"/>
      <sheetData sheetId="2"/>
      <sheetData sheetId="3"/>
      <sheetData sheetId="4"/>
      <sheetData sheetId="5"/>
      <sheetData sheetId="6">
        <row r="2">
          <cell r="A2" t="str">
            <v>(Kèm theo Báo cáo số               /BC-UBND ngày       tháng 11 năm 2020 của UBND tỉnh Bắc Kạn)</v>
          </cell>
        </row>
      </sheetData>
      <sheetData sheetId="7"/>
      <sheetData sheetId="8"/>
      <sheetData sheetId="9"/>
      <sheetData sheetId="10"/>
      <sheetData sheetId="11">
        <row r="2">
          <cell r="A2" t="str">
            <v>(Kèm theo Báo cáo số              /BC-UBND ngày       tháng 11 năm 2020 của UBND tỉnh Bắc Kạn)</v>
          </cell>
        </row>
      </sheetData>
      <sheetData sheetId="12">
        <row r="25">
          <cell r="B25" t="str">
            <v xml:space="preserve"> - Thuế tài nguyên</v>
          </cell>
        </row>
      </sheetData>
      <sheetData sheetId="13">
        <row r="2">
          <cell r="A2" t="str">
            <v>(Kèm theo Báo cáo số              /BC-UBND ngày       tháng 11 năm 2020 của UBND tỉnh Bắc Kạn)</v>
          </cell>
        </row>
      </sheetData>
      <sheetData sheetId="14"/>
      <sheetData sheetId="15">
        <row r="2">
          <cell r="A2" t="str">
            <v>(Kèm theo Báo cáo số              /BC-UBND ngày       tháng 11 năm 2020 của UBND tỉnh Bắc Kạn)</v>
          </cell>
        </row>
      </sheetData>
      <sheetData sheetId="16">
        <row r="10">
          <cell r="F10">
            <v>180</v>
          </cell>
        </row>
      </sheetData>
      <sheetData sheetId="17">
        <row r="2">
          <cell r="A2" t="str">
            <v>(Kèm theo Báo cáo số              /BC-UBND ngày       tháng 11 năm 2020 của UBND tỉnh Bắc Kạn)</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02DG"/>
      <sheetName val="Biểu 03 DG"/>
      <sheetName val="Biểu 03aDT-TU BSCMT"/>
      <sheetName val="Biểu 03bDT-DPNS 10t"/>
      <sheetName val="Biểu 03cDT - DTTC 10t"/>
      <sheetName val="Biểu 04DT_ƯTTƯ"/>
      <sheetName val="Biểu 05DT - CV NS Tinh"/>
      <sheetName val="Biểu 07 DT"/>
      <sheetName val="Bieu_08_Phi_LP"/>
      <sheetName val="Biểu 09DT"/>
      <sheetName val="03N Biểu 07"/>
      <sheetName val="03N Biểu 08 (T)"/>
      <sheetName val="03N Biểu 09"/>
      <sheetName val="03N Biểu 10"/>
      <sheetName val="03N Biểu 11"/>
      <sheetName val="KPSN"/>
      <sheetName val="Biểu 12"/>
      <sheetName val="Biểu 13 DG(T)"/>
      <sheetName val="Biểu 14DG"/>
      <sheetName val="Biểu 15 CĐ"/>
      <sheetName val="Biểu 16 (T)"/>
      <sheetName val="Biểu 16a(T)"/>
      <sheetName val="Biểu 16b(T)"/>
      <sheetName val="Sheet1"/>
      <sheetName val="Biểu 19"/>
      <sheetName val="Biểu 20(T)"/>
      <sheetName val="Biểu 21(T)"/>
      <sheetName val="Biểu 22ĐG"/>
      <sheetName val="Biểu 23ĐG-Ti"/>
      <sheetName val="Biểu 24"/>
      <sheetName val="Biểu 25"/>
      <sheetName val="Bieu_26"/>
      <sheetName val="Biểu 27"/>
      <sheetName val="Bieu_29"/>
      <sheetName val="Biểu 30"/>
      <sheetName val="Biểu 31(T)"/>
      <sheetName val="Biểu 32(T) (2)"/>
      <sheetName val="Biểu 32(T)"/>
      <sheetName val="Biểu 06 DT "/>
      <sheetName val="Biểu 36"/>
      <sheetName val="Biểu 46"/>
      <sheetName val="Biểu 46_1"/>
      <sheetName val="Biểu 44."/>
      <sheetName val="Bieu 44"/>
      <sheetName val="Bieu_47"/>
      <sheetName val="Sheet2"/>
      <sheetName val="VĐT"/>
      <sheetName val="TL 1490"/>
      <sheetName val="TL 1390"/>
      <sheetName val="TLg13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7">
          <cell r="C37">
            <v>4660</v>
          </cell>
        </row>
      </sheetData>
      <sheetData sheetId="17" refreshError="1"/>
      <sheetData sheetId="18" refreshError="1"/>
      <sheetData sheetId="19">
        <row r="2">
          <cell r="A2" t="str">
            <v>(Kèm theo Nghị quyết số 53/NQ-HĐND ngày 09 tháng 12 năm 2022 của HĐND tỉnh Bắc Kạn)</v>
          </cell>
        </row>
      </sheetData>
      <sheetData sheetId="20">
        <row r="2">
          <cell r="A2" t="str">
            <v>(Kèm theo Nghị quyết số 53/NQ-HĐND ngày 09 tháng 12 năm 2022 của HĐND tỉnh Bắc Kạn)</v>
          </cell>
        </row>
      </sheetData>
      <sheetData sheetId="21">
        <row r="2">
          <cell r="A2" t="str">
            <v>(Kèm theo Nghị quyết số 53/NQ-HĐND ngày 09 tháng 12 năm 2022 của HĐND tỉnh Bắc Kạn)</v>
          </cell>
        </row>
      </sheetData>
      <sheetData sheetId="22">
        <row r="7">
          <cell r="D7">
            <v>894650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N3" t="str">
            <v>Đơn vị: Triệu đồng</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01 DG"/>
      <sheetName val="Biểu 02DG"/>
      <sheetName val="Biểu 03 DG"/>
      <sheetName val="Biểu 03aDT-TU BSCMT"/>
      <sheetName val="Biểu 03bDT-DPNS 10t"/>
      <sheetName val="Biểu 03cDT - DTTC 10t"/>
      <sheetName val="Biểu 04DT_ƯTTƯ"/>
      <sheetName val="Biểu 05DT - CV NS Tinh"/>
      <sheetName val="Biểu 07 DT"/>
      <sheetName val="Bieu_08_Phi_LP"/>
      <sheetName val="Biểu 09DT"/>
      <sheetName val="03N Biểu 07"/>
      <sheetName val="03N Biểu 08 (T)"/>
      <sheetName val="03N Biểu 09"/>
      <sheetName val="03N Biểu 10"/>
      <sheetName val="03N Biểu 11"/>
      <sheetName val="KPSN"/>
      <sheetName val="Biểu 12"/>
      <sheetName val="Biểu 13 DG(T)"/>
      <sheetName val="Biểu 14DG"/>
      <sheetName val="Danh mục báo cáo"/>
      <sheetName val="Biểu 15 CĐ"/>
      <sheetName val="Biểu 16 (T)"/>
      <sheetName val="Biểu 16a(T)"/>
      <sheetName val="Biểu 16b(T)"/>
      <sheetName val="Sheet1"/>
      <sheetName val="Biểu 17"/>
      <sheetName val="Biểu 18"/>
      <sheetName val="Biểu 19"/>
      <sheetName val="Biểu 20(T)"/>
      <sheetName val="Biểu 21(T)"/>
      <sheetName val="Biểu 22ĐG"/>
      <sheetName val="Biểu 23ĐG-Ti"/>
      <sheetName val="Biểu 24"/>
      <sheetName val="Biểu 25"/>
      <sheetName val="Bieu_26"/>
      <sheetName val="Biểu 27"/>
      <sheetName val="Bieu_29"/>
      <sheetName val="Biểu 30"/>
      <sheetName val="Biểu 31(T)"/>
      <sheetName val="Biểu 32(T) (2)"/>
      <sheetName val="Biểu 32(T)"/>
      <sheetName val="Biểu 33"/>
      <sheetName val="Biểu 34"/>
      <sheetName val="Biểu 06 DT "/>
      <sheetName val="Biểu 35"/>
      <sheetName val="Biểu 36-ĐT"/>
      <sheetName val="Biểu 36"/>
      <sheetName val="Bieu 37"/>
      <sheetName val="Bieu 38"/>
      <sheetName val="Biểu 38a"/>
      <sheetName val="Biểu 38b"/>
      <sheetName val="Biểu 38c"/>
      <sheetName val="Biểu 39"/>
      <sheetName val="Biểu 41"/>
      <sheetName val="Biểu 42"/>
      <sheetName val="Biểu 46"/>
      <sheetName val="Biểu 46_1"/>
      <sheetName val="Biểu 44."/>
      <sheetName val="Bieu 44"/>
      <sheetName val="Biểu 46-ĐT"/>
      <sheetName val="Bieu_47"/>
      <sheetName val="Sheet2"/>
      <sheetName val="VĐT"/>
      <sheetName val="TL 1490"/>
      <sheetName val="TL 1390"/>
      <sheetName val="TLg13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21">
          <cell r="E21">
            <v>1168926.0781546</v>
          </cell>
          <cell r="F21">
            <v>2530537</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0"/>
  <sheetViews>
    <sheetView topLeftCell="A25" zoomScaleNormal="100" zoomScaleSheetLayoutView="100" workbookViewId="0">
      <selection activeCell="A37" sqref="A37:E37"/>
    </sheetView>
  </sheetViews>
  <sheetFormatPr defaultColWidth="9" defaultRowHeight="15" x14ac:dyDescent="0.25"/>
  <cols>
    <col min="1" max="1" width="4.875" style="1" customWidth="1"/>
    <col min="2" max="2" width="46.375" style="1" customWidth="1"/>
    <col min="3" max="3" width="10.75" style="1" customWidth="1"/>
    <col min="4" max="4" width="10.25" style="1" customWidth="1"/>
    <col min="5" max="5" width="10.5" style="1" customWidth="1"/>
    <col min="6" max="17" width="9" style="1" hidden="1" customWidth="1"/>
    <col min="18" max="18" width="16.125" style="1" hidden="1" customWidth="1"/>
    <col min="19" max="19" width="9.25" style="1" hidden="1" customWidth="1"/>
    <col min="20" max="21" width="0" style="1" hidden="1" customWidth="1"/>
    <col min="22" max="23" width="11.25" style="1" hidden="1" customWidth="1"/>
    <col min="24" max="16384" width="9" style="1"/>
  </cols>
  <sheetData>
    <row r="1" spans="1:23" ht="24" customHeight="1" x14ac:dyDescent="0.25">
      <c r="A1" s="240" t="s">
        <v>0</v>
      </c>
      <c r="B1" s="240"/>
      <c r="C1" s="240"/>
      <c r="D1" s="240"/>
      <c r="E1" s="240"/>
    </row>
    <row r="2" spans="1:23" ht="20.25" customHeight="1" x14ac:dyDescent="0.25">
      <c r="A2" s="240" t="s">
        <v>227</v>
      </c>
      <c r="B2" s="240"/>
      <c r="C2" s="240"/>
      <c r="D2" s="240"/>
      <c r="E2" s="240"/>
    </row>
    <row r="3" spans="1:23" ht="15.75" x14ac:dyDescent="0.25">
      <c r="A3" s="241" t="s">
        <v>235</v>
      </c>
      <c r="B3" s="242"/>
      <c r="C3" s="242"/>
      <c r="D3" s="242"/>
      <c r="E3" s="242"/>
    </row>
    <row r="4" spans="1:23" ht="20.25" customHeight="1" x14ac:dyDescent="0.25">
      <c r="A4" s="2"/>
      <c r="C4" s="246" t="s">
        <v>238</v>
      </c>
      <c r="D4" s="247"/>
      <c r="E4" s="247"/>
    </row>
    <row r="5" spans="1:23" ht="30.75" customHeight="1" x14ac:dyDescent="0.25">
      <c r="A5" s="243" t="s">
        <v>2</v>
      </c>
      <c r="B5" s="243" t="s">
        <v>3</v>
      </c>
      <c r="C5" s="244" t="s">
        <v>4</v>
      </c>
      <c r="D5" s="244" t="s">
        <v>203</v>
      </c>
      <c r="E5" s="244" t="s">
        <v>204</v>
      </c>
    </row>
    <row r="6" spans="1:23" ht="33.75" customHeight="1" x14ac:dyDescent="0.25">
      <c r="A6" s="243"/>
      <c r="B6" s="243"/>
      <c r="C6" s="245"/>
      <c r="D6" s="245"/>
      <c r="E6" s="245"/>
    </row>
    <row r="7" spans="1:23" ht="24" customHeight="1" x14ac:dyDescent="0.25">
      <c r="A7" s="103" t="s">
        <v>5</v>
      </c>
      <c r="B7" s="103" t="s">
        <v>6</v>
      </c>
      <c r="C7" s="103">
        <v>1</v>
      </c>
      <c r="D7" s="103">
        <v>2</v>
      </c>
      <c r="E7" s="103" t="s">
        <v>216</v>
      </c>
    </row>
    <row r="8" spans="1:23" ht="30.75" customHeight="1" x14ac:dyDescent="0.25">
      <c r="A8" s="3" t="s">
        <v>5</v>
      </c>
      <c r="B8" s="100" t="s">
        <v>7</v>
      </c>
      <c r="C8" s="74">
        <f>C9+C12+C18</f>
        <v>7604263</v>
      </c>
      <c r="D8" s="74">
        <f>D9+D12+D18</f>
        <v>4300</v>
      </c>
      <c r="E8" s="74">
        <f t="shared" ref="E8" si="0">E9+E12+E18</f>
        <v>7608563</v>
      </c>
      <c r="F8" s="7">
        <f>C19-C8</f>
        <v>10800.070954600349</v>
      </c>
      <c r="R8" s="8"/>
      <c r="V8" s="1">
        <v>7604263</v>
      </c>
      <c r="W8" s="8">
        <f>C8-V8</f>
        <v>0</v>
      </c>
    </row>
    <row r="9" spans="1:23" ht="25.5" customHeight="1" x14ac:dyDescent="0.25">
      <c r="A9" s="4" t="s">
        <v>8</v>
      </c>
      <c r="B9" s="5" t="s">
        <v>9</v>
      </c>
      <c r="C9" s="6">
        <f>C10+C11</f>
        <v>853100</v>
      </c>
      <c r="D9" s="6">
        <f t="shared" ref="D9:E9" si="1">D10+D11</f>
        <v>41550</v>
      </c>
      <c r="E9" s="6">
        <f t="shared" si="1"/>
        <v>894650</v>
      </c>
      <c r="F9" s="8"/>
      <c r="H9" s="8">
        <f>C8-C19</f>
        <v>-10800.070954600349</v>
      </c>
      <c r="J9" s="6">
        <v>654500</v>
      </c>
      <c r="K9" s="8">
        <f>C9-J9</f>
        <v>198600</v>
      </c>
      <c r="S9" s="9"/>
      <c r="T9" s="9">
        <v>853100</v>
      </c>
      <c r="U9" s="8">
        <f>C9-T9</f>
        <v>0</v>
      </c>
    </row>
    <row r="10" spans="1:23" ht="24.75" customHeight="1" x14ac:dyDescent="0.25">
      <c r="A10" s="10" t="s">
        <v>10</v>
      </c>
      <c r="B10" s="11" t="s">
        <v>11</v>
      </c>
      <c r="C10" s="13">
        <v>620000</v>
      </c>
      <c r="D10" s="13">
        <v>41550</v>
      </c>
      <c r="E10" s="13">
        <f>C10+D10</f>
        <v>661550</v>
      </c>
      <c r="F10" s="8">
        <f>C8+10800</f>
        <v>7615063</v>
      </c>
      <c r="S10" s="9"/>
      <c r="T10" s="1">
        <v>620000</v>
      </c>
      <c r="U10" s="8">
        <f>C10-T10</f>
        <v>0</v>
      </c>
    </row>
    <row r="11" spans="1:23" ht="23.25" customHeight="1" x14ac:dyDescent="0.25">
      <c r="A11" s="10" t="s">
        <v>10</v>
      </c>
      <c r="B11" s="11" t="s">
        <v>12</v>
      </c>
      <c r="C11" s="13">
        <v>233100</v>
      </c>
      <c r="D11" s="13"/>
      <c r="E11" s="13">
        <f>C11+D11</f>
        <v>233100</v>
      </c>
      <c r="F11" s="8">
        <f>C19-C8</f>
        <v>10800.070954600349</v>
      </c>
      <c r="G11" s="8">
        <f>17300-630</f>
        <v>16670</v>
      </c>
      <c r="T11" s="1">
        <v>233100</v>
      </c>
      <c r="U11" s="8">
        <f>C11-T11</f>
        <v>0</v>
      </c>
    </row>
    <row r="12" spans="1:23" ht="29.25" customHeight="1" x14ac:dyDescent="0.25">
      <c r="A12" s="4" t="s">
        <v>13</v>
      </c>
      <c r="B12" s="5" t="s">
        <v>14</v>
      </c>
      <c r="C12" s="6">
        <f>SUM(C13:C15)</f>
        <v>6668663</v>
      </c>
      <c r="D12" s="6"/>
      <c r="E12" s="6">
        <f>C12+D12</f>
        <v>6668663</v>
      </c>
      <c r="S12" s="8"/>
      <c r="U12" s="8"/>
    </row>
    <row r="13" spans="1:23" ht="31.5" customHeight="1" x14ac:dyDescent="0.25">
      <c r="A13" s="10">
        <v>1</v>
      </c>
      <c r="B13" s="11" t="s">
        <v>15</v>
      </c>
      <c r="C13" s="12">
        <v>3980441</v>
      </c>
      <c r="D13" s="12"/>
      <c r="E13" s="6">
        <f t="shared" ref="E13:E15" si="2">C13+D13</f>
        <v>3980441</v>
      </c>
      <c r="F13" s="8" t="e">
        <f>C13-#REF!</f>
        <v>#REF!</v>
      </c>
      <c r="U13" s="8"/>
    </row>
    <row r="14" spans="1:23" ht="24.75" customHeight="1" x14ac:dyDescent="0.25">
      <c r="A14" s="10">
        <v>2</v>
      </c>
      <c r="B14" s="11" t="s">
        <v>16</v>
      </c>
      <c r="C14" s="12">
        <v>0</v>
      </c>
      <c r="D14" s="12"/>
      <c r="E14" s="6">
        <f t="shared" si="2"/>
        <v>0</v>
      </c>
      <c r="U14" s="8"/>
    </row>
    <row r="15" spans="1:23" ht="22.5" customHeight="1" x14ac:dyDescent="0.25">
      <c r="A15" s="10">
        <v>3</v>
      </c>
      <c r="B15" s="11" t="s">
        <v>17</v>
      </c>
      <c r="C15" s="12">
        <v>2688222</v>
      </c>
      <c r="D15" s="12"/>
      <c r="E15" s="6">
        <f t="shared" si="2"/>
        <v>2688222</v>
      </c>
      <c r="F15" s="8">
        <f>F10-C19</f>
        <v>-7.0954600349068642E-2</v>
      </c>
      <c r="H15" s="8" t="e">
        <f>#REF!-#REF!</f>
        <v>#REF!</v>
      </c>
      <c r="M15" s="8"/>
      <c r="U15" s="8"/>
    </row>
    <row r="16" spans="1:23" ht="27" customHeight="1" x14ac:dyDescent="0.25">
      <c r="A16" s="4" t="s">
        <v>18</v>
      </c>
      <c r="B16" s="5" t="s">
        <v>19</v>
      </c>
      <c r="C16" s="12"/>
      <c r="D16" s="12"/>
      <c r="E16" s="12"/>
      <c r="S16" s="8">
        <f>C13+C9</f>
        <v>4833541</v>
      </c>
      <c r="U16" s="8">
        <f>C16-T16</f>
        <v>0</v>
      </c>
    </row>
    <row r="17" spans="1:21" ht="26.25" customHeight="1" x14ac:dyDescent="0.25">
      <c r="A17" s="4" t="s">
        <v>20</v>
      </c>
      <c r="B17" s="5" t="s">
        <v>21</v>
      </c>
      <c r="C17" s="12"/>
      <c r="D17" s="12"/>
      <c r="E17" s="12"/>
      <c r="S17" s="1">
        <f>S16*4%</f>
        <v>193341.64</v>
      </c>
      <c r="U17" s="8">
        <f>C17-T17</f>
        <v>0</v>
      </c>
    </row>
    <row r="18" spans="1:21" ht="25.5" customHeight="1" x14ac:dyDescent="0.25">
      <c r="A18" s="4" t="s">
        <v>22</v>
      </c>
      <c r="B18" s="5" t="s">
        <v>23</v>
      </c>
      <c r="C18" s="15">
        <f>82500</f>
        <v>82500</v>
      </c>
      <c r="D18" s="15">
        <v>-37250</v>
      </c>
      <c r="E18" s="15">
        <f>C18+D18</f>
        <v>45250</v>
      </c>
      <c r="F18" s="8">
        <f>C8+C32</f>
        <v>7615063.0709546003</v>
      </c>
      <c r="R18" s="8"/>
      <c r="T18" s="1">
        <v>82500</v>
      </c>
      <c r="U18" s="8">
        <f>C18-T18</f>
        <v>0</v>
      </c>
    </row>
    <row r="19" spans="1:21" ht="21.75" customHeight="1" x14ac:dyDescent="0.25">
      <c r="A19" s="4" t="s">
        <v>6</v>
      </c>
      <c r="B19" s="5" t="s">
        <v>24</v>
      </c>
      <c r="C19" s="6">
        <f>C20+C27+C31</f>
        <v>7615063.0709546003</v>
      </c>
      <c r="D19" s="6">
        <f t="shared" ref="D19:E19" si="3">D20+D27+D31</f>
        <v>4300</v>
      </c>
      <c r="E19" s="6">
        <f t="shared" si="3"/>
        <v>7619363.0709546003</v>
      </c>
      <c r="F19" s="8" t="e">
        <f>#REF!-#REF!</f>
        <v>#REF!</v>
      </c>
      <c r="G19" s="1">
        <f>4831253</f>
        <v>4831253</v>
      </c>
      <c r="I19" s="8">
        <f>C19-C8</f>
        <v>10800.070954600349</v>
      </c>
      <c r="J19" s="8">
        <f>C19-C8</f>
        <v>10800.070954600349</v>
      </c>
      <c r="M19" s="16" t="e">
        <f>#REF!-#REF!</f>
        <v>#REF!</v>
      </c>
      <c r="N19" s="1" t="s">
        <v>25</v>
      </c>
      <c r="S19" s="8">
        <f>C19-C8</f>
        <v>10800.070954600349</v>
      </c>
    </row>
    <row r="20" spans="1:21" ht="22.5" customHeight="1" x14ac:dyDescent="0.25">
      <c r="A20" s="4" t="s">
        <v>8</v>
      </c>
      <c r="B20" s="5" t="s">
        <v>26</v>
      </c>
      <c r="C20" s="6">
        <f>SUM(C21:C26)</f>
        <v>4926841.0709546003</v>
      </c>
      <c r="D20" s="6">
        <f>SUM(D21:D26)</f>
        <v>4300</v>
      </c>
      <c r="E20" s="6">
        <f>C20+D20</f>
        <v>4931141.0709546003</v>
      </c>
      <c r="F20" s="8" t="e">
        <f>#REF!-#REF!</f>
        <v>#REF!</v>
      </c>
      <c r="G20" s="8">
        <f>C19-G19</f>
        <v>2783810.0709546003</v>
      </c>
    </row>
    <row r="21" spans="1:21" ht="23.25" customHeight="1" x14ac:dyDescent="0.25">
      <c r="A21" s="10">
        <v>1</v>
      </c>
      <c r="B21" s="11" t="s">
        <v>27</v>
      </c>
      <c r="C21" s="12">
        <v>766905</v>
      </c>
      <c r="D21" s="12"/>
      <c r="E21" s="12">
        <f>C21</f>
        <v>766905</v>
      </c>
      <c r="G21" s="1">
        <f>630</f>
        <v>630</v>
      </c>
      <c r="M21" s="8">
        <f>C19-C8</f>
        <v>10800.070954600349</v>
      </c>
    </row>
    <row r="22" spans="1:21" ht="21.75" customHeight="1" x14ac:dyDescent="0.25">
      <c r="A22" s="10">
        <v>2</v>
      </c>
      <c r="B22" s="11" t="s">
        <v>28</v>
      </c>
      <c r="C22" s="12">
        <f>3942897.0781546</f>
        <v>3942897.0781546002</v>
      </c>
      <c r="D22" s="12">
        <v>4300</v>
      </c>
      <c r="E22" s="12">
        <f>C22+D22</f>
        <v>3947197.0781546002</v>
      </c>
      <c r="G22" s="8">
        <f>G20+G21</f>
        <v>2784440.0709546003</v>
      </c>
    </row>
    <row r="23" spans="1:21" ht="27.75" customHeight="1" x14ac:dyDescent="0.25">
      <c r="A23" s="10">
        <v>3</v>
      </c>
      <c r="B23" s="11" t="s">
        <v>29</v>
      </c>
      <c r="C23" s="12">
        <v>2000</v>
      </c>
      <c r="D23" s="12"/>
      <c r="E23" s="12">
        <f>C23</f>
        <v>2000</v>
      </c>
    </row>
    <row r="24" spans="1:21" ht="26.25" customHeight="1" x14ac:dyDescent="0.25">
      <c r="A24" s="10">
        <v>4</v>
      </c>
      <c r="B24" s="11" t="s">
        <v>30</v>
      </c>
      <c r="C24" s="12">
        <v>1000</v>
      </c>
      <c r="D24" s="12"/>
      <c r="E24" s="12">
        <f t="shared" ref="E24:E36" si="4">C24</f>
        <v>1000</v>
      </c>
      <c r="F24" s="8"/>
    </row>
    <row r="25" spans="1:21" ht="30" customHeight="1" x14ac:dyDescent="0.25">
      <c r="A25" s="10">
        <v>5</v>
      </c>
      <c r="B25" s="11" t="s">
        <v>31</v>
      </c>
      <c r="C25" s="12">
        <v>135903.03200000001</v>
      </c>
      <c r="D25" s="12"/>
      <c r="E25" s="12">
        <f t="shared" si="4"/>
        <v>135903.03200000001</v>
      </c>
    </row>
    <row r="26" spans="1:21" ht="21.75" customHeight="1" x14ac:dyDescent="0.25">
      <c r="A26" s="10">
        <v>6</v>
      </c>
      <c r="B26" s="11" t="s">
        <v>32</v>
      </c>
      <c r="C26" s="12">
        <v>78135.960800000001</v>
      </c>
      <c r="D26" s="12"/>
      <c r="E26" s="12">
        <f t="shared" si="4"/>
        <v>78135.960800000001</v>
      </c>
    </row>
    <row r="27" spans="1:21" ht="26.25" customHeight="1" x14ac:dyDescent="0.25">
      <c r="A27" s="4" t="s">
        <v>13</v>
      </c>
      <c r="B27" s="5" t="s">
        <v>33</v>
      </c>
      <c r="C27" s="6">
        <f>C28+C29+C30</f>
        <v>2688222</v>
      </c>
      <c r="D27" s="6">
        <v>0</v>
      </c>
      <c r="E27" s="6">
        <f t="shared" si="4"/>
        <v>2688222</v>
      </c>
    </row>
    <row r="28" spans="1:21" ht="22.5" customHeight="1" x14ac:dyDescent="0.25">
      <c r="A28" s="10">
        <v>1</v>
      </c>
      <c r="B28" s="11" t="s">
        <v>34</v>
      </c>
      <c r="C28" s="12">
        <v>1484442</v>
      </c>
      <c r="D28" s="12"/>
      <c r="E28" s="12">
        <f t="shared" si="4"/>
        <v>1484442</v>
      </c>
    </row>
    <row r="29" spans="1:21" ht="25.5" customHeight="1" x14ac:dyDescent="0.25">
      <c r="A29" s="10">
        <v>2</v>
      </c>
      <c r="B29" s="11" t="s">
        <v>35</v>
      </c>
      <c r="C29" s="12">
        <v>77962</v>
      </c>
      <c r="D29" s="12"/>
      <c r="E29" s="12">
        <f t="shared" si="4"/>
        <v>77962</v>
      </c>
    </row>
    <row r="30" spans="1:21" ht="24" customHeight="1" x14ac:dyDescent="0.25">
      <c r="A30" s="10">
        <v>3</v>
      </c>
      <c r="B30" s="11" t="s">
        <v>36</v>
      </c>
      <c r="C30" s="12">
        <v>1125818</v>
      </c>
      <c r="D30" s="12"/>
      <c r="E30" s="12">
        <f t="shared" si="4"/>
        <v>1125818</v>
      </c>
      <c r="F30" s="1">
        <f>408-237</f>
        <v>171</v>
      </c>
    </row>
    <row r="31" spans="1:21" ht="23.25" customHeight="1" x14ac:dyDescent="0.25">
      <c r="A31" s="4" t="s">
        <v>18</v>
      </c>
      <c r="B31" s="5" t="s">
        <v>37</v>
      </c>
      <c r="C31" s="12"/>
      <c r="D31" s="12"/>
      <c r="E31" s="12">
        <f t="shared" si="4"/>
        <v>0</v>
      </c>
      <c r="F31" s="8"/>
    </row>
    <row r="32" spans="1:21" ht="20.25" customHeight="1" x14ac:dyDescent="0.25">
      <c r="A32" s="4" t="s">
        <v>38</v>
      </c>
      <c r="B32" s="5" t="s">
        <v>39</v>
      </c>
      <c r="C32" s="6">
        <f>C19-C8</f>
        <v>10800.070954600349</v>
      </c>
      <c r="D32" s="6">
        <f t="shared" ref="D32:E32" si="5">D19-D8</f>
        <v>0</v>
      </c>
      <c r="E32" s="6">
        <f t="shared" si="5"/>
        <v>10800.070954600349</v>
      </c>
      <c r="R32" s="8">
        <f>C32-10800</f>
        <v>7.0954600349068642E-2</v>
      </c>
    </row>
    <row r="33" spans="1:5" ht="23.25" customHeight="1" x14ac:dyDescent="0.25">
      <c r="A33" s="4" t="s">
        <v>40</v>
      </c>
      <c r="B33" s="5" t="s">
        <v>41</v>
      </c>
      <c r="C33" s="6">
        <v>48100</v>
      </c>
      <c r="D33" s="6">
        <v>0</v>
      </c>
      <c r="E33" s="6">
        <f t="shared" si="4"/>
        <v>48100</v>
      </c>
    </row>
    <row r="34" spans="1:5" ht="22.5" customHeight="1" x14ac:dyDescent="0.25">
      <c r="A34" s="4" t="s">
        <v>8</v>
      </c>
      <c r="B34" s="5" t="s">
        <v>42</v>
      </c>
      <c r="C34" s="6">
        <v>48100</v>
      </c>
      <c r="D34" s="6"/>
      <c r="E34" s="6">
        <f t="shared" si="4"/>
        <v>48100</v>
      </c>
    </row>
    <row r="35" spans="1:5" ht="37.5" customHeight="1" x14ac:dyDescent="0.25">
      <c r="A35" s="4" t="s">
        <v>13</v>
      </c>
      <c r="B35" s="5" t="s">
        <v>43</v>
      </c>
      <c r="C35" s="15">
        <v>0</v>
      </c>
      <c r="D35" s="15"/>
      <c r="E35" s="6">
        <f t="shared" si="4"/>
        <v>0</v>
      </c>
    </row>
    <row r="36" spans="1:5" ht="25.5" customHeight="1" x14ac:dyDescent="0.25">
      <c r="A36" s="18" t="s">
        <v>44</v>
      </c>
      <c r="B36" s="19" t="s">
        <v>45</v>
      </c>
      <c r="C36" s="20">
        <v>58900</v>
      </c>
      <c r="D36" s="20">
        <v>0</v>
      </c>
      <c r="E36" s="6">
        <f t="shared" si="4"/>
        <v>58900</v>
      </c>
    </row>
    <row r="37" spans="1:5" s="23" customFormat="1" ht="111.75" customHeight="1" x14ac:dyDescent="0.25">
      <c r="A37" s="238" t="s">
        <v>228</v>
      </c>
      <c r="B37" s="238"/>
      <c r="C37" s="238"/>
      <c r="D37" s="238"/>
      <c r="E37" s="238"/>
    </row>
    <row r="38" spans="1:5" s="23" customFormat="1" x14ac:dyDescent="0.25">
      <c r="A38" s="239"/>
      <c r="B38" s="239"/>
      <c r="C38" s="239"/>
      <c r="D38" s="239"/>
      <c r="E38" s="239"/>
    </row>
    <row r="39" spans="1:5" s="23" customFormat="1" x14ac:dyDescent="0.25">
      <c r="A39" s="239"/>
      <c r="B39" s="239"/>
      <c r="C39" s="239"/>
      <c r="D39" s="239"/>
      <c r="E39" s="239"/>
    </row>
    <row r="40" spans="1:5" x14ac:dyDescent="0.25">
      <c r="B40" s="8"/>
    </row>
  </sheetData>
  <mergeCells count="12">
    <mergeCell ref="A37:E37"/>
    <mergeCell ref="A38:E38"/>
    <mergeCell ref="A39:E39"/>
    <mergeCell ref="A1:E1"/>
    <mergeCell ref="A3:E3"/>
    <mergeCell ref="A5:A6"/>
    <mergeCell ref="B5:B6"/>
    <mergeCell ref="D5:D6"/>
    <mergeCell ref="C5:C6"/>
    <mergeCell ref="E5:E6"/>
    <mergeCell ref="A2:E2"/>
    <mergeCell ref="C4:E4"/>
  </mergeCells>
  <pageMargins left="0.7" right="0.54" top="0.5600000000000000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58"/>
  <sheetViews>
    <sheetView tabSelected="1" topLeftCell="A13" workbookViewId="0">
      <selection activeCell="F8" sqref="F8"/>
    </sheetView>
  </sheetViews>
  <sheetFormatPr defaultColWidth="9" defaultRowHeight="12.75" x14ac:dyDescent="0.2"/>
  <cols>
    <col min="1" max="1" width="4.625" style="33" customWidth="1"/>
    <col min="2" max="2" width="40.875" style="33" customWidth="1"/>
    <col min="3" max="3" width="7.625" style="33" customWidth="1"/>
    <col min="4" max="5" width="7.25" style="33" customWidth="1"/>
    <col min="6" max="6" width="8" style="33" customWidth="1"/>
    <col min="7" max="7" width="10" style="33" customWidth="1"/>
    <col min="8" max="8" width="10.5" style="33" customWidth="1"/>
    <col min="9" max="9" width="7.5" style="33" hidden="1" customWidth="1"/>
    <col min="10" max="10" width="6.75" style="33" hidden="1" customWidth="1"/>
    <col min="11" max="11" width="6.625" style="33" hidden="1" customWidth="1"/>
    <col min="12" max="12" width="6.875" style="33" hidden="1" customWidth="1"/>
    <col min="13" max="13" width="6.625" style="33" hidden="1" customWidth="1"/>
    <col min="14" max="14" width="6.875" style="33" hidden="1" customWidth="1"/>
    <col min="15" max="15" width="7.625" style="33" hidden="1" customWidth="1"/>
    <col min="16" max="16" width="7.375" style="33" hidden="1" customWidth="1"/>
    <col min="17" max="17" width="6.875" style="33" hidden="1" customWidth="1"/>
    <col min="18" max="18" width="7.875" style="33" hidden="1" customWidth="1"/>
    <col min="19" max="19" width="7.75" style="33" hidden="1" customWidth="1"/>
    <col min="20" max="20" width="7.375" style="33" hidden="1" customWidth="1"/>
    <col min="21" max="21" width="7.625" style="33" hidden="1" customWidth="1"/>
    <col min="22" max="23" width="7.875" style="33" hidden="1" customWidth="1"/>
    <col min="24" max="24" width="7" style="33" hidden="1" customWidth="1"/>
    <col min="25" max="25" width="10.125" style="33" hidden="1" customWidth="1"/>
    <col min="26" max="26" width="9.5" style="33" hidden="1" customWidth="1"/>
    <col min="27" max="27" width="8.125" style="33" hidden="1" customWidth="1"/>
    <col min="28" max="28" width="10.125" style="33" hidden="1" customWidth="1"/>
    <col min="29" max="33" width="9" style="33" hidden="1" customWidth="1"/>
    <col min="34" max="36" width="0" style="33" hidden="1" customWidth="1"/>
    <col min="37" max="16384" width="9" style="33"/>
  </cols>
  <sheetData>
    <row r="1" spans="1:36" ht="18.75" x14ac:dyDescent="0.2">
      <c r="A1" s="240" t="s">
        <v>225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row>
    <row r="2" spans="1:36" ht="15.75" x14ac:dyDescent="0.2">
      <c r="A2" s="241" t="s">
        <v>234</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row>
    <row r="3" spans="1:36" x14ac:dyDescent="0.2">
      <c r="A3" s="105"/>
      <c r="G3" s="252" t="s">
        <v>1</v>
      </c>
      <c r="H3" s="252"/>
    </row>
    <row r="4" spans="1:36" ht="32.25" customHeight="1" x14ac:dyDescent="0.2">
      <c r="A4" s="253" t="s">
        <v>2</v>
      </c>
      <c r="B4" s="253" t="s">
        <v>3</v>
      </c>
      <c r="C4" s="253" t="s">
        <v>4</v>
      </c>
      <c r="D4" s="253"/>
      <c r="E4" s="250" t="s">
        <v>229</v>
      </c>
      <c r="F4" s="251"/>
      <c r="G4" s="253" t="s">
        <v>205</v>
      </c>
      <c r="H4" s="253"/>
      <c r="I4" s="249" t="s">
        <v>47</v>
      </c>
      <c r="J4" s="249"/>
      <c r="K4" s="249" t="s">
        <v>48</v>
      </c>
      <c r="L4" s="249"/>
      <c r="M4" s="249" t="s">
        <v>49</v>
      </c>
      <c r="N4" s="249"/>
      <c r="O4" s="249" t="s">
        <v>50</v>
      </c>
      <c r="P4" s="249"/>
      <c r="Q4" s="249" t="s">
        <v>51</v>
      </c>
      <c r="R4" s="249"/>
      <c r="S4" s="249" t="s">
        <v>52</v>
      </c>
      <c r="T4" s="249"/>
      <c r="U4" s="249" t="s">
        <v>53</v>
      </c>
      <c r="V4" s="249"/>
      <c r="W4" s="249" t="s">
        <v>54</v>
      </c>
      <c r="X4" s="249"/>
      <c r="Y4" s="254" t="s">
        <v>55</v>
      </c>
      <c r="Z4" s="255"/>
      <c r="AA4" s="106" t="s">
        <v>56</v>
      </c>
    </row>
    <row r="5" spans="1:36" ht="38.25" x14ac:dyDescent="0.2">
      <c r="A5" s="253"/>
      <c r="B5" s="253"/>
      <c r="C5" s="107" t="s">
        <v>57</v>
      </c>
      <c r="D5" s="107" t="s">
        <v>58</v>
      </c>
      <c r="E5" s="107" t="s">
        <v>57</v>
      </c>
      <c r="F5" s="107" t="s">
        <v>58</v>
      </c>
      <c r="G5" s="107" t="s">
        <v>57</v>
      </c>
      <c r="H5" s="107" t="s">
        <v>58</v>
      </c>
      <c r="I5" s="107" t="s">
        <v>57</v>
      </c>
      <c r="J5" s="107" t="s">
        <v>58</v>
      </c>
      <c r="K5" s="107" t="s">
        <v>57</v>
      </c>
      <c r="L5" s="107" t="s">
        <v>58</v>
      </c>
      <c r="M5" s="107" t="s">
        <v>57</v>
      </c>
      <c r="N5" s="107" t="s">
        <v>58</v>
      </c>
      <c r="O5" s="107" t="s">
        <v>57</v>
      </c>
      <c r="P5" s="107" t="s">
        <v>58</v>
      </c>
      <c r="Q5" s="107" t="s">
        <v>57</v>
      </c>
      <c r="R5" s="107" t="s">
        <v>58</v>
      </c>
      <c r="S5" s="107" t="s">
        <v>57</v>
      </c>
      <c r="T5" s="107" t="s">
        <v>58</v>
      </c>
      <c r="U5" s="107" t="s">
        <v>57</v>
      </c>
      <c r="V5" s="107" t="s">
        <v>58</v>
      </c>
      <c r="W5" s="107" t="s">
        <v>57</v>
      </c>
      <c r="X5" s="107" t="s">
        <v>58</v>
      </c>
      <c r="Y5" s="107" t="s">
        <v>57</v>
      </c>
      <c r="Z5" s="107" t="s">
        <v>58</v>
      </c>
      <c r="AA5" s="107" t="s">
        <v>57</v>
      </c>
    </row>
    <row r="6" spans="1:36" x14ac:dyDescent="0.2">
      <c r="A6" s="107" t="s">
        <v>5</v>
      </c>
      <c r="B6" s="107" t="s">
        <v>6</v>
      </c>
      <c r="C6" s="107">
        <v>1</v>
      </c>
      <c r="D6" s="107">
        <v>2</v>
      </c>
      <c r="E6" s="107">
        <v>3</v>
      </c>
      <c r="F6" s="107">
        <v>4</v>
      </c>
      <c r="G6" s="107" t="s">
        <v>214</v>
      </c>
      <c r="H6" s="107" t="s">
        <v>215</v>
      </c>
      <c r="I6" s="107">
        <v>9</v>
      </c>
      <c r="J6" s="107">
        <v>10</v>
      </c>
      <c r="K6" s="107">
        <v>11</v>
      </c>
      <c r="L6" s="107">
        <v>12</v>
      </c>
      <c r="M6" s="107">
        <v>13</v>
      </c>
      <c r="N6" s="107">
        <v>14</v>
      </c>
      <c r="O6" s="107">
        <v>15</v>
      </c>
      <c r="P6" s="107">
        <v>16</v>
      </c>
      <c r="Q6" s="107">
        <v>17</v>
      </c>
      <c r="R6" s="107">
        <v>18</v>
      </c>
      <c r="S6" s="107">
        <v>19</v>
      </c>
      <c r="T6" s="107">
        <v>20</v>
      </c>
      <c r="U6" s="107">
        <v>21</v>
      </c>
      <c r="V6" s="107">
        <v>22</v>
      </c>
      <c r="W6" s="107">
        <v>23</v>
      </c>
      <c r="X6" s="107">
        <v>24</v>
      </c>
      <c r="Y6" s="107">
        <v>25</v>
      </c>
      <c r="Z6" s="107">
        <v>26</v>
      </c>
      <c r="AA6" s="107">
        <v>27</v>
      </c>
    </row>
    <row r="7" spans="1:36" s="30" customFormat="1" x14ac:dyDescent="0.2">
      <c r="A7" s="108"/>
      <c r="B7" s="107" t="s">
        <v>59</v>
      </c>
      <c r="C7" s="216">
        <f t="shared" ref="C7:F7" si="0">C8+C54+C55</f>
        <v>955000</v>
      </c>
      <c r="D7" s="216">
        <f t="shared" si="0"/>
        <v>853100</v>
      </c>
      <c r="E7" s="216">
        <f t="shared" si="0"/>
        <v>41550</v>
      </c>
      <c r="F7" s="216">
        <f t="shared" si="0"/>
        <v>41550</v>
      </c>
      <c r="G7" s="216">
        <f t="shared" ref="G7:H7" si="1">G8+G54+G55</f>
        <v>996550</v>
      </c>
      <c r="H7" s="216">
        <f t="shared" si="1"/>
        <v>894650</v>
      </c>
      <c r="I7" s="102" t="e">
        <f>I8+I54+I55+#REF!</f>
        <v>#REF!</v>
      </c>
      <c r="J7" s="102" t="e">
        <f>J8+J54+J55+#REF!</f>
        <v>#REF!</v>
      </c>
      <c r="K7" s="102" t="e">
        <f>K8+K54+K55+#REF!</f>
        <v>#REF!</v>
      </c>
      <c r="L7" s="102" t="e">
        <f>L8+L54+L55+#REF!</f>
        <v>#REF!</v>
      </c>
      <c r="M7" s="102" t="e">
        <f>M8+M54+M55+#REF!</f>
        <v>#REF!</v>
      </c>
      <c r="N7" s="102" t="e">
        <f>N8+N54+N55+#REF!</f>
        <v>#REF!</v>
      </c>
      <c r="O7" s="102" t="e">
        <f>O8+O54+O55+#REF!</f>
        <v>#REF!</v>
      </c>
      <c r="P7" s="102" t="e">
        <f>P8+P54+P55+#REF!</f>
        <v>#REF!</v>
      </c>
      <c r="Q7" s="102" t="e">
        <f>Q8+Q54+Q55+#REF!</f>
        <v>#REF!</v>
      </c>
      <c r="R7" s="102" t="e">
        <f>R8+R54+R55+#REF!</f>
        <v>#REF!</v>
      </c>
      <c r="S7" s="102" t="e">
        <f>S8+S54+S55+#REF!</f>
        <v>#REF!</v>
      </c>
      <c r="T7" s="102" t="e">
        <f>T8+T54+T55+#REF!</f>
        <v>#REF!</v>
      </c>
      <c r="U7" s="102" t="e">
        <f>U8+U54+U55+#REF!</f>
        <v>#REF!</v>
      </c>
      <c r="V7" s="102" t="e">
        <f>V8+V54+V55+#REF!</f>
        <v>#REF!</v>
      </c>
      <c r="W7" s="102" t="e">
        <f>W8+W54+W55+#REF!</f>
        <v>#REF!</v>
      </c>
      <c r="X7" s="102" t="e">
        <f>X8+X54+X55+#REF!</f>
        <v>#REF!</v>
      </c>
      <c r="Y7" s="102" t="e">
        <f>Y8+Y54+Y55+#REF!</f>
        <v>#REF!</v>
      </c>
      <c r="Z7" s="102" t="e">
        <f>Z8+Z54+Z55+#REF!</f>
        <v>#REF!</v>
      </c>
      <c r="AA7" s="102" t="e">
        <f>AA8+AA54+AA55+#REF!</f>
        <v>#REF!</v>
      </c>
      <c r="AH7" s="33">
        <v>41550</v>
      </c>
      <c r="AI7" s="109">
        <f>C7-AH7</f>
        <v>913450</v>
      </c>
      <c r="AJ7" s="109">
        <f>D7-AH7</f>
        <v>811550</v>
      </c>
    </row>
    <row r="8" spans="1:36" s="30" customFormat="1" x14ac:dyDescent="0.2">
      <c r="A8" s="27" t="s">
        <v>8</v>
      </c>
      <c r="B8" s="217" t="s">
        <v>60</v>
      </c>
      <c r="C8" s="218">
        <f>SUM(C9,C14,C20,C24,C30,C31,C32,C33,C34,C35,C36,C39,C42,C47,C48,C49,C53,C52)</f>
        <v>930000</v>
      </c>
      <c r="D8" s="218">
        <f>SUM(D9,D14,D20,D24,D30,D31,D32,D33,D34,D35,D36,D39,D42,D47,D48,D49,D53,D52)</f>
        <v>853100</v>
      </c>
      <c r="E8" s="218">
        <f t="shared" ref="E8:F8" si="2">SUM(E9,E14,E20,E24,E30,E31,E32,E33,E34,E35,E36,E39,E42,E47,E48,E49,E53,E52)</f>
        <v>41550</v>
      </c>
      <c r="F8" s="218">
        <f t="shared" si="2"/>
        <v>41550</v>
      </c>
      <c r="G8" s="218">
        <f>SUM(G9,G14,G20,G24,G30,G31,G32,G33,G34,G35,G36,G39,G42,G47,G48,G49,G53,G52)</f>
        <v>971550</v>
      </c>
      <c r="H8" s="218">
        <f>SUM(H9,H14,H20,H24,H30,H31,H32,H33,H34,H35,H36,H39,H42,H47,H48,H49,H53,H52)</f>
        <v>894650</v>
      </c>
      <c r="I8" s="29" t="e">
        <f>I9+I14+I20+I24+I30+I31+I32+I33+I34+I35+I36+I39+I42+I47+#REF!+I48+I49</f>
        <v>#REF!</v>
      </c>
      <c r="J8" s="29" t="e">
        <f>J9+J14+J20+J24+J30+J31+J32+J33+J34+J35+J36+J39+J42+J47+#REF!+J48+J49</f>
        <v>#REF!</v>
      </c>
      <c r="K8" s="29" t="e">
        <f>K9+K14+K20+K24+K30+K31+K32+K33+K34+K35+K36+K39+K42+K47+#REF!+K48+K49</f>
        <v>#REF!</v>
      </c>
      <c r="L8" s="29" t="e">
        <f>L9+L14+L20+L24+L30+L31+L32+L33+L34+L35+L36+L39+L42+L47+#REF!+L48+L49</f>
        <v>#REF!</v>
      </c>
      <c r="M8" s="29" t="e">
        <f>M9+M14+M20+M24+M30+M31+M32+M33+M34+M35+M36+M39+M42+M47+#REF!+M48+M49</f>
        <v>#REF!</v>
      </c>
      <c r="N8" s="29" t="e">
        <f>N9+N14+N20+N24+N30+N31+N32+N33+N34+N35+N36+N39+N42+N47+#REF!+N48+N49</f>
        <v>#REF!</v>
      </c>
      <c r="O8" s="29" t="e">
        <f>O9+O14+O20+O24+O30+O31+O32+O33+O34+O35+O36+O39+O42+O47+#REF!+O48+O49</f>
        <v>#REF!</v>
      </c>
      <c r="P8" s="29" t="e">
        <f>P9+P14+P20+P24+P30+P31+P32+P33+P34+P35+P36+P39+P42+P47+#REF!+P48+P49</f>
        <v>#REF!</v>
      </c>
      <c r="Q8" s="29" t="e">
        <f>Q9+Q14+Q20+Q24+Q30+Q31+Q32+Q33+Q34+Q35+Q36+Q39+Q42+Q47+#REF!+Q48+Q49</f>
        <v>#REF!</v>
      </c>
      <c r="R8" s="29" t="e">
        <f>R9+R14+R20+R24+R30+R31+R32+R33+R34+R35+R36+R39+R42+R47+#REF!+R48+R49</f>
        <v>#REF!</v>
      </c>
      <c r="S8" s="29" t="e">
        <f>S9+S14+S20+S24+S30+S31+S32+S33+S34+S35+S36+S39+S42+S47+#REF!+S48+S49</f>
        <v>#REF!</v>
      </c>
      <c r="T8" s="29" t="e">
        <f>T9+T14+T20+T24+T30+T31+T32+T33+T34+T35+T36+T39+T42+T47+#REF!+T48+T49</f>
        <v>#REF!</v>
      </c>
      <c r="U8" s="29" t="e">
        <f>U9+U14+U20+U24+U30+U31+U32+U33+U34+U35+U36+U39+U42+U47+#REF!+U48+U49</f>
        <v>#REF!</v>
      </c>
      <c r="V8" s="29" t="e">
        <f>V9+V14+V20+V24+V30+V31+V32+V33+V34+V35+V36+V39+V42+V47+#REF!+V48+V49</f>
        <v>#REF!</v>
      </c>
      <c r="W8" s="29" t="e">
        <f>W9+W14+W20+W24+W30+W31+W32+W33+W34+W35+W36+W39+W42+W47+#REF!+W48+W49</f>
        <v>#REF!</v>
      </c>
      <c r="X8" s="29" t="e">
        <f>X9+X14+X20+X24+X30+X31+X32+X33+X34+X35+X36+X39+X42+X47+#REF!+X48+X49</f>
        <v>#REF!</v>
      </c>
      <c r="Y8" s="29" t="e">
        <f>Y9+Y14+Y20+Y24+Y30+Y31+Y32+Y33+Y34+Y35+Y36+Y39+Y42+Y47+#REF!+Y48+Y49</f>
        <v>#REF!</v>
      </c>
      <c r="Z8" s="29" t="e">
        <f>Z9+Z14+Z20+Z24+Z30+Z31+Z32+Z33+Z34+Z35+Z36+Z39+Z42+Z47+#REF!+Z48+Z49</f>
        <v>#REF!</v>
      </c>
      <c r="AA8" s="29"/>
      <c r="AB8" s="110"/>
      <c r="AC8" s="110"/>
      <c r="AH8" s="33">
        <v>41550</v>
      </c>
      <c r="AI8" s="109">
        <f>C8-AH8</f>
        <v>888450</v>
      </c>
      <c r="AJ8" s="109">
        <f>D8-AH8</f>
        <v>811550</v>
      </c>
    </row>
    <row r="9" spans="1:36" s="30" customFormat="1" x14ac:dyDescent="0.2">
      <c r="A9" s="27">
        <v>1</v>
      </c>
      <c r="B9" s="217" t="s">
        <v>61</v>
      </c>
      <c r="C9" s="216">
        <f>SUM(C10:C13)</f>
        <v>112000</v>
      </c>
      <c r="D9" s="216">
        <f>SUM(D10:D12)</f>
        <v>112000</v>
      </c>
      <c r="E9" s="216"/>
      <c r="F9" s="216"/>
      <c r="G9" s="216">
        <f>C9</f>
        <v>112000</v>
      </c>
      <c r="H9" s="216">
        <f>D9</f>
        <v>112000</v>
      </c>
      <c r="I9" s="29">
        <f>SUM(I10:I12)</f>
        <v>600</v>
      </c>
      <c r="J9" s="29">
        <f t="shared" ref="J9:Z9" si="3">SUM(J10:J12)</f>
        <v>0</v>
      </c>
      <c r="K9" s="29">
        <f t="shared" si="3"/>
        <v>60</v>
      </c>
      <c r="L9" s="29">
        <f t="shared" si="3"/>
        <v>0</v>
      </c>
      <c r="M9" s="29">
        <f t="shared" si="3"/>
        <v>850</v>
      </c>
      <c r="N9" s="29">
        <f t="shared" si="3"/>
        <v>0</v>
      </c>
      <c r="O9" s="29">
        <f t="shared" si="3"/>
        <v>19020</v>
      </c>
      <c r="P9" s="29">
        <f t="shared" si="3"/>
        <v>18800</v>
      </c>
      <c r="Q9" s="29">
        <f t="shared" si="3"/>
        <v>200</v>
      </c>
      <c r="R9" s="29">
        <f t="shared" si="3"/>
        <v>0</v>
      </c>
      <c r="S9" s="29">
        <f t="shared" si="3"/>
        <v>570</v>
      </c>
      <c r="T9" s="29">
        <f t="shared" si="3"/>
        <v>0</v>
      </c>
      <c r="U9" s="29">
        <f t="shared" si="3"/>
        <v>1400</v>
      </c>
      <c r="V9" s="29">
        <f t="shared" si="3"/>
        <v>1200</v>
      </c>
      <c r="W9" s="29">
        <f t="shared" si="3"/>
        <v>70</v>
      </c>
      <c r="X9" s="29">
        <f t="shared" si="3"/>
        <v>0</v>
      </c>
      <c r="Y9" s="29">
        <f t="shared" si="3"/>
        <v>47230</v>
      </c>
      <c r="Z9" s="29">
        <f t="shared" si="3"/>
        <v>107000</v>
      </c>
      <c r="AA9" s="29"/>
      <c r="AB9" s="102">
        <f>525010</f>
        <v>525010</v>
      </c>
      <c r="AC9" s="110"/>
    </row>
    <row r="10" spans="1:36" x14ac:dyDescent="0.2">
      <c r="A10" s="85"/>
      <c r="B10" s="219" t="s">
        <v>62</v>
      </c>
      <c r="C10" s="220">
        <v>76000</v>
      </c>
      <c r="D10" s="220">
        <v>76000</v>
      </c>
      <c r="E10" s="220"/>
      <c r="F10" s="220"/>
      <c r="G10" s="221">
        <f>C10</f>
        <v>76000</v>
      </c>
      <c r="H10" s="221">
        <f>D10</f>
        <v>76000</v>
      </c>
      <c r="I10" s="32">
        <v>0</v>
      </c>
      <c r="J10" s="32"/>
      <c r="K10" s="32">
        <v>0</v>
      </c>
      <c r="L10" s="32"/>
      <c r="M10" s="32">
        <v>0</v>
      </c>
      <c r="N10" s="32"/>
      <c r="O10" s="32">
        <v>0</v>
      </c>
      <c r="P10" s="32"/>
      <c r="Q10" s="32">
        <v>0</v>
      </c>
      <c r="R10" s="32"/>
      <c r="S10" s="32">
        <v>0</v>
      </c>
      <c r="T10" s="32"/>
      <c r="U10" s="32">
        <v>0</v>
      </c>
      <c r="V10" s="32"/>
      <c r="W10" s="32">
        <v>0</v>
      </c>
      <c r="X10" s="32"/>
      <c r="Y10" s="32">
        <v>1000</v>
      </c>
      <c r="Z10" s="32">
        <f>C10</f>
        <v>76000</v>
      </c>
      <c r="AA10" s="32"/>
      <c r="AB10" s="33">
        <v>535330</v>
      </c>
    </row>
    <row r="11" spans="1:36" x14ac:dyDescent="0.2">
      <c r="A11" s="85"/>
      <c r="B11" s="219" t="s">
        <v>63</v>
      </c>
      <c r="C11" s="220">
        <v>5000</v>
      </c>
      <c r="D11" s="220">
        <v>5000</v>
      </c>
      <c r="E11" s="220"/>
      <c r="F11" s="220"/>
      <c r="G11" s="221">
        <f t="shared" ref="G11:G31" si="4">C11</f>
        <v>5000</v>
      </c>
      <c r="H11" s="221">
        <f t="shared" ref="H11:H31" si="5">D11</f>
        <v>5000</v>
      </c>
      <c r="I11" s="32">
        <v>0</v>
      </c>
      <c r="J11" s="32">
        <v>0</v>
      </c>
      <c r="K11" s="32">
        <v>0</v>
      </c>
      <c r="L11" s="32">
        <v>0</v>
      </c>
      <c r="M11" s="32">
        <v>0</v>
      </c>
      <c r="N11" s="32">
        <v>0</v>
      </c>
      <c r="O11" s="32">
        <v>18800</v>
      </c>
      <c r="P11" s="32">
        <v>18800</v>
      </c>
      <c r="Q11" s="32">
        <v>0</v>
      </c>
      <c r="R11" s="32">
        <v>0</v>
      </c>
      <c r="S11" s="32">
        <v>0</v>
      </c>
      <c r="T11" s="32">
        <v>0</v>
      </c>
      <c r="U11" s="32">
        <v>1200</v>
      </c>
      <c r="V11" s="32">
        <v>1200</v>
      </c>
      <c r="W11" s="32">
        <v>0</v>
      </c>
      <c r="X11" s="32">
        <v>0</v>
      </c>
      <c r="Y11" s="32">
        <v>0</v>
      </c>
      <c r="Z11" s="32"/>
      <c r="AA11" s="32"/>
      <c r="AB11" s="109">
        <f>AB10-AB9</f>
        <v>10320</v>
      </c>
      <c r="AC11" s="109"/>
    </row>
    <row r="12" spans="1:36" x14ac:dyDescent="0.2">
      <c r="A12" s="85"/>
      <c r="B12" s="219" t="s">
        <v>64</v>
      </c>
      <c r="C12" s="220">
        <v>31000</v>
      </c>
      <c r="D12" s="220">
        <v>31000</v>
      </c>
      <c r="E12" s="220"/>
      <c r="F12" s="220"/>
      <c r="G12" s="221">
        <f t="shared" si="4"/>
        <v>31000</v>
      </c>
      <c r="H12" s="221">
        <f t="shared" si="5"/>
        <v>31000</v>
      </c>
      <c r="I12" s="32">
        <v>600</v>
      </c>
      <c r="J12" s="32"/>
      <c r="K12" s="32">
        <v>60</v>
      </c>
      <c r="L12" s="32"/>
      <c r="M12" s="32">
        <v>850</v>
      </c>
      <c r="N12" s="32"/>
      <c r="O12" s="32">
        <v>220</v>
      </c>
      <c r="P12" s="32"/>
      <c r="Q12" s="32">
        <v>200</v>
      </c>
      <c r="R12" s="32"/>
      <c r="S12" s="32">
        <v>570</v>
      </c>
      <c r="T12" s="32"/>
      <c r="U12" s="32">
        <v>200</v>
      </c>
      <c r="V12" s="32"/>
      <c r="W12" s="32">
        <v>70</v>
      </c>
      <c r="X12" s="32"/>
      <c r="Y12" s="32">
        <v>46230</v>
      </c>
      <c r="Z12" s="32">
        <f>C12</f>
        <v>31000</v>
      </c>
      <c r="AA12" s="32"/>
      <c r="AC12" s="109"/>
      <c r="AD12" s="109"/>
    </row>
    <row r="13" spans="1:36" x14ac:dyDescent="0.2">
      <c r="A13" s="85"/>
      <c r="B13" s="222" t="s">
        <v>65</v>
      </c>
      <c r="C13" s="220">
        <v>0</v>
      </c>
      <c r="D13" s="220">
        <v>0</v>
      </c>
      <c r="E13" s="220"/>
      <c r="F13" s="220"/>
      <c r="G13" s="221">
        <f t="shared" si="4"/>
        <v>0</v>
      </c>
      <c r="H13" s="221">
        <f t="shared" si="5"/>
        <v>0</v>
      </c>
      <c r="I13" s="32"/>
      <c r="J13" s="32"/>
      <c r="K13" s="32"/>
      <c r="L13" s="32"/>
      <c r="M13" s="32"/>
      <c r="N13" s="32"/>
      <c r="O13" s="32"/>
      <c r="P13" s="32"/>
      <c r="Q13" s="32"/>
      <c r="R13" s="32"/>
      <c r="S13" s="32"/>
      <c r="T13" s="32"/>
      <c r="U13" s="32"/>
      <c r="V13" s="32"/>
      <c r="W13" s="32"/>
      <c r="X13" s="32"/>
      <c r="Y13" s="32"/>
      <c r="Z13" s="32"/>
      <c r="AA13" s="32"/>
    </row>
    <row r="14" spans="1:36" s="30" customFormat="1" x14ac:dyDescent="0.2">
      <c r="A14" s="27">
        <v>2</v>
      </c>
      <c r="B14" s="217" t="s">
        <v>66</v>
      </c>
      <c r="C14" s="223">
        <v>6300</v>
      </c>
      <c r="D14" s="223">
        <v>6300</v>
      </c>
      <c r="E14" s="223"/>
      <c r="F14" s="223"/>
      <c r="G14" s="223">
        <f t="shared" si="4"/>
        <v>6300</v>
      </c>
      <c r="H14" s="223">
        <f t="shared" si="5"/>
        <v>6300</v>
      </c>
      <c r="I14" s="29">
        <f>SUM(I15:I17)</f>
        <v>620</v>
      </c>
      <c r="J14" s="29">
        <f t="shared" ref="J14:Z14" si="6">SUM(J15:J17)</f>
        <v>620</v>
      </c>
      <c r="K14" s="29">
        <f t="shared" si="6"/>
        <v>15</v>
      </c>
      <c r="L14" s="29">
        <f t="shared" si="6"/>
        <v>15</v>
      </c>
      <c r="M14" s="29">
        <f t="shared" si="6"/>
        <v>0</v>
      </c>
      <c r="N14" s="29">
        <f t="shared" si="6"/>
        <v>0</v>
      </c>
      <c r="O14" s="29">
        <f t="shared" si="6"/>
        <v>40</v>
      </c>
      <c r="P14" s="29">
        <f t="shared" si="6"/>
        <v>40</v>
      </c>
      <c r="Q14" s="29">
        <f t="shared" si="6"/>
        <v>100</v>
      </c>
      <c r="R14" s="29">
        <f t="shared" si="6"/>
        <v>100</v>
      </c>
      <c r="S14" s="29">
        <f t="shared" si="6"/>
        <v>10</v>
      </c>
      <c r="T14" s="29">
        <f t="shared" si="6"/>
        <v>10</v>
      </c>
      <c r="U14" s="29">
        <f t="shared" si="6"/>
        <v>160</v>
      </c>
      <c r="V14" s="29">
        <f t="shared" si="6"/>
        <v>160</v>
      </c>
      <c r="W14" s="29">
        <f t="shared" si="6"/>
        <v>0</v>
      </c>
      <c r="X14" s="29">
        <f t="shared" si="6"/>
        <v>0</v>
      </c>
      <c r="Y14" s="29">
        <f t="shared" si="6"/>
        <v>6555</v>
      </c>
      <c r="Z14" s="29">
        <f t="shared" si="6"/>
        <v>6555</v>
      </c>
      <c r="AA14" s="29"/>
      <c r="AB14" s="102">
        <f>59990</f>
        <v>59990</v>
      </c>
    </row>
    <row r="15" spans="1:36" x14ac:dyDescent="0.2">
      <c r="A15" s="85"/>
      <c r="B15" s="219" t="s">
        <v>62</v>
      </c>
      <c r="C15" s="220">
        <v>3900</v>
      </c>
      <c r="D15" s="220">
        <v>3900</v>
      </c>
      <c r="E15" s="220"/>
      <c r="F15" s="220"/>
      <c r="G15" s="221">
        <f t="shared" si="4"/>
        <v>3900</v>
      </c>
      <c r="H15" s="221">
        <f t="shared" si="5"/>
        <v>3900</v>
      </c>
      <c r="I15" s="32">
        <v>320</v>
      </c>
      <c r="J15" s="32">
        <v>320</v>
      </c>
      <c r="K15" s="32">
        <v>0</v>
      </c>
      <c r="L15" s="32">
        <v>0</v>
      </c>
      <c r="M15" s="32">
        <v>0</v>
      </c>
      <c r="N15" s="32">
        <v>0</v>
      </c>
      <c r="O15" s="32">
        <v>10</v>
      </c>
      <c r="P15" s="32">
        <v>10</v>
      </c>
      <c r="Q15" s="32">
        <v>50</v>
      </c>
      <c r="R15" s="32">
        <v>50</v>
      </c>
      <c r="S15" s="32">
        <v>0</v>
      </c>
      <c r="T15" s="32">
        <v>0</v>
      </c>
      <c r="U15" s="32">
        <v>0</v>
      </c>
      <c r="V15" s="32">
        <v>0</v>
      </c>
      <c r="W15" s="32">
        <v>0</v>
      </c>
      <c r="X15" s="32">
        <v>0</v>
      </c>
      <c r="Y15" s="32">
        <v>1370</v>
      </c>
      <c r="Z15" s="32">
        <f>Y15</f>
        <v>1370</v>
      </c>
      <c r="AA15" s="32"/>
      <c r="AB15" s="111">
        <f>43800+7700</f>
        <v>51500</v>
      </c>
      <c r="AE15" s="112" t="s">
        <v>63</v>
      </c>
    </row>
    <row r="16" spans="1:36" x14ac:dyDescent="0.2">
      <c r="A16" s="85"/>
      <c r="B16" s="219" t="s">
        <v>67</v>
      </c>
      <c r="C16" s="220">
        <v>0</v>
      </c>
      <c r="D16" s="220">
        <v>0</v>
      </c>
      <c r="E16" s="220"/>
      <c r="F16" s="220"/>
      <c r="G16" s="221">
        <f t="shared" si="4"/>
        <v>0</v>
      </c>
      <c r="H16" s="221">
        <f t="shared" si="5"/>
        <v>0</v>
      </c>
      <c r="I16" s="32">
        <v>80</v>
      </c>
      <c r="J16" s="32">
        <v>80</v>
      </c>
      <c r="K16" s="32">
        <v>15</v>
      </c>
      <c r="L16" s="32">
        <v>15</v>
      </c>
      <c r="M16" s="32">
        <v>0</v>
      </c>
      <c r="N16" s="32">
        <v>0</v>
      </c>
      <c r="O16" s="32">
        <v>15</v>
      </c>
      <c r="P16" s="32">
        <v>15</v>
      </c>
      <c r="Q16" s="32">
        <v>0</v>
      </c>
      <c r="R16" s="32">
        <v>0</v>
      </c>
      <c r="S16" s="32">
        <v>10</v>
      </c>
      <c r="T16" s="32">
        <v>10</v>
      </c>
      <c r="U16" s="32">
        <v>30</v>
      </c>
      <c r="V16" s="32">
        <v>30</v>
      </c>
      <c r="W16" s="32">
        <v>0</v>
      </c>
      <c r="X16" s="32">
        <v>0</v>
      </c>
      <c r="Y16" s="32">
        <v>0</v>
      </c>
      <c r="Z16" s="32">
        <f>Y16</f>
        <v>0</v>
      </c>
      <c r="AA16" s="32"/>
      <c r="AB16" s="109">
        <f>AB14-AB15</f>
        <v>8490</v>
      </c>
      <c r="AE16" s="112" t="s">
        <v>64</v>
      </c>
    </row>
    <row r="17" spans="1:36" x14ac:dyDescent="0.2">
      <c r="A17" s="85"/>
      <c r="B17" s="219" t="s">
        <v>63</v>
      </c>
      <c r="C17" s="220">
        <v>2200</v>
      </c>
      <c r="D17" s="220">
        <v>2200</v>
      </c>
      <c r="E17" s="220"/>
      <c r="F17" s="220"/>
      <c r="G17" s="221">
        <f t="shared" si="4"/>
        <v>2200</v>
      </c>
      <c r="H17" s="221">
        <f t="shared" si="5"/>
        <v>2200</v>
      </c>
      <c r="I17" s="32">
        <v>220</v>
      </c>
      <c r="J17" s="32">
        <v>220</v>
      </c>
      <c r="K17" s="32">
        <v>0</v>
      </c>
      <c r="L17" s="32">
        <v>0</v>
      </c>
      <c r="M17" s="32">
        <v>0</v>
      </c>
      <c r="N17" s="32">
        <v>0</v>
      </c>
      <c r="O17" s="32">
        <v>15</v>
      </c>
      <c r="P17" s="32">
        <v>15</v>
      </c>
      <c r="Q17" s="32">
        <v>50</v>
      </c>
      <c r="R17" s="32">
        <v>50</v>
      </c>
      <c r="S17" s="32">
        <v>0</v>
      </c>
      <c r="T17" s="32">
        <v>0</v>
      </c>
      <c r="U17" s="32">
        <v>130</v>
      </c>
      <c r="V17" s="32">
        <v>130</v>
      </c>
      <c r="W17" s="32">
        <v>0</v>
      </c>
      <c r="X17" s="32">
        <v>0</v>
      </c>
      <c r="Y17" s="32">
        <v>5185</v>
      </c>
      <c r="Z17" s="32">
        <f>Y17</f>
        <v>5185</v>
      </c>
      <c r="AA17" s="32"/>
    </row>
    <row r="18" spans="1:36" x14ac:dyDescent="0.2">
      <c r="A18" s="85"/>
      <c r="B18" s="219" t="s">
        <v>64</v>
      </c>
      <c r="C18" s="220">
        <v>200</v>
      </c>
      <c r="D18" s="220">
        <v>200</v>
      </c>
      <c r="E18" s="220"/>
      <c r="F18" s="220"/>
      <c r="G18" s="221">
        <f t="shared" si="4"/>
        <v>200</v>
      </c>
      <c r="H18" s="221">
        <f t="shared" si="5"/>
        <v>200</v>
      </c>
      <c r="I18" s="32"/>
      <c r="J18" s="32"/>
      <c r="K18" s="32"/>
      <c r="L18" s="32"/>
      <c r="M18" s="32"/>
      <c r="N18" s="32"/>
      <c r="O18" s="32"/>
      <c r="P18" s="32"/>
      <c r="Q18" s="32"/>
      <c r="R18" s="32"/>
      <c r="S18" s="32"/>
      <c r="T18" s="32"/>
      <c r="U18" s="32"/>
      <c r="V18" s="32"/>
      <c r="W18" s="32"/>
      <c r="X18" s="32"/>
      <c r="Y18" s="32"/>
      <c r="Z18" s="32"/>
      <c r="AA18" s="32"/>
    </row>
    <row r="19" spans="1:36" x14ac:dyDescent="0.2">
      <c r="A19" s="85"/>
      <c r="B19" s="219" t="s">
        <v>65</v>
      </c>
      <c r="C19" s="220">
        <v>0</v>
      </c>
      <c r="D19" s="220">
        <v>0</v>
      </c>
      <c r="E19" s="220"/>
      <c r="F19" s="220"/>
      <c r="G19" s="221">
        <f t="shared" si="4"/>
        <v>0</v>
      </c>
      <c r="H19" s="221">
        <f t="shared" si="5"/>
        <v>0</v>
      </c>
      <c r="I19" s="32"/>
      <c r="J19" s="32"/>
      <c r="K19" s="32"/>
      <c r="L19" s="32"/>
      <c r="M19" s="32"/>
      <c r="N19" s="32"/>
      <c r="O19" s="32"/>
      <c r="P19" s="32"/>
      <c r="Q19" s="32"/>
      <c r="R19" s="32"/>
      <c r="S19" s="32"/>
      <c r="T19" s="32"/>
      <c r="U19" s="32"/>
      <c r="V19" s="32"/>
      <c r="W19" s="32"/>
      <c r="X19" s="32"/>
      <c r="Y19" s="32"/>
      <c r="Z19" s="32"/>
      <c r="AA19" s="32"/>
    </row>
    <row r="20" spans="1:36" s="30" customFormat="1" x14ac:dyDescent="0.2">
      <c r="A20" s="27">
        <v>3</v>
      </c>
      <c r="B20" s="217" t="s">
        <v>68</v>
      </c>
      <c r="C20" s="223">
        <v>600</v>
      </c>
      <c r="D20" s="223">
        <v>600</v>
      </c>
      <c r="E20" s="223"/>
      <c r="F20" s="223"/>
      <c r="G20" s="223">
        <f t="shared" si="4"/>
        <v>600</v>
      </c>
      <c r="H20" s="223">
        <f t="shared" si="5"/>
        <v>600</v>
      </c>
      <c r="I20" s="29">
        <f>I21+I22</f>
        <v>0</v>
      </c>
      <c r="J20" s="29">
        <f t="shared" ref="J20:Z20" si="7">J21+J22</f>
        <v>0</v>
      </c>
      <c r="K20" s="29">
        <f t="shared" si="7"/>
        <v>0</v>
      </c>
      <c r="L20" s="29">
        <f t="shared" si="7"/>
        <v>0</v>
      </c>
      <c r="M20" s="29">
        <f t="shared" si="7"/>
        <v>0</v>
      </c>
      <c r="N20" s="29">
        <f t="shared" si="7"/>
        <v>0</v>
      </c>
      <c r="O20" s="29">
        <f t="shared" si="7"/>
        <v>0</v>
      </c>
      <c r="P20" s="29">
        <f t="shared" si="7"/>
        <v>0</v>
      </c>
      <c r="Q20" s="29">
        <f t="shared" si="7"/>
        <v>0</v>
      </c>
      <c r="R20" s="29">
        <f t="shared" si="7"/>
        <v>0</v>
      </c>
      <c r="S20" s="29">
        <f t="shared" si="7"/>
        <v>0</v>
      </c>
      <c r="T20" s="29">
        <f t="shared" si="7"/>
        <v>0</v>
      </c>
      <c r="U20" s="29">
        <f t="shared" si="7"/>
        <v>0</v>
      </c>
      <c r="V20" s="29">
        <f t="shared" si="7"/>
        <v>0</v>
      </c>
      <c r="W20" s="29">
        <f t="shared" si="7"/>
        <v>0</v>
      </c>
      <c r="X20" s="29">
        <f t="shared" si="7"/>
        <v>0</v>
      </c>
      <c r="Y20" s="29">
        <f t="shared" si="7"/>
        <v>100</v>
      </c>
      <c r="Z20" s="29">
        <f t="shared" si="7"/>
        <v>100</v>
      </c>
      <c r="AA20" s="29"/>
    </row>
    <row r="21" spans="1:36" x14ac:dyDescent="0.2">
      <c r="A21" s="85"/>
      <c r="B21" s="219" t="s">
        <v>63</v>
      </c>
      <c r="C21" s="220">
        <v>0</v>
      </c>
      <c r="D21" s="220">
        <v>0</v>
      </c>
      <c r="E21" s="220"/>
      <c r="F21" s="220"/>
      <c r="G21" s="221">
        <f t="shared" si="4"/>
        <v>0</v>
      </c>
      <c r="H21" s="221">
        <f t="shared" si="5"/>
        <v>0</v>
      </c>
      <c r="I21" s="32"/>
      <c r="J21" s="32"/>
      <c r="K21" s="32"/>
      <c r="L21" s="32"/>
      <c r="M21" s="32"/>
      <c r="N21" s="32"/>
      <c r="O21" s="32"/>
      <c r="P21" s="32"/>
      <c r="Q21" s="32"/>
      <c r="R21" s="32"/>
      <c r="S21" s="32"/>
      <c r="T21" s="32"/>
      <c r="U21" s="32"/>
      <c r="V21" s="32"/>
      <c r="W21" s="32"/>
      <c r="X21" s="32"/>
      <c r="Y21" s="32">
        <v>20</v>
      </c>
      <c r="Z21" s="32">
        <f>Y21</f>
        <v>20</v>
      </c>
      <c r="AA21" s="32"/>
    </row>
    <row r="22" spans="1:36" x14ac:dyDescent="0.2">
      <c r="A22" s="85"/>
      <c r="B22" s="219" t="s">
        <v>62</v>
      </c>
      <c r="C22" s="220">
        <v>600</v>
      </c>
      <c r="D22" s="220">
        <v>600</v>
      </c>
      <c r="E22" s="220"/>
      <c r="F22" s="220"/>
      <c r="G22" s="221">
        <f t="shared" si="4"/>
        <v>600</v>
      </c>
      <c r="H22" s="221">
        <f t="shared" si="5"/>
        <v>600</v>
      </c>
      <c r="I22" s="32"/>
      <c r="J22" s="32"/>
      <c r="K22" s="32"/>
      <c r="L22" s="32"/>
      <c r="M22" s="32"/>
      <c r="N22" s="32"/>
      <c r="O22" s="32"/>
      <c r="P22" s="32"/>
      <c r="Q22" s="32"/>
      <c r="R22" s="32"/>
      <c r="S22" s="32"/>
      <c r="T22" s="32"/>
      <c r="U22" s="32"/>
      <c r="V22" s="32"/>
      <c r="W22" s="32"/>
      <c r="X22" s="32"/>
      <c r="Y22" s="32">
        <v>80</v>
      </c>
      <c r="Z22" s="32">
        <f>Y22</f>
        <v>80</v>
      </c>
      <c r="AA22" s="32"/>
    </row>
    <row r="23" spans="1:36" x14ac:dyDescent="0.2">
      <c r="A23" s="85"/>
      <c r="B23" s="219" t="str">
        <f>'[1]Biểu 13 (L)'!B25</f>
        <v xml:space="preserve"> - Thuế tài nguyên</v>
      </c>
      <c r="C23" s="220">
        <v>0</v>
      </c>
      <c r="D23" s="220">
        <v>0</v>
      </c>
      <c r="E23" s="220"/>
      <c r="F23" s="220"/>
      <c r="G23" s="221">
        <f t="shared" si="4"/>
        <v>0</v>
      </c>
      <c r="H23" s="221">
        <f t="shared" si="5"/>
        <v>0</v>
      </c>
      <c r="I23" s="32"/>
      <c r="J23" s="32"/>
      <c r="K23" s="32"/>
      <c r="L23" s="32"/>
      <c r="M23" s="32"/>
      <c r="N23" s="32"/>
      <c r="O23" s="32"/>
      <c r="P23" s="32"/>
      <c r="Q23" s="32"/>
      <c r="R23" s="32"/>
      <c r="S23" s="32"/>
      <c r="T23" s="32"/>
      <c r="U23" s="32"/>
      <c r="V23" s="32"/>
      <c r="W23" s="32"/>
      <c r="X23" s="32"/>
      <c r="Y23" s="32"/>
      <c r="Z23" s="32"/>
      <c r="AA23" s="32"/>
    </row>
    <row r="24" spans="1:36" s="30" customFormat="1" x14ac:dyDescent="0.2">
      <c r="A24" s="27">
        <v>4</v>
      </c>
      <c r="B24" s="217" t="s">
        <v>69</v>
      </c>
      <c r="C24" s="223">
        <v>159700</v>
      </c>
      <c r="D24" s="223">
        <v>159700</v>
      </c>
      <c r="E24" s="223"/>
      <c r="F24" s="223"/>
      <c r="G24" s="223">
        <f t="shared" si="4"/>
        <v>159700</v>
      </c>
      <c r="H24" s="223">
        <f t="shared" si="5"/>
        <v>159700</v>
      </c>
      <c r="I24" s="29">
        <f>SUM(I25:I28)</f>
        <v>29150</v>
      </c>
      <c r="J24" s="29">
        <f>SUM(J25:J28)</f>
        <v>29030</v>
      </c>
      <c r="K24" s="29">
        <f t="shared" ref="K24:Y24" si="8">SUM(K25:K28)</f>
        <v>5585</v>
      </c>
      <c r="L24" s="29">
        <f t="shared" si="8"/>
        <v>5575</v>
      </c>
      <c r="M24" s="29">
        <f t="shared" si="8"/>
        <v>5555</v>
      </c>
      <c r="N24" s="29">
        <f t="shared" si="8"/>
        <v>5545</v>
      </c>
      <c r="O24" s="29">
        <f t="shared" si="8"/>
        <v>29900</v>
      </c>
      <c r="P24" s="29">
        <f t="shared" si="8"/>
        <v>29900</v>
      </c>
      <c r="Q24" s="29">
        <f t="shared" si="8"/>
        <v>5500</v>
      </c>
      <c r="R24" s="29">
        <f t="shared" si="8"/>
        <v>5500</v>
      </c>
      <c r="S24" s="29">
        <f t="shared" si="8"/>
        <v>6250</v>
      </c>
      <c r="T24" s="29">
        <f t="shared" si="8"/>
        <v>6250</v>
      </c>
      <c r="U24" s="29">
        <f t="shared" si="8"/>
        <v>10640</v>
      </c>
      <c r="V24" s="29">
        <f t="shared" si="8"/>
        <v>10640</v>
      </c>
      <c r="W24" s="29">
        <f t="shared" si="8"/>
        <v>2460</v>
      </c>
      <c r="X24" s="29">
        <f t="shared" si="8"/>
        <v>2460</v>
      </c>
      <c r="Y24" s="29">
        <f t="shared" si="8"/>
        <v>72960</v>
      </c>
      <c r="Z24" s="29">
        <f>SUM(Z25:Z28)</f>
        <v>108950</v>
      </c>
      <c r="AA24" s="29"/>
    </row>
    <row r="25" spans="1:36" x14ac:dyDescent="0.2">
      <c r="A25" s="85"/>
      <c r="B25" s="219" t="s">
        <v>62</v>
      </c>
      <c r="C25" s="220">
        <v>111500</v>
      </c>
      <c r="D25" s="220">
        <v>111500</v>
      </c>
      <c r="E25" s="220"/>
      <c r="F25" s="220"/>
      <c r="G25" s="221">
        <f t="shared" si="4"/>
        <v>111500</v>
      </c>
      <c r="H25" s="221">
        <f t="shared" si="5"/>
        <v>111500</v>
      </c>
      <c r="I25" s="32">
        <v>1200</v>
      </c>
      <c r="J25" s="32">
        <v>1200</v>
      </c>
      <c r="K25" s="32">
        <v>45</v>
      </c>
      <c r="L25" s="32">
        <v>45</v>
      </c>
      <c r="M25" s="32">
        <v>175</v>
      </c>
      <c r="N25" s="32">
        <v>175</v>
      </c>
      <c r="O25" s="32">
        <v>800</v>
      </c>
      <c r="P25" s="32">
        <v>800</v>
      </c>
      <c r="Q25" s="32">
        <v>240</v>
      </c>
      <c r="R25" s="32">
        <v>240</v>
      </c>
      <c r="S25" s="32">
        <v>360</v>
      </c>
      <c r="T25" s="32">
        <v>360</v>
      </c>
      <c r="U25" s="32">
        <v>330</v>
      </c>
      <c r="V25" s="32">
        <v>330</v>
      </c>
      <c r="W25" s="32">
        <v>30</v>
      </c>
      <c r="X25" s="32">
        <v>30</v>
      </c>
      <c r="Y25" s="32">
        <v>8820</v>
      </c>
      <c r="Z25" s="32">
        <f>Y25</f>
        <v>8820</v>
      </c>
      <c r="AA25" s="32"/>
    </row>
    <row r="26" spans="1:36" x14ac:dyDescent="0.2">
      <c r="A26" s="85"/>
      <c r="B26" s="219" t="s">
        <v>67</v>
      </c>
      <c r="C26" s="220">
        <v>600</v>
      </c>
      <c r="D26" s="220">
        <v>600</v>
      </c>
      <c r="E26" s="220"/>
      <c r="F26" s="220"/>
      <c r="G26" s="221">
        <f t="shared" si="4"/>
        <v>600</v>
      </c>
      <c r="H26" s="221">
        <f t="shared" si="5"/>
        <v>600</v>
      </c>
      <c r="I26" s="32">
        <v>850</v>
      </c>
      <c r="J26" s="32">
        <v>850</v>
      </c>
      <c r="K26" s="32">
        <v>1180</v>
      </c>
      <c r="L26" s="32">
        <v>1180</v>
      </c>
      <c r="M26" s="32">
        <v>420</v>
      </c>
      <c r="N26" s="32">
        <v>420</v>
      </c>
      <c r="O26" s="32">
        <v>14720</v>
      </c>
      <c r="P26" s="32">
        <v>14720</v>
      </c>
      <c r="Q26" s="32">
        <v>310</v>
      </c>
      <c r="R26" s="32">
        <v>310</v>
      </c>
      <c r="S26" s="32">
        <v>840</v>
      </c>
      <c r="T26" s="32">
        <v>840</v>
      </c>
      <c r="U26" s="32">
        <v>2610</v>
      </c>
      <c r="V26" s="32">
        <v>2610</v>
      </c>
      <c r="W26" s="32">
        <v>70</v>
      </c>
      <c r="X26" s="32">
        <v>70</v>
      </c>
      <c r="Y26" s="32">
        <v>0</v>
      </c>
      <c r="Z26" s="32">
        <f>Y26</f>
        <v>0</v>
      </c>
      <c r="AA26" s="32"/>
    </row>
    <row r="27" spans="1:36" x14ac:dyDescent="0.2">
      <c r="A27" s="85"/>
      <c r="B27" s="219" t="s">
        <v>63</v>
      </c>
      <c r="C27" s="220">
        <v>11600</v>
      </c>
      <c r="D27" s="220">
        <v>11600</v>
      </c>
      <c r="E27" s="220"/>
      <c r="F27" s="220"/>
      <c r="G27" s="221">
        <f t="shared" si="4"/>
        <v>11600</v>
      </c>
      <c r="H27" s="221">
        <f t="shared" si="5"/>
        <v>11600</v>
      </c>
      <c r="I27" s="32">
        <v>26980</v>
      </c>
      <c r="J27" s="32">
        <v>26980</v>
      </c>
      <c r="K27" s="32">
        <v>4350</v>
      </c>
      <c r="L27" s="32">
        <v>4350</v>
      </c>
      <c r="M27" s="32">
        <v>4950</v>
      </c>
      <c r="N27" s="32">
        <v>4950</v>
      </c>
      <c r="O27" s="32">
        <v>14380</v>
      </c>
      <c r="P27" s="32">
        <v>14380</v>
      </c>
      <c r="Q27" s="32">
        <v>4950</v>
      </c>
      <c r="R27" s="32">
        <v>4950</v>
      </c>
      <c r="S27" s="32">
        <v>5050</v>
      </c>
      <c r="T27" s="32">
        <v>5050</v>
      </c>
      <c r="U27" s="32">
        <v>7700</v>
      </c>
      <c r="V27" s="32">
        <v>7700</v>
      </c>
      <c r="W27" s="32">
        <v>2360</v>
      </c>
      <c r="X27" s="32">
        <v>2360</v>
      </c>
      <c r="Y27" s="32">
        <v>64130</v>
      </c>
      <c r="Z27" s="32">
        <f>Y27</f>
        <v>64130</v>
      </c>
      <c r="AA27" s="32"/>
      <c r="AB27" s="109" t="e">
        <f>#REF!-697420</f>
        <v>#REF!</v>
      </c>
    </row>
    <row r="28" spans="1:36" x14ac:dyDescent="0.2">
      <c r="A28" s="85"/>
      <c r="B28" s="219" t="s">
        <v>64</v>
      </c>
      <c r="C28" s="220">
        <v>36000</v>
      </c>
      <c r="D28" s="220">
        <v>36000</v>
      </c>
      <c r="E28" s="220"/>
      <c r="F28" s="220"/>
      <c r="G28" s="221">
        <f t="shared" si="4"/>
        <v>36000</v>
      </c>
      <c r="H28" s="221">
        <f t="shared" si="5"/>
        <v>36000</v>
      </c>
      <c r="I28" s="32">
        <v>120</v>
      </c>
      <c r="J28" s="32"/>
      <c r="K28" s="32">
        <v>10</v>
      </c>
      <c r="L28" s="32"/>
      <c r="M28" s="32">
        <v>10</v>
      </c>
      <c r="N28" s="32"/>
      <c r="O28" s="32">
        <v>0</v>
      </c>
      <c r="P28" s="32">
        <v>0</v>
      </c>
      <c r="Q28" s="32">
        <v>0</v>
      </c>
      <c r="R28" s="32">
        <v>0</v>
      </c>
      <c r="S28" s="32">
        <v>0</v>
      </c>
      <c r="T28" s="32">
        <v>0</v>
      </c>
      <c r="U28" s="32">
        <v>0</v>
      </c>
      <c r="V28" s="32">
        <v>0</v>
      </c>
      <c r="W28" s="32">
        <v>0</v>
      </c>
      <c r="X28" s="32">
        <v>0</v>
      </c>
      <c r="Y28" s="32">
        <v>10</v>
      </c>
      <c r="Z28" s="32">
        <f>C28</f>
        <v>36000</v>
      </c>
      <c r="AA28" s="32"/>
    </row>
    <row r="29" spans="1:36" x14ac:dyDescent="0.2">
      <c r="A29" s="85"/>
      <c r="B29" s="219" t="s">
        <v>65</v>
      </c>
      <c r="C29" s="220">
        <v>0</v>
      </c>
      <c r="D29" s="220">
        <v>0</v>
      </c>
      <c r="E29" s="220"/>
      <c r="F29" s="220"/>
      <c r="G29" s="221">
        <f t="shared" si="4"/>
        <v>0</v>
      </c>
      <c r="H29" s="221">
        <f t="shared" si="5"/>
        <v>0</v>
      </c>
      <c r="I29" s="32"/>
      <c r="J29" s="32"/>
      <c r="K29" s="32"/>
      <c r="L29" s="32"/>
      <c r="M29" s="32"/>
      <c r="N29" s="32"/>
      <c r="O29" s="32"/>
      <c r="P29" s="32"/>
      <c r="Q29" s="32"/>
      <c r="R29" s="32"/>
      <c r="S29" s="32"/>
      <c r="T29" s="32"/>
      <c r="U29" s="32"/>
      <c r="V29" s="32"/>
      <c r="W29" s="32"/>
      <c r="X29" s="32"/>
      <c r="Y29" s="32"/>
      <c r="Z29" s="32"/>
      <c r="AA29" s="32"/>
    </row>
    <row r="30" spans="1:36" s="30" customFormat="1" x14ac:dyDescent="0.2">
      <c r="A30" s="27">
        <v>5</v>
      </c>
      <c r="B30" s="217" t="s">
        <v>70</v>
      </c>
      <c r="C30" s="189">
        <v>39000</v>
      </c>
      <c r="D30" s="189">
        <v>39000</v>
      </c>
      <c r="E30" s="189"/>
      <c r="F30" s="189"/>
      <c r="G30" s="223">
        <f t="shared" si="4"/>
        <v>39000</v>
      </c>
      <c r="H30" s="223">
        <f t="shared" si="5"/>
        <v>39000</v>
      </c>
      <c r="I30" s="29">
        <v>10800</v>
      </c>
      <c r="J30" s="29">
        <v>10800</v>
      </c>
      <c r="K30" s="29">
        <v>830</v>
      </c>
      <c r="L30" s="29">
        <v>830</v>
      </c>
      <c r="M30" s="29">
        <v>1455</v>
      </c>
      <c r="N30" s="29">
        <v>1455</v>
      </c>
      <c r="O30" s="29">
        <v>1920</v>
      </c>
      <c r="P30" s="29">
        <v>1920</v>
      </c>
      <c r="Q30" s="29">
        <v>2050</v>
      </c>
      <c r="R30" s="29">
        <v>2050</v>
      </c>
      <c r="S30" s="29">
        <v>720</v>
      </c>
      <c r="T30" s="29">
        <v>720</v>
      </c>
      <c r="U30" s="29">
        <v>1600</v>
      </c>
      <c r="V30" s="29">
        <v>1600</v>
      </c>
      <c r="W30" s="29">
        <v>550</v>
      </c>
      <c r="X30" s="29">
        <v>550</v>
      </c>
      <c r="Y30" s="29">
        <v>5075</v>
      </c>
      <c r="Z30" s="29">
        <f>Y30</f>
        <v>5075</v>
      </c>
      <c r="AA30" s="29"/>
    </row>
    <row r="31" spans="1:36" s="30" customFormat="1" x14ac:dyDescent="0.2">
      <c r="A31" s="27">
        <v>6</v>
      </c>
      <c r="B31" s="217" t="s">
        <v>71</v>
      </c>
      <c r="C31" s="189">
        <v>0</v>
      </c>
      <c r="D31" s="189">
        <v>0</v>
      </c>
      <c r="E31" s="189"/>
      <c r="F31" s="189"/>
      <c r="G31" s="221">
        <f t="shared" si="4"/>
        <v>0</v>
      </c>
      <c r="H31" s="221">
        <f t="shared" si="5"/>
        <v>0</v>
      </c>
      <c r="I31" s="29">
        <v>150</v>
      </c>
      <c r="J31" s="29">
        <v>150</v>
      </c>
      <c r="K31" s="29">
        <v>250</v>
      </c>
      <c r="L31" s="29">
        <v>250</v>
      </c>
      <c r="M31" s="29">
        <v>380</v>
      </c>
      <c r="N31" s="29">
        <v>380</v>
      </c>
      <c r="O31" s="29">
        <v>200</v>
      </c>
      <c r="P31" s="29">
        <v>200</v>
      </c>
      <c r="Q31" s="29">
        <v>350</v>
      </c>
      <c r="R31" s="29">
        <v>350</v>
      </c>
      <c r="S31" s="29">
        <v>170</v>
      </c>
      <c r="T31" s="29">
        <v>170</v>
      </c>
      <c r="U31" s="29">
        <v>250</v>
      </c>
      <c r="V31" s="29">
        <v>250</v>
      </c>
      <c r="W31" s="29">
        <v>250</v>
      </c>
      <c r="X31" s="29">
        <v>250</v>
      </c>
      <c r="Y31" s="29">
        <v>0</v>
      </c>
      <c r="Z31" s="29">
        <f t="shared" ref="Z31:Z49" si="9">Y31</f>
        <v>0</v>
      </c>
      <c r="AA31" s="29"/>
    </row>
    <row r="32" spans="1:36" s="30" customFormat="1" x14ac:dyDescent="0.2">
      <c r="A32" s="27">
        <v>7</v>
      </c>
      <c r="B32" s="217" t="s">
        <v>72</v>
      </c>
      <c r="C32" s="189">
        <v>206000</v>
      </c>
      <c r="D32" s="189">
        <f>C32</f>
        <v>206000</v>
      </c>
      <c r="E32" s="189">
        <v>4329</v>
      </c>
      <c r="F32" s="189">
        <f>E32</f>
        <v>4329</v>
      </c>
      <c r="G32" s="223">
        <f>C32+E32</f>
        <v>210329</v>
      </c>
      <c r="H32" s="223">
        <f>D32+F32</f>
        <v>210329</v>
      </c>
      <c r="I32" s="29">
        <v>34500</v>
      </c>
      <c r="J32" s="29">
        <f>I32*0.9</f>
        <v>31050</v>
      </c>
      <c r="K32" s="29">
        <v>2000</v>
      </c>
      <c r="L32" s="29">
        <f>K32*0.9</f>
        <v>1800</v>
      </c>
      <c r="M32" s="29">
        <v>1800</v>
      </c>
      <c r="N32" s="29">
        <f>M32*0.9</f>
        <v>1620</v>
      </c>
      <c r="O32" s="29">
        <v>2400</v>
      </c>
      <c r="P32" s="29">
        <f>O32*0.9</f>
        <v>2160</v>
      </c>
      <c r="Q32" s="29">
        <v>4600</v>
      </c>
      <c r="R32" s="29">
        <f>Q32*0.9</f>
        <v>4140</v>
      </c>
      <c r="S32" s="29">
        <v>600</v>
      </c>
      <c r="T32" s="29">
        <f>S32*0.9</f>
        <v>540</v>
      </c>
      <c r="U32" s="29">
        <v>6600</v>
      </c>
      <c r="V32" s="29">
        <f>U32*0.9</f>
        <v>5940</v>
      </c>
      <c r="W32" s="29">
        <v>2500</v>
      </c>
      <c r="X32" s="29">
        <f>W32*0.9</f>
        <v>2250</v>
      </c>
      <c r="Y32" s="29">
        <v>0</v>
      </c>
      <c r="Z32" s="29">
        <v>5500</v>
      </c>
      <c r="AA32" s="29"/>
      <c r="AH32" s="113">
        <v>4329</v>
      </c>
      <c r="AI32" s="113"/>
      <c r="AJ32" s="113"/>
    </row>
    <row r="33" spans="1:36" s="30" customFormat="1" x14ac:dyDescent="0.2">
      <c r="A33" s="27">
        <v>8</v>
      </c>
      <c r="B33" s="217" t="s">
        <v>73</v>
      </c>
      <c r="C33" s="189">
        <v>900</v>
      </c>
      <c r="D33" s="189">
        <v>900</v>
      </c>
      <c r="E33" s="189"/>
      <c r="F33" s="189">
        <f t="shared" ref="F33:F35" si="10">E33</f>
        <v>0</v>
      </c>
      <c r="G33" s="223">
        <f t="shared" ref="G33:G35" si="11">C33+E33</f>
        <v>900</v>
      </c>
      <c r="H33" s="223">
        <f t="shared" ref="H33:H35" si="12">D33+F33</f>
        <v>900</v>
      </c>
      <c r="I33" s="29">
        <v>100</v>
      </c>
      <c r="J33" s="29">
        <v>100</v>
      </c>
      <c r="K33" s="29">
        <v>20</v>
      </c>
      <c r="L33" s="29">
        <v>20</v>
      </c>
      <c r="M33" s="29">
        <v>20</v>
      </c>
      <c r="N33" s="29">
        <v>20</v>
      </c>
      <c r="O33" s="29">
        <v>100</v>
      </c>
      <c r="P33" s="29">
        <v>100</v>
      </c>
      <c r="Q33" s="29">
        <v>20</v>
      </c>
      <c r="R33" s="29">
        <v>20</v>
      </c>
      <c r="S33" s="29">
        <v>20</v>
      </c>
      <c r="T33" s="29">
        <v>20</v>
      </c>
      <c r="U33" s="29">
        <v>20</v>
      </c>
      <c r="V33" s="29">
        <v>20</v>
      </c>
      <c r="W33" s="29">
        <v>0</v>
      </c>
      <c r="X33" s="29">
        <v>0</v>
      </c>
      <c r="Y33" s="29">
        <v>0</v>
      </c>
      <c r="Z33" s="29">
        <f t="shared" si="9"/>
        <v>0</v>
      </c>
      <c r="AA33" s="29"/>
      <c r="AH33" s="113"/>
      <c r="AI33" s="113"/>
      <c r="AJ33" s="113"/>
    </row>
    <row r="34" spans="1:36" s="30" customFormat="1" x14ac:dyDescent="0.2">
      <c r="A34" s="27">
        <v>9</v>
      </c>
      <c r="B34" s="217" t="s">
        <v>74</v>
      </c>
      <c r="C34" s="189">
        <v>13500</v>
      </c>
      <c r="D34" s="189">
        <f>C34</f>
        <v>13500</v>
      </c>
      <c r="E34" s="189">
        <v>31896</v>
      </c>
      <c r="F34" s="189">
        <f t="shared" si="10"/>
        <v>31896</v>
      </c>
      <c r="G34" s="223">
        <f t="shared" si="11"/>
        <v>45396</v>
      </c>
      <c r="H34" s="223">
        <f t="shared" si="12"/>
        <v>45396</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10000</v>
      </c>
      <c r="Z34" s="29">
        <f t="shared" si="9"/>
        <v>10000</v>
      </c>
      <c r="AA34" s="29"/>
      <c r="AH34" s="113">
        <v>31896</v>
      </c>
      <c r="AI34" s="113"/>
      <c r="AJ34" s="113"/>
    </row>
    <row r="35" spans="1:36" s="30" customFormat="1" ht="24" x14ac:dyDescent="0.2">
      <c r="A35" s="27">
        <v>10</v>
      </c>
      <c r="B35" s="192" t="s">
        <v>75</v>
      </c>
      <c r="C35" s="189">
        <v>30000</v>
      </c>
      <c r="D35" s="189">
        <f>C35</f>
        <v>30000</v>
      </c>
      <c r="E35" s="189">
        <v>5325</v>
      </c>
      <c r="F35" s="189">
        <f t="shared" si="10"/>
        <v>5325</v>
      </c>
      <c r="G35" s="189">
        <f t="shared" si="11"/>
        <v>35325</v>
      </c>
      <c r="H35" s="189">
        <f t="shared" si="12"/>
        <v>35325</v>
      </c>
      <c r="I35" s="29">
        <v>0</v>
      </c>
      <c r="J35" s="29">
        <v>0</v>
      </c>
      <c r="K35" s="29">
        <v>0</v>
      </c>
      <c r="L35" s="29">
        <v>0</v>
      </c>
      <c r="M35" s="29">
        <v>0</v>
      </c>
      <c r="N35" s="29">
        <v>0</v>
      </c>
      <c r="O35" s="29">
        <v>0</v>
      </c>
      <c r="P35" s="29">
        <v>0</v>
      </c>
      <c r="Q35" s="29">
        <v>0</v>
      </c>
      <c r="R35" s="29">
        <v>0</v>
      </c>
      <c r="S35" s="29">
        <v>0</v>
      </c>
      <c r="T35" s="29">
        <v>0</v>
      </c>
      <c r="U35" s="29">
        <v>0</v>
      </c>
      <c r="V35" s="29">
        <v>0</v>
      </c>
      <c r="W35" s="29">
        <v>0</v>
      </c>
      <c r="X35" s="29">
        <v>0</v>
      </c>
      <c r="Y35" s="29">
        <v>0</v>
      </c>
      <c r="Z35" s="29">
        <f t="shared" si="9"/>
        <v>0</v>
      </c>
      <c r="AA35" s="29"/>
      <c r="AH35" s="113">
        <v>5325</v>
      </c>
      <c r="AI35" s="113"/>
      <c r="AJ35" s="113"/>
    </row>
    <row r="36" spans="1:36" s="30" customFormat="1" x14ac:dyDescent="0.2">
      <c r="A36" s="27">
        <v>11</v>
      </c>
      <c r="B36" s="217" t="s">
        <v>76</v>
      </c>
      <c r="C36" s="189">
        <v>120500</v>
      </c>
      <c r="D36" s="189">
        <v>73300</v>
      </c>
      <c r="E36" s="189"/>
      <c r="F36" s="189"/>
      <c r="G36" s="216">
        <f>C36</f>
        <v>120500</v>
      </c>
      <c r="H36" s="216">
        <f>D36</f>
        <v>73300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73000</v>
      </c>
      <c r="Z36" s="29">
        <f>Y36-43800</f>
        <v>29200</v>
      </c>
      <c r="AA36" s="29"/>
    </row>
    <row r="37" spans="1:36" ht="25.5" hidden="1" x14ac:dyDescent="0.2">
      <c r="A37" s="85"/>
      <c r="B37" s="224" t="s">
        <v>77</v>
      </c>
      <c r="C37" s="220"/>
      <c r="D37" s="220"/>
      <c r="E37" s="220"/>
      <c r="F37" s="220"/>
      <c r="G37" s="216">
        <f t="shared" ref="G37:G55" si="13">C37</f>
        <v>0</v>
      </c>
      <c r="H37" s="216">
        <f t="shared" ref="H37:H55" si="14">D37</f>
        <v>0</v>
      </c>
      <c r="I37" s="32"/>
      <c r="J37" s="32"/>
      <c r="K37" s="32"/>
      <c r="L37" s="32"/>
      <c r="M37" s="32"/>
      <c r="N37" s="32"/>
      <c r="O37" s="32"/>
      <c r="P37" s="32"/>
      <c r="Q37" s="32"/>
      <c r="R37" s="32"/>
      <c r="S37" s="32"/>
      <c r="T37" s="32"/>
      <c r="U37" s="32"/>
      <c r="V37" s="32"/>
      <c r="W37" s="32"/>
      <c r="X37" s="32"/>
      <c r="Y37" s="32"/>
      <c r="Z37" s="29">
        <f t="shared" si="9"/>
        <v>0</v>
      </c>
      <c r="AA37" s="32"/>
    </row>
    <row r="38" spans="1:36" hidden="1" x14ac:dyDescent="0.2">
      <c r="A38" s="85"/>
      <c r="B38" s="224" t="s">
        <v>78</v>
      </c>
      <c r="C38" s="220"/>
      <c r="D38" s="220"/>
      <c r="E38" s="220"/>
      <c r="F38" s="220"/>
      <c r="G38" s="216">
        <f t="shared" si="13"/>
        <v>0</v>
      </c>
      <c r="H38" s="216">
        <f t="shared" si="14"/>
        <v>0</v>
      </c>
      <c r="I38" s="32"/>
      <c r="J38" s="32"/>
      <c r="K38" s="32"/>
      <c r="L38" s="32"/>
      <c r="M38" s="32"/>
      <c r="N38" s="32"/>
      <c r="O38" s="32"/>
      <c r="P38" s="32"/>
      <c r="Q38" s="32"/>
      <c r="R38" s="32"/>
      <c r="S38" s="32"/>
      <c r="T38" s="32"/>
      <c r="U38" s="32"/>
      <c r="V38" s="32"/>
      <c r="W38" s="32"/>
      <c r="X38" s="32"/>
      <c r="Y38" s="32"/>
      <c r="Z38" s="29">
        <f t="shared" si="9"/>
        <v>0</v>
      </c>
      <c r="AA38" s="32"/>
    </row>
    <row r="39" spans="1:36" s="30" customFormat="1" x14ac:dyDescent="0.2">
      <c r="A39" s="27">
        <v>12</v>
      </c>
      <c r="B39" s="217" t="s">
        <v>79</v>
      </c>
      <c r="C39" s="223">
        <v>57000</v>
      </c>
      <c r="D39" s="223">
        <v>57000</v>
      </c>
      <c r="E39" s="223"/>
      <c r="F39" s="223"/>
      <c r="G39" s="216">
        <f t="shared" si="13"/>
        <v>57000</v>
      </c>
      <c r="H39" s="216">
        <f t="shared" si="14"/>
        <v>57000</v>
      </c>
      <c r="I39" s="29">
        <f>I40+I41</f>
        <v>17660</v>
      </c>
      <c r="J39" s="29">
        <f t="shared" ref="J39:Y39" si="15">J40+J41</f>
        <v>17660</v>
      </c>
      <c r="K39" s="29">
        <f t="shared" si="15"/>
        <v>1840</v>
      </c>
      <c r="L39" s="29">
        <f t="shared" si="15"/>
        <v>1840</v>
      </c>
      <c r="M39" s="29">
        <f t="shared" si="15"/>
        <v>3060</v>
      </c>
      <c r="N39" s="29">
        <f t="shared" si="15"/>
        <v>3060</v>
      </c>
      <c r="O39" s="29">
        <f t="shared" si="15"/>
        <v>4270</v>
      </c>
      <c r="P39" s="29">
        <f t="shared" si="15"/>
        <v>4270</v>
      </c>
      <c r="Q39" s="29">
        <f t="shared" si="15"/>
        <v>2920</v>
      </c>
      <c r="R39" s="29">
        <f t="shared" si="15"/>
        <v>2920</v>
      </c>
      <c r="S39" s="29">
        <f t="shared" si="15"/>
        <v>2130</v>
      </c>
      <c r="T39" s="29">
        <f t="shared" si="15"/>
        <v>2130</v>
      </c>
      <c r="U39" s="29">
        <f t="shared" si="15"/>
        <v>2770</v>
      </c>
      <c r="V39" s="29">
        <f t="shared" si="15"/>
        <v>2770</v>
      </c>
      <c r="W39" s="29">
        <f t="shared" si="15"/>
        <v>1350</v>
      </c>
      <c r="X39" s="29">
        <f t="shared" si="15"/>
        <v>1350</v>
      </c>
      <c r="Y39" s="29">
        <f t="shared" si="15"/>
        <v>0</v>
      </c>
      <c r="Z39" s="29">
        <f t="shared" si="9"/>
        <v>0</v>
      </c>
      <c r="AA39" s="29"/>
    </row>
    <row r="40" spans="1:36" x14ac:dyDescent="0.2">
      <c r="A40" s="85"/>
      <c r="B40" s="225" t="s">
        <v>80</v>
      </c>
      <c r="C40" s="221">
        <v>4200</v>
      </c>
      <c r="D40" s="221">
        <v>4200</v>
      </c>
      <c r="E40" s="221"/>
      <c r="F40" s="221"/>
      <c r="G40" s="226">
        <f t="shared" si="13"/>
        <v>4200</v>
      </c>
      <c r="H40" s="226">
        <f t="shared" si="14"/>
        <v>4200</v>
      </c>
      <c r="I40" s="32">
        <v>2000</v>
      </c>
      <c r="J40" s="32">
        <v>2000</v>
      </c>
      <c r="K40" s="32">
        <v>90</v>
      </c>
      <c r="L40" s="32">
        <v>90</v>
      </c>
      <c r="M40" s="32">
        <v>160</v>
      </c>
      <c r="N40" s="32">
        <v>160</v>
      </c>
      <c r="O40" s="32">
        <v>170</v>
      </c>
      <c r="P40" s="32">
        <v>170</v>
      </c>
      <c r="Q40" s="32">
        <v>194.17520105555553</v>
      </c>
      <c r="R40" s="32">
        <v>194.17520105555553</v>
      </c>
      <c r="S40" s="32">
        <v>50</v>
      </c>
      <c r="T40" s="32">
        <v>50</v>
      </c>
      <c r="U40" s="32">
        <v>100</v>
      </c>
      <c r="V40" s="32">
        <v>100</v>
      </c>
      <c r="W40" s="32">
        <v>40</v>
      </c>
      <c r="X40" s="32">
        <v>40</v>
      </c>
      <c r="Y40" s="32"/>
      <c r="Z40" s="29">
        <f t="shared" si="9"/>
        <v>0</v>
      </c>
      <c r="AA40" s="32"/>
    </row>
    <row r="41" spans="1:36" s="117" customFormat="1" ht="13.5" x14ac:dyDescent="0.25">
      <c r="A41" s="114"/>
      <c r="B41" s="225" t="s">
        <v>81</v>
      </c>
      <c r="C41" s="221">
        <v>52800</v>
      </c>
      <c r="D41" s="221">
        <v>52800</v>
      </c>
      <c r="E41" s="221"/>
      <c r="F41" s="221"/>
      <c r="G41" s="226">
        <f t="shared" si="13"/>
        <v>52800</v>
      </c>
      <c r="H41" s="226">
        <f t="shared" si="14"/>
        <v>52800</v>
      </c>
      <c r="I41" s="115">
        <v>15660</v>
      </c>
      <c r="J41" s="115">
        <v>15660</v>
      </c>
      <c r="K41" s="115">
        <v>1750</v>
      </c>
      <c r="L41" s="115">
        <v>1750</v>
      </c>
      <c r="M41" s="115">
        <v>2900</v>
      </c>
      <c r="N41" s="115">
        <v>2900</v>
      </c>
      <c r="O41" s="115">
        <v>4100</v>
      </c>
      <c r="P41" s="115">
        <v>4100</v>
      </c>
      <c r="Q41" s="115">
        <v>2725.8247989444444</v>
      </c>
      <c r="R41" s="115">
        <v>2725.8247989444444</v>
      </c>
      <c r="S41" s="115">
        <v>2080</v>
      </c>
      <c r="T41" s="115">
        <v>2080</v>
      </c>
      <c r="U41" s="115">
        <v>2670</v>
      </c>
      <c r="V41" s="115">
        <v>2670</v>
      </c>
      <c r="W41" s="115">
        <v>1310</v>
      </c>
      <c r="X41" s="115">
        <v>1310</v>
      </c>
      <c r="Y41" s="115"/>
      <c r="Z41" s="116">
        <f t="shared" si="9"/>
        <v>0</v>
      </c>
      <c r="AA41" s="115"/>
    </row>
    <row r="42" spans="1:36" s="30" customFormat="1" x14ac:dyDescent="0.2">
      <c r="A42" s="27">
        <v>13</v>
      </c>
      <c r="B42" s="217" t="s">
        <v>82</v>
      </c>
      <c r="C42" s="189">
        <v>75000</v>
      </c>
      <c r="D42" s="189">
        <v>70500</v>
      </c>
      <c r="E42" s="189"/>
      <c r="F42" s="189"/>
      <c r="G42" s="216">
        <f t="shared" si="13"/>
        <v>75000</v>
      </c>
      <c r="H42" s="216">
        <f t="shared" si="14"/>
        <v>70500</v>
      </c>
      <c r="I42" s="29">
        <v>5600</v>
      </c>
      <c r="J42" s="29">
        <v>5600</v>
      </c>
      <c r="K42" s="29">
        <v>1180</v>
      </c>
      <c r="L42" s="29">
        <v>1180</v>
      </c>
      <c r="M42" s="29">
        <v>1900</v>
      </c>
      <c r="N42" s="29">
        <v>1900</v>
      </c>
      <c r="O42" s="29">
        <v>45800</v>
      </c>
      <c r="P42" s="29">
        <v>45800</v>
      </c>
      <c r="Q42" s="29">
        <v>1920</v>
      </c>
      <c r="R42" s="29">
        <v>1920</v>
      </c>
      <c r="S42" s="29">
        <v>950</v>
      </c>
      <c r="T42" s="29">
        <v>950</v>
      </c>
      <c r="U42" s="29">
        <v>2750</v>
      </c>
      <c r="V42" s="29">
        <v>2750</v>
      </c>
      <c r="W42" s="29">
        <v>700</v>
      </c>
      <c r="X42" s="29">
        <v>700</v>
      </c>
      <c r="Y42" s="29">
        <v>5200</v>
      </c>
      <c r="Z42" s="29">
        <f t="shared" si="9"/>
        <v>5200</v>
      </c>
      <c r="AA42" s="29"/>
    </row>
    <row r="43" spans="1:36" hidden="1" x14ac:dyDescent="0.2">
      <c r="A43" s="85" t="s">
        <v>10</v>
      </c>
      <c r="B43" s="224" t="s">
        <v>83</v>
      </c>
      <c r="C43" s="189">
        <v>0</v>
      </c>
      <c r="D43" s="220">
        <v>0</v>
      </c>
      <c r="E43" s="220"/>
      <c r="F43" s="220"/>
      <c r="G43" s="216">
        <f t="shared" si="13"/>
        <v>0</v>
      </c>
      <c r="H43" s="216">
        <f t="shared" si="14"/>
        <v>0</v>
      </c>
      <c r="I43" s="32"/>
      <c r="J43" s="32"/>
      <c r="K43" s="32"/>
      <c r="L43" s="32"/>
      <c r="M43" s="32"/>
      <c r="N43" s="32"/>
      <c r="O43" s="32"/>
      <c r="P43" s="32"/>
      <c r="Q43" s="32"/>
      <c r="R43" s="32"/>
      <c r="S43" s="32"/>
      <c r="T43" s="32"/>
      <c r="U43" s="32"/>
      <c r="V43" s="32"/>
      <c r="W43" s="32"/>
      <c r="X43" s="32"/>
      <c r="Y43" s="32"/>
      <c r="Z43" s="29">
        <f t="shared" si="9"/>
        <v>0</v>
      </c>
      <c r="AA43" s="32"/>
    </row>
    <row r="44" spans="1:36" hidden="1" x14ac:dyDescent="0.2">
      <c r="A44" s="85" t="s">
        <v>10</v>
      </c>
      <c r="B44" s="224" t="s">
        <v>84</v>
      </c>
      <c r="C44" s="189">
        <v>0</v>
      </c>
      <c r="D44" s="220">
        <v>0</v>
      </c>
      <c r="E44" s="220"/>
      <c r="F44" s="220"/>
      <c r="G44" s="216">
        <f t="shared" si="13"/>
        <v>0</v>
      </c>
      <c r="H44" s="216">
        <f t="shared" si="14"/>
        <v>0</v>
      </c>
      <c r="I44" s="32"/>
      <c r="J44" s="32"/>
      <c r="K44" s="32"/>
      <c r="L44" s="32"/>
      <c r="M44" s="32"/>
      <c r="N44" s="32"/>
      <c r="O44" s="32"/>
      <c r="P44" s="32"/>
      <c r="Q44" s="32"/>
      <c r="R44" s="32"/>
      <c r="S44" s="32"/>
      <c r="T44" s="32"/>
      <c r="U44" s="32"/>
      <c r="V44" s="32"/>
      <c r="W44" s="32"/>
      <c r="X44" s="32"/>
      <c r="Y44" s="32"/>
      <c r="Z44" s="29">
        <f t="shared" si="9"/>
        <v>0</v>
      </c>
      <c r="AA44" s="32"/>
    </row>
    <row r="45" spans="1:36" hidden="1" x14ac:dyDescent="0.2">
      <c r="A45" s="85" t="s">
        <v>10</v>
      </c>
      <c r="B45" s="224" t="s">
        <v>85</v>
      </c>
      <c r="C45" s="189">
        <v>0</v>
      </c>
      <c r="D45" s="220">
        <v>0</v>
      </c>
      <c r="E45" s="220"/>
      <c r="F45" s="220"/>
      <c r="G45" s="216">
        <f t="shared" si="13"/>
        <v>0</v>
      </c>
      <c r="H45" s="216">
        <f t="shared" si="14"/>
        <v>0</v>
      </c>
      <c r="I45" s="32"/>
      <c r="J45" s="32"/>
      <c r="K45" s="32"/>
      <c r="L45" s="32"/>
      <c r="M45" s="32"/>
      <c r="N45" s="32"/>
      <c r="O45" s="32"/>
      <c r="P45" s="32"/>
      <c r="Q45" s="32"/>
      <c r="R45" s="32"/>
      <c r="S45" s="32"/>
      <c r="T45" s="32"/>
      <c r="U45" s="32"/>
      <c r="V45" s="32"/>
      <c r="W45" s="32"/>
      <c r="X45" s="32"/>
      <c r="Y45" s="32"/>
      <c r="Z45" s="29">
        <f t="shared" si="9"/>
        <v>0</v>
      </c>
      <c r="AA45" s="32"/>
    </row>
    <row r="46" spans="1:36" hidden="1" x14ac:dyDescent="0.2">
      <c r="A46" s="85" t="s">
        <v>10</v>
      </c>
      <c r="B46" s="224" t="s">
        <v>86</v>
      </c>
      <c r="C46" s="189">
        <v>0</v>
      </c>
      <c r="D46" s="220">
        <v>0</v>
      </c>
      <c r="E46" s="220"/>
      <c r="F46" s="220"/>
      <c r="G46" s="216">
        <f t="shared" si="13"/>
        <v>0</v>
      </c>
      <c r="H46" s="216">
        <f t="shared" si="14"/>
        <v>0</v>
      </c>
      <c r="I46" s="32"/>
      <c r="J46" s="32"/>
      <c r="K46" s="32"/>
      <c r="L46" s="32"/>
      <c r="M46" s="32"/>
      <c r="N46" s="32"/>
      <c r="O46" s="32"/>
      <c r="P46" s="32"/>
      <c r="Q46" s="32"/>
      <c r="R46" s="32"/>
      <c r="S46" s="32"/>
      <c r="T46" s="32"/>
      <c r="U46" s="32"/>
      <c r="V46" s="32"/>
      <c r="W46" s="32"/>
      <c r="X46" s="32"/>
      <c r="Y46" s="32"/>
      <c r="Z46" s="29">
        <f t="shared" si="9"/>
        <v>0</v>
      </c>
      <c r="AA46" s="32"/>
    </row>
    <row r="47" spans="1:36" s="30" customFormat="1" x14ac:dyDescent="0.2">
      <c r="A47" s="27">
        <v>14</v>
      </c>
      <c r="B47" s="217" t="s">
        <v>87</v>
      </c>
      <c r="C47" s="189">
        <v>70000</v>
      </c>
      <c r="D47" s="189">
        <v>50960</v>
      </c>
      <c r="E47" s="189"/>
      <c r="F47" s="189"/>
      <c r="G47" s="216">
        <f t="shared" si="13"/>
        <v>70000</v>
      </c>
      <c r="H47" s="216">
        <f t="shared" si="14"/>
        <v>50960</v>
      </c>
      <c r="I47" s="29">
        <v>2500</v>
      </c>
      <c r="J47" s="29">
        <f>-650+2500</f>
        <v>1850</v>
      </c>
      <c r="K47" s="29">
        <v>2100</v>
      </c>
      <c r="L47" s="29">
        <f>-480+2100</f>
        <v>1620</v>
      </c>
      <c r="M47" s="29">
        <v>1660</v>
      </c>
      <c r="N47" s="29">
        <f>-350+1660</f>
        <v>1310</v>
      </c>
      <c r="O47" s="29">
        <v>3800</v>
      </c>
      <c r="P47" s="29">
        <f>-180+3800</f>
        <v>3620</v>
      </c>
      <c r="Q47" s="29">
        <v>1900</v>
      </c>
      <c r="R47" s="29">
        <f>-200+1900</f>
        <v>1700</v>
      </c>
      <c r="S47" s="29">
        <v>1000</v>
      </c>
      <c r="T47" s="29">
        <f>-400+1000</f>
        <v>600</v>
      </c>
      <c r="U47" s="29">
        <v>3300</v>
      </c>
      <c r="V47" s="29">
        <f>-1100+3300</f>
        <v>2200</v>
      </c>
      <c r="W47" s="29">
        <v>1740</v>
      </c>
      <c r="X47" s="29">
        <f>-240+1740</f>
        <v>1500</v>
      </c>
      <c r="Y47" s="29">
        <v>27100</v>
      </c>
      <c r="Z47" s="29">
        <f>30700-8490</f>
        <v>22210</v>
      </c>
      <c r="AA47" s="29"/>
    </row>
    <row r="48" spans="1:36" s="30" customFormat="1" x14ac:dyDescent="0.2">
      <c r="A48" s="27">
        <v>15</v>
      </c>
      <c r="B48" s="217" t="s">
        <v>88</v>
      </c>
      <c r="C48" s="189">
        <v>14500</v>
      </c>
      <c r="D48" s="189">
        <v>8340</v>
      </c>
      <c r="E48" s="189"/>
      <c r="F48" s="189"/>
      <c r="G48" s="216">
        <f t="shared" si="13"/>
        <v>14500</v>
      </c>
      <c r="H48" s="216">
        <f t="shared" si="14"/>
        <v>8340</v>
      </c>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11000</v>
      </c>
      <c r="Z48" s="29">
        <f>Y48-7700</f>
        <v>3300</v>
      </c>
      <c r="AA48" s="29"/>
    </row>
    <row r="49" spans="1:27" s="30" customFormat="1" x14ac:dyDescent="0.2">
      <c r="A49" s="27">
        <v>16</v>
      </c>
      <c r="B49" s="217" t="s">
        <v>89</v>
      </c>
      <c r="C49" s="189">
        <v>25000</v>
      </c>
      <c r="D49" s="189">
        <v>25000</v>
      </c>
      <c r="E49" s="189"/>
      <c r="F49" s="189"/>
      <c r="G49" s="216">
        <f t="shared" si="13"/>
        <v>25000</v>
      </c>
      <c r="H49" s="216">
        <f t="shared" si="14"/>
        <v>25000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15000</v>
      </c>
      <c r="Z49" s="29">
        <f t="shared" si="9"/>
        <v>15000</v>
      </c>
      <c r="AA49" s="29"/>
    </row>
    <row r="50" spans="1:27" x14ac:dyDescent="0.2">
      <c r="A50" s="85"/>
      <c r="B50" s="225" t="s">
        <v>90</v>
      </c>
      <c r="C50" s="220">
        <v>15000</v>
      </c>
      <c r="D50" s="220">
        <v>15000</v>
      </c>
      <c r="E50" s="220"/>
      <c r="F50" s="220"/>
      <c r="G50" s="226">
        <f t="shared" si="13"/>
        <v>15000</v>
      </c>
      <c r="H50" s="226">
        <f t="shared" si="14"/>
        <v>15000</v>
      </c>
      <c r="I50" s="32"/>
      <c r="J50" s="32"/>
      <c r="K50" s="32"/>
      <c r="L50" s="32"/>
      <c r="M50" s="32"/>
      <c r="N50" s="32"/>
      <c r="O50" s="32"/>
      <c r="P50" s="32"/>
      <c r="Q50" s="32"/>
      <c r="R50" s="32"/>
      <c r="S50" s="32"/>
      <c r="T50" s="32"/>
      <c r="U50" s="32"/>
      <c r="V50" s="32"/>
      <c r="W50" s="32"/>
      <c r="X50" s="32"/>
      <c r="Y50" s="32"/>
      <c r="Z50" s="32"/>
      <c r="AA50" s="32"/>
    </row>
    <row r="51" spans="1:27" ht="15.75" customHeight="1" x14ac:dyDescent="0.2">
      <c r="A51" s="85"/>
      <c r="B51" s="225" t="s">
        <v>91</v>
      </c>
      <c r="C51" s="220">
        <v>10000</v>
      </c>
      <c r="D51" s="220">
        <v>10000</v>
      </c>
      <c r="E51" s="220"/>
      <c r="F51" s="220"/>
      <c r="G51" s="226">
        <f t="shared" si="13"/>
        <v>10000</v>
      </c>
      <c r="H51" s="226">
        <f t="shared" si="14"/>
        <v>10000</v>
      </c>
      <c r="I51" s="32"/>
      <c r="J51" s="32"/>
      <c r="K51" s="32"/>
      <c r="L51" s="32"/>
      <c r="M51" s="32"/>
      <c r="N51" s="32"/>
      <c r="O51" s="32"/>
      <c r="P51" s="32"/>
      <c r="Q51" s="32"/>
      <c r="R51" s="32"/>
      <c r="S51" s="32"/>
      <c r="T51" s="32"/>
      <c r="U51" s="32"/>
      <c r="V51" s="32"/>
      <c r="W51" s="32"/>
      <c r="X51" s="32"/>
      <c r="Y51" s="32"/>
      <c r="Z51" s="32"/>
      <c r="AA51" s="32"/>
    </row>
    <row r="52" spans="1:27" s="30" customFormat="1" ht="16.5" customHeight="1" x14ac:dyDescent="0.2">
      <c r="A52" s="27">
        <v>17</v>
      </c>
      <c r="B52" s="217" t="s">
        <v>92</v>
      </c>
      <c r="C52" s="189">
        <v>0</v>
      </c>
      <c r="D52" s="189">
        <v>0</v>
      </c>
      <c r="E52" s="189"/>
      <c r="F52" s="189"/>
      <c r="G52" s="216">
        <f t="shared" si="13"/>
        <v>0</v>
      </c>
      <c r="H52" s="216">
        <f t="shared" si="14"/>
        <v>0</v>
      </c>
      <c r="I52" s="29"/>
      <c r="J52" s="29"/>
      <c r="K52" s="29"/>
      <c r="L52" s="29"/>
      <c r="M52" s="29"/>
      <c r="N52" s="29"/>
      <c r="O52" s="29"/>
      <c r="P52" s="29"/>
      <c r="Q52" s="29"/>
      <c r="R52" s="29"/>
      <c r="S52" s="29"/>
      <c r="T52" s="29"/>
      <c r="U52" s="29"/>
      <c r="V52" s="29"/>
      <c r="W52" s="29"/>
      <c r="X52" s="29"/>
      <c r="Y52" s="29"/>
      <c r="Z52" s="29"/>
      <c r="AA52" s="29"/>
    </row>
    <row r="53" spans="1:27" s="30" customFormat="1" ht="30" customHeight="1" x14ac:dyDescent="0.2">
      <c r="A53" s="27">
        <v>18</v>
      </c>
      <c r="B53" s="217" t="s">
        <v>230</v>
      </c>
      <c r="C53" s="189">
        <v>0</v>
      </c>
      <c r="D53" s="189">
        <v>0</v>
      </c>
      <c r="E53" s="189"/>
      <c r="F53" s="189"/>
      <c r="G53" s="216">
        <f t="shared" si="13"/>
        <v>0</v>
      </c>
      <c r="H53" s="216">
        <f t="shared" si="14"/>
        <v>0</v>
      </c>
      <c r="I53" s="29"/>
      <c r="J53" s="29"/>
      <c r="K53" s="29"/>
      <c r="L53" s="29"/>
      <c r="M53" s="29"/>
      <c r="N53" s="29"/>
      <c r="O53" s="29"/>
      <c r="P53" s="29"/>
      <c r="Q53" s="29"/>
      <c r="R53" s="29"/>
      <c r="S53" s="29"/>
      <c r="T53" s="29"/>
      <c r="U53" s="29"/>
      <c r="V53" s="29"/>
      <c r="W53" s="29"/>
      <c r="X53" s="29"/>
      <c r="Y53" s="29"/>
      <c r="Z53" s="29"/>
      <c r="AA53" s="29"/>
    </row>
    <row r="54" spans="1:27" ht="14.25" customHeight="1" x14ac:dyDescent="0.2">
      <c r="A54" s="27" t="s">
        <v>13</v>
      </c>
      <c r="B54" s="217" t="s">
        <v>93</v>
      </c>
      <c r="C54" s="220"/>
      <c r="D54" s="220"/>
      <c r="E54" s="220"/>
      <c r="F54" s="220"/>
      <c r="G54" s="216">
        <f t="shared" si="13"/>
        <v>0</v>
      </c>
      <c r="H54" s="216">
        <f t="shared" si="14"/>
        <v>0</v>
      </c>
      <c r="I54" s="32"/>
      <c r="J54" s="32"/>
      <c r="K54" s="32"/>
      <c r="L54" s="32"/>
      <c r="M54" s="32"/>
      <c r="N54" s="32"/>
      <c r="O54" s="32"/>
      <c r="P54" s="32"/>
      <c r="Q54" s="32"/>
      <c r="R54" s="32"/>
      <c r="S54" s="32"/>
      <c r="T54" s="32"/>
      <c r="U54" s="32"/>
      <c r="V54" s="32"/>
      <c r="W54" s="32"/>
      <c r="X54" s="32"/>
      <c r="Y54" s="32"/>
      <c r="Z54" s="32"/>
      <c r="AA54" s="32"/>
    </row>
    <row r="55" spans="1:27" ht="15" customHeight="1" x14ac:dyDescent="0.2">
      <c r="A55" s="31" t="s">
        <v>18</v>
      </c>
      <c r="B55" s="217" t="s">
        <v>94</v>
      </c>
      <c r="C55" s="189">
        <v>25000</v>
      </c>
      <c r="D55" s="220">
        <v>0</v>
      </c>
      <c r="E55" s="220"/>
      <c r="F55" s="220"/>
      <c r="G55" s="216">
        <f t="shared" si="13"/>
        <v>25000</v>
      </c>
      <c r="H55" s="216">
        <f t="shared" si="14"/>
        <v>0</v>
      </c>
      <c r="I55" s="32"/>
      <c r="J55" s="32"/>
      <c r="K55" s="32"/>
      <c r="L55" s="32"/>
      <c r="M55" s="32"/>
      <c r="N55" s="32"/>
      <c r="O55" s="32"/>
      <c r="P55" s="32"/>
      <c r="Q55" s="32"/>
      <c r="R55" s="32"/>
      <c r="S55" s="32"/>
      <c r="T55" s="32"/>
      <c r="U55" s="32"/>
      <c r="V55" s="32"/>
      <c r="W55" s="32"/>
      <c r="X55" s="32"/>
      <c r="Y55" s="32"/>
      <c r="Z55" s="32"/>
      <c r="AA55" s="29">
        <v>1000</v>
      </c>
    </row>
    <row r="56" spans="1:27" ht="13.5" x14ac:dyDescent="0.2">
      <c r="A56" s="118"/>
      <c r="C56" s="109"/>
      <c r="D56" s="109"/>
      <c r="E56" s="109"/>
      <c r="F56" s="109"/>
    </row>
    <row r="57" spans="1:27" x14ac:dyDescent="0.2">
      <c r="A57" s="30" t="s">
        <v>219</v>
      </c>
      <c r="C57" s="109"/>
    </row>
    <row r="58" spans="1:27" ht="35.25" customHeight="1" x14ac:dyDescent="0.2">
      <c r="B58" s="248" t="s">
        <v>220</v>
      </c>
      <c r="C58" s="248"/>
      <c r="D58" s="248"/>
      <c r="E58" s="248"/>
      <c r="F58" s="248"/>
      <c r="G58" s="248"/>
      <c r="H58" s="248"/>
    </row>
  </sheetData>
  <mergeCells count="18">
    <mergeCell ref="A1:AA1"/>
    <mergeCell ref="A2:AA2"/>
    <mergeCell ref="G3:H3"/>
    <mergeCell ref="A4:A5"/>
    <mergeCell ref="B4:B5"/>
    <mergeCell ref="C4:D4"/>
    <mergeCell ref="G4:H4"/>
    <mergeCell ref="I4:J4"/>
    <mergeCell ref="K4:L4"/>
    <mergeCell ref="Y4:Z4"/>
    <mergeCell ref="M4:N4"/>
    <mergeCell ref="O4:P4"/>
    <mergeCell ref="Q4:R4"/>
    <mergeCell ref="B58:H58"/>
    <mergeCell ref="S4:T4"/>
    <mergeCell ref="E4:F4"/>
    <mergeCell ref="U4:V4"/>
    <mergeCell ref="W4:X4"/>
  </mergeCells>
  <pageMargins left="0.7" right="0.46" top="0.75" bottom="0.75" header="0.3" footer="0.3"/>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0"/>
  <sheetViews>
    <sheetView topLeftCell="A31" workbookViewId="0">
      <selection activeCell="F48" sqref="F48"/>
    </sheetView>
  </sheetViews>
  <sheetFormatPr defaultColWidth="9" defaultRowHeight="12.75" x14ac:dyDescent="0.2"/>
  <cols>
    <col min="1" max="1" width="4.5" style="120" customWidth="1"/>
    <col min="2" max="2" width="41" style="120" customWidth="1"/>
    <col min="3" max="3" width="8.375" style="120" customWidth="1"/>
    <col min="4" max="4" width="9.375" style="120" customWidth="1"/>
    <col min="5" max="5" width="6.625" style="120" customWidth="1"/>
    <col min="6" max="6" width="7.75" style="120" customWidth="1"/>
    <col min="7" max="7" width="9.25" style="120" customWidth="1"/>
    <col min="8" max="8" width="8.25" style="120" customWidth="1"/>
    <col min="9" max="9" width="7.25" style="120" hidden="1" customWidth="1"/>
    <col min="10" max="10" width="3.875" style="120" hidden="1" customWidth="1"/>
    <col min="11" max="11" width="8.375" style="120" customWidth="1"/>
    <col min="12" max="12" width="8.625" style="120" customWidth="1"/>
    <col min="13" max="13" width="8.25" style="120" customWidth="1"/>
    <col min="14" max="14" width="9.375" style="120" customWidth="1"/>
    <col min="15" max="15" width="16.25" style="36" hidden="1" customWidth="1"/>
    <col min="16" max="17" width="9.375" style="36" hidden="1" customWidth="1"/>
    <col min="18" max="18" width="8.875" style="120" hidden="1" customWidth="1"/>
    <col min="19" max="19" width="8.25" style="120" hidden="1" customWidth="1"/>
    <col min="20" max="21" width="9" style="120" hidden="1" customWidth="1"/>
    <col min="22" max="22" width="9.25" style="120" hidden="1" customWidth="1"/>
    <col min="23" max="23" width="9" style="120" hidden="1" customWidth="1"/>
    <col min="24" max="24" width="8.625" style="120" hidden="1" customWidth="1"/>
    <col min="25" max="25" width="10.625" style="120" hidden="1" customWidth="1"/>
    <col min="26" max="26" width="9" style="120" customWidth="1"/>
    <col min="27" max="16384" width="9" style="120"/>
  </cols>
  <sheetData>
    <row r="1" spans="1:25" ht="18.75" customHeight="1" x14ac:dyDescent="0.2">
      <c r="A1" s="256" t="s">
        <v>226</v>
      </c>
      <c r="B1" s="256"/>
      <c r="C1" s="256"/>
      <c r="D1" s="256"/>
      <c r="E1" s="256"/>
      <c r="F1" s="256"/>
      <c r="G1" s="256"/>
      <c r="H1" s="256"/>
      <c r="I1" s="256"/>
      <c r="J1" s="256"/>
      <c r="K1" s="256"/>
      <c r="L1" s="256"/>
      <c r="M1" s="256"/>
      <c r="N1" s="256"/>
    </row>
    <row r="2" spans="1:25" ht="15.75" x14ac:dyDescent="0.25">
      <c r="A2" s="257" t="s">
        <v>234</v>
      </c>
      <c r="B2" s="257"/>
      <c r="C2" s="257"/>
      <c r="D2" s="257"/>
      <c r="E2" s="257"/>
      <c r="F2" s="257"/>
      <c r="G2" s="257"/>
      <c r="H2" s="257"/>
      <c r="I2" s="257"/>
      <c r="J2" s="257"/>
      <c r="K2" s="257"/>
      <c r="L2" s="257"/>
      <c r="M2" s="257"/>
      <c r="N2" s="257"/>
    </row>
    <row r="3" spans="1:25" ht="15.75" hidden="1" x14ac:dyDescent="0.25">
      <c r="A3" s="121"/>
      <c r="B3" s="121" t="s">
        <v>100</v>
      </c>
      <c r="C3" s="121"/>
      <c r="D3" s="121"/>
      <c r="E3" s="121"/>
      <c r="F3" s="121" t="e">
        <f>(F8-E8)-(#REF!-F48)</f>
        <v>#REF!</v>
      </c>
      <c r="G3" s="121"/>
      <c r="H3" s="121">
        <f>(H8-G8)-(H48-G48)-300</f>
        <v>113921</v>
      </c>
      <c r="I3" s="121"/>
      <c r="J3" s="121"/>
      <c r="K3" s="121"/>
      <c r="L3" s="121">
        <f>(L8-K8)-(L48-K48)-(L44-K44)-3947-6000</f>
        <v>232274</v>
      </c>
      <c r="M3" s="121"/>
      <c r="N3" s="121"/>
      <c r="P3" s="122" t="e">
        <f>F3+H3+#REF!+#REF!+#REF!+#REF!+#REF!+#REF!</f>
        <v>#REF!</v>
      </c>
    </row>
    <row r="4" spans="1:25" x14ac:dyDescent="0.2">
      <c r="A4" s="123"/>
      <c r="B4" s="124"/>
      <c r="C4" s="124"/>
      <c r="D4" s="124"/>
      <c r="E4" s="125"/>
      <c r="F4" s="125"/>
      <c r="G4" s="125"/>
      <c r="H4" s="125"/>
      <c r="I4" s="125"/>
      <c r="J4" s="125"/>
      <c r="K4" s="258" t="s">
        <v>238</v>
      </c>
      <c r="L4" s="258"/>
      <c r="M4" s="258"/>
      <c r="N4" s="258"/>
    </row>
    <row r="5" spans="1:25" s="33" customFormat="1" ht="34.5" customHeight="1" x14ac:dyDescent="0.2">
      <c r="A5" s="259" t="s">
        <v>2</v>
      </c>
      <c r="B5" s="259" t="s">
        <v>3</v>
      </c>
      <c r="C5" s="259" t="s">
        <v>4</v>
      </c>
      <c r="D5" s="259"/>
      <c r="E5" s="249" t="s">
        <v>229</v>
      </c>
      <c r="F5" s="249"/>
      <c r="G5" s="249" t="s">
        <v>205</v>
      </c>
      <c r="H5" s="249"/>
      <c r="I5" s="249" t="s">
        <v>206</v>
      </c>
      <c r="J5" s="249"/>
      <c r="K5" s="249" t="s">
        <v>236</v>
      </c>
      <c r="L5" s="249"/>
      <c r="M5" s="249" t="s">
        <v>237</v>
      </c>
      <c r="N5" s="249"/>
      <c r="R5" s="126"/>
    </row>
    <row r="6" spans="1:25" s="33" customFormat="1" ht="26.25" customHeight="1" x14ac:dyDescent="0.2">
      <c r="A6" s="259"/>
      <c r="B6" s="259"/>
      <c r="C6" s="34" t="s">
        <v>101</v>
      </c>
      <c r="D6" s="34" t="s">
        <v>102</v>
      </c>
      <c r="E6" s="34" t="s">
        <v>101</v>
      </c>
      <c r="F6" s="34" t="s">
        <v>102</v>
      </c>
      <c r="G6" s="34" t="s">
        <v>101</v>
      </c>
      <c r="H6" s="34" t="s">
        <v>102</v>
      </c>
      <c r="I6" s="34" t="s">
        <v>101</v>
      </c>
      <c r="J6" s="34" t="s">
        <v>102</v>
      </c>
      <c r="K6" s="34" t="s">
        <v>101</v>
      </c>
      <c r="L6" s="34" t="s">
        <v>102</v>
      </c>
      <c r="M6" s="34" t="s">
        <v>101</v>
      </c>
      <c r="N6" s="34" t="s">
        <v>102</v>
      </c>
    </row>
    <row r="7" spans="1:25" s="33" customFormat="1" x14ac:dyDescent="0.2">
      <c r="A7" s="34" t="s">
        <v>5</v>
      </c>
      <c r="B7" s="34" t="s">
        <v>6</v>
      </c>
      <c r="C7" s="34">
        <v>1</v>
      </c>
      <c r="D7" s="34">
        <v>2</v>
      </c>
      <c r="E7" s="34">
        <v>3</v>
      </c>
      <c r="F7" s="34">
        <v>4</v>
      </c>
      <c r="G7" s="34" t="s">
        <v>217</v>
      </c>
      <c r="H7" s="34" t="s">
        <v>218</v>
      </c>
      <c r="I7" s="34" t="s">
        <v>207</v>
      </c>
      <c r="J7" s="34" t="s">
        <v>207</v>
      </c>
      <c r="K7" s="34">
        <v>23</v>
      </c>
      <c r="L7" s="34">
        <v>24</v>
      </c>
      <c r="M7" s="34">
        <v>25</v>
      </c>
      <c r="N7" s="34">
        <v>26</v>
      </c>
    </row>
    <row r="8" spans="1:25" s="33" customFormat="1" x14ac:dyDescent="0.2">
      <c r="A8" s="164"/>
      <c r="B8" s="164" t="s">
        <v>59</v>
      </c>
      <c r="C8" s="165">
        <v>822000</v>
      </c>
      <c r="D8" s="165">
        <f>D9+D63</f>
        <v>955000</v>
      </c>
      <c r="E8" s="165">
        <f t="shared" ref="E8:F8" si="0">E9+E63</f>
        <v>0</v>
      </c>
      <c r="F8" s="165">
        <f t="shared" si="0"/>
        <v>41550</v>
      </c>
      <c r="G8" s="165">
        <f t="shared" ref="G8" si="1">G9+G63</f>
        <v>822000</v>
      </c>
      <c r="H8" s="165">
        <f t="shared" ref="H8" si="2">H9+H63</f>
        <v>996550</v>
      </c>
      <c r="I8" s="165"/>
      <c r="J8" s="165"/>
      <c r="K8" s="165">
        <v>365000</v>
      </c>
      <c r="L8" s="165">
        <v>461550</v>
      </c>
      <c r="M8" s="166">
        <v>22000</v>
      </c>
      <c r="N8" s="166">
        <v>25000</v>
      </c>
      <c r="O8" s="35">
        <f>D8-C8</f>
        <v>133000</v>
      </c>
      <c r="P8" s="35">
        <f>723740-P9</f>
        <v>0</v>
      </c>
      <c r="Q8" s="35"/>
      <c r="R8" s="126">
        <f>Q9-P9</f>
        <v>129360</v>
      </c>
      <c r="Y8" s="109">
        <f>Y10+Y14</f>
        <v>139139.69999999998</v>
      </c>
    </row>
    <row r="9" spans="1:25" s="36" customFormat="1" x14ac:dyDescent="0.2">
      <c r="A9" s="167" t="s">
        <v>8</v>
      </c>
      <c r="B9" s="167" t="s">
        <v>60</v>
      </c>
      <c r="C9" s="165">
        <v>800000</v>
      </c>
      <c r="D9" s="165">
        <f>SUM(D12,D18,D24,D28,D34,D35,D38,D41,D46,D47,D48,D49,D50,D53,D55,D61,D62)</f>
        <v>930000</v>
      </c>
      <c r="E9" s="165">
        <f t="shared" ref="E9:F9" si="3">SUM(E12,E18,E24,E28,E34,E35,E38,E41,E46,E47,E48,E49,E50,E53,E55,E61,E62)</f>
        <v>0</v>
      </c>
      <c r="F9" s="165">
        <f t="shared" si="3"/>
        <v>41550</v>
      </c>
      <c r="G9" s="165">
        <f t="shared" ref="G9:H9" si="4">SUM(G12,G18,G24,G28,G34,G35,G38,G41,G46,G47,G48,G49,G50,G53,G55,G61,G62)</f>
        <v>800000</v>
      </c>
      <c r="H9" s="165">
        <f t="shared" si="4"/>
        <v>971550</v>
      </c>
      <c r="I9" s="165"/>
      <c r="J9" s="165"/>
      <c r="K9" s="165">
        <v>365000</v>
      </c>
      <c r="L9" s="165">
        <v>461550</v>
      </c>
      <c r="M9" s="166">
        <v>22000</v>
      </c>
      <c r="N9" s="166">
        <v>25000</v>
      </c>
      <c r="O9" s="35">
        <f t="shared" ref="O9:O70" si="5">D9-C9</f>
        <v>130000</v>
      </c>
      <c r="P9" s="110">
        <f>C9-P10</f>
        <v>723740</v>
      </c>
      <c r="Q9" s="110">
        <f>D9-Q10</f>
        <v>853100</v>
      </c>
      <c r="R9" s="35">
        <f>Q9-P9</f>
        <v>129360</v>
      </c>
      <c r="S9" s="36" t="s">
        <v>103</v>
      </c>
      <c r="X9" s="36" t="s">
        <v>104</v>
      </c>
    </row>
    <row r="10" spans="1:25" s="36" customFormat="1" ht="16.5" customHeight="1" x14ac:dyDescent="0.2">
      <c r="A10" s="167"/>
      <c r="B10" s="168" t="s">
        <v>232</v>
      </c>
      <c r="C10" s="169">
        <v>631000</v>
      </c>
      <c r="D10" s="169">
        <v>736221</v>
      </c>
      <c r="E10" s="169"/>
      <c r="F10" s="169"/>
      <c r="G10" s="169">
        <v>631000</v>
      </c>
      <c r="H10" s="169">
        <v>736221</v>
      </c>
      <c r="I10" s="169"/>
      <c r="J10" s="169"/>
      <c r="K10" s="169">
        <v>346000</v>
      </c>
      <c r="L10" s="169">
        <v>432221</v>
      </c>
      <c r="M10" s="166"/>
      <c r="N10" s="166"/>
      <c r="O10" s="35"/>
      <c r="P10" s="110">
        <f>SUM(P12:P56)</f>
        <v>76260</v>
      </c>
      <c r="Q10" s="110">
        <f>SUM(Q12:Q56)</f>
        <v>76900</v>
      </c>
      <c r="R10" s="110">
        <f>SUM(R12:R57)</f>
        <v>198771</v>
      </c>
      <c r="S10" s="110">
        <f>SUM(S12:S56)</f>
        <v>77829</v>
      </c>
      <c r="T10" s="35">
        <f>R10*70%</f>
        <v>139139.69999999998</v>
      </c>
      <c r="W10" s="36" t="s">
        <v>105</v>
      </c>
      <c r="X10" s="35">
        <f>L10-K10-3947</f>
        <v>82274</v>
      </c>
      <c r="Y10" s="35">
        <f>X10*0.7</f>
        <v>57591.799999999996</v>
      </c>
    </row>
    <row r="11" spans="1:25" s="36" customFormat="1" ht="13.5" hidden="1" x14ac:dyDescent="0.2">
      <c r="A11" s="167"/>
      <c r="B11" s="167"/>
      <c r="C11" s="169"/>
      <c r="D11" s="169"/>
      <c r="E11" s="170"/>
      <c r="F11" s="170"/>
      <c r="G11" s="169"/>
      <c r="H11" s="169"/>
      <c r="I11" s="169"/>
      <c r="J11" s="169"/>
      <c r="K11" s="170">
        <v>346000</v>
      </c>
      <c r="L11" s="170">
        <v>432221</v>
      </c>
      <c r="M11" s="166"/>
      <c r="N11" s="166"/>
      <c r="O11" s="35"/>
      <c r="P11" s="35"/>
      <c r="Q11" s="35"/>
      <c r="R11" s="35"/>
    </row>
    <row r="12" spans="1:25" s="119" customFormat="1" ht="18" customHeight="1" x14ac:dyDescent="0.2">
      <c r="A12" s="167">
        <v>1</v>
      </c>
      <c r="B12" s="167" t="s">
        <v>61</v>
      </c>
      <c r="C12" s="169">
        <v>110000</v>
      </c>
      <c r="D12" s="169">
        <v>112000</v>
      </c>
      <c r="E12" s="169"/>
      <c r="F12" s="169"/>
      <c r="G12" s="169">
        <v>110000</v>
      </c>
      <c r="H12" s="169">
        <v>112000</v>
      </c>
      <c r="I12" s="169"/>
      <c r="J12" s="169"/>
      <c r="K12" s="169">
        <v>77220</v>
      </c>
      <c r="L12" s="169">
        <v>79220</v>
      </c>
      <c r="M12" s="166"/>
      <c r="N12" s="166"/>
      <c r="O12" s="35">
        <f t="shared" si="5"/>
        <v>2000</v>
      </c>
      <c r="P12" s="35"/>
      <c r="Q12" s="35"/>
      <c r="R12" s="35"/>
      <c r="T12" s="127">
        <f>R10-T10</f>
        <v>59631.300000000017</v>
      </c>
      <c r="W12" s="119" t="s">
        <v>106</v>
      </c>
      <c r="Y12" s="127">
        <f>X10*0.3</f>
        <v>24682.2</v>
      </c>
    </row>
    <row r="13" spans="1:25" s="33" customFormat="1" x14ac:dyDescent="0.2">
      <c r="A13" s="171"/>
      <c r="B13" s="172" t="s">
        <v>62</v>
      </c>
      <c r="C13" s="173">
        <v>74000</v>
      </c>
      <c r="D13" s="173">
        <v>76000</v>
      </c>
      <c r="E13" s="174"/>
      <c r="F13" s="174"/>
      <c r="G13" s="173">
        <v>74000</v>
      </c>
      <c r="H13" s="173">
        <v>76000</v>
      </c>
      <c r="I13" s="173"/>
      <c r="J13" s="173"/>
      <c r="K13" s="174">
        <v>72320</v>
      </c>
      <c r="L13" s="174">
        <v>74320</v>
      </c>
      <c r="M13" s="175"/>
      <c r="N13" s="175"/>
      <c r="O13" s="35">
        <f t="shared" si="5"/>
        <v>2000</v>
      </c>
      <c r="P13" s="35"/>
      <c r="Q13" s="35"/>
      <c r="R13" s="35"/>
      <c r="X13" s="33" t="s">
        <v>107</v>
      </c>
    </row>
    <row r="14" spans="1:25" s="36" customFormat="1" x14ac:dyDescent="0.2">
      <c r="A14" s="171"/>
      <c r="B14" s="176" t="s">
        <v>63</v>
      </c>
      <c r="C14" s="173">
        <v>5000</v>
      </c>
      <c r="D14" s="173">
        <v>5000</v>
      </c>
      <c r="E14" s="174"/>
      <c r="F14" s="174"/>
      <c r="G14" s="173">
        <v>5000</v>
      </c>
      <c r="H14" s="173">
        <v>5000</v>
      </c>
      <c r="I14" s="173"/>
      <c r="J14" s="173"/>
      <c r="K14" s="174">
        <v>4900</v>
      </c>
      <c r="L14" s="174">
        <v>4900</v>
      </c>
      <c r="M14" s="175"/>
      <c r="N14" s="175"/>
      <c r="O14" s="35">
        <f t="shared" si="5"/>
        <v>0</v>
      </c>
      <c r="P14" s="35"/>
      <c r="Q14" s="35"/>
      <c r="R14" s="35">
        <f t="shared" ref="R14:R27" si="6">D14-C14</f>
        <v>0</v>
      </c>
      <c r="U14" s="128"/>
      <c r="V14" s="128">
        <v>1400</v>
      </c>
      <c r="X14" s="35">
        <f>R10-X10</f>
        <v>116497</v>
      </c>
      <c r="Y14" s="35">
        <f>X14*0.7</f>
        <v>81547.899999999994</v>
      </c>
    </row>
    <row r="15" spans="1:25" s="36" customFormat="1" x14ac:dyDescent="0.2">
      <c r="A15" s="171"/>
      <c r="B15" s="172" t="s">
        <v>64</v>
      </c>
      <c r="C15" s="173">
        <v>31000</v>
      </c>
      <c r="D15" s="173">
        <v>31000</v>
      </c>
      <c r="E15" s="174"/>
      <c r="F15" s="174"/>
      <c r="G15" s="173">
        <v>31000</v>
      </c>
      <c r="H15" s="173">
        <v>31000</v>
      </c>
      <c r="I15" s="173"/>
      <c r="J15" s="173"/>
      <c r="K15" s="174"/>
      <c r="L15" s="174"/>
      <c r="M15" s="175"/>
      <c r="N15" s="175"/>
      <c r="O15" s="35">
        <f t="shared" si="5"/>
        <v>0</v>
      </c>
      <c r="P15" s="35"/>
      <c r="Q15" s="35"/>
      <c r="R15" s="35">
        <f t="shared" si="6"/>
        <v>0</v>
      </c>
      <c r="Y15" s="35">
        <f>X14*0.3</f>
        <v>34949.1</v>
      </c>
    </row>
    <row r="16" spans="1:25" s="33" customFormat="1" x14ac:dyDescent="0.2">
      <c r="A16" s="171"/>
      <c r="B16" s="176" t="s">
        <v>108</v>
      </c>
      <c r="C16" s="173"/>
      <c r="D16" s="173"/>
      <c r="E16" s="174"/>
      <c r="F16" s="174"/>
      <c r="G16" s="173"/>
      <c r="H16" s="173"/>
      <c r="I16" s="173"/>
      <c r="J16" s="173"/>
      <c r="K16" s="174">
        <v>0</v>
      </c>
      <c r="L16" s="174">
        <v>0</v>
      </c>
      <c r="M16" s="166"/>
      <c r="N16" s="166"/>
      <c r="O16" s="35">
        <f t="shared" si="5"/>
        <v>0</v>
      </c>
      <c r="P16" s="35"/>
      <c r="Q16" s="35"/>
      <c r="R16" s="35">
        <f t="shared" si="6"/>
        <v>0</v>
      </c>
      <c r="Y16" s="109">
        <f>Y12+Y15</f>
        <v>59631.3</v>
      </c>
    </row>
    <row r="17" spans="1:18" s="36" customFormat="1" x14ac:dyDescent="0.2">
      <c r="A17" s="171"/>
      <c r="B17" s="172" t="s">
        <v>65</v>
      </c>
      <c r="C17" s="173"/>
      <c r="D17" s="173"/>
      <c r="E17" s="174"/>
      <c r="F17" s="174"/>
      <c r="G17" s="173"/>
      <c r="H17" s="173"/>
      <c r="I17" s="173"/>
      <c r="J17" s="173"/>
      <c r="K17" s="174">
        <v>0</v>
      </c>
      <c r="L17" s="174">
        <v>0</v>
      </c>
      <c r="M17" s="175"/>
      <c r="N17" s="175"/>
      <c r="O17" s="35">
        <f t="shared" si="5"/>
        <v>0</v>
      </c>
      <c r="P17" s="35"/>
      <c r="Q17" s="35"/>
      <c r="R17" s="35">
        <f t="shared" si="6"/>
        <v>0</v>
      </c>
    </row>
    <row r="18" spans="1:18" s="119" customFormat="1" ht="14.25" customHeight="1" x14ac:dyDescent="0.2">
      <c r="A18" s="167">
        <v>2</v>
      </c>
      <c r="B18" s="167" t="s">
        <v>66</v>
      </c>
      <c r="C18" s="169">
        <v>6300</v>
      </c>
      <c r="D18" s="169">
        <v>6300</v>
      </c>
      <c r="E18" s="165"/>
      <c r="F18" s="165"/>
      <c r="G18" s="169">
        <v>6300</v>
      </c>
      <c r="H18" s="169">
        <v>6300</v>
      </c>
      <c r="I18" s="169"/>
      <c r="J18" s="169"/>
      <c r="K18" s="165">
        <v>4640</v>
      </c>
      <c r="L18" s="165">
        <v>4640</v>
      </c>
      <c r="M18" s="166"/>
      <c r="N18" s="166"/>
      <c r="O18" s="35">
        <f t="shared" si="5"/>
        <v>0</v>
      </c>
      <c r="P18" s="35"/>
      <c r="Q18" s="35"/>
      <c r="R18" s="35">
        <f t="shared" si="6"/>
        <v>0</v>
      </c>
    </row>
    <row r="19" spans="1:18" s="36" customFormat="1" x14ac:dyDescent="0.2">
      <c r="A19" s="171"/>
      <c r="B19" s="172" t="s">
        <v>62</v>
      </c>
      <c r="C19" s="173">
        <v>3900</v>
      </c>
      <c r="D19" s="173">
        <v>3900</v>
      </c>
      <c r="E19" s="174"/>
      <c r="F19" s="174"/>
      <c r="G19" s="173">
        <v>3900</v>
      </c>
      <c r="H19" s="173">
        <v>3900</v>
      </c>
      <c r="I19" s="173"/>
      <c r="J19" s="173"/>
      <c r="K19" s="174">
        <v>2950</v>
      </c>
      <c r="L19" s="174">
        <v>2950</v>
      </c>
      <c r="M19" s="175"/>
      <c r="N19" s="175"/>
      <c r="O19" s="35">
        <f t="shared" si="5"/>
        <v>0</v>
      </c>
      <c r="P19" s="35"/>
      <c r="Q19" s="35"/>
      <c r="R19" s="35">
        <f t="shared" si="6"/>
        <v>0</v>
      </c>
    </row>
    <row r="20" spans="1:18" s="36" customFormat="1" x14ac:dyDescent="0.2">
      <c r="A20" s="171"/>
      <c r="B20" s="176" t="s">
        <v>67</v>
      </c>
      <c r="C20" s="173"/>
      <c r="D20" s="173"/>
      <c r="E20" s="174"/>
      <c r="F20" s="174"/>
      <c r="G20" s="173"/>
      <c r="H20" s="173"/>
      <c r="I20" s="173"/>
      <c r="J20" s="173"/>
      <c r="K20" s="174">
        <v>0</v>
      </c>
      <c r="L20" s="174">
        <v>0</v>
      </c>
      <c r="M20" s="175"/>
      <c r="N20" s="175"/>
      <c r="O20" s="35">
        <f t="shared" si="5"/>
        <v>0</v>
      </c>
      <c r="P20" s="35"/>
      <c r="Q20" s="35"/>
      <c r="R20" s="35">
        <f t="shared" si="6"/>
        <v>0</v>
      </c>
    </row>
    <row r="21" spans="1:18" s="36" customFormat="1" x14ac:dyDescent="0.2">
      <c r="A21" s="171"/>
      <c r="B21" s="176" t="s">
        <v>63</v>
      </c>
      <c r="C21" s="173">
        <v>2200</v>
      </c>
      <c r="D21" s="173">
        <v>2200</v>
      </c>
      <c r="E21" s="174"/>
      <c r="F21" s="174"/>
      <c r="G21" s="173">
        <v>2200</v>
      </c>
      <c r="H21" s="173">
        <v>2200</v>
      </c>
      <c r="I21" s="173"/>
      <c r="J21" s="173"/>
      <c r="K21" s="174">
        <v>1690</v>
      </c>
      <c r="L21" s="174">
        <v>1690</v>
      </c>
      <c r="M21" s="175"/>
      <c r="N21" s="175"/>
      <c r="O21" s="35">
        <f t="shared" si="5"/>
        <v>0</v>
      </c>
      <c r="P21" s="35"/>
      <c r="Q21" s="35"/>
      <c r="R21" s="35">
        <f t="shared" si="6"/>
        <v>0</v>
      </c>
    </row>
    <row r="22" spans="1:18" s="36" customFormat="1" x14ac:dyDescent="0.2">
      <c r="A22" s="171"/>
      <c r="B22" s="172" t="s">
        <v>64</v>
      </c>
      <c r="C22" s="173">
        <v>200</v>
      </c>
      <c r="D22" s="173">
        <v>200</v>
      </c>
      <c r="E22" s="174"/>
      <c r="F22" s="174"/>
      <c r="G22" s="173">
        <v>200</v>
      </c>
      <c r="H22" s="173">
        <v>200</v>
      </c>
      <c r="I22" s="173"/>
      <c r="J22" s="173"/>
      <c r="K22" s="174"/>
      <c r="L22" s="174"/>
      <c r="M22" s="166"/>
      <c r="N22" s="166"/>
      <c r="O22" s="35">
        <f t="shared" si="5"/>
        <v>0</v>
      </c>
      <c r="P22" s="35"/>
      <c r="Q22" s="35"/>
      <c r="R22" s="35">
        <f t="shared" si="6"/>
        <v>0</v>
      </c>
    </row>
    <row r="23" spans="1:18" s="36" customFormat="1" x14ac:dyDescent="0.2">
      <c r="A23" s="171"/>
      <c r="B23" s="172" t="s">
        <v>65</v>
      </c>
      <c r="C23" s="169"/>
      <c r="D23" s="169"/>
      <c r="E23" s="174"/>
      <c r="F23" s="174"/>
      <c r="G23" s="169"/>
      <c r="H23" s="169"/>
      <c r="I23" s="169"/>
      <c r="J23" s="169"/>
      <c r="K23" s="174">
        <v>0</v>
      </c>
      <c r="L23" s="174">
        <v>0</v>
      </c>
      <c r="M23" s="175"/>
      <c r="N23" s="175"/>
      <c r="O23" s="35">
        <f t="shared" si="5"/>
        <v>0</v>
      </c>
      <c r="P23" s="35"/>
      <c r="Q23" s="35"/>
      <c r="R23" s="35">
        <f t="shared" si="6"/>
        <v>0</v>
      </c>
    </row>
    <row r="24" spans="1:18" s="36" customFormat="1" ht="16.5" customHeight="1" x14ac:dyDescent="0.2">
      <c r="A24" s="167">
        <v>3</v>
      </c>
      <c r="B24" s="167" t="s">
        <v>68</v>
      </c>
      <c r="C24" s="169">
        <v>300</v>
      </c>
      <c r="D24" s="169">
        <v>300</v>
      </c>
      <c r="E24" s="177"/>
      <c r="F24" s="165"/>
      <c r="G24" s="169">
        <v>300</v>
      </c>
      <c r="H24" s="169">
        <v>300</v>
      </c>
      <c r="I24" s="169"/>
      <c r="J24" s="169"/>
      <c r="K24" s="165">
        <v>250</v>
      </c>
      <c r="L24" s="165">
        <v>250</v>
      </c>
      <c r="M24" s="166"/>
      <c r="N24" s="166"/>
      <c r="O24" s="35">
        <f t="shared" si="5"/>
        <v>0</v>
      </c>
      <c r="P24" s="35"/>
      <c r="Q24" s="35"/>
      <c r="R24" s="35">
        <f t="shared" si="6"/>
        <v>0</v>
      </c>
    </row>
    <row r="25" spans="1:18" s="36" customFormat="1" x14ac:dyDescent="0.2">
      <c r="A25" s="171"/>
      <c r="B25" s="172" t="s">
        <v>62</v>
      </c>
      <c r="C25" s="173">
        <v>250</v>
      </c>
      <c r="D25" s="173">
        <v>250</v>
      </c>
      <c r="E25" s="174"/>
      <c r="F25" s="174"/>
      <c r="G25" s="173">
        <v>250</v>
      </c>
      <c r="H25" s="173">
        <v>250</v>
      </c>
      <c r="I25" s="173"/>
      <c r="J25" s="173"/>
      <c r="K25" s="174">
        <v>250</v>
      </c>
      <c r="L25" s="174">
        <v>250</v>
      </c>
      <c r="M25" s="175"/>
      <c r="N25" s="175"/>
      <c r="O25" s="35">
        <f t="shared" si="5"/>
        <v>0</v>
      </c>
      <c r="P25" s="35"/>
      <c r="Q25" s="35"/>
      <c r="R25" s="35">
        <f t="shared" si="6"/>
        <v>0</v>
      </c>
    </row>
    <row r="26" spans="1:18" s="36" customFormat="1" x14ac:dyDescent="0.2">
      <c r="A26" s="171"/>
      <c r="B26" s="176" t="s">
        <v>63</v>
      </c>
      <c r="C26" s="173"/>
      <c r="D26" s="173"/>
      <c r="E26" s="178"/>
      <c r="F26" s="174"/>
      <c r="G26" s="173"/>
      <c r="H26" s="173"/>
      <c r="I26" s="173"/>
      <c r="J26" s="173"/>
      <c r="K26" s="174">
        <v>0</v>
      </c>
      <c r="L26" s="174">
        <v>0</v>
      </c>
      <c r="M26" s="175"/>
      <c r="N26" s="175"/>
      <c r="O26" s="35">
        <f t="shared" si="5"/>
        <v>0</v>
      </c>
      <c r="P26" s="35"/>
      <c r="Q26" s="35"/>
      <c r="R26" s="35">
        <f t="shared" si="6"/>
        <v>0</v>
      </c>
    </row>
    <row r="27" spans="1:18" s="36" customFormat="1" x14ac:dyDescent="0.2">
      <c r="A27" s="171"/>
      <c r="B27" s="172" t="s">
        <v>64</v>
      </c>
      <c r="C27" s="173">
        <v>50</v>
      </c>
      <c r="D27" s="173">
        <v>50</v>
      </c>
      <c r="E27" s="174"/>
      <c r="F27" s="174"/>
      <c r="G27" s="173">
        <v>50</v>
      </c>
      <c r="H27" s="173">
        <v>50</v>
      </c>
      <c r="I27" s="173"/>
      <c r="J27" s="173"/>
      <c r="K27" s="174">
        <v>0</v>
      </c>
      <c r="L27" s="174"/>
      <c r="M27" s="175"/>
      <c r="N27" s="175"/>
      <c r="O27" s="35">
        <f t="shared" si="5"/>
        <v>0</v>
      </c>
      <c r="P27" s="35"/>
      <c r="Q27" s="35"/>
      <c r="R27" s="35">
        <f t="shared" si="6"/>
        <v>0</v>
      </c>
    </row>
    <row r="28" spans="1:18" s="36" customFormat="1" x14ac:dyDescent="0.2">
      <c r="A28" s="167">
        <v>4</v>
      </c>
      <c r="B28" s="167" t="s">
        <v>69</v>
      </c>
      <c r="C28" s="169">
        <v>150000</v>
      </c>
      <c r="D28" s="169">
        <v>159700</v>
      </c>
      <c r="E28" s="169"/>
      <c r="F28" s="169"/>
      <c r="G28" s="169">
        <v>150000</v>
      </c>
      <c r="H28" s="169">
        <v>159700</v>
      </c>
      <c r="I28" s="169"/>
      <c r="J28" s="169"/>
      <c r="K28" s="169">
        <v>56940</v>
      </c>
      <c r="L28" s="169">
        <v>58640</v>
      </c>
      <c r="M28" s="175"/>
      <c r="N28" s="175"/>
      <c r="O28" s="35">
        <f t="shared" si="5"/>
        <v>9700</v>
      </c>
      <c r="P28" s="35"/>
      <c r="Q28" s="35"/>
      <c r="R28" s="35"/>
    </row>
    <row r="29" spans="1:18" s="33" customFormat="1" x14ac:dyDescent="0.2">
      <c r="A29" s="171"/>
      <c r="B29" s="172" t="s">
        <v>62</v>
      </c>
      <c r="C29" s="173">
        <v>108800</v>
      </c>
      <c r="D29" s="173">
        <v>111500</v>
      </c>
      <c r="E29" s="178"/>
      <c r="F29" s="174"/>
      <c r="G29" s="173">
        <v>108800</v>
      </c>
      <c r="H29" s="173">
        <v>111500</v>
      </c>
      <c r="I29" s="173"/>
      <c r="J29" s="173"/>
      <c r="K29" s="174">
        <v>48840</v>
      </c>
      <c r="L29" s="174">
        <v>50540</v>
      </c>
      <c r="M29" s="175"/>
      <c r="N29" s="175"/>
      <c r="O29" s="35">
        <f>D29-C29</f>
        <v>2700</v>
      </c>
      <c r="P29" s="35"/>
      <c r="Q29" s="35"/>
      <c r="R29" s="35"/>
    </row>
    <row r="30" spans="1:18" s="36" customFormat="1" x14ac:dyDescent="0.2">
      <c r="A30" s="171"/>
      <c r="B30" s="172" t="s">
        <v>67</v>
      </c>
      <c r="C30" s="173">
        <v>600</v>
      </c>
      <c r="D30" s="173">
        <v>600</v>
      </c>
      <c r="E30" s="178"/>
      <c r="F30" s="174"/>
      <c r="G30" s="173">
        <v>600</v>
      </c>
      <c r="H30" s="173">
        <v>600</v>
      </c>
      <c r="I30" s="173"/>
      <c r="J30" s="173"/>
      <c r="K30" s="174">
        <v>200</v>
      </c>
      <c r="L30" s="174">
        <v>200</v>
      </c>
      <c r="M30" s="166"/>
      <c r="N30" s="166"/>
      <c r="O30" s="35">
        <f t="shared" si="5"/>
        <v>0</v>
      </c>
      <c r="P30" s="35"/>
      <c r="Q30" s="35"/>
      <c r="R30" s="35">
        <f>D30-C30</f>
        <v>0</v>
      </c>
    </row>
    <row r="31" spans="1:18" s="36" customFormat="1" x14ac:dyDescent="0.2">
      <c r="A31" s="171"/>
      <c r="B31" s="176" t="s">
        <v>63</v>
      </c>
      <c r="C31" s="173">
        <v>11600</v>
      </c>
      <c r="D31" s="173">
        <v>11600</v>
      </c>
      <c r="E31" s="178"/>
      <c r="F31" s="174"/>
      <c r="G31" s="173">
        <v>11600</v>
      </c>
      <c r="H31" s="173">
        <v>11600</v>
      </c>
      <c r="I31" s="173"/>
      <c r="J31" s="173"/>
      <c r="K31" s="174">
        <v>7900</v>
      </c>
      <c r="L31" s="174">
        <v>7900</v>
      </c>
      <c r="M31" s="166"/>
      <c r="N31" s="166"/>
      <c r="O31" s="35">
        <f t="shared" si="5"/>
        <v>0</v>
      </c>
      <c r="P31" s="35"/>
      <c r="Q31" s="35"/>
      <c r="R31" s="35">
        <f>D31-C31</f>
        <v>0</v>
      </c>
    </row>
    <row r="32" spans="1:18" s="36" customFormat="1" x14ac:dyDescent="0.2">
      <c r="A32" s="171"/>
      <c r="B32" s="176" t="s">
        <v>64</v>
      </c>
      <c r="C32" s="173">
        <v>29000</v>
      </c>
      <c r="D32" s="173">
        <v>36000</v>
      </c>
      <c r="E32" s="174"/>
      <c r="F32" s="174"/>
      <c r="G32" s="173">
        <v>29000</v>
      </c>
      <c r="H32" s="173">
        <v>36000</v>
      </c>
      <c r="I32" s="173"/>
      <c r="J32" s="173"/>
      <c r="K32" s="174"/>
      <c r="L32" s="174"/>
      <c r="M32" s="166"/>
      <c r="N32" s="166"/>
      <c r="O32" s="35">
        <f t="shared" si="5"/>
        <v>7000</v>
      </c>
      <c r="P32" s="35"/>
      <c r="Q32" s="35"/>
      <c r="R32" s="35"/>
    </row>
    <row r="33" spans="1:19" s="36" customFormat="1" x14ac:dyDescent="0.2">
      <c r="A33" s="171"/>
      <c r="B33" s="172" t="s">
        <v>65</v>
      </c>
      <c r="C33" s="169"/>
      <c r="D33" s="169"/>
      <c r="E33" s="174"/>
      <c r="F33" s="174"/>
      <c r="G33" s="169"/>
      <c r="H33" s="169"/>
      <c r="I33" s="169"/>
      <c r="J33" s="169"/>
      <c r="K33" s="174">
        <v>0</v>
      </c>
      <c r="L33" s="174">
        <v>0</v>
      </c>
      <c r="M33" s="166"/>
      <c r="N33" s="166"/>
      <c r="O33" s="35">
        <f t="shared" si="5"/>
        <v>0</v>
      </c>
      <c r="P33" s="35"/>
      <c r="Q33" s="35"/>
      <c r="R33" s="35">
        <f>D33-C33</f>
        <v>0</v>
      </c>
    </row>
    <row r="34" spans="1:19" s="36" customFormat="1" x14ac:dyDescent="0.2">
      <c r="A34" s="167">
        <v>5</v>
      </c>
      <c r="B34" s="167" t="s">
        <v>70</v>
      </c>
      <c r="C34" s="169">
        <v>38000</v>
      </c>
      <c r="D34" s="169">
        <v>39000</v>
      </c>
      <c r="E34" s="169"/>
      <c r="F34" s="169"/>
      <c r="G34" s="169">
        <v>38000</v>
      </c>
      <c r="H34" s="169">
        <v>39000</v>
      </c>
      <c r="I34" s="169"/>
      <c r="J34" s="169"/>
      <c r="K34" s="165">
        <v>17400</v>
      </c>
      <c r="L34" s="165">
        <v>18100</v>
      </c>
      <c r="M34" s="166"/>
      <c r="N34" s="166"/>
      <c r="O34" s="35">
        <f t="shared" si="5"/>
        <v>1000</v>
      </c>
      <c r="P34" s="35"/>
      <c r="Q34" s="35"/>
      <c r="R34" s="35"/>
    </row>
    <row r="35" spans="1:19" s="36" customFormat="1" x14ac:dyDescent="0.2">
      <c r="A35" s="167">
        <v>6</v>
      </c>
      <c r="B35" s="167" t="s">
        <v>76</v>
      </c>
      <c r="C35" s="169">
        <v>118000</v>
      </c>
      <c r="D35" s="169">
        <v>120500</v>
      </c>
      <c r="E35" s="179"/>
      <c r="F35" s="165"/>
      <c r="G35" s="169">
        <v>118000</v>
      </c>
      <c r="H35" s="169">
        <v>120500</v>
      </c>
      <c r="I35" s="169"/>
      <c r="J35" s="169"/>
      <c r="K35" s="165">
        <v>118000</v>
      </c>
      <c r="L35" s="165">
        <v>120500</v>
      </c>
      <c r="M35" s="166"/>
      <c r="N35" s="166"/>
      <c r="O35" s="35">
        <f t="shared" si="5"/>
        <v>2500</v>
      </c>
      <c r="P35" s="35"/>
      <c r="Q35" s="35"/>
      <c r="R35" s="35"/>
      <c r="S35" s="35"/>
    </row>
    <row r="36" spans="1:19" s="36" customFormat="1" ht="25.5" x14ac:dyDescent="0.2">
      <c r="A36" s="180" t="s">
        <v>109</v>
      </c>
      <c r="B36" s="180" t="s">
        <v>110</v>
      </c>
      <c r="C36" s="181">
        <v>70800</v>
      </c>
      <c r="D36" s="181">
        <v>73300</v>
      </c>
      <c r="E36" s="179"/>
      <c r="F36" s="165"/>
      <c r="G36" s="181">
        <v>70800</v>
      </c>
      <c r="H36" s="181">
        <v>73300</v>
      </c>
      <c r="I36" s="181"/>
      <c r="J36" s="181"/>
      <c r="K36" s="182"/>
      <c r="L36" s="182"/>
      <c r="M36" s="166"/>
      <c r="N36" s="166"/>
      <c r="O36" s="35"/>
      <c r="P36" s="35"/>
      <c r="Q36" s="35"/>
      <c r="R36" s="35"/>
    </row>
    <row r="37" spans="1:19" s="36" customFormat="1" x14ac:dyDescent="0.2">
      <c r="A37" s="180" t="s">
        <v>109</v>
      </c>
      <c r="B37" s="180" t="s">
        <v>111</v>
      </c>
      <c r="C37" s="181">
        <v>47200</v>
      </c>
      <c r="D37" s="181">
        <v>47200</v>
      </c>
      <c r="E37" s="179"/>
      <c r="F37" s="165"/>
      <c r="G37" s="181">
        <v>47200</v>
      </c>
      <c r="H37" s="181">
        <v>47200</v>
      </c>
      <c r="I37" s="181"/>
      <c r="J37" s="181"/>
      <c r="K37" s="174"/>
      <c r="L37" s="174"/>
      <c r="M37" s="166"/>
      <c r="N37" s="166"/>
      <c r="O37" s="35"/>
      <c r="P37" s="35">
        <v>47200</v>
      </c>
      <c r="Q37" s="35">
        <v>47200</v>
      </c>
      <c r="R37" s="35">
        <f>D36</f>
        <v>73300</v>
      </c>
    </row>
    <row r="38" spans="1:19" s="36" customFormat="1" x14ac:dyDescent="0.2">
      <c r="A38" s="167">
        <v>7</v>
      </c>
      <c r="B38" s="167" t="s">
        <v>79</v>
      </c>
      <c r="C38" s="169">
        <v>52000</v>
      </c>
      <c r="D38" s="169">
        <v>57000</v>
      </c>
      <c r="E38" s="183"/>
      <c r="F38" s="165"/>
      <c r="G38" s="169">
        <v>52000</v>
      </c>
      <c r="H38" s="169">
        <v>57000</v>
      </c>
      <c r="I38" s="169"/>
      <c r="J38" s="169"/>
      <c r="K38" s="165"/>
      <c r="L38" s="165">
        <v>0</v>
      </c>
      <c r="M38" s="175"/>
      <c r="N38" s="175"/>
      <c r="O38" s="35">
        <f t="shared" si="5"/>
        <v>5000</v>
      </c>
      <c r="P38" s="35"/>
      <c r="Q38" s="35"/>
      <c r="R38" s="35"/>
    </row>
    <row r="39" spans="1:19" s="117" customFormat="1" ht="13.5" x14ac:dyDescent="0.2">
      <c r="A39" s="184" t="s">
        <v>109</v>
      </c>
      <c r="B39" s="176" t="s">
        <v>112</v>
      </c>
      <c r="C39" s="185">
        <v>4200</v>
      </c>
      <c r="D39" s="185">
        <v>4200</v>
      </c>
      <c r="E39" s="178"/>
      <c r="F39" s="178"/>
      <c r="G39" s="185">
        <v>4200</v>
      </c>
      <c r="H39" s="185">
        <v>4200</v>
      </c>
      <c r="I39" s="185"/>
      <c r="J39" s="185"/>
      <c r="K39" s="174"/>
      <c r="L39" s="174"/>
      <c r="M39" s="186"/>
      <c r="N39" s="186"/>
      <c r="O39" s="35">
        <f t="shared" si="5"/>
        <v>0</v>
      </c>
      <c r="P39" s="35"/>
      <c r="Q39" s="35"/>
      <c r="R39" s="35">
        <f>D39-C39</f>
        <v>0</v>
      </c>
    </row>
    <row r="40" spans="1:19" s="117" customFormat="1" ht="13.5" x14ac:dyDescent="0.2">
      <c r="A40" s="184" t="s">
        <v>109</v>
      </c>
      <c r="B40" s="187" t="s">
        <v>113</v>
      </c>
      <c r="C40" s="185">
        <v>47800</v>
      </c>
      <c r="D40" s="185">
        <v>52800</v>
      </c>
      <c r="E40" s="178"/>
      <c r="F40" s="178"/>
      <c r="G40" s="185">
        <v>47800</v>
      </c>
      <c r="H40" s="185">
        <v>52800</v>
      </c>
      <c r="I40" s="185"/>
      <c r="J40" s="185"/>
      <c r="K40" s="174"/>
      <c r="L40" s="174"/>
      <c r="M40" s="186"/>
      <c r="N40" s="186"/>
      <c r="O40" s="35">
        <f t="shared" si="5"/>
        <v>5000</v>
      </c>
      <c r="P40" s="35"/>
      <c r="Q40" s="35"/>
      <c r="R40" s="35"/>
    </row>
    <row r="41" spans="1:19" s="36" customFormat="1" x14ac:dyDescent="0.2">
      <c r="A41" s="167">
        <v>8</v>
      </c>
      <c r="B41" s="167" t="s">
        <v>82</v>
      </c>
      <c r="C41" s="169">
        <v>70000</v>
      </c>
      <c r="D41" s="169">
        <v>75000</v>
      </c>
      <c r="E41" s="183"/>
      <c r="F41" s="165"/>
      <c r="G41" s="169">
        <v>70000</v>
      </c>
      <c r="H41" s="169">
        <v>75000</v>
      </c>
      <c r="I41" s="169"/>
      <c r="J41" s="169"/>
      <c r="K41" s="165">
        <v>5750</v>
      </c>
      <c r="L41" s="165">
        <v>5750</v>
      </c>
      <c r="M41" s="175"/>
      <c r="N41" s="175"/>
      <c r="O41" s="35">
        <f t="shared" si="5"/>
        <v>5000</v>
      </c>
      <c r="P41" s="35"/>
      <c r="Q41" s="35"/>
      <c r="R41" s="35">
        <f>D41-C41-S41</f>
        <v>0</v>
      </c>
      <c r="S41" s="36">
        <v>5000</v>
      </c>
    </row>
    <row r="42" spans="1:19" s="36" customFormat="1" ht="13.5" x14ac:dyDescent="0.2">
      <c r="A42" s="184" t="s">
        <v>109</v>
      </c>
      <c r="B42" s="180" t="s">
        <v>83</v>
      </c>
      <c r="C42" s="185">
        <v>4500</v>
      </c>
      <c r="D42" s="185">
        <v>4500</v>
      </c>
      <c r="E42" s="178"/>
      <c r="F42" s="174"/>
      <c r="G42" s="185">
        <v>4500</v>
      </c>
      <c r="H42" s="185">
        <v>4500</v>
      </c>
      <c r="I42" s="185"/>
      <c r="J42" s="185"/>
      <c r="K42" s="174">
        <v>2400</v>
      </c>
      <c r="L42" s="174">
        <v>2400</v>
      </c>
      <c r="M42" s="175"/>
      <c r="N42" s="175"/>
      <c r="O42" s="35"/>
      <c r="P42" s="35">
        <v>4500</v>
      </c>
      <c r="Q42" s="35">
        <v>4500</v>
      </c>
      <c r="R42" s="35">
        <f>D41-Q42</f>
        <v>70500</v>
      </c>
      <c r="S42" s="35"/>
    </row>
    <row r="43" spans="1:19" s="36" customFormat="1" ht="13.5" x14ac:dyDescent="0.2">
      <c r="A43" s="184" t="s">
        <v>109</v>
      </c>
      <c r="B43" s="180" t="s">
        <v>114</v>
      </c>
      <c r="C43" s="185">
        <v>65500</v>
      </c>
      <c r="D43" s="185">
        <v>70500</v>
      </c>
      <c r="E43" s="174"/>
      <c r="F43" s="174"/>
      <c r="G43" s="185">
        <v>65500</v>
      </c>
      <c r="H43" s="185">
        <v>70500</v>
      </c>
      <c r="I43" s="185"/>
      <c r="J43" s="185"/>
      <c r="K43" s="174">
        <v>3350</v>
      </c>
      <c r="L43" s="174">
        <v>3350</v>
      </c>
      <c r="M43" s="175"/>
      <c r="N43" s="175"/>
      <c r="O43" s="35"/>
      <c r="P43" s="35"/>
      <c r="Q43" s="35"/>
      <c r="R43" s="35"/>
    </row>
    <row r="44" spans="1:19" s="36" customFormat="1" ht="14.25" customHeight="1" x14ac:dyDescent="0.2">
      <c r="A44" s="184" t="s">
        <v>115</v>
      </c>
      <c r="B44" s="180" t="s">
        <v>116</v>
      </c>
      <c r="C44" s="185">
        <v>51000</v>
      </c>
      <c r="D44" s="185">
        <v>56000</v>
      </c>
      <c r="E44" s="188"/>
      <c r="F44" s="174"/>
      <c r="G44" s="185">
        <v>51000</v>
      </c>
      <c r="H44" s="185">
        <v>56000</v>
      </c>
      <c r="I44" s="185"/>
      <c r="J44" s="185"/>
      <c r="K44" s="174"/>
      <c r="L44" s="174">
        <v>0</v>
      </c>
      <c r="M44" s="175"/>
      <c r="N44" s="175"/>
      <c r="O44" s="35"/>
      <c r="P44" s="35"/>
      <c r="Q44" s="35"/>
      <c r="R44" s="35"/>
      <c r="S44" s="35"/>
    </row>
    <row r="45" spans="1:19" s="36" customFormat="1" ht="15" customHeight="1" x14ac:dyDescent="0.2">
      <c r="A45" s="167">
        <v>9</v>
      </c>
      <c r="B45" s="167" t="s">
        <v>71</v>
      </c>
      <c r="C45" s="169"/>
      <c r="D45" s="169"/>
      <c r="E45" s="183"/>
      <c r="F45" s="165"/>
      <c r="G45" s="169"/>
      <c r="H45" s="169"/>
      <c r="I45" s="169"/>
      <c r="J45" s="169"/>
      <c r="K45" s="165">
        <v>0</v>
      </c>
      <c r="L45" s="165">
        <v>0</v>
      </c>
      <c r="M45" s="166"/>
      <c r="N45" s="166"/>
      <c r="O45" s="35">
        <f t="shared" si="5"/>
        <v>0</v>
      </c>
      <c r="P45" s="35"/>
      <c r="Q45" s="35"/>
      <c r="R45" s="35">
        <f>D45-C45</f>
        <v>0</v>
      </c>
    </row>
    <row r="46" spans="1:19" s="36" customFormat="1" ht="15" customHeight="1" x14ac:dyDescent="0.2">
      <c r="A46" s="167">
        <v>10</v>
      </c>
      <c r="B46" s="167" t="s">
        <v>73</v>
      </c>
      <c r="C46" s="169">
        <v>700</v>
      </c>
      <c r="D46" s="169">
        <v>900</v>
      </c>
      <c r="E46" s="183"/>
      <c r="F46" s="165"/>
      <c r="G46" s="169">
        <v>700</v>
      </c>
      <c r="H46" s="169">
        <v>900</v>
      </c>
      <c r="I46" s="169"/>
      <c r="J46" s="169"/>
      <c r="K46" s="165">
        <v>0</v>
      </c>
      <c r="L46" s="165">
        <v>0</v>
      </c>
      <c r="M46" s="175"/>
      <c r="N46" s="175"/>
      <c r="O46" s="35">
        <f t="shared" si="5"/>
        <v>200</v>
      </c>
      <c r="P46" s="35"/>
      <c r="Q46" s="35"/>
      <c r="R46" s="35"/>
    </row>
    <row r="47" spans="1:19" s="36" customFormat="1" ht="14.25" customHeight="1" x14ac:dyDescent="0.2">
      <c r="A47" s="167">
        <v>11</v>
      </c>
      <c r="B47" s="167" t="s">
        <v>74</v>
      </c>
      <c r="C47" s="169">
        <v>13000</v>
      </c>
      <c r="D47" s="169">
        <v>13500</v>
      </c>
      <c r="E47" s="183"/>
      <c r="F47" s="189">
        <v>31896</v>
      </c>
      <c r="G47" s="169">
        <v>13000</v>
      </c>
      <c r="H47" s="169">
        <f>D47+F47</f>
        <v>45396</v>
      </c>
      <c r="I47" s="169"/>
      <c r="J47" s="169"/>
      <c r="K47" s="165">
        <v>13000</v>
      </c>
      <c r="L47" s="190">
        <f>D47+F47</f>
        <v>45396</v>
      </c>
      <c r="M47" s="175"/>
      <c r="N47" s="175"/>
      <c r="O47" s="35">
        <f t="shared" si="5"/>
        <v>500</v>
      </c>
      <c r="P47" s="35"/>
      <c r="Q47" s="35"/>
      <c r="R47" s="35"/>
    </row>
    <row r="48" spans="1:19" s="36" customFormat="1" x14ac:dyDescent="0.2">
      <c r="A48" s="167">
        <v>12</v>
      </c>
      <c r="B48" s="191" t="s">
        <v>72</v>
      </c>
      <c r="C48" s="169">
        <v>150000</v>
      </c>
      <c r="D48" s="169">
        <v>206000</v>
      </c>
      <c r="E48" s="183"/>
      <c r="F48" s="189">
        <v>4329</v>
      </c>
      <c r="G48" s="169">
        <v>150000</v>
      </c>
      <c r="H48" s="169">
        <f t="shared" ref="H48:H49" si="7">D48+F48</f>
        <v>210329</v>
      </c>
      <c r="I48" s="169"/>
      <c r="J48" s="169"/>
      <c r="K48" s="165">
        <f>C48</f>
        <v>150000</v>
      </c>
      <c r="L48" s="190">
        <f>F48</f>
        <v>4329</v>
      </c>
      <c r="M48" s="166"/>
      <c r="N48" s="166"/>
      <c r="O48" s="35">
        <f>D48-C48</f>
        <v>56000</v>
      </c>
      <c r="P48" s="35"/>
      <c r="Q48" s="35"/>
      <c r="R48" s="35">
        <f>D48-C48-S48</f>
        <v>-4329</v>
      </c>
      <c r="S48" s="35">
        <f>56000+4329</f>
        <v>60329</v>
      </c>
    </row>
    <row r="49" spans="1:19" s="36" customFormat="1" ht="27" customHeight="1" x14ac:dyDescent="0.2">
      <c r="A49" s="167">
        <v>13</v>
      </c>
      <c r="B49" s="192" t="s">
        <v>75</v>
      </c>
      <c r="C49" s="169"/>
      <c r="D49" s="169">
        <v>30000</v>
      </c>
      <c r="E49" s="183"/>
      <c r="F49" s="189">
        <v>5325</v>
      </c>
      <c r="G49" s="169"/>
      <c r="H49" s="169">
        <f t="shared" si="7"/>
        <v>35325</v>
      </c>
      <c r="I49" s="169"/>
      <c r="J49" s="169"/>
      <c r="K49" s="165">
        <f>C49</f>
        <v>0</v>
      </c>
      <c r="L49" s="190">
        <f t="shared" ref="L49" si="8">D49+F49</f>
        <v>35325</v>
      </c>
      <c r="M49" s="175"/>
      <c r="N49" s="175"/>
      <c r="O49" s="35">
        <f t="shared" si="5"/>
        <v>30000</v>
      </c>
      <c r="P49" s="35"/>
      <c r="Q49" s="35"/>
      <c r="R49" s="35"/>
    </row>
    <row r="50" spans="1:19" s="36" customFormat="1" ht="15" customHeight="1" x14ac:dyDescent="0.2">
      <c r="A50" s="167">
        <v>14</v>
      </c>
      <c r="B50" s="167" t="s">
        <v>117</v>
      </c>
      <c r="C50" s="169">
        <v>19000</v>
      </c>
      <c r="D50" s="169">
        <v>25000</v>
      </c>
      <c r="E50" s="183"/>
      <c r="F50" s="165"/>
      <c r="G50" s="169">
        <v>19000</v>
      </c>
      <c r="H50" s="169">
        <v>25000</v>
      </c>
      <c r="I50" s="169"/>
      <c r="J50" s="169"/>
      <c r="K50" s="165">
        <v>19000</v>
      </c>
      <c r="L50" s="165">
        <v>25000</v>
      </c>
      <c r="M50" s="175"/>
      <c r="N50" s="175"/>
      <c r="O50" s="35">
        <f t="shared" si="5"/>
        <v>6000</v>
      </c>
      <c r="P50" s="35"/>
      <c r="Q50" s="35"/>
      <c r="R50" s="35">
        <f>D50-C50-S50</f>
        <v>0</v>
      </c>
      <c r="S50" s="36">
        <v>6000</v>
      </c>
    </row>
    <row r="51" spans="1:19" s="117" customFormat="1" ht="13.5" x14ac:dyDescent="0.2">
      <c r="A51" s="184"/>
      <c r="B51" s="180" t="s">
        <v>90</v>
      </c>
      <c r="C51" s="185">
        <v>15000</v>
      </c>
      <c r="D51" s="185">
        <v>15000</v>
      </c>
      <c r="E51" s="193"/>
      <c r="F51" s="170"/>
      <c r="G51" s="185">
        <v>15000</v>
      </c>
      <c r="H51" s="185">
        <v>15000</v>
      </c>
      <c r="I51" s="185"/>
      <c r="J51" s="185"/>
      <c r="K51" s="194">
        <v>15000</v>
      </c>
      <c r="L51" s="194">
        <v>15000</v>
      </c>
      <c r="M51" s="186"/>
      <c r="N51" s="186"/>
      <c r="O51" s="129">
        <f t="shared" si="5"/>
        <v>0</v>
      </c>
      <c r="P51" s="129"/>
      <c r="Q51" s="129"/>
      <c r="R51" s="35">
        <f>D51-C51</f>
        <v>0</v>
      </c>
    </row>
    <row r="52" spans="1:19" s="117" customFormat="1" ht="13.5" x14ac:dyDescent="0.2">
      <c r="A52" s="184"/>
      <c r="B52" s="180" t="s">
        <v>91</v>
      </c>
      <c r="C52" s="185">
        <v>4000</v>
      </c>
      <c r="D52" s="185">
        <v>10000</v>
      </c>
      <c r="E52" s="193"/>
      <c r="F52" s="170"/>
      <c r="G52" s="185">
        <v>4000</v>
      </c>
      <c r="H52" s="185">
        <v>10000</v>
      </c>
      <c r="I52" s="185"/>
      <c r="J52" s="185"/>
      <c r="K52" s="194">
        <v>4000</v>
      </c>
      <c r="L52" s="194">
        <v>10000</v>
      </c>
      <c r="M52" s="186"/>
      <c r="N52" s="186"/>
      <c r="O52" s="129"/>
      <c r="P52" s="129"/>
      <c r="Q52" s="129"/>
      <c r="R52" s="35"/>
    </row>
    <row r="53" spans="1:19" s="36" customFormat="1" ht="16.5" customHeight="1" x14ac:dyDescent="0.2">
      <c r="A53" s="167">
        <v>15</v>
      </c>
      <c r="B53" s="167" t="s">
        <v>118</v>
      </c>
      <c r="C53" s="169">
        <v>14000</v>
      </c>
      <c r="D53" s="169">
        <v>14500</v>
      </c>
      <c r="E53" s="183"/>
      <c r="F53" s="165"/>
      <c r="G53" s="169">
        <v>14000</v>
      </c>
      <c r="H53" s="169">
        <v>14500</v>
      </c>
      <c r="I53" s="169"/>
      <c r="J53" s="169"/>
      <c r="K53" s="165">
        <v>14000</v>
      </c>
      <c r="L53" s="165">
        <v>14500</v>
      </c>
      <c r="M53" s="175"/>
      <c r="N53" s="175"/>
      <c r="O53" s="35">
        <f t="shared" si="5"/>
        <v>500</v>
      </c>
      <c r="P53" s="35"/>
      <c r="Q53" s="35"/>
      <c r="R53" s="35"/>
    </row>
    <row r="54" spans="1:19" s="117" customFormat="1" x14ac:dyDescent="0.2">
      <c r="A54" s="195"/>
      <c r="B54" s="195" t="s">
        <v>119</v>
      </c>
      <c r="C54" s="185">
        <v>6160</v>
      </c>
      <c r="D54" s="185">
        <v>6160</v>
      </c>
      <c r="E54" s="188"/>
      <c r="F54" s="194"/>
      <c r="G54" s="185">
        <v>6160</v>
      </c>
      <c r="H54" s="185">
        <v>6160</v>
      </c>
      <c r="I54" s="185"/>
      <c r="J54" s="185"/>
      <c r="K54" s="194">
        <v>6160</v>
      </c>
      <c r="L54" s="194">
        <v>6160</v>
      </c>
      <c r="M54" s="186"/>
      <c r="N54" s="186"/>
      <c r="O54" s="129"/>
      <c r="P54" s="129">
        <v>6160</v>
      </c>
      <c r="Q54" s="129">
        <v>6160</v>
      </c>
      <c r="R54" s="129">
        <f>D53-Q54</f>
        <v>8340</v>
      </c>
    </row>
    <row r="55" spans="1:19" s="36" customFormat="1" x14ac:dyDescent="0.2">
      <c r="A55" s="167">
        <v>16</v>
      </c>
      <c r="B55" s="167" t="s">
        <v>87</v>
      </c>
      <c r="C55" s="196">
        <v>58400</v>
      </c>
      <c r="D55" s="196">
        <v>70000</v>
      </c>
      <c r="E55" s="196"/>
      <c r="F55" s="196"/>
      <c r="G55" s="196">
        <v>58400</v>
      </c>
      <c r="H55" s="196">
        <v>70000</v>
      </c>
      <c r="I55" s="196"/>
      <c r="J55" s="196"/>
      <c r="K55" s="196">
        <v>38500</v>
      </c>
      <c r="L55" s="196">
        <v>49600</v>
      </c>
      <c r="M55" s="166"/>
      <c r="N55" s="166"/>
      <c r="O55" s="35">
        <f t="shared" si="5"/>
        <v>11600</v>
      </c>
      <c r="P55" s="35"/>
      <c r="Q55" s="35"/>
      <c r="R55" s="35"/>
      <c r="S55" s="36">
        <v>6500</v>
      </c>
    </row>
    <row r="56" spans="1:19" s="36" customFormat="1" ht="13.5" x14ac:dyDescent="0.2">
      <c r="A56" s="184" t="s">
        <v>109</v>
      </c>
      <c r="B56" s="197" t="s">
        <v>120</v>
      </c>
      <c r="C56" s="198">
        <v>18400</v>
      </c>
      <c r="D56" s="198">
        <v>19040</v>
      </c>
      <c r="E56" s="198"/>
      <c r="F56" s="198"/>
      <c r="G56" s="198">
        <v>18400</v>
      </c>
      <c r="H56" s="198">
        <v>19040</v>
      </c>
      <c r="I56" s="198"/>
      <c r="J56" s="198"/>
      <c r="K56" s="198">
        <v>13380</v>
      </c>
      <c r="L56" s="198">
        <v>14020</v>
      </c>
      <c r="M56" s="199"/>
      <c r="N56" s="199"/>
      <c r="O56" s="35"/>
      <c r="P56" s="35">
        <v>18400</v>
      </c>
      <c r="Q56" s="35">
        <v>19040</v>
      </c>
      <c r="R56" s="35">
        <f>D55-Q56</f>
        <v>50960</v>
      </c>
    </row>
    <row r="57" spans="1:19" s="36" customFormat="1" ht="15" customHeight="1" x14ac:dyDescent="0.2">
      <c r="A57" s="171"/>
      <c r="B57" s="180" t="s">
        <v>121</v>
      </c>
      <c r="C57" s="181">
        <v>5700</v>
      </c>
      <c r="D57" s="181">
        <v>9300</v>
      </c>
      <c r="E57" s="181"/>
      <c r="F57" s="181"/>
      <c r="G57" s="181">
        <v>5700</v>
      </c>
      <c r="H57" s="181">
        <v>9300</v>
      </c>
      <c r="I57" s="181"/>
      <c r="J57" s="181"/>
      <c r="K57" s="181">
        <v>1400</v>
      </c>
      <c r="L57" s="181">
        <v>5000</v>
      </c>
      <c r="M57" s="175"/>
      <c r="N57" s="175"/>
      <c r="O57" s="35"/>
      <c r="P57" s="35"/>
      <c r="Q57" s="35"/>
      <c r="R57" s="35"/>
    </row>
    <row r="58" spans="1:19" s="36" customFormat="1" ht="15.75" customHeight="1" x14ac:dyDescent="0.2">
      <c r="A58" s="171"/>
      <c r="B58" s="180" t="s">
        <v>122</v>
      </c>
      <c r="C58" s="181">
        <v>1000</v>
      </c>
      <c r="D58" s="181">
        <v>2600</v>
      </c>
      <c r="E58" s="181"/>
      <c r="F58" s="181"/>
      <c r="G58" s="181">
        <v>1000</v>
      </c>
      <c r="H58" s="181">
        <v>2600</v>
      </c>
      <c r="I58" s="181"/>
      <c r="J58" s="181"/>
      <c r="K58" s="181">
        <v>280</v>
      </c>
      <c r="L58" s="181">
        <v>1880</v>
      </c>
      <c r="M58" s="175"/>
      <c r="N58" s="175"/>
      <c r="O58" s="35"/>
      <c r="P58" s="35"/>
      <c r="Q58" s="35"/>
      <c r="R58" s="35"/>
    </row>
    <row r="59" spans="1:19" s="36" customFormat="1" ht="16.5" customHeight="1" x14ac:dyDescent="0.2">
      <c r="A59" s="184" t="s">
        <v>109</v>
      </c>
      <c r="B59" s="197" t="s">
        <v>123</v>
      </c>
      <c r="C59" s="200">
        <v>40000</v>
      </c>
      <c r="D59" s="198">
        <v>50960</v>
      </c>
      <c r="E59" s="198"/>
      <c r="F59" s="198"/>
      <c r="G59" s="200">
        <v>40000</v>
      </c>
      <c r="H59" s="198">
        <v>50960</v>
      </c>
      <c r="I59" s="200"/>
      <c r="J59" s="198"/>
      <c r="K59" s="198">
        <v>25120</v>
      </c>
      <c r="L59" s="198">
        <v>35580</v>
      </c>
      <c r="M59" s="199"/>
      <c r="N59" s="199"/>
      <c r="O59" s="35"/>
      <c r="P59" s="35"/>
      <c r="Q59" s="35"/>
      <c r="R59" s="35"/>
    </row>
    <row r="60" spans="1:19" s="36" customFormat="1" ht="14.25" customHeight="1" x14ac:dyDescent="0.2">
      <c r="A60" s="195"/>
      <c r="B60" s="201" t="s">
        <v>124</v>
      </c>
      <c r="C60" s="185"/>
      <c r="D60" s="181">
        <v>6500</v>
      </c>
      <c r="E60" s="181"/>
      <c r="F60" s="181"/>
      <c r="G60" s="185"/>
      <c r="H60" s="181">
        <v>6500</v>
      </c>
      <c r="I60" s="185"/>
      <c r="J60" s="181"/>
      <c r="K60" s="181"/>
      <c r="L60" s="181">
        <v>6500</v>
      </c>
      <c r="M60" s="186"/>
      <c r="N60" s="186"/>
      <c r="O60" s="35">
        <f t="shared" si="5"/>
        <v>6500</v>
      </c>
      <c r="P60" s="35"/>
      <c r="Q60" s="35"/>
      <c r="R60" s="35"/>
      <c r="S60" s="130"/>
    </row>
    <row r="61" spans="1:19" s="36" customFormat="1" ht="16.5" customHeight="1" x14ac:dyDescent="0.2">
      <c r="A61" s="167">
        <v>17</v>
      </c>
      <c r="B61" s="167" t="s">
        <v>92</v>
      </c>
      <c r="C61" s="200"/>
      <c r="D61" s="198"/>
      <c r="E61" s="165"/>
      <c r="F61" s="165"/>
      <c r="G61" s="200"/>
      <c r="H61" s="198"/>
      <c r="I61" s="200"/>
      <c r="J61" s="198"/>
      <c r="K61" s="174">
        <v>0</v>
      </c>
      <c r="L61" s="174">
        <v>0</v>
      </c>
      <c r="M61" s="166"/>
      <c r="N61" s="166"/>
      <c r="O61" s="35">
        <f t="shared" si="5"/>
        <v>0</v>
      </c>
      <c r="P61" s="35"/>
      <c r="Q61" s="35"/>
    </row>
    <row r="62" spans="1:19" s="36" customFormat="1" ht="25.5" x14ac:dyDescent="0.2">
      <c r="A62" s="167">
        <v>18</v>
      </c>
      <c r="B62" s="167" t="s">
        <v>230</v>
      </c>
      <c r="C62" s="200">
        <v>300</v>
      </c>
      <c r="D62" s="198">
        <v>300</v>
      </c>
      <c r="E62" s="169"/>
      <c r="F62" s="169"/>
      <c r="G62" s="200">
        <v>300</v>
      </c>
      <c r="H62" s="198">
        <v>300</v>
      </c>
      <c r="I62" s="200"/>
      <c r="J62" s="198"/>
      <c r="K62" s="165">
        <v>300</v>
      </c>
      <c r="L62" s="165">
        <v>300</v>
      </c>
      <c r="M62" s="166"/>
      <c r="N62" s="166"/>
      <c r="O62" s="35">
        <f t="shared" si="5"/>
        <v>0</v>
      </c>
      <c r="P62" s="35"/>
      <c r="Q62" s="35"/>
      <c r="S62" s="36">
        <v>300</v>
      </c>
    </row>
    <row r="63" spans="1:19" s="33" customFormat="1" x14ac:dyDescent="0.2">
      <c r="A63" s="164" t="s">
        <v>13</v>
      </c>
      <c r="B63" s="164" t="s">
        <v>94</v>
      </c>
      <c r="C63" s="169">
        <v>22000</v>
      </c>
      <c r="D63" s="169">
        <v>25000</v>
      </c>
      <c r="E63" s="173"/>
      <c r="F63" s="173"/>
      <c r="G63" s="169">
        <v>22000</v>
      </c>
      <c r="H63" s="169">
        <v>25000</v>
      </c>
      <c r="I63" s="169"/>
      <c r="J63" s="169"/>
      <c r="K63" s="179"/>
      <c r="L63" s="179"/>
      <c r="M63" s="166">
        <v>22000</v>
      </c>
      <c r="N63" s="166">
        <v>25000</v>
      </c>
      <c r="O63" s="35">
        <f t="shared" si="5"/>
        <v>3000</v>
      </c>
      <c r="P63" s="35"/>
      <c r="Q63" s="35"/>
    </row>
    <row r="64" spans="1:19" s="33" customFormat="1" ht="15.75" customHeight="1" x14ac:dyDescent="0.2">
      <c r="A64" s="202" t="s">
        <v>109</v>
      </c>
      <c r="B64" s="203" t="s">
        <v>125</v>
      </c>
      <c r="C64" s="204">
        <v>6000</v>
      </c>
      <c r="D64" s="204">
        <v>8600</v>
      </c>
      <c r="E64" s="175"/>
      <c r="F64" s="175"/>
      <c r="G64" s="175"/>
      <c r="H64" s="175"/>
      <c r="I64" s="175"/>
      <c r="J64" s="175"/>
      <c r="K64" s="175"/>
      <c r="L64" s="175"/>
      <c r="M64" s="175">
        <v>6000</v>
      </c>
      <c r="N64" s="175">
        <v>8600</v>
      </c>
      <c r="O64" s="35">
        <f t="shared" si="5"/>
        <v>2600</v>
      </c>
      <c r="P64" s="35"/>
      <c r="Q64" s="35"/>
    </row>
    <row r="65" spans="1:17" s="36" customFormat="1" ht="15.75" customHeight="1" x14ac:dyDescent="0.2">
      <c r="A65" s="202"/>
      <c r="B65" s="203" t="s">
        <v>97</v>
      </c>
      <c r="C65" s="204">
        <v>1000</v>
      </c>
      <c r="D65" s="204">
        <v>190</v>
      </c>
      <c r="E65" s="175"/>
      <c r="F65" s="175"/>
      <c r="G65" s="175"/>
      <c r="H65" s="175"/>
      <c r="I65" s="175"/>
      <c r="J65" s="175"/>
      <c r="K65" s="175"/>
      <c r="L65" s="175"/>
      <c r="M65" s="175">
        <v>1000</v>
      </c>
      <c r="N65" s="175">
        <v>190</v>
      </c>
      <c r="O65" s="35">
        <f t="shared" si="5"/>
        <v>-810</v>
      </c>
      <c r="P65" s="35"/>
      <c r="Q65" s="35"/>
    </row>
    <row r="66" spans="1:17" s="36" customFormat="1" ht="14.25" customHeight="1" x14ac:dyDescent="0.2">
      <c r="A66" s="202"/>
      <c r="B66" s="203" t="s">
        <v>95</v>
      </c>
      <c r="C66" s="204">
        <v>15000</v>
      </c>
      <c r="D66" s="204">
        <v>16210</v>
      </c>
      <c r="E66" s="175"/>
      <c r="F66" s="175"/>
      <c r="G66" s="175"/>
      <c r="H66" s="175"/>
      <c r="I66" s="175"/>
      <c r="J66" s="175"/>
      <c r="K66" s="175"/>
      <c r="L66" s="175"/>
      <c r="M66" s="175">
        <v>15000</v>
      </c>
      <c r="N66" s="175">
        <v>16210</v>
      </c>
      <c r="O66" s="35">
        <f t="shared" si="5"/>
        <v>1210</v>
      </c>
      <c r="P66" s="35"/>
      <c r="Q66" s="35"/>
    </row>
    <row r="67" spans="1:17" s="36" customFormat="1" ht="14.25" customHeight="1" x14ac:dyDescent="0.2">
      <c r="A67" s="202"/>
      <c r="B67" s="203" t="s">
        <v>98</v>
      </c>
      <c r="C67" s="204">
        <v>0</v>
      </c>
      <c r="D67" s="204">
        <v>0</v>
      </c>
      <c r="E67" s="175"/>
      <c r="F67" s="175"/>
      <c r="G67" s="175"/>
      <c r="H67" s="175"/>
      <c r="I67" s="175"/>
      <c r="J67" s="175"/>
      <c r="K67" s="175"/>
      <c r="L67" s="175"/>
      <c r="M67" s="175"/>
      <c r="N67" s="175"/>
      <c r="O67" s="35">
        <f t="shared" si="5"/>
        <v>0</v>
      </c>
      <c r="P67" s="35"/>
      <c r="Q67" s="35"/>
    </row>
    <row r="68" spans="1:17" s="36" customFormat="1" x14ac:dyDescent="0.2">
      <c r="A68" s="202"/>
      <c r="B68" s="203" t="s">
        <v>65</v>
      </c>
      <c r="C68" s="204"/>
      <c r="D68" s="204"/>
      <c r="E68" s="175"/>
      <c r="F68" s="175"/>
      <c r="G68" s="175"/>
      <c r="H68" s="175"/>
      <c r="I68" s="175"/>
      <c r="J68" s="175"/>
      <c r="K68" s="175"/>
      <c r="L68" s="175"/>
      <c r="M68" s="175"/>
      <c r="N68" s="175"/>
      <c r="O68" s="35">
        <f t="shared" si="5"/>
        <v>0</v>
      </c>
      <c r="P68" s="35"/>
      <c r="Q68" s="35"/>
    </row>
    <row r="69" spans="1:17" s="36" customFormat="1" ht="18.75" customHeight="1" x14ac:dyDescent="0.2">
      <c r="A69" s="34" t="s">
        <v>18</v>
      </c>
      <c r="B69" s="205" t="s">
        <v>99</v>
      </c>
      <c r="C69" s="204"/>
      <c r="D69" s="204"/>
      <c r="E69" s="175"/>
      <c r="F69" s="175"/>
      <c r="G69" s="175"/>
      <c r="H69" s="175"/>
      <c r="I69" s="175"/>
      <c r="J69" s="175"/>
      <c r="K69" s="175"/>
      <c r="L69" s="175"/>
      <c r="M69" s="175"/>
      <c r="N69" s="175"/>
      <c r="O69" s="35">
        <f t="shared" si="5"/>
        <v>0</v>
      </c>
      <c r="P69" s="35"/>
      <c r="Q69" s="35"/>
    </row>
    <row r="70" spans="1:17" x14ac:dyDescent="0.2">
      <c r="O70" s="35">
        <f t="shared" si="5"/>
        <v>0</v>
      </c>
      <c r="P70" s="35"/>
      <c r="Q70" s="35"/>
    </row>
  </sheetData>
  <mergeCells count="11">
    <mergeCell ref="I5:J5"/>
    <mergeCell ref="M5:N5"/>
    <mergeCell ref="A1:N1"/>
    <mergeCell ref="A2:N2"/>
    <mergeCell ref="K4:N4"/>
    <mergeCell ref="A5:A6"/>
    <mergeCell ref="B5:B6"/>
    <mergeCell ref="C5:D5"/>
    <mergeCell ref="E5:F5"/>
    <mergeCell ref="G5:H5"/>
    <mergeCell ref="K5:L5"/>
  </mergeCells>
  <conditionalFormatting sqref="U14:V14">
    <cfRule type="cellIs" dxfId="10" priority="22" operator="equal">
      <formula>0</formula>
    </cfRule>
  </conditionalFormatting>
  <conditionalFormatting sqref="E62">
    <cfRule type="cellIs" dxfId="9" priority="21" operator="equal">
      <formula>0</formula>
    </cfRule>
  </conditionalFormatting>
  <conditionalFormatting sqref="E11:F11 E61:F61 E29:F33 E13:F27 E35:F54 K8:L9">
    <cfRule type="cellIs" dxfId="8" priority="12" stopIfTrue="1" operator="equal">
      <formula>0</formula>
    </cfRule>
  </conditionalFormatting>
  <conditionalFormatting sqref="K11:L11 K61:L63 K13:L27 K29:L54">
    <cfRule type="cellIs" dxfId="7" priority="11" stopIfTrue="1" operator="equal">
      <formula>0</formula>
    </cfRule>
  </conditionalFormatting>
  <conditionalFormatting sqref="F62">
    <cfRule type="cellIs" dxfId="6" priority="20" operator="equal">
      <formula>0</formula>
    </cfRule>
  </conditionalFormatting>
  <conditionalFormatting sqref="C9">
    <cfRule type="cellIs" dxfId="5" priority="9" stopIfTrue="1" operator="equal">
      <formula>0</formula>
    </cfRule>
  </conditionalFormatting>
  <conditionalFormatting sqref="C8">
    <cfRule type="cellIs" dxfId="4" priority="7" stopIfTrue="1" operator="equal">
      <formula>0</formula>
    </cfRule>
  </conditionalFormatting>
  <conditionalFormatting sqref="D9:F9 I9:J9">
    <cfRule type="cellIs" dxfId="3" priority="4" stopIfTrue="1" operator="equal">
      <formula>0</formula>
    </cfRule>
  </conditionalFormatting>
  <conditionalFormatting sqref="D8:F8 I8:J8">
    <cfRule type="cellIs" dxfId="2" priority="3" stopIfTrue="1" operator="equal">
      <formula>0</formula>
    </cfRule>
  </conditionalFormatting>
  <conditionalFormatting sqref="G9:H9">
    <cfRule type="cellIs" dxfId="1" priority="2" stopIfTrue="1" operator="equal">
      <formula>0</formula>
    </cfRule>
  </conditionalFormatting>
  <conditionalFormatting sqref="G8:H8">
    <cfRule type="cellIs" dxfId="0" priority="1" stopIfTrue="1" operator="equal">
      <formula>0</formula>
    </cfRule>
  </conditionalFormatting>
  <pageMargins left="0.7" right="0.41"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77"/>
  <sheetViews>
    <sheetView topLeftCell="A37" workbookViewId="0">
      <selection activeCell="M67" sqref="M67"/>
    </sheetView>
  </sheetViews>
  <sheetFormatPr defaultColWidth="9" defaultRowHeight="12.75" x14ac:dyDescent="0.2"/>
  <cols>
    <col min="1" max="1" width="4.125" style="33" customWidth="1"/>
    <col min="2" max="2" width="26.75" style="33" customWidth="1"/>
    <col min="3" max="3" width="7.375" style="33" customWidth="1"/>
    <col min="4" max="4" width="6.625" style="33" customWidth="1"/>
    <col min="5" max="5" width="4.375" style="33" hidden="1" customWidth="1"/>
    <col min="6" max="6" width="6.25" style="33" hidden="1" customWidth="1"/>
    <col min="7" max="8" width="6.25" style="33" customWidth="1"/>
    <col min="9" max="9" width="7.25" style="33" customWidth="1"/>
    <col min="10" max="10" width="6.875" style="33" customWidth="1"/>
    <col min="11" max="11" width="5.25" style="33" hidden="1" customWidth="1"/>
    <col min="12" max="12" width="5.5" style="33" hidden="1" customWidth="1"/>
    <col min="13" max="13" width="7.625" style="33" customWidth="1"/>
    <col min="14" max="14" width="7.875" style="33" customWidth="1"/>
    <col min="15" max="15" width="7.375" style="33" customWidth="1"/>
    <col min="16" max="16" width="10.125" style="33" hidden="1" customWidth="1"/>
    <col min="17" max="17" width="9" style="33" hidden="1" customWidth="1"/>
    <col min="18" max="18" width="0.875" style="33" hidden="1" customWidth="1"/>
    <col min="19" max="29" width="9" style="33" hidden="1" customWidth="1"/>
    <col min="30" max="30" width="9.625" style="33" hidden="1" customWidth="1"/>
    <col min="31" max="31" width="9" style="33" hidden="1" customWidth="1"/>
    <col min="32" max="32" width="11.125" style="33" hidden="1" customWidth="1"/>
    <col min="33" max="37" width="0" style="33" hidden="1" customWidth="1"/>
    <col min="38" max="16384" width="9" style="33"/>
  </cols>
  <sheetData>
    <row r="1" spans="1:37" ht="23.25" customHeight="1" x14ac:dyDescent="0.2">
      <c r="A1" s="260" t="s">
        <v>225</v>
      </c>
      <c r="B1" s="260"/>
      <c r="C1" s="260"/>
      <c r="D1" s="260"/>
      <c r="E1" s="260"/>
      <c r="F1" s="260"/>
      <c r="G1" s="260"/>
      <c r="H1" s="260"/>
      <c r="I1" s="260"/>
      <c r="J1" s="260"/>
      <c r="K1" s="260"/>
      <c r="L1" s="260"/>
      <c r="M1" s="260"/>
      <c r="N1" s="260"/>
      <c r="O1" s="260"/>
      <c r="P1" s="37"/>
      <c r="Q1" s="37"/>
      <c r="R1" s="37"/>
      <c r="S1" s="37"/>
      <c r="T1" s="37"/>
      <c r="U1" s="37"/>
      <c r="V1" s="37"/>
      <c r="W1" s="37"/>
    </row>
    <row r="2" spans="1:37" ht="15.75" x14ac:dyDescent="0.2">
      <c r="A2" s="241" t="s">
        <v>234</v>
      </c>
      <c r="B2" s="241"/>
      <c r="C2" s="241"/>
      <c r="D2" s="241"/>
      <c r="E2" s="241"/>
      <c r="F2" s="241"/>
      <c r="G2" s="241"/>
      <c r="H2" s="241"/>
      <c r="I2" s="241"/>
      <c r="J2" s="241"/>
      <c r="K2" s="241"/>
      <c r="L2" s="241"/>
      <c r="M2" s="241"/>
      <c r="N2" s="241"/>
      <c r="O2" s="241"/>
      <c r="P2" s="37"/>
      <c r="Q2" s="37"/>
      <c r="R2" s="37"/>
      <c r="S2" s="37"/>
      <c r="T2" s="37"/>
      <c r="U2" s="37"/>
      <c r="V2" s="37"/>
      <c r="W2" s="37"/>
    </row>
    <row r="3" spans="1:37" ht="15.75" x14ac:dyDescent="0.25">
      <c r="A3" s="38"/>
      <c r="B3" s="37"/>
      <c r="C3" s="37"/>
      <c r="D3" s="39"/>
      <c r="E3" s="261"/>
      <c r="F3" s="261"/>
      <c r="G3" s="37"/>
      <c r="H3" s="39"/>
      <c r="I3" s="37"/>
      <c r="J3" s="268" t="s">
        <v>238</v>
      </c>
      <c r="K3" s="268"/>
      <c r="L3" s="268"/>
      <c r="M3" s="268"/>
      <c r="N3" s="268"/>
      <c r="O3" s="268"/>
      <c r="P3" s="268"/>
      <c r="Q3" s="268"/>
      <c r="R3" s="268"/>
      <c r="S3" s="37"/>
      <c r="T3" s="37"/>
      <c r="U3" s="37"/>
      <c r="V3" s="37"/>
      <c r="W3" s="37"/>
    </row>
    <row r="4" spans="1:37" s="37" customFormat="1" ht="42.75" customHeight="1" x14ac:dyDescent="0.15">
      <c r="A4" s="262" t="s">
        <v>2</v>
      </c>
      <c r="B4" s="262" t="s">
        <v>3</v>
      </c>
      <c r="C4" s="264" t="s">
        <v>4</v>
      </c>
      <c r="D4" s="265"/>
      <c r="E4" s="264" t="s">
        <v>46</v>
      </c>
      <c r="F4" s="265"/>
      <c r="G4" s="266" t="s">
        <v>203</v>
      </c>
      <c r="H4" s="267"/>
      <c r="I4" s="266" t="s">
        <v>205</v>
      </c>
      <c r="J4" s="267"/>
      <c r="K4" s="266" t="s">
        <v>207</v>
      </c>
      <c r="L4" s="267"/>
      <c r="M4" s="266" t="s">
        <v>236</v>
      </c>
      <c r="N4" s="267"/>
      <c r="O4" s="40" t="s">
        <v>237</v>
      </c>
    </row>
    <row r="5" spans="1:37" s="37" customFormat="1" ht="48" x14ac:dyDescent="0.15">
      <c r="A5" s="263"/>
      <c r="B5" s="263"/>
      <c r="C5" s="41" t="s">
        <v>57</v>
      </c>
      <c r="D5" s="41" t="s">
        <v>58</v>
      </c>
      <c r="E5" s="41" t="s">
        <v>57</v>
      </c>
      <c r="F5" s="41" t="s">
        <v>58</v>
      </c>
      <c r="G5" s="41" t="s">
        <v>57</v>
      </c>
      <c r="H5" s="41" t="s">
        <v>58</v>
      </c>
      <c r="I5" s="41" t="s">
        <v>57</v>
      </c>
      <c r="J5" s="41" t="s">
        <v>58</v>
      </c>
      <c r="K5" s="41" t="s">
        <v>57</v>
      </c>
      <c r="L5" s="41" t="s">
        <v>58</v>
      </c>
      <c r="M5" s="41" t="s">
        <v>57</v>
      </c>
      <c r="N5" s="41" t="s">
        <v>58</v>
      </c>
      <c r="O5" s="41" t="s">
        <v>57</v>
      </c>
    </row>
    <row r="6" spans="1:37" s="43" customFormat="1" ht="12" x14ac:dyDescent="0.2">
      <c r="A6" s="41" t="s">
        <v>5</v>
      </c>
      <c r="B6" s="41" t="s">
        <v>6</v>
      </c>
      <c r="C6" s="41">
        <v>1</v>
      </c>
      <c r="D6" s="41">
        <v>2</v>
      </c>
      <c r="E6" s="41">
        <v>5</v>
      </c>
      <c r="F6" s="41">
        <v>6</v>
      </c>
      <c r="G6" s="41">
        <v>3</v>
      </c>
      <c r="H6" s="41">
        <v>4</v>
      </c>
      <c r="I6" s="41" t="s">
        <v>217</v>
      </c>
      <c r="J6" s="41" t="s">
        <v>218</v>
      </c>
      <c r="K6" s="41" t="s">
        <v>207</v>
      </c>
      <c r="L6" s="41" t="s">
        <v>207</v>
      </c>
      <c r="M6" s="41">
        <v>29</v>
      </c>
      <c r="N6" s="41">
        <v>30</v>
      </c>
      <c r="O6" s="41">
        <v>31</v>
      </c>
      <c r="P6" s="37"/>
      <c r="Q6" s="37"/>
      <c r="R6" s="37"/>
      <c r="S6" s="37"/>
      <c r="T6" s="37"/>
      <c r="U6" s="37"/>
      <c r="V6" s="42">
        <f>823100-N7</f>
        <v>369920</v>
      </c>
      <c r="W6" s="37"/>
    </row>
    <row r="7" spans="1:37" s="47" customFormat="1" ht="13.5" x14ac:dyDescent="0.25">
      <c r="A7" s="44"/>
      <c r="B7" s="41" t="s">
        <v>59</v>
      </c>
      <c r="C7" s="227">
        <f>SUM(C8,C55,C61)</f>
        <v>955000</v>
      </c>
      <c r="D7" s="227">
        <f>SUM(D8,D55,D61)</f>
        <v>853100</v>
      </c>
      <c r="E7" s="227">
        <v>0</v>
      </c>
      <c r="F7" s="227">
        <v>0</v>
      </c>
      <c r="G7" s="227"/>
      <c r="H7" s="227"/>
      <c r="I7" s="227">
        <f>SUM(I8,I55,I61)</f>
        <v>996550</v>
      </c>
      <c r="J7" s="227">
        <f>SUM(J8,J55,J61)</f>
        <v>894650</v>
      </c>
      <c r="K7" s="227"/>
      <c r="L7" s="227"/>
      <c r="M7" s="227">
        <v>461550</v>
      </c>
      <c r="N7" s="227">
        <v>453180</v>
      </c>
      <c r="O7" s="227">
        <v>25000</v>
      </c>
      <c r="P7" s="45">
        <f t="shared" ref="P7:AE7" si="0">SUM(P8,P55,P61)</f>
        <v>71830</v>
      </c>
      <c r="Q7" s="45">
        <f t="shared" si="0"/>
        <v>0</v>
      </c>
      <c r="R7" s="45">
        <f t="shared" si="0"/>
        <v>0</v>
      </c>
      <c r="S7" s="45">
        <f t="shared" si="0"/>
        <v>0</v>
      </c>
      <c r="T7" s="45">
        <f t="shared" si="0"/>
        <v>0</v>
      </c>
      <c r="U7" s="45">
        <f t="shared" si="0"/>
        <v>8880</v>
      </c>
      <c r="V7" s="45">
        <f>C7-D7</f>
        <v>101900</v>
      </c>
      <c r="W7" s="45">
        <f t="shared" si="0"/>
        <v>853100</v>
      </c>
      <c r="X7" s="45">
        <f t="shared" si="0"/>
        <v>0</v>
      </c>
      <c r="Y7" s="45">
        <f t="shared" si="0"/>
        <v>0</v>
      </c>
      <c r="Z7" s="45">
        <f t="shared" si="0"/>
        <v>0</v>
      </c>
      <c r="AA7" s="45">
        <f t="shared" si="0"/>
        <v>0</v>
      </c>
      <c r="AB7" s="45">
        <f t="shared" si="0"/>
        <v>0</v>
      </c>
      <c r="AC7" s="45">
        <f t="shared" si="0"/>
        <v>0</v>
      </c>
      <c r="AD7" s="45">
        <f t="shared" si="0"/>
        <v>362841</v>
      </c>
      <c r="AE7" s="45">
        <f t="shared" si="0"/>
        <v>0</v>
      </c>
      <c r="AF7" s="46">
        <f>C7-M7-O7</f>
        <v>468450</v>
      </c>
      <c r="AH7" s="47">
        <v>420000</v>
      </c>
      <c r="AI7" s="47">
        <v>411630</v>
      </c>
      <c r="AJ7" s="46">
        <f>M7-AH7</f>
        <v>41550</v>
      </c>
      <c r="AK7" s="46">
        <f>N7-AI7</f>
        <v>41550</v>
      </c>
    </row>
    <row r="8" spans="1:37" s="47" customFormat="1" ht="13.5" x14ac:dyDescent="0.25">
      <c r="A8" s="48" t="s">
        <v>8</v>
      </c>
      <c r="B8" s="192" t="s">
        <v>60</v>
      </c>
      <c r="C8" s="227">
        <f>SUM(C9,C15,C21,C25,C31,C32,C35,C38,C41,C42,C43,C44,C45,C46,C49,C50,C53,C54)</f>
        <v>930000</v>
      </c>
      <c r="D8" s="227">
        <f>SUM(D9,D15,D21,D25,D31,D32,D35,D38,D41,D42,D43,D44,D45,D46,D49,D50,D53,D54)</f>
        <v>853100</v>
      </c>
      <c r="E8" s="227">
        <v>0</v>
      </c>
      <c r="F8" s="227">
        <v>0</v>
      </c>
      <c r="G8" s="227"/>
      <c r="H8" s="227"/>
      <c r="I8" s="227">
        <f>SUM(I9,I15,I21,I25,I31,I32,I35,I38,I41,I42,I43,I44,I45,I46,I49,I50,I53,I54)</f>
        <v>971550</v>
      </c>
      <c r="J8" s="227">
        <f>SUM(J9,J15,J21,J25,J31,J32,J35,J38,J41,J42,J43,J44,J45,J46,J49,J50,J53,J54)</f>
        <v>894650</v>
      </c>
      <c r="K8" s="227"/>
      <c r="L8" s="227"/>
      <c r="M8" s="227">
        <v>461550</v>
      </c>
      <c r="N8" s="227">
        <v>453180</v>
      </c>
      <c r="O8" s="227">
        <v>25000</v>
      </c>
      <c r="P8" s="49">
        <f>P9-N7</f>
        <v>71830</v>
      </c>
      <c r="Q8" s="50"/>
      <c r="R8" s="50"/>
      <c r="S8" s="50"/>
      <c r="T8" s="50"/>
      <c r="U8" s="50">
        <f>283550-274670</f>
        <v>8880</v>
      </c>
      <c r="V8" s="49">
        <f>SUM(V9:V52)</f>
        <v>76900</v>
      </c>
      <c r="W8" s="49">
        <f>C8-V8</f>
        <v>853100</v>
      </c>
      <c r="AD8" s="51">
        <f>N8-N46-N44</f>
        <v>362841</v>
      </c>
      <c r="AF8" s="46"/>
      <c r="AH8" s="46">
        <f>J8-894650</f>
        <v>0</v>
      </c>
    </row>
    <row r="9" spans="1:37" s="47" customFormat="1" ht="24" x14ac:dyDescent="0.25">
      <c r="A9" s="48">
        <v>1</v>
      </c>
      <c r="B9" s="192" t="s">
        <v>61</v>
      </c>
      <c r="C9" s="227">
        <v>112000</v>
      </c>
      <c r="D9" s="227">
        <v>112000</v>
      </c>
      <c r="E9" s="227">
        <v>0</v>
      </c>
      <c r="F9" s="227">
        <v>0</v>
      </c>
      <c r="G9" s="227"/>
      <c r="H9" s="227"/>
      <c r="I9" s="227">
        <v>112000</v>
      </c>
      <c r="J9" s="227">
        <v>112000</v>
      </c>
      <c r="K9" s="227"/>
      <c r="L9" s="227"/>
      <c r="M9" s="227">
        <v>79220</v>
      </c>
      <c r="N9" s="227">
        <v>79220</v>
      </c>
      <c r="O9" s="227"/>
      <c r="P9" s="52">
        <f>525010</f>
        <v>525010</v>
      </c>
      <c r="Q9" s="49">
        <f>N7+D7</f>
        <v>1306280</v>
      </c>
      <c r="R9" s="50"/>
      <c r="S9" s="50"/>
      <c r="T9" s="53" t="e">
        <f>G7+I7+K7+#REF!+#REF!+#REF!+#REF!+#REF!</f>
        <v>#REF!</v>
      </c>
      <c r="U9" s="50"/>
      <c r="V9" s="49"/>
      <c r="W9" s="50"/>
      <c r="AD9" s="51">
        <f>279923-15000-7800</f>
        <v>257123</v>
      </c>
    </row>
    <row r="10" spans="1:37" s="56" customFormat="1" ht="13.5" x14ac:dyDescent="0.25">
      <c r="A10" s="54"/>
      <c r="B10" s="228" t="s">
        <v>62</v>
      </c>
      <c r="C10" s="229">
        <v>76000</v>
      </c>
      <c r="D10" s="229">
        <v>76000</v>
      </c>
      <c r="E10" s="229"/>
      <c r="F10" s="229"/>
      <c r="G10" s="230"/>
      <c r="H10" s="230"/>
      <c r="I10" s="229">
        <v>76000</v>
      </c>
      <c r="J10" s="229">
        <v>76000</v>
      </c>
      <c r="K10" s="230"/>
      <c r="L10" s="230"/>
      <c r="M10" s="230">
        <v>74320</v>
      </c>
      <c r="N10" s="230">
        <v>74320</v>
      </c>
      <c r="O10" s="230"/>
      <c r="P10" s="55"/>
      <c r="Q10" s="55"/>
      <c r="R10" s="55"/>
      <c r="S10" s="55"/>
      <c r="T10" s="55"/>
      <c r="U10" s="55"/>
      <c r="V10" s="55"/>
      <c r="W10" s="55"/>
      <c r="AD10" s="57">
        <f>AD9-AD8</f>
        <v>-105718</v>
      </c>
      <c r="AF10" s="58"/>
    </row>
    <row r="11" spans="1:37" s="56" customFormat="1" ht="13.5" x14ac:dyDescent="0.25">
      <c r="A11" s="54"/>
      <c r="B11" s="228" t="s">
        <v>63</v>
      </c>
      <c r="C11" s="229">
        <v>5000</v>
      </c>
      <c r="D11" s="229">
        <v>5000</v>
      </c>
      <c r="E11" s="229"/>
      <c r="F11" s="229"/>
      <c r="G11" s="230"/>
      <c r="H11" s="230"/>
      <c r="I11" s="229">
        <v>5000</v>
      </c>
      <c r="J11" s="229">
        <v>5000</v>
      </c>
      <c r="K11" s="230"/>
      <c r="L11" s="230"/>
      <c r="M11" s="230">
        <v>4900</v>
      </c>
      <c r="N11" s="230">
        <v>4900</v>
      </c>
      <c r="O11" s="230"/>
      <c r="P11" s="55">
        <v>535330</v>
      </c>
      <c r="Q11" s="55"/>
      <c r="R11" s="55"/>
      <c r="S11" s="55"/>
      <c r="T11" s="55"/>
      <c r="U11" s="55"/>
      <c r="V11" s="55"/>
      <c r="W11" s="55"/>
    </row>
    <row r="12" spans="1:37" s="56" customFormat="1" ht="13.5" x14ac:dyDescent="0.25">
      <c r="A12" s="54"/>
      <c r="B12" s="228" t="s">
        <v>64</v>
      </c>
      <c r="C12" s="229">
        <v>31000</v>
      </c>
      <c r="D12" s="229">
        <v>31000</v>
      </c>
      <c r="E12" s="229"/>
      <c r="F12" s="229"/>
      <c r="G12" s="230"/>
      <c r="H12" s="230"/>
      <c r="I12" s="229">
        <v>31000</v>
      </c>
      <c r="J12" s="229">
        <v>31000</v>
      </c>
      <c r="K12" s="230"/>
      <c r="L12" s="230"/>
      <c r="M12" s="230">
        <v>0</v>
      </c>
      <c r="N12" s="230">
        <v>0</v>
      </c>
      <c r="O12" s="230"/>
      <c r="P12" s="59">
        <f>P11-P9</f>
        <v>10320</v>
      </c>
      <c r="Q12" s="55"/>
      <c r="R12" s="55"/>
      <c r="S12" s="55"/>
      <c r="T12" s="55"/>
      <c r="U12" s="55"/>
      <c r="V12" s="55"/>
      <c r="W12" s="55"/>
    </row>
    <row r="13" spans="1:37" s="56" customFormat="1" ht="13.5" x14ac:dyDescent="0.25">
      <c r="A13" s="54"/>
      <c r="B13" s="176" t="s">
        <v>108</v>
      </c>
      <c r="C13" s="229"/>
      <c r="D13" s="229">
        <v>0</v>
      </c>
      <c r="E13" s="229"/>
      <c r="F13" s="229"/>
      <c r="G13" s="230"/>
      <c r="H13" s="230"/>
      <c r="I13" s="229"/>
      <c r="J13" s="229">
        <v>0</v>
      </c>
      <c r="K13" s="230"/>
      <c r="L13" s="230"/>
      <c r="M13" s="230">
        <v>0</v>
      </c>
      <c r="N13" s="230">
        <v>0</v>
      </c>
      <c r="O13" s="230"/>
      <c r="P13" s="59"/>
      <c r="Q13" s="55"/>
      <c r="R13" s="55"/>
      <c r="S13" s="55"/>
      <c r="T13" s="55"/>
      <c r="U13" s="55"/>
      <c r="V13" s="55"/>
      <c r="W13" s="55"/>
    </row>
    <row r="14" spans="1:37" s="56" customFormat="1" ht="13.5" x14ac:dyDescent="0.25">
      <c r="A14" s="54"/>
      <c r="B14" s="228" t="s">
        <v>65</v>
      </c>
      <c r="C14" s="229"/>
      <c r="D14" s="229">
        <v>0</v>
      </c>
      <c r="E14" s="229"/>
      <c r="F14" s="229"/>
      <c r="G14" s="230"/>
      <c r="H14" s="230"/>
      <c r="I14" s="229"/>
      <c r="J14" s="229">
        <v>0</v>
      </c>
      <c r="K14" s="230"/>
      <c r="L14" s="230"/>
      <c r="M14" s="230">
        <v>0</v>
      </c>
      <c r="N14" s="230">
        <v>0</v>
      </c>
      <c r="O14" s="230"/>
      <c r="P14" s="55"/>
      <c r="Q14" s="55"/>
      <c r="R14" s="55"/>
      <c r="S14" s="55"/>
      <c r="T14" s="55"/>
      <c r="U14" s="55"/>
      <c r="V14" s="55"/>
      <c r="W14" s="55"/>
      <c r="AD14" s="57">
        <f>D7-N7</f>
        <v>399920</v>
      </c>
    </row>
    <row r="15" spans="1:37" s="47" customFormat="1" ht="24" x14ac:dyDescent="0.25">
      <c r="A15" s="48">
        <v>2</v>
      </c>
      <c r="B15" s="192" t="s">
        <v>66</v>
      </c>
      <c r="C15" s="227">
        <v>6300</v>
      </c>
      <c r="D15" s="227">
        <v>6300</v>
      </c>
      <c r="E15" s="227">
        <v>0</v>
      </c>
      <c r="F15" s="227">
        <v>0</v>
      </c>
      <c r="G15" s="227"/>
      <c r="H15" s="227"/>
      <c r="I15" s="227">
        <v>6300</v>
      </c>
      <c r="J15" s="227">
        <v>6300</v>
      </c>
      <c r="K15" s="227"/>
      <c r="L15" s="227"/>
      <c r="M15" s="227">
        <v>4640</v>
      </c>
      <c r="N15" s="227">
        <v>4640</v>
      </c>
      <c r="O15" s="227"/>
      <c r="P15" s="52">
        <f>59990</f>
        <v>59990</v>
      </c>
      <c r="Q15" s="50"/>
      <c r="R15" s="50"/>
      <c r="S15" s="50"/>
      <c r="T15" s="50"/>
      <c r="U15" s="50"/>
      <c r="V15" s="50"/>
      <c r="W15" s="50"/>
    </row>
    <row r="16" spans="1:37" s="56" customFormat="1" ht="13.5" x14ac:dyDescent="0.25">
      <c r="A16" s="54"/>
      <c r="B16" s="228" t="s">
        <v>62</v>
      </c>
      <c r="C16" s="229">
        <v>3900</v>
      </c>
      <c r="D16" s="229">
        <v>3900</v>
      </c>
      <c r="E16" s="229"/>
      <c r="F16" s="229"/>
      <c r="G16" s="230"/>
      <c r="H16" s="230"/>
      <c r="I16" s="229">
        <v>3900</v>
      </c>
      <c r="J16" s="229">
        <v>3900</v>
      </c>
      <c r="K16" s="230"/>
      <c r="L16" s="230"/>
      <c r="M16" s="230">
        <v>2950</v>
      </c>
      <c r="N16" s="230">
        <v>2950</v>
      </c>
      <c r="O16" s="230"/>
      <c r="P16" s="55"/>
      <c r="Q16" s="55"/>
      <c r="R16" s="55"/>
      <c r="S16" s="55"/>
      <c r="T16" s="55"/>
      <c r="U16" s="55"/>
      <c r="V16" s="55"/>
      <c r="W16" s="55"/>
    </row>
    <row r="17" spans="1:30" s="56" customFormat="1" ht="13.5" x14ac:dyDescent="0.25">
      <c r="A17" s="54"/>
      <c r="B17" s="228" t="s">
        <v>67</v>
      </c>
      <c r="C17" s="229"/>
      <c r="D17" s="229">
        <v>0</v>
      </c>
      <c r="E17" s="229"/>
      <c r="F17" s="229"/>
      <c r="G17" s="230"/>
      <c r="H17" s="230"/>
      <c r="I17" s="229"/>
      <c r="J17" s="229">
        <v>0</v>
      </c>
      <c r="K17" s="230"/>
      <c r="L17" s="230"/>
      <c r="M17" s="230">
        <v>0</v>
      </c>
      <c r="N17" s="230">
        <v>0</v>
      </c>
      <c r="O17" s="230"/>
      <c r="P17" s="55"/>
      <c r="Q17" s="55"/>
      <c r="R17" s="55"/>
      <c r="S17" s="55"/>
      <c r="T17" s="55"/>
      <c r="U17" s="55"/>
      <c r="V17" s="55"/>
      <c r="W17" s="55"/>
    </row>
    <row r="18" spans="1:30" s="56" customFormat="1" ht="13.5" x14ac:dyDescent="0.25">
      <c r="A18" s="54"/>
      <c r="B18" s="228" t="s">
        <v>63</v>
      </c>
      <c r="C18" s="229">
        <v>2200</v>
      </c>
      <c r="D18" s="229">
        <v>2200</v>
      </c>
      <c r="E18" s="229"/>
      <c r="F18" s="229"/>
      <c r="G18" s="230"/>
      <c r="H18" s="230"/>
      <c r="I18" s="229">
        <v>2200</v>
      </c>
      <c r="J18" s="229">
        <v>2200</v>
      </c>
      <c r="K18" s="230"/>
      <c r="L18" s="230"/>
      <c r="M18" s="230">
        <v>1690</v>
      </c>
      <c r="N18" s="230">
        <v>1690</v>
      </c>
      <c r="O18" s="230"/>
      <c r="P18" s="60">
        <f>43800+7700</f>
        <v>51500</v>
      </c>
      <c r="Q18" s="55"/>
      <c r="R18" s="55"/>
      <c r="S18" s="55"/>
      <c r="T18" s="55"/>
      <c r="U18" s="55"/>
      <c r="V18" s="55"/>
      <c r="W18" s="55"/>
    </row>
    <row r="19" spans="1:30" s="56" customFormat="1" ht="13.5" x14ac:dyDescent="0.25">
      <c r="A19" s="54"/>
      <c r="B19" s="228" t="s">
        <v>64</v>
      </c>
      <c r="C19" s="229">
        <v>200</v>
      </c>
      <c r="D19" s="229">
        <v>200</v>
      </c>
      <c r="E19" s="229"/>
      <c r="F19" s="229"/>
      <c r="G19" s="230"/>
      <c r="H19" s="230"/>
      <c r="I19" s="229">
        <v>200</v>
      </c>
      <c r="J19" s="229">
        <v>200</v>
      </c>
      <c r="K19" s="230"/>
      <c r="L19" s="230"/>
      <c r="M19" s="230">
        <v>0</v>
      </c>
      <c r="N19" s="230">
        <v>0</v>
      </c>
      <c r="O19" s="230"/>
      <c r="P19" s="59">
        <f>P15-P18</f>
        <v>8490</v>
      </c>
      <c r="Q19" s="55"/>
      <c r="R19" s="55"/>
      <c r="S19" s="55"/>
      <c r="T19" s="55"/>
      <c r="U19" s="55"/>
      <c r="V19" s="55"/>
      <c r="W19" s="55"/>
    </row>
    <row r="20" spans="1:30" s="56" customFormat="1" ht="13.5" x14ac:dyDescent="0.25">
      <c r="A20" s="54"/>
      <c r="B20" s="228" t="s">
        <v>65</v>
      </c>
      <c r="C20" s="229"/>
      <c r="D20" s="229">
        <v>0</v>
      </c>
      <c r="E20" s="229"/>
      <c r="F20" s="229"/>
      <c r="G20" s="230"/>
      <c r="H20" s="230"/>
      <c r="I20" s="229"/>
      <c r="J20" s="229">
        <v>0</v>
      </c>
      <c r="K20" s="230"/>
      <c r="L20" s="230"/>
      <c r="M20" s="230">
        <v>0</v>
      </c>
      <c r="N20" s="230">
        <v>0</v>
      </c>
      <c r="O20" s="230"/>
      <c r="P20" s="55"/>
      <c r="Q20" s="55"/>
      <c r="R20" s="55"/>
      <c r="S20" s="55"/>
      <c r="T20" s="55"/>
      <c r="U20" s="55"/>
      <c r="V20" s="55"/>
      <c r="W20" s="55"/>
    </row>
    <row r="21" spans="1:30" s="47" customFormat="1" ht="24" x14ac:dyDescent="0.25">
      <c r="A21" s="48">
        <v>3</v>
      </c>
      <c r="B21" s="192" t="s">
        <v>68</v>
      </c>
      <c r="C21" s="227">
        <v>300</v>
      </c>
      <c r="D21" s="227">
        <v>300</v>
      </c>
      <c r="E21" s="227">
        <v>0</v>
      </c>
      <c r="F21" s="227">
        <v>0</v>
      </c>
      <c r="G21" s="227"/>
      <c r="H21" s="227"/>
      <c r="I21" s="227">
        <v>300</v>
      </c>
      <c r="J21" s="227">
        <v>300</v>
      </c>
      <c r="K21" s="227"/>
      <c r="L21" s="227"/>
      <c r="M21" s="227">
        <v>250</v>
      </c>
      <c r="N21" s="227">
        <v>250</v>
      </c>
      <c r="O21" s="227"/>
      <c r="P21" s="50"/>
      <c r="Q21" s="50"/>
      <c r="R21" s="50"/>
      <c r="S21" s="50"/>
      <c r="T21" s="50"/>
      <c r="U21" s="50"/>
      <c r="V21" s="50"/>
      <c r="W21" s="50"/>
    </row>
    <row r="22" spans="1:30" s="56" customFormat="1" ht="13.5" x14ac:dyDescent="0.25">
      <c r="A22" s="54"/>
      <c r="B22" s="228" t="s">
        <v>62</v>
      </c>
      <c r="C22" s="229">
        <v>250</v>
      </c>
      <c r="D22" s="229">
        <v>250</v>
      </c>
      <c r="E22" s="229"/>
      <c r="F22" s="229"/>
      <c r="G22" s="230"/>
      <c r="H22" s="230"/>
      <c r="I22" s="229">
        <v>250</v>
      </c>
      <c r="J22" s="229">
        <v>250</v>
      </c>
      <c r="K22" s="230"/>
      <c r="L22" s="230"/>
      <c r="M22" s="230">
        <v>250</v>
      </c>
      <c r="N22" s="230">
        <v>250</v>
      </c>
      <c r="O22" s="230"/>
      <c r="P22" s="55"/>
      <c r="Q22" s="55"/>
      <c r="R22" s="55"/>
      <c r="S22" s="55"/>
      <c r="T22" s="55"/>
      <c r="U22" s="55"/>
      <c r="V22" s="55"/>
      <c r="W22" s="55"/>
    </row>
    <row r="23" spans="1:30" s="56" customFormat="1" ht="13.5" x14ac:dyDescent="0.25">
      <c r="A23" s="54"/>
      <c r="B23" s="228" t="s">
        <v>63</v>
      </c>
      <c r="C23" s="229">
        <v>0</v>
      </c>
      <c r="D23" s="229">
        <v>0</v>
      </c>
      <c r="E23" s="229"/>
      <c r="F23" s="229"/>
      <c r="G23" s="230"/>
      <c r="H23" s="230"/>
      <c r="I23" s="229">
        <v>0</v>
      </c>
      <c r="J23" s="229">
        <v>0</v>
      </c>
      <c r="K23" s="230"/>
      <c r="L23" s="230"/>
      <c r="M23" s="230">
        <v>0</v>
      </c>
      <c r="N23" s="230">
        <v>0</v>
      </c>
      <c r="O23" s="230"/>
      <c r="P23" s="55"/>
      <c r="Q23" s="55"/>
      <c r="R23" s="55"/>
      <c r="S23" s="55"/>
      <c r="T23" s="55"/>
      <c r="U23" s="55"/>
      <c r="V23" s="55"/>
      <c r="W23" s="55"/>
    </row>
    <row r="24" spans="1:30" s="56" customFormat="1" ht="13.5" x14ac:dyDescent="0.25">
      <c r="A24" s="54"/>
      <c r="B24" s="228" t="s">
        <v>64</v>
      </c>
      <c r="C24" s="229">
        <v>50</v>
      </c>
      <c r="D24" s="229">
        <v>50</v>
      </c>
      <c r="E24" s="229"/>
      <c r="F24" s="229"/>
      <c r="G24" s="230"/>
      <c r="H24" s="230"/>
      <c r="I24" s="229">
        <v>50</v>
      </c>
      <c r="J24" s="229">
        <v>50</v>
      </c>
      <c r="K24" s="230"/>
      <c r="L24" s="230"/>
      <c r="M24" s="230">
        <v>0</v>
      </c>
      <c r="N24" s="230">
        <v>0</v>
      </c>
      <c r="O24" s="230"/>
      <c r="P24" s="55"/>
      <c r="Q24" s="55"/>
      <c r="R24" s="55"/>
      <c r="S24" s="55"/>
      <c r="T24" s="55"/>
      <c r="U24" s="55"/>
      <c r="V24" s="55"/>
      <c r="W24" s="55"/>
    </row>
    <row r="25" spans="1:30" s="47" customFormat="1" ht="24" x14ac:dyDescent="0.25">
      <c r="A25" s="48">
        <v>4</v>
      </c>
      <c r="B25" s="192" t="s">
        <v>69</v>
      </c>
      <c r="C25" s="231">
        <v>159700</v>
      </c>
      <c r="D25" s="231">
        <v>159700</v>
      </c>
      <c r="E25" s="231">
        <v>0</v>
      </c>
      <c r="F25" s="231">
        <v>0</v>
      </c>
      <c r="G25" s="231"/>
      <c r="H25" s="231"/>
      <c r="I25" s="231">
        <v>159700</v>
      </c>
      <c r="J25" s="231">
        <v>159700</v>
      </c>
      <c r="K25" s="231"/>
      <c r="L25" s="231"/>
      <c r="M25" s="231">
        <v>58640</v>
      </c>
      <c r="N25" s="231">
        <v>59040</v>
      </c>
      <c r="O25" s="227"/>
      <c r="P25" s="50"/>
      <c r="Q25" s="50"/>
      <c r="R25" s="50"/>
      <c r="S25" s="50"/>
      <c r="T25" s="50"/>
      <c r="U25" s="50"/>
      <c r="V25" s="50"/>
      <c r="W25" s="50"/>
    </row>
    <row r="26" spans="1:30" s="56" customFormat="1" ht="13.5" x14ac:dyDescent="0.25">
      <c r="A26" s="54"/>
      <c r="B26" s="228" t="s">
        <v>62</v>
      </c>
      <c r="C26" s="229">
        <v>111500</v>
      </c>
      <c r="D26" s="229">
        <v>111500</v>
      </c>
      <c r="E26" s="229"/>
      <c r="F26" s="229"/>
      <c r="G26" s="230"/>
      <c r="H26" s="230"/>
      <c r="I26" s="229">
        <v>111500</v>
      </c>
      <c r="J26" s="229">
        <v>111500</v>
      </c>
      <c r="K26" s="230"/>
      <c r="L26" s="230"/>
      <c r="M26" s="230">
        <v>50540</v>
      </c>
      <c r="N26" s="230">
        <v>50540</v>
      </c>
      <c r="O26" s="230"/>
      <c r="P26" s="55"/>
      <c r="Q26" s="55"/>
      <c r="R26" s="55"/>
      <c r="S26" s="55"/>
      <c r="T26" s="55"/>
      <c r="U26" s="55"/>
      <c r="V26" s="55"/>
      <c r="W26" s="55"/>
    </row>
    <row r="27" spans="1:30" s="56" customFormat="1" ht="13.5" x14ac:dyDescent="0.25">
      <c r="A27" s="54"/>
      <c r="B27" s="228" t="s">
        <v>67</v>
      </c>
      <c r="C27" s="229">
        <v>600</v>
      </c>
      <c r="D27" s="229">
        <v>600</v>
      </c>
      <c r="E27" s="229"/>
      <c r="F27" s="229"/>
      <c r="G27" s="230"/>
      <c r="H27" s="230"/>
      <c r="I27" s="229">
        <v>600</v>
      </c>
      <c r="J27" s="229">
        <v>600</v>
      </c>
      <c r="K27" s="230"/>
      <c r="L27" s="230"/>
      <c r="M27" s="230">
        <v>200</v>
      </c>
      <c r="N27" s="230">
        <v>600</v>
      </c>
      <c r="O27" s="230"/>
      <c r="P27" s="55"/>
      <c r="Q27" s="55"/>
      <c r="R27" s="55"/>
      <c r="S27" s="55"/>
      <c r="T27" s="55"/>
      <c r="U27" s="55"/>
      <c r="V27" s="55"/>
      <c r="W27" s="55"/>
    </row>
    <row r="28" spans="1:30" s="56" customFormat="1" ht="13.5" x14ac:dyDescent="0.25">
      <c r="A28" s="54"/>
      <c r="B28" s="228" t="s">
        <v>63</v>
      </c>
      <c r="C28" s="229">
        <v>11600</v>
      </c>
      <c r="D28" s="229">
        <v>11600</v>
      </c>
      <c r="E28" s="229"/>
      <c r="F28" s="229"/>
      <c r="G28" s="230"/>
      <c r="H28" s="230"/>
      <c r="I28" s="229">
        <v>11600</v>
      </c>
      <c r="J28" s="229">
        <v>11600</v>
      </c>
      <c r="K28" s="230"/>
      <c r="L28" s="230"/>
      <c r="M28" s="230">
        <v>7900</v>
      </c>
      <c r="N28" s="230">
        <v>7900</v>
      </c>
      <c r="O28" s="230"/>
      <c r="P28" s="55"/>
      <c r="Q28" s="55"/>
      <c r="R28" s="55"/>
      <c r="S28" s="55"/>
      <c r="T28" s="55"/>
      <c r="U28" s="55"/>
      <c r="V28" s="55"/>
      <c r="W28" s="55"/>
    </row>
    <row r="29" spans="1:30" s="56" customFormat="1" ht="13.5" x14ac:dyDescent="0.25">
      <c r="A29" s="54"/>
      <c r="B29" s="228" t="s">
        <v>64</v>
      </c>
      <c r="C29" s="229">
        <v>36000</v>
      </c>
      <c r="D29" s="229">
        <v>36000</v>
      </c>
      <c r="E29" s="229"/>
      <c r="F29" s="229"/>
      <c r="G29" s="230"/>
      <c r="H29" s="230"/>
      <c r="I29" s="229">
        <v>36000</v>
      </c>
      <c r="J29" s="229">
        <v>36000</v>
      </c>
      <c r="K29" s="230"/>
      <c r="L29" s="230"/>
      <c r="M29" s="230">
        <v>0</v>
      </c>
      <c r="N29" s="230">
        <v>0</v>
      </c>
      <c r="O29" s="230"/>
      <c r="P29" s="55"/>
      <c r="Q29" s="55"/>
      <c r="R29" s="55"/>
      <c r="S29" s="55"/>
      <c r="T29" s="55"/>
      <c r="U29" s="55"/>
      <c r="V29" s="55"/>
      <c r="W29" s="55"/>
    </row>
    <row r="30" spans="1:30" s="56" customFormat="1" ht="13.5" x14ac:dyDescent="0.25">
      <c r="A30" s="54"/>
      <c r="B30" s="228" t="s">
        <v>65</v>
      </c>
      <c r="C30" s="229"/>
      <c r="D30" s="229">
        <v>0</v>
      </c>
      <c r="E30" s="229"/>
      <c r="F30" s="229"/>
      <c r="G30" s="230"/>
      <c r="H30" s="230"/>
      <c r="I30" s="229"/>
      <c r="J30" s="229">
        <v>0</v>
      </c>
      <c r="K30" s="230"/>
      <c r="L30" s="230"/>
      <c r="M30" s="230">
        <v>0</v>
      </c>
      <c r="N30" s="230">
        <v>0</v>
      </c>
      <c r="O30" s="230"/>
      <c r="P30" s="55"/>
      <c r="Q30" s="55"/>
      <c r="R30" s="55"/>
      <c r="S30" s="55"/>
      <c r="T30" s="55"/>
      <c r="U30" s="55"/>
      <c r="V30" s="55"/>
      <c r="W30" s="55"/>
    </row>
    <row r="31" spans="1:30" s="47" customFormat="1" ht="15.75" customHeight="1" x14ac:dyDescent="0.25">
      <c r="A31" s="48">
        <v>5</v>
      </c>
      <c r="B31" s="192" t="s">
        <v>70</v>
      </c>
      <c r="C31" s="232">
        <v>39000</v>
      </c>
      <c r="D31" s="232">
        <v>39000</v>
      </c>
      <c r="E31" s="232"/>
      <c r="F31" s="232"/>
      <c r="G31" s="227"/>
      <c r="H31" s="227"/>
      <c r="I31" s="232">
        <v>39000</v>
      </c>
      <c r="J31" s="232">
        <v>39000</v>
      </c>
      <c r="K31" s="227"/>
      <c r="L31" s="227"/>
      <c r="M31" s="227">
        <v>18100</v>
      </c>
      <c r="N31" s="227">
        <v>18100</v>
      </c>
      <c r="O31" s="227"/>
      <c r="P31" s="50"/>
      <c r="Q31" s="50"/>
      <c r="R31" s="50"/>
      <c r="S31" s="50"/>
      <c r="T31" s="50"/>
      <c r="U31" s="50"/>
      <c r="V31" s="50"/>
      <c r="W31" s="50"/>
    </row>
    <row r="32" spans="1:30" s="47" customFormat="1" ht="16.5" customHeight="1" x14ac:dyDescent="0.25">
      <c r="A32" s="48">
        <v>6</v>
      </c>
      <c r="B32" s="192" t="s">
        <v>76</v>
      </c>
      <c r="C32" s="232">
        <v>120500</v>
      </c>
      <c r="D32" s="232">
        <v>73300</v>
      </c>
      <c r="E32" s="232"/>
      <c r="F32" s="232"/>
      <c r="G32" s="227"/>
      <c r="H32" s="227"/>
      <c r="I32" s="232">
        <v>120500</v>
      </c>
      <c r="J32" s="232">
        <v>73300</v>
      </c>
      <c r="K32" s="227"/>
      <c r="L32" s="227"/>
      <c r="M32" s="227">
        <v>120500</v>
      </c>
      <c r="N32" s="227">
        <v>73300</v>
      </c>
      <c r="O32" s="227"/>
      <c r="P32" s="50"/>
      <c r="Q32" s="50"/>
      <c r="R32" s="50"/>
      <c r="S32" s="50"/>
      <c r="T32" s="50"/>
      <c r="U32" s="50"/>
      <c r="V32" s="61">
        <f>M32-N32</f>
        <v>47200</v>
      </c>
      <c r="W32" s="50"/>
      <c r="AD32" s="51">
        <f>M32-N32</f>
        <v>47200</v>
      </c>
    </row>
    <row r="33" spans="1:30" s="64" customFormat="1" ht="24" x14ac:dyDescent="0.25">
      <c r="A33" s="62" t="s">
        <v>109</v>
      </c>
      <c r="B33" s="233" t="s">
        <v>110</v>
      </c>
      <c r="C33" s="234"/>
      <c r="D33" s="234"/>
      <c r="E33" s="234"/>
      <c r="F33" s="234"/>
      <c r="G33" s="235"/>
      <c r="H33" s="235"/>
      <c r="I33" s="234"/>
      <c r="J33" s="234"/>
      <c r="K33" s="235"/>
      <c r="L33" s="235"/>
      <c r="M33" s="235"/>
      <c r="N33" s="235"/>
      <c r="O33" s="235"/>
      <c r="P33" s="63"/>
      <c r="Q33" s="63"/>
      <c r="R33" s="63"/>
      <c r="S33" s="63"/>
      <c r="T33" s="63"/>
      <c r="U33" s="63"/>
      <c r="V33" s="63"/>
      <c r="W33" s="63"/>
    </row>
    <row r="34" spans="1:30" s="64" customFormat="1" ht="13.5" x14ac:dyDescent="0.25">
      <c r="A34" s="62" t="s">
        <v>109</v>
      </c>
      <c r="B34" s="233" t="s">
        <v>111</v>
      </c>
      <c r="C34" s="234"/>
      <c r="D34" s="234"/>
      <c r="E34" s="234"/>
      <c r="F34" s="234"/>
      <c r="G34" s="235"/>
      <c r="H34" s="235"/>
      <c r="I34" s="234"/>
      <c r="J34" s="234"/>
      <c r="K34" s="235"/>
      <c r="L34" s="235"/>
      <c r="M34" s="235"/>
      <c r="N34" s="235"/>
      <c r="O34" s="235"/>
      <c r="P34" s="63"/>
      <c r="Q34" s="63"/>
      <c r="R34" s="63"/>
      <c r="S34" s="63"/>
      <c r="T34" s="63"/>
      <c r="U34" s="63"/>
      <c r="V34" s="63"/>
      <c r="W34" s="63"/>
    </row>
    <row r="35" spans="1:30" s="47" customFormat="1" ht="13.5" x14ac:dyDescent="0.25">
      <c r="A35" s="48">
        <v>7</v>
      </c>
      <c r="B35" s="192" t="s">
        <v>79</v>
      </c>
      <c r="C35" s="232">
        <v>57000</v>
      </c>
      <c r="D35" s="232">
        <v>57000</v>
      </c>
      <c r="E35" s="227">
        <v>0</v>
      </c>
      <c r="F35" s="227">
        <v>0</v>
      </c>
      <c r="G35" s="227"/>
      <c r="H35" s="227"/>
      <c r="I35" s="232">
        <v>57000</v>
      </c>
      <c r="J35" s="232">
        <v>57000</v>
      </c>
      <c r="K35" s="227"/>
      <c r="L35" s="227"/>
      <c r="M35" s="227">
        <v>0</v>
      </c>
      <c r="N35" s="227"/>
      <c r="O35" s="227"/>
      <c r="P35" s="50"/>
      <c r="Q35" s="50"/>
      <c r="R35" s="50"/>
      <c r="S35" s="50"/>
      <c r="T35" s="50"/>
      <c r="U35" s="50"/>
      <c r="V35" s="50"/>
      <c r="W35" s="50"/>
    </row>
    <row r="36" spans="1:30" s="64" customFormat="1" ht="13.5" x14ac:dyDescent="0.25">
      <c r="A36" s="62" t="s">
        <v>109</v>
      </c>
      <c r="B36" s="233" t="s">
        <v>112</v>
      </c>
      <c r="C36" s="234">
        <v>4200</v>
      </c>
      <c r="D36" s="229">
        <v>4200</v>
      </c>
      <c r="E36" s="234"/>
      <c r="F36" s="234"/>
      <c r="G36" s="235"/>
      <c r="H36" s="235"/>
      <c r="I36" s="234">
        <v>4200</v>
      </c>
      <c r="J36" s="229">
        <v>4200</v>
      </c>
      <c r="K36" s="235"/>
      <c r="L36" s="235"/>
      <c r="M36" s="235">
        <v>0</v>
      </c>
      <c r="N36" s="236"/>
      <c r="O36" s="235"/>
      <c r="P36" s="63"/>
      <c r="Q36" s="63"/>
      <c r="R36" s="63"/>
      <c r="S36" s="63"/>
      <c r="T36" s="63"/>
      <c r="U36" s="63"/>
      <c r="V36" s="63"/>
      <c r="W36" s="63"/>
    </row>
    <row r="37" spans="1:30" s="64" customFormat="1" ht="13.5" x14ac:dyDescent="0.25">
      <c r="A37" s="62" t="s">
        <v>109</v>
      </c>
      <c r="B37" s="233" t="s">
        <v>113</v>
      </c>
      <c r="C37" s="234">
        <v>52800</v>
      </c>
      <c r="D37" s="229">
        <v>52800</v>
      </c>
      <c r="E37" s="234"/>
      <c r="F37" s="234"/>
      <c r="G37" s="235"/>
      <c r="H37" s="235"/>
      <c r="I37" s="234">
        <v>52800</v>
      </c>
      <c r="J37" s="229">
        <v>52800</v>
      </c>
      <c r="K37" s="235"/>
      <c r="L37" s="235"/>
      <c r="M37" s="235">
        <v>0</v>
      </c>
      <c r="N37" s="236"/>
      <c r="O37" s="235"/>
      <c r="P37" s="63"/>
      <c r="Q37" s="63"/>
      <c r="R37" s="63"/>
      <c r="S37" s="63"/>
      <c r="T37" s="63"/>
      <c r="U37" s="63"/>
      <c r="V37" s="63"/>
      <c r="W37" s="63"/>
    </row>
    <row r="38" spans="1:30" s="47" customFormat="1" ht="13.5" x14ac:dyDescent="0.25">
      <c r="A38" s="48">
        <v>8</v>
      </c>
      <c r="B38" s="192" t="s">
        <v>82</v>
      </c>
      <c r="C38" s="232">
        <v>75000</v>
      </c>
      <c r="D38" s="232">
        <v>70500</v>
      </c>
      <c r="E38" s="232"/>
      <c r="F38" s="232"/>
      <c r="G38" s="227"/>
      <c r="H38" s="227"/>
      <c r="I38" s="232">
        <v>75000</v>
      </c>
      <c r="J38" s="232">
        <v>70500</v>
      </c>
      <c r="K38" s="227"/>
      <c r="L38" s="227"/>
      <c r="M38" s="227">
        <v>5750</v>
      </c>
      <c r="N38" s="227">
        <v>3350</v>
      </c>
      <c r="O38" s="227"/>
      <c r="P38" s="50"/>
      <c r="Q38" s="50"/>
      <c r="R38" s="50"/>
      <c r="S38" s="50"/>
      <c r="T38" s="50"/>
      <c r="U38" s="50"/>
      <c r="V38" s="50"/>
      <c r="W38" s="50"/>
      <c r="AD38" s="51">
        <f>C38-D38</f>
        <v>4500</v>
      </c>
    </row>
    <row r="39" spans="1:30" s="64" customFormat="1" ht="13.5" x14ac:dyDescent="0.25">
      <c r="A39" s="62" t="s">
        <v>10</v>
      </c>
      <c r="B39" s="233" t="s">
        <v>83</v>
      </c>
      <c r="C39" s="234">
        <v>4500</v>
      </c>
      <c r="D39" s="229">
        <v>0</v>
      </c>
      <c r="E39" s="234"/>
      <c r="F39" s="234"/>
      <c r="G39" s="235"/>
      <c r="H39" s="235"/>
      <c r="I39" s="234">
        <v>4500</v>
      </c>
      <c r="J39" s="229">
        <v>0</v>
      </c>
      <c r="K39" s="235"/>
      <c r="L39" s="235"/>
      <c r="M39" s="235">
        <v>2400</v>
      </c>
      <c r="N39" s="235"/>
      <c r="O39" s="235"/>
      <c r="P39" s="63"/>
      <c r="Q39" s="63"/>
      <c r="R39" s="63"/>
      <c r="S39" s="63"/>
      <c r="T39" s="63"/>
      <c r="U39" s="63"/>
      <c r="V39" s="61">
        <v>4500</v>
      </c>
      <c r="W39" s="63"/>
    </row>
    <row r="40" spans="1:30" s="64" customFormat="1" ht="13.5" x14ac:dyDescent="0.25">
      <c r="A40" s="62" t="s">
        <v>10</v>
      </c>
      <c r="B40" s="233" t="s">
        <v>114</v>
      </c>
      <c r="C40" s="234">
        <v>70500</v>
      </c>
      <c r="D40" s="229">
        <v>70500</v>
      </c>
      <c r="E40" s="234"/>
      <c r="F40" s="234"/>
      <c r="G40" s="235"/>
      <c r="H40" s="235"/>
      <c r="I40" s="234">
        <v>70500</v>
      </c>
      <c r="J40" s="229">
        <v>70500</v>
      </c>
      <c r="K40" s="235"/>
      <c r="L40" s="235"/>
      <c r="M40" s="235">
        <v>3350</v>
      </c>
      <c r="N40" s="235">
        <v>3350</v>
      </c>
      <c r="O40" s="235"/>
      <c r="P40" s="63"/>
      <c r="Q40" s="63"/>
      <c r="R40" s="63"/>
      <c r="S40" s="63"/>
      <c r="T40" s="63"/>
      <c r="U40" s="63"/>
      <c r="V40" s="63"/>
      <c r="W40" s="63"/>
    </row>
    <row r="41" spans="1:30" s="47" customFormat="1" ht="13.5" x14ac:dyDescent="0.25">
      <c r="A41" s="48">
        <v>9</v>
      </c>
      <c r="B41" s="192" t="s">
        <v>71</v>
      </c>
      <c r="C41" s="232">
        <v>0</v>
      </c>
      <c r="D41" s="232"/>
      <c r="E41" s="232"/>
      <c r="F41" s="232"/>
      <c r="G41" s="227"/>
      <c r="H41" s="227"/>
      <c r="I41" s="232">
        <v>0</v>
      </c>
      <c r="J41" s="232"/>
      <c r="K41" s="227"/>
      <c r="L41" s="227"/>
      <c r="M41" s="227">
        <v>0</v>
      </c>
      <c r="N41" s="227"/>
      <c r="O41" s="227"/>
      <c r="P41" s="50"/>
      <c r="Q41" s="50"/>
      <c r="R41" s="50"/>
      <c r="S41" s="50"/>
      <c r="T41" s="50"/>
      <c r="U41" s="50"/>
      <c r="V41" s="50"/>
      <c r="W41" s="50"/>
    </row>
    <row r="42" spans="1:30" s="47" customFormat="1" ht="13.5" x14ac:dyDescent="0.25">
      <c r="A42" s="48">
        <v>10</v>
      </c>
      <c r="B42" s="192" t="s">
        <v>73</v>
      </c>
      <c r="C42" s="232">
        <v>900</v>
      </c>
      <c r="D42" s="232">
        <v>900</v>
      </c>
      <c r="E42" s="232"/>
      <c r="F42" s="232"/>
      <c r="G42" s="227"/>
      <c r="H42" s="227"/>
      <c r="I42" s="232">
        <v>900</v>
      </c>
      <c r="J42" s="232">
        <v>900</v>
      </c>
      <c r="K42" s="227"/>
      <c r="L42" s="227"/>
      <c r="M42" s="227">
        <v>0</v>
      </c>
      <c r="N42" s="227">
        <v>0</v>
      </c>
      <c r="O42" s="227"/>
      <c r="P42" s="50"/>
      <c r="Q42" s="50"/>
      <c r="R42" s="50"/>
      <c r="S42" s="49" t="e">
        <f>64000-S44</f>
        <v>#REF!</v>
      </c>
      <c r="T42" s="50"/>
      <c r="U42" s="50"/>
      <c r="V42" s="50"/>
      <c r="W42" s="50"/>
    </row>
    <row r="43" spans="1:30" s="47" customFormat="1" ht="13.5" x14ac:dyDescent="0.25">
      <c r="A43" s="48">
        <v>11</v>
      </c>
      <c r="B43" s="192" t="s">
        <v>74</v>
      </c>
      <c r="C43" s="232">
        <v>13500</v>
      </c>
      <c r="D43" s="232">
        <v>13500</v>
      </c>
      <c r="E43" s="232"/>
      <c r="F43" s="232"/>
      <c r="G43" s="227">
        <f>H43</f>
        <v>31896</v>
      </c>
      <c r="H43" s="227">
        <f>'Bieu 16a'!F47</f>
        <v>31896</v>
      </c>
      <c r="I43" s="227">
        <f>C43+G43</f>
        <v>45396</v>
      </c>
      <c r="J43" s="227">
        <f>D43+H43</f>
        <v>45396</v>
      </c>
      <c r="K43" s="227"/>
      <c r="L43" s="227"/>
      <c r="M43" s="227">
        <v>45396</v>
      </c>
      <c r="N43" s="227">
        <v>45396</v>
      </c>
      <c r="O43" s="227"/>
      <c r="P43" s="50"/>
      <c r="Q43" s="50"/>
      <c r="R43" s="50"/>
      <c r="S43" s="50"/>
      <c r="T43" s="50"/>
      <c r="U43" s="50"/>
      <c r="V43" s="50"/>
      <c r="W43" s="50"/>
    </row>
    <row r="44" spans="1:30" s="47" customFormat="1" ht="13.5" x14ac:dyDescent="0.25">
      <c r="A44" s="48">
        <v>12</v>
      </c>
      <c r="B44" s="192" t="s">
        <v>72</v>
      </c>
      <c r="C44" s="232">
        <v>206000</v>
      </c>
      <c r="D44" s="232">
        <v>206000</v>
      </c>
      <c r="E44" s="232"/>
      <c r="F44" s="232"/>
      <c r="G44" s="227">
        <f t="shared" ref="G44:G45" si="1">H44</f>
        <v>4329</v>
      </c>
      <c r="H44" s="227">
        <f>'Bieu 16a'!F48</f>
        <v>4329</v>
      </c>
      <c r="I44" s="227">
        <f t="shared" ref="I44:I45" si="2">C44+G44</f>
        <v>210329</v>
      </c>
      <c r="J44" s="227">
        <f t="shared" ref="J44:J45" si="3">D44+H44</f>
        <v>210329</v>
      </c>
      <c r="K44" s="227"/>
      <c r="L44" s="227"/>
      <c r="M44" s="227">
        <v>4329</v>
      </c>
      <c r="N44" s="227">
        <v>65339</v>
      </c>
      <c r="O44" s="227"/>
      <c r="P44" s="50"/>
      <c r="Q44" s="50"/>
      <c r="R44" s="50"/>
      <c r="S44" s="49" t="e">
        <f>#REF!+#REF!+#REF!+#REF!+#REF!+L44+J44+H44</f>
        <v>#REF!</v>
      </c>
      <c r="T44" s="49">
        <f>64000-N44</f>
        <v>-1339</v>
      </c>
      <c r="U44" s="50"/>
      <c r="V44" s="50"/>
      <c r="W44" s="50"/>
    </row>
    <row r="45" spans="1:30" s="47" customFormat="1" ht="36" x14ac:dyDescent="0.25">
      <c r="A45" s="48">
        <v>13</v>
      </c>
      <c r="B45" s="192" t="s">
        <v>75</v>
      </c>
      <c r="C45" s="232">
        <v>30000</v>
      </c>
      <c r="D45" s="232">
        <v>30000</v>
      </c>
      <c r="E45" s="232"/>
      <c r="F45" s="232"/>
      <c r="G45" s="227">
        <f t="shared" si="1"/>
        <v>5325</v>
      </c>
      <c r="H45" s="227">
        <f>'Bieu 16a'!F49</f>
        <v>5325</v>
      </c>
      <c r="I45" s="227">
        <f t="shared" si="2"/>
        <v>35325</v>
      </c>
      <c r="J45" s="227">
        <f t="shared" si="3"/>
        <v>35325</v>
      </c>
      <c r="K45" s="227"/>
      <c r="L45" s="227"/>
      <c r="M45" s="227">
        <v>35325</v>
      </c>
      <c r="N45" s="227">
        <v>35325</v>
      </c>
      <c r="O45" s="227"/>
      <c r="P45" s="50"/>
      <c r="Q45" s="50"/>
      <c r="R45" s="50"/>
      <c r="S45" s="50"/>
      <c r="T45" s="50"/>
      <c r="U45" s="50"/>
      <c r="V45" s="50"/>
      <c r="W45" s="50"/>
    </row>
    <row r="46" spans="1:30" s="47" customFormat="1" ht="13.5" x14ac:dyDescent="0.25">
      <c r="A46" s="48">
        <v>14</v>
      </c>
      <c r="B46" s="192" t="s">
        <v>89</v>
      </c>
      <c r="C46" s="232">
        <v>25000</v>
      </c>
      <c r="D46" s="232">
        <v>25000</v>
      </c>
      <c r="E46" s="232"/>
      <c r="F46" s="232"/>
      <c r="G46" s="227"/>
      <c r="H46" s="227"/>
      <c r="I46" s="232">
        <v>25000</v>
      </c>
      <c r="J46" s="232">
        <v>25000</v>
      </c>
      <c r="K46" s="227"/>
      <c r="L46" s="227"/>
      <c r="M46" s="227">
        <v>25000</v>
      </c>
      <c r="N46" s="227">
        <v>25000</v>
      </c>
      <c r="O46" s="227"/>
      <c r="P46" s="50"/>
      <c r="Q46" s="50"/>
      <c r="R46" s="50"/>
      <c r="S46" s="50"/>
      <c r="T46" s="50"/>
      <c r="U46" s="50"/>
      <c r="V46" s="50"/>
      <c r="W46" s="50"/>
    </row>
    <row r="47" spans="1:30" s="64" customFormat="1" ht="13.5" x14ac:dyDescent="0.25">
      <c r="A47" s="62"/>
      <c r="B47" s="201" t="s">
        <v>90</v>
      </c>
      <c r="C47" s="234">
        <v>15000</v>
      </c>
      <c r="D47" s="234">
        <v>15000</v>
      </c>
      <c r="E47" s="234"/>
      <c r="F47" s="234"/>
      <c r="G47" s="235"/>
      <c r="H47" s="235"/>
      <c r="I47" s="234">
        <v>15000</v>
      </c>
      <c r="J47" s="234">
        <v>15000</v>
      </c>
      <c r="K47" s="235"/>
      <c r="L47" s="235"/>
      <c r="M47" s="235">
        <v>15000</v>
      </c>
      <c r="N47" s="235">
        <v>15000</v>
      </c>
      <c r="O47" s="235"/>
      <c r="P47" s="63"/>
      <c r="Q47" s="63"/>
      <c r="R47" s="63"/>
      <c r="S47" s="63"/>
      <c r="T47" s="63"/>
      <c r="U47" s="63"/>
      <c r="V47" s="63"/>
      <c r="W47" s="63"/>
    </row>
    <row r="48" spans="1:30" s="64" customFormat="1" ht="13.5" x14ac:dyDescent="0.25">
      <c r="A48" s="62"/>
      <c r="B48" s="201" t="s">
        <v>91</v>
      </c>
      <c r="C48" s="234">
        <v>10000</v>
      </c>
      <c r="D48" s="234">
        <v>10000</v>
      </c>
      <c r="E48" s="234"/>
      <c r="F48" s="234"/>
      <c r="G48" s="235"/>
      <c r="H48" s="235"/>
      <c r="I48" s="234">
        <v>10000</v>
      </c>
      <c r="J48" s="234">
        <v>10000</v>
      </c>
      <c r="K48" s="235"/>
      <c r="L48" s="235"/>
      <c r="M48" s="235">
        <v>10000</v>
      </c>
      <c r="N48" s="235">
        <v>10000</v>
      </c>
      <c r="O48" s="235"/>
      <c r="P48" s="63"/>
      <c r="Q48" s="63"/>
      <c r="R48" s="63"/>
      <c r="S48" s="63"/>
      <c r="T48" s="63"/>
      <c r="U48" s="63"/>
      <c r="V48" s="63"/>
      <c r="W48" s="63"/>
    </row>
    <row r="49" spans="1:30" s="47" customFormat="1" ht="24" x14ac:dyDescent="0.25">
      <c r="A49" s="48">
        <v>15</v>
      </c>
      <c r="B49" s="192" t="s">
        <v>88</v>
      </c>
      <c r="C49" s="232">
        <v>14500</v>
      </c>
      <c r="D49" s="232">
        <v>8340</v>
      </c>
      <c r="E49" s="232"/>
      <c r="F49" s="232"/>
      <c r="G49" s="227"/>
      <c r="H49" s="227"/>
      <c r="I49" s="232">
        <v>14500</v>
      </c>
      <c r="J49" s="232">
        <v>8340</v>
      </c>
      <c r="K49" s="227"/>
      <c r="L49" s="227"/>
      <c r="M49" s="227">
        <v>14500</v>
      </c>
      <c r="N49" s="227">
        <v>8340</v>
      </c>
      <c r="O49" s="227"/>
      <c r="P49" s="50"/>
      <c r="Q49" s="50"/>
      <c r="R49" s="50"/>
      <c r="S49" s="50"/>
      <c r="T49" s="50"/>
      <c r="U49" s="50"/>
      <c r="V49" s="61">
        <f>M49-N49</f>
        <v>6160</v>
      </c>
      <c r="W49" s="50"/>
      <c r="AD49" s="51">
        <f>M49-N49</f>
        <v>6160</v>
      </c>
    </row>
    <row r="50" spans="1:30" s="47" customFormat="1" ht="13.5" x14ac:dyDescent="0.25">
      <c r="A50" s="48">
        <v>16</v>
      </c>
      <c r="B50" s="192" t="s">
        <v>87</v>
      </c>
      <c r="C50" s="232">
        <v>70000</v>
      </c>
      <c r="D50" s="232">
        <v>50960</v>
      </c>
      <c r="E50" s="232"/>
      <c r="F50" s="232"/>
      <c r="G50" s="227"/>
      <c r="H50" s="227"/>
      <c r="I50" s="232">
        <v>70000</v>
      </c>
      <c r="J50" s="232">
        <v>50960</v>
      </c>
      <c r="K50" s="227"/>
      <c r="L50" s="227"/>
      <c r="M50" s="227">
        <v>49600</v>
      </c>
      <c r="N50" s="227">
        <v>35580</v>
      </c>
      <c r="O50" s="227"/>
      <c r="P50" s="50"/>
      <c r="Q50" s="50"/>
      <c r="R50" s="50"/>
      <c r="S50" s="50"/>
      <c r="T50" s="50"/>
      <c r="U50" s="50">
        <v>30700</v>
      </c>
      <c r="V50" s="61">
        <f>C50-D50</f>
        <v>19040</v>
      </c>
      <c r="W50" s="50"/>
      <c r="AD50" s="51">
        <f>C50-D50</f>
        <v>19040</v>
      </c>
    </row>
    <row r="51" spans="1:30" s="64" customFormat="1" ht="13.5" x14ac:dyDescent="0.25">
      <c r="A51" s="62" t="s">
        <v>109</v>
      </c>
      <c r="B51" s="233" t="s">
        <v>120</v>
      </c>
      <c r="C51" s="234">
        <v>19040</v>
      </c>
      <c r="D51" s="229">
        <v>0</v>
      </c>
      <c r="E51" s="234"/>
      <c r="F51" s="234"/>
      <c r="G51" s="235"/>
      <c r="H51" s="235"/>
      <c r="I51" s="234">
        <v>19040</v>
      </c>
      <c r="J51" s="229">
        <v>0</v>
      </c>
      <c r="K51" s="230"/>
      <c r="L51" s="235"/>
      <c r="M51" s="230">
        <v>14020</v>
      </c>
      <c r="N51" s="235"/>
      <c r="O51" s="235"/>
      <c r="P51" s="63"/>
      <c r="Q51" s="63"/>
      <c r="R51" s="63"/>
      <c r="S51" s="63"/>
      <c r="T51" s="63"/>
      <c r="U51" s="63"/>
      <c r="V51" s="63"/>
      <c r="W51" s="63"/>
      <c r="AD51" s="65"/>
    </row>
    <row r="52" spans="1:30" s="64" customFormat="1" ht="13.5" x14ac:dyDescent="0.25">
      <c r="A52" s="62" t="s">
        <v>109</v>
      </c>
      <c r="B52" s="233" t="s">
        <v>123</v>
      </c>
      <c r="C52" s="234">
        <v>50960</v>
      </c>
      <c r="D52" s="229">
        <v>50960</v>
      </c>
      <c r="E52" s="234"/>
      <c r="F52" s="234"/>
      <c r="G52" s="235"/>
      <c r="H52" s="235"/>
      <c r="I52" s="234">
        <v>50960</v>
      </c>
      <c r="J52" s="229">
        <v>50960</v>
      </c>
      <c r="K52" s="235"/>
      <c r="L52" s="235"/>
      <c r="M52" s="235">
        <v>35580</v>
      </c>
      <c r="N52" s="235">
        <v>35580</v>
      </c>
      <c r="O52" s="235"/>
      <c r="P52" s="63"/>
      <c r="Q52" s="63"/>
      <c r="R52" s="63"/>
      <c r="S52" s="63"/>
      <c r="T52" s="63"/>
      <c r="U52" s="63"/>
      <c r="V52" s="63"/>
      <c r="W52" s="63"/>
      <c r="AD52" s="65"/>
    </row>
    <row r="53" spans="1:30" s="47" customFormat="1" ht="24" x14ac:dyDescent="0.25">
      <c r="A53" s="66">
        <v>17</v>
      </c>
      <c r="B53" s="237" t="s">
        <v>92</v>
      </c>
      <c r="C53" s="232">
        <v>0</v>
      </c>
      <c r="D53" s="232"/>
      <c r="E53" s="232"/>
      <c r="F53" s="232"/>
      <c r="G53" s="227"/>
      <c r="H53" s="227"/>
      <c r="I53" s="232">
        <v>0</v>
      </c>
      <c r="J53" s="232"/>
      <c r="K53" s="227"/>
      <c r="L53" s="227"/>
      <c r="M53" s="227">
        <v>0</v>
      </c>
      <c r="N53" s="227"/>
      <c r="O53" s="227"/>
      <c r="P53" s="50"/>
      <c r="Q53" s="50"/>
      <c r="R53" s="50"/>
      <c r="S53" s="50"/>
      <c r="T53" s="50"/>
      <c r="U53" s="50"/>
      <c r="V53" s="50"/>
      <c r="W53" s="50"/>
    </row>
    <row r="54" spans="1:30" s="47" customFormat="1" ht="30.75" customHeight="1" x14ac:dyDescent="0.25">
      <c r="A54" s="66">
        <v>18</v>
      </c>
      <c r="B54" s="237" t="s">
        <v>230</v>
      </c>
      <c r="C54" s="232">
        <v>300</v>
      </c>
      <c r="D54" s="232">
        <v>300</v>
      </c>
      <c r="E54" s="232"/>
      <c r="F54" s="232"/>
      <c r="G54" s="227"/>
      <c r="H54" s="227"/>
      <c r="I54" s="232">
        <v>300</v>
      </c>
      <c r="J54" s="232">
        <v>300</v>
      </c>
      <c r="K54" s="227"/>
      <c r="L54" s="227"/>
      <c r="M54" s="227">
        <v>300</v>
      </c>
      <c r="N54" s="227">
        <v>300</v>
      </c>
      <c r="O54" s="227"/>
      <c r="P54" s="50"/>
      <c r="Q54" s="50"/>
      <c r="R54" s="50"/>
      <c r="S54" s="50"/>
      <c r="T54" s="50"/>
      <c r="U54" s="50"/>
      <c r="V54" s="50"/>
      <c r="W54" s="50"/>
    </row>
    <row r="55" spans="1:30" s="56" customFormat="1" ht="13.5" x14ac:dyDescent="0.25">
      <c r="A55" s="67" t="s">
        <v>13</v>
      </c>
      <c r="B55" s="192" t="s">
        <v>233</v>
      </c>
      <c r="C55" s="232">
        <v>25000</v>
      </c>
      <c r="D55" s="229"/>
      <c r="E55" s="229"/>
      <c r="F55" s="229"/>
      <c r="G55" s="230"/>
      <c r="H55" s="230"/>
      <c r="I55" s="232">
        <v>25000</v>
      </c>
      <c r="J55" s="229"/>
      <c r="K55" s="230"/>
      <c r="L55" s="230"/>
      <c r="M55" s="230"/>
      <c r="N55" s="230"/>
      <c r="O55" s="227">
        <v>25000</v>
      </c>
      <c r="P55" s="55"/>
      <c r="Q55" s="55"/>
      <c r="R55" s="55"/>
      <c r="S55" s="55"/>
      <c r="T55" s="55"/>
      <c r="U55" s="55"/>
      <c r="V55" s="55"/>
      <c r="W55" s="55"/>
    </row>
    <row r="56" spans="1:30" s="56" customFormat="1" ht="13.5" hidden="1" x14ac:dyDescent="0.25">
      <c r="A56" s="68"/>
      <c r="B56" s="203" t="s">
        <v>96</v>
      </c>
      <c r="C56" s="229">
        <v>8600</v>
      </c>
      <c r="D56" s="229"/>
      <c r="E56" s="229"/>
      <c r="F56" s="229"/>
      <c r="G56" s="230"/>
      <c r="H56" s="230"/>
      <c r="I56" s="230"/>
      <c r="J56" s="230"/>
      <c r="K56" s="230"/>
      <c r="L56" s="230"/>
      <c r="M56" s="230"/>
      <c r="N56" s="230"/>
      <c r="O56" s="230">
        <v>8600</v>
      </c>
      <c r="P56" s="55"/>
      <c r="Q56" s="55"/>
      <c r="R56" s="55"/>
      <c r="S56" s="55"/>
      <c r="T56" s="55"/>
      <c r="U56" s="55"/>
      <c r="V56" s="55"/>
      <c r="W56" s="55"/>
    </row>
    <row r="57" spans="1:30" s="56" customFormat="1" ht="13.5" hidden="1" x14ac:dyDescent="0.25">
      <c r="A57" s="54"/>
      <c r="B57" s="203" t="s">
        <v>97</v>
      </c>
      <c r="C57" s="229">
        <v>190</v>
      </c>
      <c r="D57" s="229"/>
      <c r="E57" s="229"/>
      <c r="F57" s="229"/>
      <c r="G57" s="230"/>
      <c r="H57" s="230"/>
      <c r="I57" s="230"/>
      <c r="J57" s="230"/>
      <c r="K57" s="230"/>
      <c r="L57" s="230"/>
      <c r="M57" s="230"/>
      <c r="N57" s="230"/>
      <c r="O57" s="230">
        <v>190</v>
      </c>
      <c r="P57" s="55"/>
      <c r="Q57" s="55"/>
      <c r="R57" s="55"/>
      <c r="S57" s="55"/>
      <c r="T57" s="55"/>
      <c r="U57" s="55"/>
      <c r="V57" s="55"/>
      <c r="W57" s="55"/>
    </row>
    <row r="58" spans="1:30" s="56" customFormat="1" ht="25.5" hidden="1" x14ac:dyDescent="0.25">
      <c r="A58" s="54"/>
      <c r="B58" s="203" t="s">
        <v>95</v>
      </c>
      <c r="C58" s="229">
        <v>16210</v>
      </c>
      <c r="D58" s="229"/>
      <c r="E58" s="229"/>
      <c r="F58" s="229"/>
      <c r="G58" s="230"/>
      <c r="H58" s="230"/>
      <c r="I58" s="230"/>
      <c r="J58" s="230"/>
      <c r="K58" s="230"/>
      <c r="L58" s="230"/>
      <c r="M58" s="230"/>
      <c r="N58" s="230"/>
      <c r="O58" s="230">
        <v>16210</v>
      </c>
      <c r="P58" s="55"/>
      <c r="Q58" s="55"/>
      <c r="R58" s="55"/>
      <c r="S58" s="55"/>
      <c r="T58" s="55"/>
      <c r="U58" s="55"/>
      <c r="V58" s="55"/>
      <c r="W58" s="55"/>
    </row>
    <row r="59" spans="1:30" s="56" customFormat="1" ht="25.5" hidden="1" x14ac:dyDescent="0.25">
      <c r="A59" s="54"/>
      <c r="B59" s="203" t="s">
        <v>98</v>
      </c>
      <c r="C59" s="229">
        <v>0</v>
      </c>
      <c r="D59" s="229"/>
      <c r="E59" s="229"/>
      <c r="F59" s="229"/>
      <c r="G59" s="230"/>
      <c r="H59" s="230"/>
      <c r="I59" s="230"/>
      <c r="J59" s="230"/>
      <c r="K59" s="230"/>
      <c r="L59" s="230"/>
      <c r="M59" s="230"/>
      <c r="N59" s="230"/>
      <c r="O59" s="230"/>
      <c r="P59" s="55"/>
      <c r="Q59" s="55"/>
      <c r="R59" s="55"/>
      <c r="S59" s="55"/>
      <c r="T59" s="55"/>
      <c r="U59" s="55"/>
      <c r="V59" s="55"/>
      <c r="W59" s="55"/>
    </row>
    <row r="60" spans="1:30" s="56" customFormat="1" ht="13.5" hidden="1" x14ac:dyDescent="0.25">
      <c r="A60" s="54"/>
      <c r="B60" s="203" t="s">
        <v>65</v>
      </c>
      <c r="C60" s="229"/>
      <c r="D60" s="229"/>
      <c r="E60" s="229"/>
      <c r="F60" s="229"/>
      <c r="G60" s="230"/>
      <c r="H60" s="230"/>
      <c r="I60" s="230"/>
      <c r="J60" s="230"/>
      <c r="K60" s="230"/>
      <c r="L60" s="230"/>
      <c r="M60" s="230"/>
      <c r="N60" s="230"/>
      <c r="O60" s="230"/>
      <c r="P60" s="55"/>
      <c r="Q60" s="55"/>
      <c r="R60" s="55"/>
      <c r="S60" s="55"/>
      <c r="T60" s="55"/>
      <c r="U60" s="55"/>
      <c r="V60" s="55"/>
      <c r="W60" s="55"/>
    </row>
    <row r="61" spans="1:30" s="56" customFormat="1" ht="13.5" x14ac:dyDescent="0.25">
      <c r="A61" s="67" t="s">
        <v>18</v>
      </c>
      <c r="B61" s="192" t="s">
        <v>99</v>
      </c>
      <c r="C61" s="229"/>
      <c r="D61" s="229"/>
      <c r="E61" s="229"/>
      <c r="F61" s="229"/>
      <c r="G61" s="230"/>
      <c r="H61" s="230"/>
      <c r="I61" s="230"/>
      <c r="J61" s="230"/>
      <c r="K61" s="230"/>
      <c r="L61" s="230"/>
      <c r="M61" s="230"/>
      <c r="N61" s="230"/>
      <c r="O61" s="230"/>
      <c r="P61" s="55"/>
      <c r="Q61" s="55"/>
      <c r="R61" s="55"/>
      <c r="S61" s="55"/>
      <c r="T61" s="55"/>
      <c r="U61" s="55"/>
      <c r="V61" s="55"/>
      <c r="W61" s="55"/>
    </row>
    <row r="62" spans="1:30" s="69" customFormat="1" x14ac:dyDescent="0.25"/>
    <row r="63" spans="1:30" s="69" customFormat="1" x14ac:dyDescent="0.25"/>
    <row r="64" spans="1:30" s="69" customFormat="1" x14ac:dyDescent="0.25"/>
    <row r="65" s="69" customFormat="1" x14ac:dyDescent="0.25"/>
    <row r="66" s="69" customFormat="1" x14ac:dyDescent="0.25"/>
    <row r="67" s="69" customFormat="1" x14ac:dyDescent="0.25"/>
    <row r="68" s="69" customFormat="1" x14ac:dyDescent="0.25"/>
    <row r="69" s="69" customFormat="1" x14ac:dyDescent="0.25"/>
    <row r="70" s="69" customFormat="1" x14ac:dyDescent="0.25"/>
    <row r="71" s="69" customFormat="1" x14ac:dyDescent="0.25"/>
    <row r="72" s="69" customFormat="1" x14ac:dyDescent="0.25"/>
    <row r="73" s="69" customFormat="1" x14ac:dyDescent="0.25"/>
    <row r="74" s="69" customFormat="1" x14ac:dyDescent="0.25"/>
    <row r="75" s="69" customFormat="1" x14ac:dyDescent="0.25"/>
    <row r="76" s="69" customFormat="1" x14ac:dyDescent="0.25"/>
    <row r="77" s="69" customFormat="1" x14ac:dyDescent="0.25"/>
  </sheetData>
  <mergeCells count="12">
    <mergeCell ref="A1:O1"/>
    <mergeCell ref="A2:O2"/>
    <mergeCell ref="E3:F3"/>
    <mergeCell ref="A4:A5"/>
    <mergeCell ref="B4:B5"/>
    <mergeCell ref="C4:D4"/>
    <mergeCell ref="E4:F4"/>
    <mergeCell ref="G4:H4"/>
    <mergeCell ref="I4:J4"/>
    <mergeCell ref="M4:N4"/>
    <mergeCell ref="K4:L4"/>
    <mergeCell ref="J3:R3"/>
  </mergeCells>
  <pageMargins left="0.7" right="0.3" top="0.56999999999999995" bottom="0.55000000000000004" header="0.3" footer="0.3"/>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topLeftCell="A31" workbookViewId="0">
      <selection activeCell="D8" sqref="D8"/>
    </sheetView>
  </sheetViews>
  <sheetFormatPr defaultColWidth="9" defaultRowHeight="15" x14ac:dyDescent="0.25"/>
  <cols>
    <col min="1" max="1" width="6.125" style="1" customWidth="1"/>
    <col min="2" max="2" width="37.625" style="1" customWidth="1"/>
    <col min="3" max="3" width="12.5" style="1" customWidth="1"/>
    <col min="4" max="4" width="14.875" style="1" customWidth="1"/>
    <col min="5" max="5" width="12.125" style="1" customWidth="1"/>
    <col min="6" max="6" width="8.25" style="1" hidden="1" customWidth="1"/>
    <col min="7" max="7" width="29.125" style="1" hidden="1" customWidth="1"/>
    <col min="8" max="10" width="9" style="1" hidden="1" customWidth="1"/>
    <col min="11" max="16384" width="9" style="1"/>
  </cols>
  <sheetData>
    <row r="1" spans="1:10" ht="30" customHeight="1" x14ac:dyDescent="0.25">
      <c r="A1" s="270" t="s">
        <v>224</v>
      </c>
      <c r="B1" s="270"/>
      <c r="C1" s="270"/>
      <c r="D1" s="270"/>
      <c r="E1" s="270"/>
    </row>
    <row r="2" spans="1:10" ht="18" customHeight="1" x14ac:dyDescent="0.25">
      <c r="A2" s="271" t="s">
        <v>234</v>
      </c>
      <c r="B2" s="272"/>
      <c r="C2" s="272"/>
      <c r="D2" s="272"/>
      <c r="E2" s="272"/>
    </row>
    <row r="3" spans="1:10" ht="13.5" customHeight="1" x14ac:dyDescent="0.25">
      <c r="A3" s="2"/>
      <c r="D3" s="246" t="s">
        <v>238</v>
      </c>
      <c r="E3" s="246"/>
    </row>
    <row r="4" spans="1:10" ht="13.5" customHeight="1" x14ac:dyDescent="0.25">
      <c r="A4" s="243" t="s">
        <v>2</v>
      </c>
      <c r="B4" s="243" t="s">
        <v>3</v>
      </c>
      <c r="C4" s="243" t="s">
        <v>4</v>
      </c>
      <c r="D4" s="244" t="s">
        <v>203</v>
      </c>
      <c r="E4" s="244" t="s">
        <v>205</v>
      </c>
    </row>
    <row r="5" spans="1:10" ht="35.25" customHeight="1" x14ac:dyDescent="0.25">
      <c r="A5" s="243"/>
      <c r="B5" s="243"/>
      <c r="C5" s="243"/>
      <c r="D5" s="245"/>
      <c r="E5" s="245"/>
    </row>
    <row r="6" spans="1:10" ht="18" customHeight="1" x14ac:dyDescent="0.25">
      <c r="A6" s="70" t="s">
        <v>5</v>
      </c>
      <c r="B6" s="70" t="s">
        <v>6</v>
      </c>
      <c r="C6" s="70">
        <v>1</v>
      </c>
      <c r="D6" s="70">
        <v>2</v>
      </c>
      <c r="E6" s="70" t="s">
        <v>216</v>
      </c>
    </row>
    <row r="7" spans="1:10" ht="18" customHeight="1" x14ac:dyDescent="0.25">
      <c r="A7" s="103" t="s">
        <v>5</v>
      </c>
      <c r="B7" s="71" t="s">
        <v>126</v>
      </c>
      <c r="C7" s="72"/>
      <c r="D7" s="72"/>
      <c r="E7" s="72"/>
    </row>
    <row r="8" spans="1:10" ht="18" customHeight="1" x14ac:dyDescent="0.25">
      <c r="A8" s="3" t="s">
        <v>8</v>
      </c>
      <c r="B8" s="73" t="s">
        <v>127</v>
      </c>
      <c r="C8" s="74">
        <f>C9+C10+C16</f>
        <v>7162793</v>
      </c>
      <c r="D8" s="74">
        <f t="shared" ref="D8:E8" si="0">D9+D10+D16</f>
        <v>4300</v>
      </c>
      <c r="E8" s="74">
        <f t="shared" si="0"/>
        <v>7167093</v>
      </c>
      <c r="F8" s="8">
        <f>C8-C17</f>
        <v>-10800.070954600349</v>
      </c>
      <c r="H8" s="8"/>
    </row>
    <row r="9" spans="1:10" ht="18" customHeight="1" x14ac:dyDescent="0.25">
      <c r="A9" s="10">
        <v>1</v>
      </c>
      <c r="B9" s="14" t="s">
        <v>128</v>
      </c>
      <c r="C9" s="12">
        <v>411630</v>
      </c>
      <c r="D9" s="12">
        <v>41550</v>
      </c>
      <c r="E9" s="12">
        <f>C9+D9</f>
        <v>453180</v>
      </c>
      <c r="G9" s="8"/>
      <c r="H9" s="8">
        <f>C9+C11</f>
        <v>4392071</v>
      </c>
      <c r="I9" s="1">
        <v>41550</v>
      </c>
      <c r="J9" s="8">
        <f>C9-I9</f>
        <v>370080</v>
      </c>
    </row>
    <row r="10" spans="1:10" ht="18" customHeight="1" x14ac:dyDescent="0.25">
      <c r="A10" s="10">
        <v>2</v>
      </c>
      <c r="B10" s="14" t="s">
        <v>129</v>
      </c>
      <c r="C10" s="12">
        <v>6668663</v>
      </c>
      <c r="D10" s="12"/>
      <c r="E10" s="12">
        <v>6668663</v>
      </c>
      <c r="H10" s="8">
        <f>H9*4%</f>
        <v>175682.84</v>
      </c>
    </row>
    <row r="11" spans="1:10" ht="18" customHeight="1" x14ac:dyDescent="0.25">
      <c r="A11" s="75" t="s">
        <v>10</v>
      </c>
      <c r="B11" s="76" t="s">
        <v>15</v>
      </c>
      <c r="C11" s="77">
        <v>3980441</v>
      </c>
      <c r="D11" s="77"/>
      <c r="E11" s="77">
        <v>3980441</v>
      </c>
    </row>
    <row r="12" spans="1:10" ht="18" customHeight="1" x14ac:dyDescent="0.25">
      <c r="A12" s="75" t="s">
        <v>10</v>
      </c>
      <c r="B12" s="76" t="s">
        <v>16</v>
      </c>
      <c r="C12" s="77">
        <v>0</v>
      </c>
      <c r="D12" s="77"/>
      <c r="E12" s="77">
        <v>0</v>
      </c>
    </row>
    <row r="13" spans="1:10" ht="18" customHeight="1" x14ac:dyDescent="0.25">
      <c r="A13" s="75" t="s">
        <v>10</v>
      </c>
      <c r="B13" s="76" t="s">
        <v>17</v>
      </c>
      <c r="C13" s="77">
        <v>2688222</v>
      </c>
      <c r="D13" s="77"/>
      <c r="E13" s="77">
        <v>2688222</v>
      </c>
    </row>
    <row r="14" spans="1:10" ht="18" customHeight="1" x14ac:dyDescent="0.25">
      <c r="A14" s="10">
        <v>3</v>
      </c>
      <c r="B14" s="14" t="s">
        <v>130</v>
      </c>
      <c r="C14" s="12"/>
      <c r="D14" s="12"/>
      <c r="E14" s="12"/>
    </row>
    <row r="15" spans="1:10" ht="18" customHeight="1" x14ac:dyDescent="0.25">
      <c r="A15" s="10">
        <v>4</v>
      </c>
      <c r="B15" s="14" t="s">
        <v>21</v>
      </c>
      <c r="C15" s="12"/>
      <c r="D15" s="12"/>
      <c r="E15" s="12"/>
    </row>
    <row r="16" spans="1:10" ht="18" customHeight="1" x14ac:dyDescent="0.25">
      <c r="A16" s="10">
        <v>5</v>
      </c>
      <c r="B16" s="14" t="s">
        <v>23</v>
      </c>
      <c r="C16" s="12">
        <f>'Bieu 15'!C18</f>
        <v>82500</v>
      </c>
      <c r="D16" s="12">
        <v>-37250</v>
      </c>
      <c r="E16" s="12">
        <f>C16+D16</f>
        <v>45250</v>
      </c>
      <c r="I16" s="1">
        <v>37250</v>
      </c>
      <c r="J16" s="8">
        <f>C16+I16</f>
        <v>119750</v>
      </c>
    </row>
    <row r="17" spans="1:8" ht="18" customHeight="1" x14ac:dyDescent="0.25">
      <c r="A17" s="4" t="s">
        <v>13</v>
      </c>
      <c r="B17" s="17" t="s">
        <v>131</v>
      </c>
      <c r="C17" s="6">
        <f>C18+C19+C23</f>
        <v>7173593.0709546003</v>
      </c>
      <c r="D17" s="6">
        <f t="shared" ref="D17:E17" si="1">D18+D19+D23</f>
        <v>4300</v>
      </c>
      <c r="E17" s="6">
        <f t="shared" si="1"/>
        <v>7177893.0709546003</v>
      </c>
      <c r="F17" s="8"/>
      <c r="G17" s="8"/>
    </row>
    <row r="18" spans="1:8" ht="18" customHeight="1" x14ac:dyDescent="0.25">
      <c r="A18" s="10">
        <v>1</v>
      </c>
      <c r="B18" s="14" t="s">
        <v>132</v>
      </c>
      <c r="C18" s="12">
        <f>3960084.0389546</f>
        <v>3960084.0389546002</v>
      </c>
      <c r="D18" s="12">
        <v>4300</v>
      </c>
      <c r="E18" s="12">
        <f>C18+D18</f>
        <v>3964384.0389546002</v>
      </c>
      <c r="F18" s="8"/>
      <c r="G18" s="8"/>
    </row>
    <row r="19" spans="1:8" ht="18" customHeight="1" x14ac:dyDescent="0.25">
      <c r="A19" s="10">
        <v>2</v>
      </c>
      <c r="B19" s="14" t="s">
        <v>133</v>
      </c>
      <c r="C19" s="12">
        <v>3213509.0320000001</v>
      </c>
      <c r="D19" s="12"/>
      <c r="E19" s="12">
        <v>3213509.0320000001</v>
      </c>
    </row>
    <row r="20" spans="1:8" ht="18" customHeight="1" x14ac:dyDescent="0.25">
      <c r="A20" s="75" t="s">
        <v>10</v>
      </c>
      <c r="B20" s="76" t="s">
        <v>134</v>
      </c>
      <c r="C20" s="77">
        <v>2380429.0320000001</v>
      </c>
      <c r="D20" s="77"/>
      <c r="E20" s="77">
        <v>2380429.0320000001</v>
      </c>
      <c r="F20" s="8"/>
    </row>
    <row r="21" spans="1:8" ht="18" customHeight="1" x14ac:dyDescent="0.25">
      <c r="A21" s="75" t="s">
        <v>10</v>
      </c>
      <c r="B21" s="76" t="s">
        <v>135</v>
      </c>
      <c r="C21" s="77"/>
      <c r="D21" s="77"/>
      <c r="E21" s="77"/>
    </row>
    <row r="22" spans="1:8" ht="18" customHeight="1" x14ac:dyDescent="0.25">
      <c r="A22" s="75" t="s">
        <v>10</v>
      </c>
      <c r="B22" s="76" t="s">
        <v>136</v>
      </c>
      <c r="C22" s="77">
        <v>833080</v>
      </c>
      <c r="D22" s="77"/>
      <c r="E22" s="77">
        <v>833080</v>
      </c>
    </row>
    <row r="23" spans="1:8" ht="18" customHeight="1" x14ac:dyDescent="0.25">
      <c r="A23" s="10">
        <v>3</v>
      </c>
      <c r="B23" s="14" t="s">
        <v>37</v>
      </c>
      <c r="C23" s="12"/>
      <c r="D23" s="12"/>
      <c r="E23" s="12"/>
    </row>
    <row r="24" spans="1:8" ht="18" customHeight="1" x14ac:dyDescent="0.25">
      <c r="A24" s="78" t="s">
        <v>18</v>
      </c>
      <c r="B24" s="79" t="s">
        <v>137</v>
      </c>
      <c r="C24" s="80">
        <v>10800.070954600349</v>
      </c>
      <c r="D24" s="80"/>
      <c r="E24" s="80">
        <v>10800.070954600349</v>
      </c>
      <c r="G24" s="81">
        <f>10800-C24</f>
        <v>-7.0954600349068642E-2</v>
      </c>
    </row>
    <row r="25" spans="1:8" ht="18" customHeight="1" x14ac:dyDescent="0.25">
      <c r="A25" s="103" t="s">
        <v>6</v>
      </c>
      <c r="B25" s="71" t="s">
        <v>138</v>
      </c>
      <c r="C25" s="72"/>
      <c r="D25" s="72"/>
      <c r="E25" s="72"/>
    </row>
    <row r="26" spans="1:8" ht="19.5" customHeight="1" x14ac:dyDescent="0.25">
      <c r="A26" s="3" t="s">
        <v>8</v>
      </c>
      <c r="B26" s="73" t="s">
        <v>127</v>
      </c>
      <c r="C26" s="74">
        <f>C27+C28</f>
        <v>3654979.0320000001</v>
      </c>
      <c r="D26" s="74"/>
      <c r="E26" s="74">
        <f>E27+E28</f>
        <v>3654979.0320000001</v>
      </c>
      <c r="H26" s="8"/>
    </row>
    <row r="27" spans="1:8" ht="19.5" customHeight="1" x14ac:dyDescent="0.25">
      <c r="A27" s="10">
        <v>1</v>
      </c>
      <c r="B27" s="14" t="s">
        <v>128</v>
      </c>
      <c r="C27" s="12">
        <v>441470</v>
      </c>
      <c r="D27" s="12"/>
      <c r="E27" s="12">
        <v>441470</v>
      </c>
      <c r="G27" s="8"/>
    </row>
    <row r="28" spans="1:8" ht="19.5" customHeight="1" x14ac:dyDescent="0.25">
      <c r="A28" s="10">
        <v>2</v>
      </c>
      <c r="B28" s="14" t="s">
        <v>129</v>
      </c>
      <c r="C28" s="12">
        <v>3213509.0320000001</v>
      </c>
      <c r="D28" s="12"/>
      <c r="E28" s="12">
        <v>3213509.0320000001</v>
      </c>
    </row>
    <row r="29" spans="1:8" ht="19.5" customHeight="1" x14ac:dyDescent="0.25">
      <c r="A29" s="75" t="s">
        <v>10</v>
      </c>
      <c r="B29" s="76" t="s">
        <v>15</v>
      </c>
      <c r="C29" s="77">
        <v>2380429.0320000001</v>
      </c>
      <c r="D29" s="77"/>
      <c r="E29" s="77">
        <v>2380429.0320000001</v>
      </c>
    </row>
    <row r="30" spans="1:8" ht="19.5" customHeight="1" x14ac:dyDescent="0.25">
      <c r="A30" s="75"/>
      <c r="B30" s="76" t="s">
        <v>16</v>
      </c>
      <c r="C30" s="77">
        <v>0</v>
      </c>
      <c r="D30" s="77"/>
      <c r="E30" s="77">
        <v>0</v>
      </c>
    </row>
    <row r="31" spans="1:8" ht="19.5" customHeight="1" x14ac:dyDescent="0.25">
      <c r="A31" s="75" t="s">
        <v>10</v>
      </c>
      <c r="B31" s="76" t="s">
        <v>17</v>
      </c>
      <c r="C31" s="77">
        <v>833080</v>
      </c>
      <c r="D31" s="77"/>
      <c r="E31" s="77">
        <v>833080</v>
      </c>
    </row>
    <row r="32" spans="1:8" ht="19.5" customHeight="1" x14ac:dyDescent="0.25">
      <c r="A32" s="10">
        <v>3</v>
      </c>
      <c r="B32" s="14" t="s">
        <v>21</v>
      </c>
      <c r="C32" s="12"/>
      <c r="D32" s="12"/>
      <c r="E32" s="12"/>
    </row>
    <row r="33" spans="1:6" ht="19.5" customHeight="1" x14ac:dyDescent="0.25">
      <c r="A33" s="10">
        <v>4</v>
      </c>
      <c r="B33" s="14" t="s">
        <v>23</v>
      </c>
      <c r="C33" s="12"/>
      <c r="D33" s="12"/>
      <c r="E33" s="12"/>
    </row>
    <row r="34" spans="1:6" s="83" customFormat="1" ht="18.75" customHeight="1" x14ac:dyDescent="0.2">
      <c r="A34" s="4" t="s">
        <v>13</v>
      </c>
      <c r="B34" s="17" t="s">
        <v>139</v>
      </c>
      <c r="C34" s="6">
        <v>3654979.0320000001</v>
      </c>
      <c r="D34" s="6"/>
      <c r="E34" s="6">
        <v>3654979.0320000001</v>
      </c>
      <c r="F34" s="82"/>
    </row>
    <row r="35" spans="1:6" ht="18.75" customHeight="1" x14ac:dyDescent="0.25">
      <c r="A35" s="10">
        <v>1</v>
      </c>
      <c r="B35" s="14" t="s">
        <v>140</v>
      </c>
      <c r="C35" s="12"/>
      <c r="D35" s="12"/>
      <c r="E35" s="12"/>
      <c r="F35" s="8" t="e">
        <f>#REF!-F34</f>
        <v>#REF!</v>
      </c>
    </row>
    <row r="36" spans="1:6" x14ac:dyDescent="0.25">
      <c r="A36" s="10">
        <v>2</v>
      </c>
      <c r="B36" s="14" t="s">
        <v>141</v>
      </c>
      <c r="C36" s="12"/>
      <c r="D36" s="12"/>
      <c r="E36" s="12"/>
    </row>
    <row r="37" spans="1:6" x14ac:dyDescent="0.25">
      <c r="A37" s="10" t="s">
        <v>10</v>
      </c>
      <c r="B37" s="14" t="s">
        <v>134</v>
      </c>
      <c r="C37" s="12"/>
      <c r="D37" s="12"/>
      <c r="E37" s="12"/>
    </row>
    <row r="38" spans="1:6" x14ac:dyDescent="0.25">
      <c r="A38" s="10" t="s">
        <v>10</v>
      </c>
      <c r="B38" s="14" t="s">
        <v>136</v>
      </c>
      <c r="C38" s="12"/>
      <c r="D38" s="12"/>
      <c r="E38" s="12"/>
    </row>
    <row r="39" spans="1:6" x14ac:dyDescent="0.25">
      <c r="A39" s="21">
        <v>3</v>
      </c>
      <c r="B39" s="22" t="s">
        <v>37</v>
      </c>
      <c r="C39" s="84"/>
      <c r="D39" s="84"/>
      <c r="E39" s="84"/>
    </row>
    <row r="40" spans="1:6" x14ac:dyDescent="0.25">
      <c r="A40" s="269"/>
      <c r="B40" s="269"/>
      <c r="C40" s="269"/>
      <c r="D40" s="269"/>
      <c r="E40" s="269"/>
    </row>
    <row r="41" spans="1:6" x14ac:dyDescent="0.25">
      <c r="A41" s="239"/>
      <c r="B41" s="239"/>
      <c r="C41" s="239"/>
      <c r="D41" s="239"/>
      <c r="E41" s="239"/>
    </row>
  </sheetData>
  <mergeCells count="10">
    <mergeCell ref="A40:E40"/>
    <mergeCell ref="A41:E41"/>
    <mergeCell ref="A1:E1"/>
    <mergeCell ref="A2:E2"/>
    <mergeCell ref="A4:A5"/>
    <mergeCell ref="B4:B5"/>
    <mergeCell ref="D4:D5"/>
    <mergeCell ref="C4:C5"/>
    <mergeCell ref="E4:E5"/>
    <mergeCell ref="D3:E3"/>
  </mergeCell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workbookViewId="0">
      <selection activeCell="H40" sqref="H40"/>
    </sheetView>
  </sheetViews>
  <sheetFormatPr defaultColWidth="9" defaultRowHeight="12.75" x14ac:dyDescent="0.25"/>
  <cols>
    <col min="1" max="1" width="4.5" style="69" customWidth="1"/>
    <col min="2" max="2" width="15.375" style="69" customWidth="1"/>
    <col min="3" max="5" width="6.625" style="69" customWidth="1"/>
    <col min="6" max="8" width="7.5" style="69" customWidth="1"/>
    <col min="9" max="9" width="7.25" style="69" customWidth="1"/>
    <col min="10" max="10" width="7.25" style="69" hidden="1" customWidth="1"/>
    <col min="11" max="11" width="7.125" style="69" customWidth="1"/>
    <col min="12" max="12" width="8" style="69" customWidth="1"/>
    <col min="13" max="13" width="6.125" style="69" customWidth="1"/>
    <col min="14" max="14" width="6.5" style="69" customWidth="1"/>
    <col min="15" max="15" width="7.125" style="69" hidden="1" customWidth="1"/>
    <col min="16" max="16" width="6.75" style="69" customWidth="1"/>
    <col min="17" max="18" width="5.875" style="69" customWidth="1"/>
    <col min="19" max="19" width="4.75" style="69" customWidth="1"/>
    <col min="20" max="16384" width="9" style="69"/>
  </cols>
  <sheetData>
    <row r="1" spans="1:20" ht="15.75" x14ac:dyDescent="0.25">
      <c r="A1" s="270" t="s">
        <v>223</v>
      </c>
      <c r="B1" s="270"/>
      <c r="C1" s="270"/>
      <c r="D1" s="270"/>
      <c r="E1" s="270"/>
      <c r="F1" s="270"/>
      <c r="G1" s="270"/>
      <c r="H1" s="270"/>
      <c r="I1" s="270"/>
      <c r="J1" s="270"/>
      <c r="K1" s="270"/>
      <c r="L1" s="270"/>
      <c r="M1" s="270"/>
      <c r="N1" s="270"/>
      <c r="O1" s="270"/>
      <c r="P1" s="270"/>
      <c r="Q1" s="270"/>
      <c r="R1" s="270"/>
      <c r="S1" s="270"/>
    </row>
    <row r="2" spans="1:20" ht="15.75" x14ac:dyDescent="0.25">
      <c r="A2" s="273" t="s">
        <v>234</v>
      </c>
      <c r="B2" s="274"/>
      <c r="C2" s="274"/>
      <c r="D2" s="274"/>
      <c r="E2" s="274"/>
      <c r="F2" s="274"/>
      <c r="G2" s="274"/>
      <c r="H2" s="274"/>
      <c r="I2" s="274"/>
      <c r="J2" s="274"/>
      <c r="K2" s="274"/>
      <c r="L2" s="274"/>
      <c r="M2" s="274"/>
      <c r="N2" s="274"/>
      <c r="O2" s="274"/>
      <c r="P2" s="274"/>
      <c r="Q2" s="274"/>
      <c r="R2" s="274"/>
      <c r="S2" s="274"/>
    </row>
    <row r="3" spans="1:20" ht="12.75" customHeight="1" x14ac:dyDescent="0.25">
      <c r="Q3" s="275" t="str">
        <f>'[2]Biểu 31(T)'!N3</f>
        <v>Đơn vị: Triệu đồng</v>
      </c>
      <c r="R3" s="275"/>
      <c r="S3" s="275"/>
    </row>
    <row r="4" spans="1:20" ht="17.25" customHeight="1" x14ac:dyDescent="0.25">
      <c r="A4" s="253" t="s">
        <v>2</v>
      </c>
      <c r="B4" s="253" t="s">
        <v>142</v>
      </c>
      <c r="C4" s="253" t="s">
        <v>143</v>
      </c>
      <c r="D4" s="253" t="s">
        <v>203</v>
      </c>
      <c r="E4" s="253" t="s">
        <v>208</v>
      </c>
      <c r="F4" s="253" t="s">
        <v>144</v>
      </c>
      <c r="G4" s="276" t="s">
        <v>203</v>
      </c>
      <c r="H4" s="253" t="s">
        <v>209</v>
      </c>
      <c r="I4" s="253" t="s">
        <v>145</v>
      </c>
      <c r="J4" s="253"/>
      <c r="K4" s="253"/>
      <c r="L4" s="253"/>
      <c r="M4" s="253"/>
      <c r="N4" s="253"/>
      <c r="O4" s="253"/>
      <c r="P4" s="253"/>
      <c r="Q4" s="253" t="s">
        <v>146</v>
      </c>
      <c r="R4" s="253" t="s">
        <v>145</v>
      </c>
      <c r="S4" s="253"/>
    </row>
    <row r="5" spans="1:20" ht="127.5" x14ac:dyDescent="0.25">
      <c r="A5" s="253"/>
      <c r="B5" s="253"/>
      <c r="C5" s="253"/>
      <c r="D5" s="253"/>
      <c r="E5" s="253"/>
      <c r="F5" s="253"/>
      <c r="G5" s="277"/>
      <c r="H5" s="253"/>
      <c r="I5" s="107" t="s">
        <v>147</v>
      </c>
      <c r="J5" s="107" t="s">
        <v>206</v>
      </c>
      <c r="K5" s="107" t="s">
        <v>148</v>
      </c>
      <c r="L5" s="26" t="s">
        <v>149</v>
      </c>
      <c r="M5" s="107" t="s">
        <v>150</v>
      </c>
      <c r="N5" s="107" t="s">
        <v>151</v>
      </c>
      <c r="O5" s="107" t="s">
        <v>207</v>
      </c>
      <c r="P5" s="107" t="s">
        <v>92</v>
      </c>
      <c r="Q5" s="253">
        <v>-3</v>
      </c>
      <c r="R5" s="107" t="s">
        <v>152</v>
      </c>
      <c r="S5" s="107" t="s">
        <v>153</v>
      </c>
    </row>
    <row r="6" spans="1:20" x14ac:dyDescent="0.25">
      <c r="A6" s="107" t="s">
        <v>5</v>
      </c>
      <c r="B6" s="107" t="s">
        <v>6</v>
      </c>
      <c r="C6" s="107">
        <v>1</v>
      </c>
      <c r="D6" s="107">
        <v>2</v>
      </c>
      <c r="E6" s="107" t="s">
        <v>212</v>
      </c>
      <c r="F6" s="107">
        <v>4</v>
      </c>
      <c r="G6" s="107">
        <v>5</v>
      </c>
      <c r="H6" s="107" t="s">
        <v>213</v>
      </c>
      <c r="I6" s="107">
        <v>7</v>
      </c>
      <c r="J6" s="107" t="s">
        <v>206</v>
      </c>
      <c r="K6" s="107">
        <v>14</v>
      </c>
      <c r="L6" s="107">
        <v>15</v>
      </c>
      <c r="M6" s="107">
        <v>16</v>
      </c>
      <c r="N6" s="107">
        <v>17</v>
      </c>
      <c r="O6" s="107">
        <v>18</v>
      </c>
      <c r="P6" s="107">
        <v>23</v>
      </c>
      <c r="Q6" s="107">
        <v>24</v>
      </c>
      <c r="R6" s="107">
        <v>25</v>
      </c>
      <c r="S6" s="107">
        <v>26</v>
      </c>
    </row>
    <row r="7" spans="1:20" s="134" customFormat="1" ht="16.5" customHeight="1" x14ac:dyDescent="0.25">
      <c r="A7" s="131"/>
      <c r="B7" s="131" t="s">
        <v>154</v>
      </c>
      <c r="C7" s="132">
        <f>SUM(C8:C17)</f>
        <v>955000</v>
      </c>
      <c r="D7" s="132">
        <f t="shared" ref="D7:E7" si="0">SUM(D8:D17)</f>
        <v>41550</v>
      </c>
      <c r="E7" s="132">
        <f t="shared" si="0"/>
        <v>996550</v>
      </c>
      <c r="F7" s="132">
        <f>SUM(F8:F17)</f>
        <v>930000</v>
      </c>
      <c r="G7" s="132">
        <f t="shared" ref="G7:H7" si="1">SUM(G8:G17)</f>
        <v>41550</v>
      </c>
      <c r="H7" s="132">
        <f t="shared" si="1"/>
        <v>971550</v>
      </c>
      <c r="I7" s="132">
        <v>112000</v>
      </c>
      <c r="J7" s="132"/>
      <c r="K7" s="132">
        <f>SUM(K8:K16)</f>
        <v>210329</v>
      </c>
      <c r="L7" s="132">
        <f t="shared" ref="L7:N7" si="2">SUM(L8:L16)</f>
        <v>35325</v>
      </c>
      <c r="M7" s="132">
        <f t="shared" si="2"/>
        <v>25000</v>
      </c>
      <c r="N7" s="132">
        <f t="shared" si="2"/>
        <v>45396</v>
      </c>
      <c r="O7" s="132"/>
      <c r="P7" s="132">
        <v>300</v>
      </c>
      <c r="Q7" s="132">
        <v>25000</v>
      </c>
      <c r="R7" s="132">
        <v>16400</v>
      </c>
      <c r="S7" s="132">
        <v>8600</v>
      </c>
      <c r="T7" s="133"/>
    </row>
    <row r="8" spans="1:20" x14ac:dyDescent="0.25">
      <c r="A8" s="85">
        <v>1</v>
      </c>
      <c r="B8" s="86" t="s">
        <v>47</v>
      </c>
      <c r="C8" s="87">
        <v>220000</v>
      </c>
      <c r="D8" s="87"/>
      <c r="E8" s="87">
        <v>220000</v>
      </c>
      <c r="F8" s="87">
        <v>220000</v>
      </c>
      <c r="G8" s="87"/>
      <c r="H8" s="87">
        <v>220000</v>
      </c>
      <c r="I8" s="87">
        <v>100</v>
      </c>
      <c r="J8" s="87"/>
      <c r="K8" s="87">
        <v>135000</v>
      </c>
      <c r="L8" s="87"/>
      <c r="M8" s="87"/>
      <c r="N8" s="87"/>
      <c r="O8" s="87"/>
      <c r="P8" s="87"/>
      <c r="Q8" s="87"/>
      <c r="R8" s="87"/>
      <c r="S8" s="87"/>
    </row>
    <row r="9" spans="1:20" x14ac:dyDescent="0.25">
      <c r="A9" s="85">
        <v>2</v>
      </c>
      <c r="B9" s="86" t="s">
        <v>48</v>
      </c>
      <c r="C9" s="87">
        <v>17000</v>
      </c>
      <c r="D9" s="87"/>
      <c r="E9" s="87">
        <v>17000</v>
      </c>
      <c r="F9" s="87">
        <v>17000</v>
      </c>
      <c r="G9" s="87"/>
      <c r="H9" s="87">
        <v>17000</v>
      </c>
      <c r="I9" s="87">
        <v>160</v>
      </c>
      <c r="J9" s="87"/>
      <c r="K9" s="87">
        <v>2600</v>
      </c>
      <c r="L9" s="87"/>
      <c r="M9" s="87"/>
      <c r="N9" s="87"/>
      <c r="O9" s="87"/>
      <c r="P9" s="87"/>
      <c r="Q9" s="87"/>
      <c r="R9" s="87"/>
      <c r="S9" s="87"/>
    </row>
    <row r="10" spans="1:20" x14ac:dyDescent="0.25">
      <c r="A10" s="85">
        <v>3</v>
      </c>
      <c r="B10" s="86" t="s">
        <v>49</v>
      </c>
      <c r="C10" s="87">
        <v>19000</v>
      </c>
      <c r="D10" s="87"/>
      <c r="E10" s="87">
        <v>19000</v>
      </c>
      <c r="F10" s="87">
        <v>19000</v>
      </c>
      <c r="G10" s="87"/>
      <c r="H10" s="87">
        <v>19000</v>
      </c>
      <c r="I10" s="87">
        <v>190</v>
      </c>
      <c r="J10" s="87"/>
      <c r="K10" s="87">
        <v>3000</v>
      </c>
      <c r="L10" s="87"/>
      <c r="M10" s="87"/>
      <c r="N10" s="87"/>
      <c r="O10" s="87"/>
      <c r="P10" s="87"/>
      <c r="Q10" s="87"/>
      <c r="R10" s="87"/>
      <c r="S10" s="87"/>
    </row>
    <row r="11" spans="1:20" x14ac:dyDescent="0.25">
      <c r="A11" s="85">
        <v>4</v>
      </c>
      <c r="B11" s="86" t="s">
        <v>50</v>
      </c>
      <c r="C11" s="87">
        <v>136000</v>
      </c>
      <c r="D11" s="87"/>
      <c r="E11" s="87">
        <v>136000</v>
      </c>
      <c r="F11" s="87">
        <v>136000</v>
      </c>
      <c r="G11" s="87"/>
      <c r="H11" s="87">
        <v>136000</v>
      </c>
      <c r="I11" s="87">
        <v>29720</v>
      </c>
      <c r="J11" s="87"/>
      <c r="K11" s="87">
        <v>25000</v>
      </c>
      <c r="L11" s="87"/>
      <c r="M11" s="87"/>
      <c r="N11" s="87"/>
      <c r="O11" s="87"/>
      <c r="P11" s="87"/>
      <c r="Q11" s="87"/>
      <c r="R11" s="87"/>
      <c r="S11" s="87"/>
    </row>
    <row r="12" spans="1:20" x14ac:dyDescent="0.25">
      <c r="A12" s="85">
        <v>5</v>
      </c>
      <c r="B12" s="86" t="s">
        <v>51</v>
      </c>
      <c r="C12" s="87">
        <v>23000</v>
      </c>
      <c r="D12" s="87"/>
      <c r="E12" s="87">
        <v>23000</v>
      </c>
      <c r="F12" s="87">
        <v>23000</v>
      </c>
      <c r="G12" s="87"/>
      <c r="H12" s="87">
        <v>23000</v>
      </c>
      <c r="I12" s="87">
        <v>320</v>
      </c>
      <c r="J12" s="87"/>
      <c r="K12" s="87">
        <v>4000</v>
      </c>
      <c r="L12" s="87"/>
      <c r="M12" s="87"/>
      <c r="N12" s="87"/>
      <c r="O12" s="87"/>
      <c r="P12" s="87">
        <v>0</v>
      </c>
      <c r="Q12" s="87"/>
      <c r="R12" s="87"/>
      <c r="S12" s="87"/>
    </row>
    <row r="13" spans="1:20" x14ac:dyDescent="0.25">
      <c r="A13" s="85">
        <v>6</v>
      </c>
      <c r="B13" s="86" t="s">
        <v>52</v>
      </c>
      <c r="C13" s="87">
        <v>28000</v>
      </c>
      <c r="D13" s="87"/>
      <c r="E13" s="87">
        <v>28000</v>
      </c>
      <c r="F13" s="87">
        <v>28000</v>
      </c>
      <c r="G13" s="87"/>
      <c r="H13" s="87">
        <v>28000</v>
      </c>
      <c r="I13" s="87">
        <v>300</v>
      </c>
      <c r="J13" s="87"/>
      <c r="K13" s="87">
        <v>400</v>
      </c>
      <c r="L13" s="87"/>
      <c r="M13" s="87"/>
      <c r="N13" s="87"/>
      <c r="O13" s="87"/>
      <c r="P13" s="87">
        <v>0</v>
      </c>
      <c r="Q13" s="87"/>
      <c r="R13" s="87"/>
      <c r="S13" s="87"/>
    </row>
    <row r="14" spans="1:20" x14ac:dyDescent="0.25">
      <c r="A14" s="85">
        <v>7</v>
      </c>
      <c r="B14" s="86" t="s">
        <v>53</v>
      </c>
      <c r="C14" s="87">
        <v>56000</v>
      </c>
      <c r="D14" s="87"/>
      <c r="E14" s="87">
        <v>56000</v>
      </c>
      <c r="F14" s="87">
        <v>56000</v>
      </c>
      <c r="G14" s="87"/>
      <c r="H14" s="87">
        <v>56000</v>
      </c>
      <c r="I14" s="87">
        <v>1780</v>
      </c>
      <c r="J14" s="87"/>
      <c r="K14" s="87">
        <v>33000</v>
      </c>
      <c r="L14" s="87"/>
      <c r="M14" s="87"/>
      <c r="N14" s="87"/>
      <c r="O14" s="87"/>
      <c r="P14" s="87"/>
      <c r="Q14" s="87"/>
      <c r="R14" s="87"/>
      <c r="S14" s="87"/>
    </row>
    <row r="15" spans="1:20" x14ac:dyDescent="0.25">
      <c r="A15" s="85">
        <v>8</v>
      </c>
      <c r="B15" s="86" t="s">
        <v>54</v>
      </c>
      <c r="C15" s="87">
        <v>11000</v>
      </c>
      <c r="D15" s="87"/>
      <c r="E15" s="87">
        <v>11000</v>
      </c>
      <c r="F15" s="87">
        <v>11000</v>
      </c>
      <c r="G15" s="87"/>
      <c r="H15" s="87">
        <v>11000</v>
      </c>
      <c r="I15" s="87">
        <v>210</v>
      </c>
      <c r="J15" s="87"/>
      <c r="K15" s="87">
        <v>3000</v>
      </c>
      <c r="L15" s="87"/>
      <c r="M15" s="87"/>
      <c r="N15" s="87"/>
      <c r="O15" s="87"/>
      <c r="P15" s="87"/>
      <c r="Q15" s="87"/>
      <c r="R15" s="87"/>
      <c r="S15" s="87"/>
    </row>
    <row r="16" spans="1:20" x14ac:dyDescent="0.25">
      <c r="A16" s="85">
        <v>9</v>
      </c>
      <c r="B16" s="86" t="s">
        <v>155</v>
      </c>
      <c r="C16" s="87">
        <v>420000</v>
      </c>
      <c r="D16" s="87">
        <v>41550</v>
      </c>
      <c r="E16" s="87">
        <f>C16+D16</f>
        <v>461550</v>
      </c>
      <c r="F16" s="87">
        <v>420000</v>
      </c>
      <c r="G16" s="87">
        <v>41550</v>
      </c>
      <c r="H16" s="87">
        <f>F16+G16</f>
        <v>461550</v>
      </c>
      <c r="I16" s="87">
        <v>79220</v>
      </c>
      <c r="J16" s="87"/>
      <c r="K16" s="87">
        <v>4329</v>
      </c>
      <c r="L16" s="135">
        <v>35325</v>
      </c>
      <c r="M16" s="87">
        <v>25000</v>
      </c>
      <c r="N16" s="87">
        <v>45396</v>
      </c>
      <c r="O16" s="87"/>
      <c r="P16" s="87">
        <v>300</v>
      </c>
      <c r="Q16" s="87"/>
      <c r="R16" s="87"/>
      <c r="S16" s="87"/>
    </row>
    <row r="17" spans="1:19" ht="14.25" customHeight="1" x14ac:dyDescent="0.25">
      <c r="A17" s="136">
        <v>10</v>
      </c>
      <c r="B17" s="137" t="s">
        <v>156</v>
      </c>
      <c r="C17" s="88">
        <v>25000</v>
      </c>
      <c r="D17" s="88"/>
      <c r="E17" s="88">
        <f>C17+D17</f>
        <v>25000</v>
      </c>
      <c r="F17" s="88"/>
      <c r="G17" s="88"/>
      <c r="H17" s="88"/>
      <c r="I17" s="88"/>
      <c r="J17" s="88"/>
      <c r="K17" s="88"/>
      <c r="L17" s="88"/>
      <c r="M17" s="88"/>
      <c r="N17" s="88"/>
      <c r="O17" s="88"/>
      <c r="P17" s="88"/>
      <c r="Q17" s="88">
        <v>25000</v>
      </c>
      <c r="R17" s="88">
        <v>16400</v>
      </c>
      <c r="S17" s="88">
        <v>8600</v>
      </c>
    </row>
    <row r="18" spans="1:19" ht="13.5" hidden="1" x14ac:dyDescent="0.25">
      <c r="A18" s="118" t="s">
        <v>157</v>
      </c>
    </row>
    <row r="19" spans="1:19" hidden="1" x14ac:dyDescent="0.25">
      <c r="A19" s="138" t="s">
        <v>158</v>
      </c>
    </row>
    <row r="20" spans="1:19" hidden="1" x14ac:dyDescent="0.25">
      <c r="A20" s="138" t="s">
        <v>159</v>
      </c>
    </row>
  </sheetData>
  <mergeCells count="14">
    <mergeCell ref="A1:S1"/>
    <mergeCell ref="A2:S2"/>
    <mergeCell ref="Q3:S3"/>
    <mergeCell ref="A4:A5"/>
    <mergeCell ref="B4:B5"/>
    <mergeCell ref="C4:C5"/>
    <mergeCell ref="F4:F5"/>
    <mergeCell ref="I4:P4"/>
    <mergeCell ref="Q4:Q5"/>
    <mergeCell ref="R4:S4"/>
    <mergeCell ref="D4:D5"/>
    <mergeCell ref="E4:E5"/>
    <mergeCell ref="G4:G5"/>
    <mergeCell ref="H4:H5"/>
  </mergeCells>
  <pageMargins left="0.7" right="0.7" top="0.75" bottom="0.75" header="0.3" footer="0.3"/>
  <pageSetup paperSize="9" scale="65" orientation="portrait"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0"/>
  <sheetViews>
    <sheetView topLeftCell="A10" workbookViewId="0">
      <selection activeCell="G20" sqref="G20"/>
    </sheetView>
  </sheetViews>
  <sheetFormatPr defaultRowHeight="15.75" x14ac:dyDescent="0.25"/>
  <cols>
    <col min="1" max="1" width="4.625" style="143" customWidth="1"/>
    <col min="2" max="2" width="39.875" style="143" customWidth="1"/>
    <col min="3" max="3" width="10.25" style="143" customWidth="1"/>
    <col min="4" max="4" width="9.875" style="143" customWidth="1"/>
    <col min="5" max="5" width="9.25" style="143" customWidth="1"/>
    <col min="6" max="6" width="11.5" style="143" hidden="1" customWidth="1"/>
    <col min="7" max="7" width="11" style="143" customWidth="1"/>
    <col min="8" max="8" width="10.875" style="143" customWidth="1"/>
    <col min="9" max="10" width="11.5" style="143" customWidth="1"/>
    <col min="11" max="11" width="3" style="143" customWidth="1"/>
    <col min="12" max="16384" width="9" style="143"/>
  </cols>
  <sheetData>
    <row r="1" spans="1:13" ht="40.5" customHeight="1" x14ac:dyDescent="0.25">
      <c r="A1" s="280" t="s">
        <v>222</v>
      </c>
      <c r="B1" s="280"/>
      <c r="C1" s="280"/>
      <c r="D1" s="280"/>
      <c r="E1" s="280"/>
      <c r="F1" s="280"/>
      <c r="G1" s="280"/>
      <c r="H1" s="280"/>
      <c r="I1" s="280"/>
      <c r="J1" s="280"/>
    </row>
    <row r="2" spans="1:13" ht="18.75" customHeight="1" x14ac:dyDescent="0.25">
      <c r="A2" s="271" t="s">
        <v>234</v>
      </c>
      <c r="B2" s="271"/>
      <c r="C2" s="271"/>
      <c r="D2" s="271"/>
      <c r="E2" s="271"/>
      <c r="F2" s="271"/>
      <c r="G2" s="271"/>
      <c r="H2" s="271"/>
      <c r="I2" s="271"/>
      <c r="J2" s="271"/>
    </row>
    <row r="3" spans="1:13" ht="18" customHeight="1" x14ac:dyDescent="0.25">
      <c r="A3" s="2"/>
      <c r="B3" s="1"/>
      <c r="I3" s="246" t="s">
        <v>1</v>
      </c>
      <c r="J3" s="246"/>
      <c r="K3" s="144"/>
    </row>
    <row r="4" spans="1:13" x14ac:dyDescent="0.25">
      <c r="A4" s="243" t="s">
        <v>2</v>
      </c>
      <c r="B4" s="243" t="s">
        <v>160</v>
      </c>
      <c r="C4" s="243" t="s">
        <v>161</v>
      </c>
      <c r="D4" s="243" t="s">
        <v>145</v>
      </c>
      <c r="E4" s="243"/>
      <c r="G4" s="278" t="s">
        <v>203</v>
      </c>
      <c r="H4" s="243" t="s">
        <v>210</v>
      </c>
      <c r="I4" s="243" t="s">
        <v>145</v>
      </c>
      <c r="J4" s="243"/>
    </row>
    <row r="5" spans="1:13" ht="45" customHeight="1" x14ac:dyDescent="0.25">
      <c r="A5" s="244"/>
      <c r="B5" s="244"/>
      <c r="C5" s="244"/>
      <c r="D5" s="104" t="s">
        <v>162</v>
      </c>
      <c r="E5" s="104" t="s">
        <v>163</v>
      </c>
      <c r="G5" s="279"/>
      <c r="H5" s="244"/>
      <c r="I5" s="104" t="s">
        <v>162</v>
      </c>
      <c r="J5" s="104" t="s">
        <v>163</v>
      </c>
    </row>
    <row r="6" spans="1:13" ht="19.5" customHeight="1" x14ac:dyDescent="0.25">
      <c r="A6" s="70" t="s">
        <v>5</v>
      </c>
      <c r="B6" s="70" t="s">
        <v>6</v>
      </c>
      <c r="C6" s="70" t="s">
        <v>164</v>
      </c>
      <c r="D6" s="70">
        <v>2</v>
      </c>
      <c r="E6" s="70">
        <v>3</v>
      </c>
      <c r="F6" s="145"/>
      <c r="G6" s="145">
        <v>4</v>
      </c>
      <c r="H6" s="146" t="s">
        <v>211</v>
      </c>
      <c r="I6" s="146">
        <v>6</v>
      </c>
      <c r="J6" s="146">
        <v>7</v>
      </c>
    </row>
    <row r="7" spans="1:13" ht="17.100000000000001" customHeight="1" x14ac:dyDescent="0.25">
      <c r="A7" s="3"/>
      <c r="B7" s="3" t="s">
        <v>24</v>
      </c>
      <c r="C7" s="74">
        <f>C8+C27</f>
        <v>7615063.0709545994</v>
      </c>
      <c r="D7" s="74">
        <f>D8+D27</f>
        <v>3960084.0389545998</v>
      </c>
      <c r="E7" s="74">
        <f>E8+E27</f>
        <v>3654979.0320000001</v>
      </c>
      <c r="F7" s="74">
        <f t="shared" ref="F7:G7" si="0">F8+F27</f>
        <v>0</v>
      </c>
      <c r="G7" s="74">
        <f t="shared" si="0"/>
        <v>4300</v>
      </c>
      <c r="H7" s="74">
        <f>H8+H27</f>
        <v>7619363.0709545994</v>
      </c>
      <c r="I7" s="74">
        <f>I8+I27</f>
        <v>3964384.0389545998</v>
      </c>
      <c r="J7" s="74">
        <f>J8+J27</f>
        <v>3654979.0320000001</v>
      </c>
      <c r="K7" s="147"/>
      <c r="L7" s="147"/>
      <c r="M7" s="147"/>
    </row>
    <row r="8" spans="1:13" ht="17.100000000000001" customHeight="1" x14ac:dyDescent="0.25">
      <c r="A8" s="4" t="s">
        <v>5</v>
      </c>
      <c r="B8" s="28" t="s">
        <v>165</v>
      </c>
      <c r="C8" s="6">
        <f>C9+C20+C24+C25+C26</f>
        <v>4926841.0709545994</v>
      </c>
      <c r="D8" s="6">
        <f>D9+D20+D24+D25+D26</f>
        <v>2052946.0389546</v>
      </c>
      <c r="E8" s="6">
        <f t="shared" ref="E8:G8" si="1">E9+E20+E24+E25+E26</f>
        <v>2873895.0320000001</v>
      </c>
      <c r="F8" s="6">
        <f t="shared" si="1"/>
        <v>0</v>
      </c>
      <c r="G8" s="6">
        <f t="shared" si="1"/>
        <v>4300</v>
      </c>
      <c r="H8" s="6">
        <f>H9+H20+H24+H25+H26</f>
        <v>4931141.0709545994</v>
      </c>
      <c r="I8" s="6">
        <f>I9+I20+I24+I25+I26</f>
        <v>2057246.0389546</v>
      </c>
      <c r="J8" s="6">
        <f>J9+J20+J24+J25+J26</f>
        <v>2873895.0320000001</v>
      </c>
    </row>
    <row r="9" spans="1:13" ht="17.100000000000001" customHeight="1" x14ac:dyDescent="0.25">
      <c r="A9" s="4" t="s">
        <v>8</v>
      </c>
      <c r="B9" s="5" t="s">
        <v>27</v>
      </c>
      <c r="C9" s="6">
        <f>SUM(D9:E9)</f>
        <v>766905</v>
      </c>
      <c r="D9" s="6">
        <f>D10+D18+D19</f>
        <v>479985</v>
      </c>
      <c r="E9" s="6">
        <f>E10+E18+E19</f>
        <v>286920</v>
      </c>
      <c r="F9" s="148"/>
      <c r="G9" s="148"/>
      <c r="H9" s="6">
        <f>SUM(I9:J9)</f>
        <v>766905</v>
      </c>
      <c r="I9" s="6">
        <f>I10+I18+I19</f>
        <v>479985</v>
      </c>
      <c r="J9" s="6">
        <f>J10+J18+J19</f>
        <v>286920</v>
      </c>
      <c r="K9" s="147"/>
    </row>
    <row r="10" spans="1:13" ht="17.100000000000001" customHeight="1" x14ac:dyDescent="0.25">
      <c r="A10" s="149">
        <v>1</v>
      </c>
      <c r="B10" s="150" t="s">
        <v>166</v>
      </c>
      <c r="C10" s="151">
        <f>SUM(D10:E10)</f>
        <v>766905</v>
      </c>
      <c r="D10" s="151">
        <v>479985</v>
      </c>
      <c r="E10" s="151">
        <v>286920</v>
      </c>
      <c r="F10" s="139"/>
      <c r="G10" s="139"/>
      <c r="H10" s="151">
        <f>SUM(I10:J10)</f>
        <v>766905</v>
      </c>
      <c r="I10" s="151">
        <v>479985</v>
      </c>
      <c r="J10" s="151">
        <v>286920</v>
      </c>
      <c r="K10" s="147"/>
    </row>
    <row r="11" spans="1:13" ht="17.100000000000001" customHeight="1" x14ac:dyDescent="0.25">
      <c r="A11" s="10"/>
      <c r="B11" s="152" t="s">
        <v>167</v>
      </c>
      <c r="C11" s="14"/>
      <c r="D11" s="14"/>
      <c r="E11" s="14"/>
      <c r="F11" s="139"/>
      <c r="G11" s="139"/>
      <c r="H11" s="14"/>
      <c r="I11" s="14"/>
      <c r="J11" s="14"/>
    </row>
    <row r="12" spans="1:13" ht="17.100000000000001" customHeight="1" x14ac:dyDescent="0.25">
      <c r="A12" s="10" t="s">
        <v>10</v>
      </c>
      <c r="B12" s="152" t="s">
        <v>168</v>
      </c>
      <c r="C12" s="89"/>
      <c r="D12" s="77"/>
      <c r="E12" s="76"/>
      <c r="F12" s="139"/>
      <c r="G12" s="139"/>
      <c r="H12" s="89"/>
      <c r="I12" s="77"/>
      <c r="J12" s="76"/>
    </row>
    <row r="13" spans="1:13" ht="17.100000000000001" customHeight="1" x14ac:dyDescent="0.25">
      <c r="A13" s="10" t="s">
        <v>10</v>
      </c>
      <c r="B13" s="152" t="s">
        <v>169</v>
      </c>
      <c r="C13" s="89">
        <f>SUM(D13:E13)</f>
        <v>400</v>
      </c>
      <c r="D13" s="89">
        <v>400</v>
      </c>
      <c r="E13" s="76"/>
      <c r="F13" s="139"/>
      <c r="G13" s="139"/>
      <c r="H13" s="89">
        <f>SUM(I13:J13)</f>
        <v>400</v>
      </c>
      <c r="I13" s="89">
        <v>400</v>
      </c>
      <c r="J13" s="76"/>
    </row>
    <row r="14" spans="1:13" ht="17.100000000000001" customHeight="1" x14ac:dyDescent="0.25">
      <c r="A14" s="10"/>
      <c r="B14" s="152" t="s">
        <v>170</v>
      </c>
      <c r="C14" s="76"/>
      <c r="D14" s="76"/>
      <c r="E14" s="76"/>
      <c r="F14" s="139"/>
      <c r="G14" s="139"/>
      <c r="H14" s="76"/>
      <c r="I14" s="76"/>
      <c r="J14" s="76"/>
    </row>
    <row r="15" spans="1:13" s="154" customFormat="1" ht="17.100000000000001" customHeight="1" x14ac:dyDescent="0.25">
      <c r="A15" s="75" t="s">
        <v>10</v>
      </c>
      <c r="B15" s="152" t="s">
        <v>171</v>
      </c>
      <c r="C15" s="77">
        <f>SUM(D15:E15)</f>
        <v>159900</v>
      </c>
      <c r="D15" s="77">
        <v>14910</v>
      </c>
      <c r="E15" s="77">
        <v>144990</v>
      </c>
      <c r="F15" s="153"/>
      <c r="G15" s="153"/>
      <c r="H15" s="77">
        <f>SUM(I15:J15)</f>
        <v>159900</v>
      </c>
      <c r="I15" s="77">
        <v>14910</v>
      </c>
      <c r="J15" s="77">
        <v>144990</v>
      </c>
    </row>
    <row r="16" spans="1:13" s="154" customFormat="1" ht="17.100000000000001" customHeight="1" x14ac:dyDescent="0.25">
      <c r="A16" s="75" t="s">
        <v>10</v>
      </c>
      <c r="B16" s="152" t="s">
        <v>172</v>
      </c>
      <c r="C16" s="77">
        <f>SUM(D16:E16)</f>
        <v>25000</v>
      </c>
      <c r="D16" s="77">
        <v>25000</v>
      </c>
      <c r="E16" s="76"/>
      <c r="F16" s="153"/>
      <c r="G16" s="153"/>
      <c r="H16" s="77">
        <f>SUM(I16:J16)</f>
        <v>25000</v>
      </c>
      <c r="I16" s="77">
        <v>25000</v>
      </c>
      <c r="J16" s="76"/>
    </row>
    <row r="17" spans="1:10" s="154" customFormat="1" hidden="1" x14ac:dyDescent="0.25">
      <c r="A17" s="75" t="s">
        <v>10</v>
      </c>
      <c r="B17" s="155" t="s">
        <v>173</v>
      </c>
      <c r="C17" s="77"/>
      <c r="D17" s="77"/>
      <c r="E17" s="76"/>
      <c r="F17" s="153"/>
      <c r="G17" s="153"/>
      <c r="H17" s="153"/>
      <c r="I17" s="153"/>
      <c r="J17" s="153"/>
    </row>
    <row r="18" spans="1:10" ht="75" x14ac:dyDescent="0.25">
      <c r="A18" s="149">
        <v>2</v>
      </c>
      <c r="B18" s="150" t="s">
        <v>174</v>
      </c>
      <c r="C18" s="156"/>
      <c r="D18" s="156"/>
      <c r="E18" s="156"/>
      <c r="F18" s="139"/>
      <c r="G18" s="139"/>
      <c r="H18" s="139"/>
      <c r="I18" s="139"/>
      <c r="J18" s="139"/>
    </row>
    <row r="19" spans="1:10" ht="17.100000000000001" customHeight="1" x14ac:dyDescent="0.25">
      <c r="A19" s="149">
        <v>3</v>
      </c>
      <c r="B19" s="150" t="s">
        <v>175</v>
      </c>
      <c r="C19" s="156"/>
      <c r="D19" s="156"/>
      <c r="E19" s="156"/>
      <c r="F19" s="139"/>
      <c r="G19" s="139"/>
      <c r="H19" s="139"/>
      <c r="I19" s="139"/>
      <c r="J19" s="139"/>
    </row>
    <row r="20" spans="1:10" ht="17.100000000000001" customHeight="1" x14ac:dyDescent="0.25">
      <c r="A20" s="4" t="s">
        <v>13</v>
      </c>
      <c r="B20" s="5" t="s">
        <v>28</v>
      </c>
      <c r="C20" s="6">
        <f>SUM(D20:E20)</f>
        <v>4021033.0389545998</v>
      </c>
      <c r="D20" s="6">
        <v>1490496.0389546</v>
      </c>
      <c r="E20" s="6">
        <f>'[3]Biểu 06 DT '!F21</f>
        <v>2530537</v>
      </c>
      <c r="F20" s="148"/>
      <c r="G20" s="148">
        <v>4300</v>
      </c>
      <c r="H20" s="148">
        <f>I20+J20</f>
        <v>4025333.0389545998</v>
      </c>
      <c r="I20" s="148">
        <f>D20+G20</f>
        <v>1494796.0389546</v>
      </c>
      <c r="J20" s="148">
        <f>E20</f>
        <v>2530537</v>
      </c>
    </row>
    <row r="21" spans="1:10" ht="17.100000000000001" customHeight="1" x14ac:dyDescent="0.25">
      <c r="A21" s="10"/>
      <c r="B21" s="152" t="s">
        <v>176</v>
      </c>
      <c r="C21" s="14"/>
      <c r="D21" s="14"/>
      <c r="E21" s="14"/>
      <c r="F21" s="139"/>
      <c r="G21" s="139"/>
      <c r="H21" s="139"/>
      <c r="I21" s="139"/>
      <c r="J21" s="139"/>
    </row>
    <row r="22" spans="1:10" ht="17.100000000000001" customHeight="1" x14ac:dyDescent="0.25">
      <c r="A22" s="10">
        <v>1</v>
      </c>
      <c r="B22" s="152" t="s">
        <v>168</v>
      </c>
      <c r="C22" s="12">
        <f>SUM(D22:E22)</f>
        <v>1730540</v>
      </c>
      <c r="D22" s="12">
        <v>424782</v>
      </c>
      <c r="E22" s="12">
        <v>1305758</v>
      </c>
      <c r="F22" s="139"/>
      <c r="G22" s="139"/>
      <c r="H22" s="139"/>
      <c r="I22" s="12">
        <v>424782</v>
      </c>
      <c r="J22" s="12">
        <v>1305758</v>
      </c>
    </row>
    <row r="23" spans="1:10" ht="17.100000000000001" customHeight="1" x14ac:dyDescent="0.25">
      <c r="A23" s="10">
        <v>2</v>
      </c>
      <c r="B23" s="152" t="s">
        <v>177</v>
      </c>
      <c r="C23" s="12">
        <f>SUM(D23:E23)</f>
        <v>13229</v>
      </c>
      <c r="D23" s="12">
        <v>13229</v>
      </c>
      <c r="E23" s="14"/>
      <c r="F23" s="139"/>
      <c r="G23" s="139"/>
      <c r="H23" s="139"/>
      <c r="I23" s="12">
        <v>13229</v>
      </c>
      <c r="J23" s="14"/>
    </row>
    <row r="24" spans="1:10" ht="30" customHeight="1" x14ac:dyDescent="0.25">
      <c r="A24" s="4" t="s">
        <v>18</v>
      </c>
      <c r="B24" s="5" t="s">
        <v>178</v>
      </c>
      <c r="C24" s="17">
        <v>2000</v>
      </c>
      <c r="D24" s="6">
        <v>2000</v>
      </c>
      <c r="E24" s="14"/>
      <c r="F24" s="139"/>
      <c r="G24" s="139"/>
      <c r="H24" s="6">
        <v>2000</v>
      </c>
      <c r="I24" s="6">
        <v>2000</v>
      </c>
      <c r="J24" s="14"/>
    </row>
    <row r="25" spans="1:10" ht="17.100000000000001" customHeight="1" x14ac:dyDescent="0.25">
      <c r="A25" s="4" t="s">
        <v>20</v>
      </c>
      <c r="B25" s="5" t="s">
        <v>30</v>
      </c>
      <c r="C25" s="6">
        <v>1000</v>
      </c>
      <c r="D25" s="6">
        <v>1000</v>
      </c>
      <c r="E25" s="17"/>
      <c r="F25" s="139"/>
      <c r="G25" s="139"/>
      <c r="H25" s="6">
        <v>1000</v>
      </c>
      <c r="I25" s="6">
        <v>1000</v>
      </c>
      <c r="J25" s="17"/>
    </row>
    <row r="26" spans="1:10" ht="17.100000000000001" customHeight="1" x14ac:dyDescent="0.25">
      <c r="A26" s="4" t="s">
        <v>22</v>
      </c>
      <c r="B26" s="5" t="s">
        <v>31</v>
      </c>
      <c r="C26" s="6">
        <f>SUM(D26:E26)</f>
        <v>135903.03200000001</v>
      </c>
      <c r="D26" s="6">
        <v>79465</v>
      </c>
      <c r="E26" s="6">
        <v>56438.032000000007</v>
      </c>
      <c r="F26" s="139"/>
      <c r="G26" s="139"/>
      <c r="H26" s="6">
        <f>SUM(I26:J26)</f>
        <v>135903.03200000001</v>
      </c>
      <c r="I26" s="6">
        <v>79465</v>
      </c>
      <c r="J26" s="6">
        <v>56438.032000000007</v>
      </c>
    </row>
    <row r="27" spans="1:10" ht="21" customHeight="1" x14ac:dyDescent="0.25">
      <c r="A27" s="4" t="s">
        <v>6</v>
      </c>
      <c r="B27" s="28" t="s">
        <v>179</v>
      </c>
      <c r="C27" s="6">
        <f>C28+C29+C30</f>
        <v>2688222</v>
      </c>
      <c r="D27" s="6">
        <f t="shared" ref="D27:E27" si="2">D28+D29+D30</f>
        <v>1907138</v>
      </c>
      <c r="E27" s="6">
        <f t="shared" si="2"/>
        <v>781084</v>
      </c>
      <c r="F27" s="139"/>
      <c r="G27" s="139"/>
      <c r="H27" s="6">
        <f>H28+H29+H30</f>
        <v>2688222</v>
      </c>
      <c r="I27" s="6">
        <f t="shared" ref="I27:J27" si="3">I28+I29+I30</f>
        <v>1907138</v>
      </c>
      <c r="J27" s="6">
        <f t="shared" si="3"/>
        <v>781084</v>
      </c>
    </row>
    <row r="28" spans="1:10" s="157" customFormat="1" ht="17.100000000000001" customHeight="1" x14ac:dyDescent="0.25">
      <c r="A28" s="10">
        <v>1</v>
      </c>
      <c r="B28" s="11" t="s">
        <v>34</v>
      </c>
      <c r="C28" s="12">
        <v>1484442</v>
      </c>
      <c r="D28" s="12">
        <v>1484442</v>
      </c>
      <c r="E28" s="12"/>
      <c r="F28" s="140"/>
      <c r="G28" s="140"/>
      <c r="H28" s="12">
        <v>1484442</v>
      </c>
      <c r="I28" s="12">
        <v>1484442</v>
      </c>
      <c r="J28" s="12"/>
    </row>
    <row r="29" spans="1:10" s="157" customFormat="1" ht="28.5" customHeight="1" x14ac:dyDescent="0.25">
      <c r="A29" s="158">
        <v>2</v>
      </c>
      <c r="B29" s="11" t="s">
        <v>35</v>
      </c>
      <c r="C29" s="12">
        <v>77962</v>
      </c>
      <c r="D29" s="141">
        <v>64423</v>
      </c>
      <c r="E29" s="141">
        <v>13539</v>
      </c>
      <c r="F29" s="140"/>
      <c r="G29" s="140"/>
      <c r="H29" s="12">
        <v>77962</v>
      </c>
      <c r="I29" s="141">
        <v>64423</v>
      </c>
      <c r="J29" s="141">
        <v>13539</v>
      </c>
    </row>
    <row r="30" spans="1:10" ht="21.75" customHeight="1" x14ac:dyDescent="0.25">
      <c r="A30" s="159">
        <v>3</v>
      </c>
      <c r="B30" s="90" t="s">
        <v>36</v>
      </c>
      <c r="C30" s="91">
        <v>1125818</v>
      </c>
      <c r="D30" s="91">
        <v>358273</v>
      </c>
      <c r="E30" s="91">
        <v>767545</v>
      </c>
      <c r="F30" s="142"/>
      <c r="G30" s="142"/>
      <c r="H30" s="91">
        <v>1125818</v>
      </c>
      <c r="I30" s="91">
        <v>358273</v>
      </c>
      <c r="J30" s="91">
        <v>767545</v>
      </c>
    </row>
  </sheetData>
  <mergeCells count="10">
    <mergeCell ref="G4:G5"/>
    <mergeCell ref="H4:H5"/>
    <mergeCell ref="I4:J4"/>
    <mergeCell ref="A2:J2"/>
    <mergeCell ref="A1:J1"/>
    <mergeCell ref="I3:J3"/>
    <mergeCell ref="A4:A5"/>
    <mergeCell ref="B4:B5"/>
    <mergeCell ref="C4:C5"/>
    <mergeCell ref="D4:E4"/>
  </mergeCells>
  <pageMargins left="0.70866141732283472" right="0.70866141732283472" top="0.74803149606299213" bottom="0.74803149606299213" header="0.31496062992125984" footer="0.31496062992125984"/>
  <pageSetup paperSize="9" orientation="landscape"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5"/>
  <sheetViews>
    <sheetView topLeftCell="A25" workbookViewId="0">
      <selection activeCell="Q9" sqref="Q9"/>
    </sheetView>
  </sheetViews>
  <sheetFormatPr defaultColWidth="9" defaultRowHeight="15.75" x14ac:dyDescent="0.25"/>
  <cols>
    <col min="1" max="1" width="6" style="92" customWidth="1"/>
    <col min="2" max="2" width="51.875" style="92" customWidth="1"/>
    <col min="3" max="3" width="13" style="92" customWidth="1"/>
    <col min="4" max="4" width="12" style="92" hidden="1" customWidth="1"/>
    <col min="5" max="6" width="0" style="92" hidden="1" customWidth="1"/>
    <col min="7" max="7" width="16" style="92" hidden="1" customWidth="1"/>
    <col min="8" max="8" width="15.125" style="92" customWidth="1"/>
    <col min="9" max="9" width="16" style="92" customWidth="1"/>
    <col min="10" max="10" width="16.125" style="92" customWidth="1"/>
    <col min="11" max="16384" width="9" style="92"/>
  </cols>
  <sheetData>
    <row r="1" spans="1:11" ht="23.25" customHeight="1" x14ac:dyDescent="0.25">
      <c r="A1" s="286" t="s">
        <v>221</v>
      </c>
      <c r="B1" s="286"/>
      <c r="C1" s="286"/>
      <c r="D1" s="286"/>
      <c r="E1" s="286"/>
      <c r="F1" s="286"/>
      <c r="G1" s="286"/>
      <c r="H1" s="286"/>
      <c r="I1" s="286"/>
    </row>
    <row r="2" spans="1:11" ht="19.5" customHeight="1" x14ac:dyDescent="0.25">
      <c r="A2" s="285" t="s">
        <v>234</v>
      </c>
      <c r="B2" s="285"/>
      <c r="C2" s="285"/>
      <c r="D2" s="285"/>
      <c r="E2" s="285"/>
      <c r="F2" s="285"/>
      <c r="G2" s="285"/>
      <c r="H2" s="285"/>
      <c r="I2" s="285"/>
    </row>
    <row r="3" spans="1:11" ht="0.75" customHeight="1" x14ac:dyDescent="0.25">
      <c r="A3" s="24"/>
      <c r="B3" s="25"/>
      <c r="C3" s="25"/>
    </row>
    <row r="4" spans="1:11" x14ac:dyDescent="0.25">
      <c r="A4" s="160"/>
      <c r="B4" s="95"/>
      <c r="C4" s="95"/>
      <c r="D4" s="95"/>
      <c r="E4" s="95"/>
      <c r="F4" s="95"/>
      <c r="G4" s="95"/>
      <c r="H4" s="95"/>
      <c r="I4" s="161" t="s">
        <v>1</v>
      </c>
      <c r="J4" s="101"/>
    </row>
    <row r="5" spans="1:11" ht="22.5" customHeight="1" x14ac:dyDescent="0.25">
      <c r="A5" s="282" t="s">
        <v>2</v>
      </c>
      <c r="B5" s="282" t="s">
        <v>3</v>
      </c>
      <c r="C5" s="282" t="s">
        <v>4</v>
      </c>
      <c r="D5" s="95"/>
      <c r="E5" s="95"/>
      <c r="F5" s="95"/>
      <c r="G5" s="95"/>
      <c r="H5" s="283" t="s">
        <v>203</v>
      </c>
      <c r="I5" s="282" t="s">
        <v>205</v>
      </c>
    </row>
    <row r="6" spans="1:11" ht="24" customHeight="1" x14ac:dyDescent="0.25">
      <c r="A6" s="283"/>
      <c r="B6" s="283"/>
      <c r="C6" s="283"/>
      <c r="D6" s="95"/>
      <c r="E6" s="95"/>
      <c r="F6" s="95"/>
      <c r="G6" s="95"/>
      <c r="H6" s="284"/>
      <c r="I6" s="283"/>
    </row>
    <row r="7" spans="1:11" x14ac:dyDescent="0.25">
      <c r="A7" s="162" t="s">
        <v>5</v>
      </c>
      <c r="B7" s="162" t="s">
        <v>6</v>
      </c>
      <c r="C7" s="162">
        <v>1</v>
      </c>
      <c r="D7" s="163"/>
      <c r="E7" s="163"/>
      <c r="F7" s="163"/>
      <c r="G7" s="163"/>
      <c r="H7" s="162">
        <v>2</v>
      </c>
      <c r="I7" s="162" t="s">
        <v>212</v>
      </c>
    </row>
    <row r="8" spans="1:11" ht="18" customHeight="1" x14ac:dyDescent="0.25">
      <c r="A8" s="162"/>
      <c r="B8" s="162" t="s">
        <v>24</v>
      </c>
      <c r="C8" s="206">
        <f>C9+C10</f>
        <v>7173593.0074625369</v>
      </c>
      <c r="D8" s="206">
        <f t="shared" ref="D8:H8" ca="1" si="0">D9+D10</f>
        <v>3078563</v>
      </c>
      <c r="E8" s="206">
        <f t="shared" si="0"/>
        <v>3566345.0146625363</v>
      </c>
      <c r="F8" s="206">
        <f t="shared" si="0"/>
        <v>0</v>
      </c>
      <c r="G8" s="206">
        <f t="shared" ca="1" si="0"/>
        <v>7177893.0709546003</v>
      </c>
      <c r="H8" s="206">
        <f t="shared" si="0"/>
        <v>4300</v>
      </c>
      <c r="I8" s="206">
        <f>I9+I10</f>
        <v>7177893.0074625369</v>
      </c>
    </row>
    <row r="9" spans="1:11" ht="18" customHeight="1" x14ac:dyDescent="0.25">
      <c r="A9" s="162" t="s">
        <v>5</v>
      </c>
      <c r="B9" s="207" t="s">
        <v>180</v>
      </c>
      <c r="C9" s="206">
        <v>3213509.0320000001</v>
      </c>
      <c r="D9" s="163"/>
      <c r="E9" s="163"/>
      <c r="F9" s="163"/>
      <c r="G9" s="163"/>
      <c r="H9" s="163"/>
      <c r="I9" s="206">
        <f>C9</f>
        <v>3213509.0320000001</v>
      </c>
      <c r="J9" s="93"/>
    </row>
    <row r="10" spans="1:11" ht="18" customHeight="1" x14ac:dyDescent="0.25">
      <c r="A10" s="162" t="s">
        <v>6</v>
      </c>
      <c r="B10" s="207" t="s">
        <v>181</v>
      </c>
      <c r="C10" s="206">
        <f>C11+C28+C43+C44+C45</f>
        <v>3960083.9754625363</v>
      </c>
      <c r="D10" s="206">
        <f t="shared" ref="D10:H10" ca="1" si="1">D11+D28+D43+D44+D45</f>
        <v>3960083.9754625363</v>
      </c>
      <c r="E10" s="206">
        <f t="shared" si="1"/>
        <v>3566345.0146625363</v>
      </c>
      <c r="F10" s="206">
        <f t="shared" si="1"/>
        <v>0</v>
      </c>
      <c r="G10" s="206">
        <f t="shared" ca="1" si="1"/>
        <v>3960083.9754625363</v>
      </c>
      <c r="H10" s="206">
        <f t="shared" si="1"/>
        <v>4300</v>
      </c>
      <c r="I10" s="206">
        <f>I11+I28+I43+I44+I45</f>
        <v>3964383.9754625363</v>
      </c>
      <c r="J10" s="93"/>
    </row>
    <row r="11" spans="1:11" ht="18" customHeight="1" x14ac:dyDescent="0.25">
      <c r="A11" s="162" t="s">
        <v>8</v>
      </c>
      <c r="B11" s="207" t="s">
        <v>27</v>
      </c>
      <c r="C11" s="206">
        <f>C12+C26+C27</f>
        <v>315687.93650793651</v>
      </c>
      <c r="D11" s="206">
        <f ca="1">C10-D10</f>
        <v>881520.97546253633</v>
      </c>
      <c r="E11" s="208">
        <f>C10-C49</f>
        <v>3566345.0146625363</v>
      </c>
      <c r="F11" s="208"/>
      <c r="G11" s="163"/>
      <c r="H11" s="163">
        <v>0</v>
      </c>
      <c r="I11" s="206">
        <f>I12+I26+I27</f>
        <v>315687.93650793651</v>
      </c>
      <c r="J11" s="93"/>
      <c r="K11" s="93"/>
    </row>
    <row r="12" spans="1:11" s="95" customFormat="1" ht="18" customHeight="1" x14ac:dyDescent="0.25">
      <c r="A12" s="162">
        <v>1</v>
      </c>
      <c r="B12" s="207" t="s">
        <v>166</v>
      </c>
      <c r="C12" s="209">
        <f>SUM(C13:C25)</f>
        <v>315687.93650793651</v>
      </c>
      <c r="D12" s="208"/>
      <c r="E12" s="208"/>
      <c r="F12" s="163"/>
      <c r="G12" s="163"/>
      <c r="H12" s="163"/>
      <c r="I12" s="209">
        <f>SUM(I13:I25)</f>
        <v>315687.93650793651</v>
      </c>
      <c r="J12" s="96"/>
    </row>
    <row r="13" spans="1:11" s="95" customFormat="1" ht="18" customHeight="1" x14ac:dyDescent="0.25">
      <c r="A13" s="210" t="s">
        <v>10</v>
      </c>
      <c r="B13" s="211" t="s">
        <v>168</v>
      </c>
      <c r="C13" s="212">
        <v>24084</v>
      </c>
      <c r="D13" s="163"/>
      <c r="E13" s="163"/>
      <c r="F13" s="163"/>
      <c r="G13" s="163"/>
      <c r="H13" s="163"/>
      <c r="I13" s="212">
        <v>24084</v>
      </c>
      <c r="J13" s="94"/>
    </row>
    <row r="14" spans="1:11" s="95" customFormat="1" ht="18" customHeight="1" x14ac:dyDescent="0.25">
      <c r="A14" s="210" t="s">
        <v>10</v>
      </c>
      <c r="B14" s="211" t="s">
        <v>169</v>
      </c>
      <c r="C14" s="213">
        <v>400</v>
      </c>
      <c r="D14" s="163"/>
      <c r="E14" s="163"/>
      <c r="F14" s="163"/>
      <c r="G14" s="163"/>
      <c r="H14" s="163"/>
      <c r="I14" s="213">
        <v>400</v>
      </c>
    </row>
    <row r="15" spans="1:11" s="95" customFormat="1" ht="18" customHeight="1" x14ac:dyDescent="0.25">
      <c r="A15" s="210" t="s">
        <v>10</v>
      </c>
      <c r="B15" s="211" t="s">
        <v>182</v>
      </c>
      <c r="C15" s="212">
        <v>2395</v>
      </c>
      <c r="D15" s="163"/>
      <c r="E15" s="163"/>
      <c r="F15" s="163"/>
      <c r="G15" s="163"/>
      <c r="H15" s="163"/>
      <c r="I15" s="212">
        <v>2395</v>
      </c>
    </row>
    <row r="16" spans="1:11" s="95" customFormat="1" ht="18" customHeight="1" x14ac:dyDescent="0.25">
      <c r="A16" s="210" t="s">
        <v>10</v>
      </c>
      <c r="B16" s="211" t="s">
        <v>183</v>
      </c>
      <c r="C16" s="212">
        <v>12782</v>
      </c>
      <c r="D16" s="163"/>
      <c r="E16" s="163"/>
      <c r="F16" s="163"/>
      <c r="G16" s="163"/>
      <c r="H16" s="163"/>
      <c r="I16" s="212">
        <v>12782</v>
      </c>
    </row>
    <row r="17" spans="1:10" s="95" customFormat="1" ht="18" customHeight="1" x14ac:dyDescent="0.25">
      <c r="A17" s="210" t="s">
        <v>10</v>
      </c>
      <c r="B17" s="211" t="s">
        <v>184</v>
      </c>
      <c r="C17" s="212">
        <v>53267</v>
      </c>
      <c r="D17" s="163"/>
      <c r="E17" s="208"/>
      <c r="F17" s="163"/>
      <c r="G17" s="163"/>
      <c r="H17" s="163"/>
      <c r="I17" s="212">
        <v>53267</v>
      </c>
    </row>
    <row r="18" spans="1:10" s="95" customFormat="1" ht="18" customHeight="1" x14ac:dyDescent="0.25">
      <c r="A18" s="210" t="s">
        <v>10</v>
      </c>
      <c r="B18" s="211" t="s">
        <v>185</v>
      </c>
      <c r="C18" s="212">
        <v>264</v>
      </c>
      <c r="D18" s="163"/>
      <c r="E18" s="208"/>
      <c r="F18" s="163"/>
      <c r="G18" s="163"/>
      <c r="H18" s="163"/>
      <c r="I18" s="212">
        <v>264</v>
      </c>
    </row>
    <row r="19" spans="1:10" s="95" customFormat="1" ht="18" customHeight="1" x14ac:dyDescent="0.25">
      <c r="A19" s="210" t="s">
        <v>10</v>
      </c>
      <c r="B19" s="211" t="s">
        <v>186</v>
      </c>
      <c r="C19" s="212">
        <v>4742</v>
      </c>
      <c r="D19" s="163"/>
      <c r="E19" s="208"/>
      <c r="F19" s="163"/>
      <c r="G19" s="163"/>
      <c r="H19" s="163"/>
      <c r="I19" s="212">
        <v>4742</v>
      </c>
    </row>
    <row r="20" spans="1:10" s="95" customFormat="1" ht="18" customHeight="1" x14ac:dyDescent="0.25">
      <c r="A20" s="210" t="s">
        <v>10</v>
      </c>
      <c r="B20" s="211" t="s">
        <v>187</v>
      </c>
      <c r="C20" s="213"/>
      <c r="D20" s="163"/>
      <c r="E20" s="163"/>
      <c r="F20" s="208"/>
      <c r="G20" s="163"/>
      <c r="H20" s="163"/>
      <c r="I20" s="213"/>
    </row>
    <row r="21" spans="1:10" s="95" customFormat="1" ht="18" customHeight="1" x14ac:dyDescent="0.25">
      <c r="A21" s="210" t="s">
        <v>10</v>
      </c>
      <c r="B21" s="211" t="s">
        <v>188</v>
      </c>
      <c r="C21" s="212"/>
      <c r="D21" s="163"/>
      <c r="E21" s="163"/>
      <c r="F21" s="163"/>
      <c r="G21" s="163"/>
      <c r="H21" s="163"/>
      <c r="I21" s="212"/>
    </row>
    <row r="22" spans="1:10" s="95" customFormat="1" ht="18" customHeight="1" x14ac:dyDescent="0.25">
      <c r="A22" s="210" t="s">
        <v>10</v>
      </c>
      <c r="B22" s="211" t="s">
        <v>189</v>
      </c>
      <c r="C22" s="212">
        <v>186179.93650793651</v>
      </c>
      <c r="D22" s="163"/>
      <c r="E22" s="163"/>
      <c r="F22" s="163"/>
      <c r="G22" s="163"/>
      <c r="H22" s="163"/>
      <c r="I22" s="212">
        <v>186179.93650793651</v>
      </c>
    </row>
    <row r="23" spans="1:10" s="95" customFormat="1" ht="18" customHeight="1" x14ac:dyDescent="0.25">
      <c r="A23" s="210" t="s">
        <v>10</v>
      </c>
      <c r="B23" s="211" t="s">
        <v>190</v>
      </c>
      <c r="C23" s="212">
        <v>30390</v>
      </c>
      <c r="D23" s="163"/>
      <c r="E23" s="163"/>
      <c r="F23" s="163"/>
      <c r="G23" s="163"/>
      <c r="H23" s="163"/>
      <c r="I23" s="212">
        <v>30390</v>
      </c>
    </row>
    <row r="24" spans="1:10" s="95" customFormat="1" ht="18" customHeight="1" x14ac:dyDescent="0.25">
      <c r="A24" s="210" t="s">
        <v>10</v>
      </c>
      <c r="B24" s="211" t="s">
        <v>191</v>
      </c>
      <c r="C24" s="212">
        <v>1184</v>
      </c>
      <c r="D24" s="163"/>
      <c r="E24" s="163"/>
      <c r="F24" s="163"/>
      <c r="G24" s="163"/>
      <c r="H24" s="163"/>
      <c r="I24" s="212">
        <v>1184</v>
      </c>
    </row>
    <row r="25" spans="1:10" s="95" customFormat="1" ht="18" customHeight="1" x14ac:dyDescent="0.25">
      <c r="A25" s="210" t="s">
        <v>10</v>
      </c>
      <c r="B25" s="211" t="s">
        <v>192</v>
      </c>
      <c r="C25" s="214">
        <v>0</v>
      </c>
      <c r="D25" s="163"/>
      <c r="E25" s="163"/>
      <c r="F25" s="163"/>
      <c r="G25" s="163"/>
      <c r="H25" s="163"/>
      <c r="I25" s="214">
        <v>0</v>
      </c>
    </row>
    <row r="26" spans="1:10" ht="72" customHeight="1" x14ac:dyDescent="0.25">
      <c r="A26" s="162">
        <v>2</v>
      </c>
      <c r="B26" s="207" t="s">
        <v>174</v>
      </c>
      <c r="C26" s="209"/>
      <c r="D26" s="163"/>
      <c r="E26" s="163"/>
      <c r="F26" s="163"/>
      <c r="G26" s="163"/>
      <c r="H26" s="163"/>
      <c r="I26" s="209"/>
    </row>
    <row r="27" spans="1:10" ht="18" customHeight="1" x14ac:dyDescent="0.25">
      <c r="A27" s="162">
        <v>3</v>
      </c>
      <c r="B27" s="207" t="s">
        <v>175</v>
      </c>
      <c r="C27" s="209"/>
      <c r="D27" s="163"/>
      <c r="E27" s="163"/>
      <c r="F27" s="163"/>
      <c r="G27" s="163"/>
      <c r="H27" s="163"/>
      <c r="I27" s="209"/>
    </row>
    <row r="28" spans="1:10" ht="18" customHeight="1" x14ac:dyDescent="0.25">
      <c r="A28" s="162" t="s">
        <v>13</v>
      </c>
      <c r="B28" s="207" t="s">
        <v>28</v>
      </c>
      <c r="C28" s="206">
        <f>SUM(C29:C42)</f>
        <v>1312164.0781546</v>
      </c>
      <c r="D28" s="206">
        <v>1213716</v>
      </c>
      <c r="E28" s="163"/>
      <c r="F28" s="163"/>
      <c r="G28" s="208">
        <f ca="1">C8-G10</f>
        <v>-4300.0634920634329</v>
      </c>
      <c r="H28" s="208">
        <v>0</v>
      </c>
      <c r="I28" s="206">
        <f>SUM(I29:I42)</f>
        <v>1312164.0781546</v>
      </c>
    </row>
    <row r="29" spans="1:10" ht="18" customHeight="1" x14ac:dyDescent="0.25">
      <c r="A29" s="210" t="s">
        <v>10</v>
      </c>
      <c r="B29" s="211" t="s">
        <v>168</v>
      </c>
      <c r="C29" s="212">
        <v>222052</v>
      </c>
      <c r="D29" s="208">
        <f>D28-C28</f>
        <v>-98448.078154599993</v>
      </c>
      <c r="E29" s="163"/>
      <c r="F29" s="163"/>
      <c r="G29" s="163"/>
      <c r="H29" s="163"/>
      <c r="I29" s="212">
        <v>222052</v>
      </c>
      <c r="J29" s="93"/>
    </row>
    <row r="30" spans="1:10" ht="18" customHeight="1" x14ac:dyDescent="0.25">
      <c r="A30" s="210" t="s">
        <v>10</v>
      </c>
      <c r="B30" s="211" t="s">
        <v>177</v>
      </c>
      <c r="C30" s="212">
        <v>14229</v>
      </c>
      <c r="D30" s="163"/>
      <c r="E30" s="163"/>
      <c r="F30" s="163"/>
      <c r="G30" s="163"/>
      <c r="H30" s="163"/>
      <c r="I30" s="212">
        <v>14229</v>
      </c>
    </row>
    <row r="31" spans="1:10" ht="18" customHeight="1" x14ac:dyDescent="0.25">
      <c r="A31" s="210" t="s">
        <v>10</v>
      </c>
      <c r="B31" s="211" t="s">
        <v>182</v>
      </c>
      <c r="C31" s="212">
        <v>42500</v>
      </c>
      <c r="D31" s="163"/>
      <c r="E31" s="163"/>
      <c r="F31" s="163"/>
      <c r="G31" s="163"/>
      <c r="H31" s="163"/>
      <c r="I31" s="212">
        <v>42500</v>
      </c>
    </row>
    <row r="32" spans="1:10" ht="18" customHeight="1" x14ac:dyDescent="0.25">
      <c r="A32" s="210" t="s">
        <v>10</v>
      </c>
      <c r="B32" s="211" t="s">
        <v>183</v>
      </c>
      <c r="C32" s="212">
        <v>11389</v>
      </c>
      <c r="D32" s="163"/>
      <c r="E32" s="163"/>
      <c r="F32" s="163"/>
      <c r="G32" s="163"/>
      <c r="H32" s="163"/>
      <c r="I32" s="212">
        <v>11389</v>
      </c>
    </row>
    <row r="33" spans="1:10" ht="18" customHeight="1" x14ac:dyDescent="0.25">
      <c r="A33" s="210" t="s">
        <v>10</v>
      </c>
      <c r="B33" s="211" t="s">
        <v>184</v>
      </c>
      <c r="C33" s="212">
        <v>379327</v>
      </c>
      <c r="D33" s="163"/>
      <c r="E33" s="163"/>
      <c r="F33" s="163"/>
      <c r="G33" s="163"/>
      <c r="H33" s="163"/>
      <c r="I33" s="212">
        <v>379327</v>
      </c>
    </row>
    <row r="34" spans="1:10" ht="18" customHeight="1" x14ac:dyDescent="0.25">
      <c r="A34" s="210" t="s">
        <v>10</v>
      </c>
      <c r="B34" s="211" t="s">
        <v>185</v>
      </c>
      <c r="C34" s="212">
        <v>60889</v>
      </c>
      <c r="D34" s="163"/>
      <c r="E34" s="163"/>
      <c r="F34" s="163"/>
      <c r="G34" s="163"/>
      <c r="H34" s="163"/>
      <c r="I34" s="212">
        <v>60889</v>
      </c>
    </row>
    <row r="35" spans="1:10" ht="18" customHeight="1" x14ac:dyDescent="0.25">
      <c r="A35" s="210" t="s">
        <v>10</v>
      </c>
      <c r="B35" s="211" t="s">
        <v>186</v>
      </c>
      <c r="C35" s="212">
        <v>25812</v>
      </c>
      <c r="D35" s="163"/>
      <c r="E35" s="163"/>
      <c r="F35" s="163"/>
      <c r="G35" s="163"/>
      <c r="H35" s="163"/>
      <c r="I35" s="212">
        <v>25812</v>
      </c>
    </row>
    <row r="36" spans="1:10" ht="18" customHeight="1" x14ac:dyDescent="0.25">
      <c r="A36" s="210" t="s">
        <v>10</v>
      </c>
      <c r="B36" s="211" t="s">
        <v>187</v>
      </c>
      <c r="C36" s="212">
        <v>9931.0432000000001</v>
      </c>
      <c r="D36" s="163"/>
      <c r="E36" s="163"/>
      <c r="F36" s="163"/>
      <c r="G36" s="163"/>
      <c r="H36" s="163"/>
      <c r="I36" s="212">
        <v>9931.0432000000001</v>
      </c>
    </row>
    <row r="37" spans="1:10" ht="18" customHeight="1" x14ac:dyDescent="0.25">
      <c r="A37" s="210" t="s">
        <v>10</v>
      </c>
      <c r="B37" s="211" t="s">
        <v>188</v>
      </c>
      <c r="C37" s="212">
        <v>22920</v>
      </c>
      <c r="D37" s="163"/>
      <c r="E37" s="163"/>
      <c r="F37" s="163"/>
      <c r="G37" s="163"/>
      <c r="H37" s="163"/>
      <c r="I37" s="212">
        <v>22920</v>
      </c>
    </row>
    <row r="38" spans="1:10" ht="18" customHeight="1" x14ac:dyDescent="0.25">
      <c r="A38" s="210" t="s">
        <v>10</v>
      </c>
      <c r="B38" s="211" t="s">
        <v>189</v>
      </c>
      <c r="C38" s="212">
        <v>205344</v>
      </c>
      <c r="D38" s="163"/>
      <c r="E38" s="163"/>
      <c r="F38" s="163"/>
      <c r="G38" s="163"/>
      <c r="H38" s="163"/>
      <c r="I38" s="212">
        <v>205344</v>
      </c>
    </row>
    <row r="39" spans="1:10" ht="19.5" customHeight="1" x14ac:dyDescent="0.25">
      <c r="A39" s="210" t="s">
        <v>10</v>
      </c>
      <c r="B39" s="211" t="s">
        <v>190</v>
      </c>
      <c r="C39" s="212">
        <v>280455.03495460004</v>
      </c>
      <c r="D39" s="163"/>
      <c r="E39" s="163"/>
      <c r="F39" s="163"/>
      <c r="G39" s="163"/>
      <c r="H39" s="163"/>
      <c r="I39" s="212">
        <v>280455.03495460004</v>
      </c>
    </row>
    <row r="40" spans="1:10" ht="18" customHeight="1" x14ac:dyDescent="0.25">
      <c r="A40" s="210" t="s">
        <v>10</v>
      </c>
      <c r="B40" s="211" t="s">
        <v>191</v>
      </c>
      <c r="C40" s="212">
        <v>29750</v>
      </c>
      <c r="D40" s="163"/>
      <c r="E40" s="163"/>
      <c r="F40" s="163"/>
      <c r="G40" s="163"/>
      <c r="H40" s="163"/>
      <c r="I40" s="212">
        <v>29750</v>
      </c>
    </row>
    <row r="41" spans="1:10" ht="18" customHeight="1" x14ac:dyDescent="0.25">
      <c r="A41" s="210" t="s">
        <v>10</v>
      </c>
      <c r="B41" s="211" t="s">
        <v>193</v>
      </c>
      <c r="C41" s="212">
        <v>7566</v>
      </c>
      <c r="D41" s="163"/>
      <c r="E41" s="163"/>
      <c r="F41" s="163"/>
      <c r="G41" s="163"/>
      <c r="H41" s="163"/>
      <c r="I41" s="212">
        <v>7566</v>
      </c>
    </row>
    <row r="42" spans="1:10" ht="18" customHeight="1" x14ac:dyDescent="0.25">
      <c r="A42" s="210" t="s">
        <v>10</v>
      </c>
      <c r="B42" s="211" t="s">
        <v>231</v>
      </c>
      <c r="C42" s="212">
        <v>0</v>
      </c>
      <c r="D42" s="163"/>
      <c r="E42" s="163"/>
      <c r="F42" s="163"/>
      <c r="G42" s="163"/>
      <c r="H42" s="163"/>
      <c r="I42" s="212">
        <v>0</v>
      </c>
    </row>
    <row r="43" spans="1:10" ht="18" customHeight="1" x14ac:dyDescent="0.25">
      <c r="A43" s="162" t="s">
        <v>18</v>
      </c>
      <c r="B43" s="215" t="s">
        <v>194</v>
      </c>
      <c r="C43" s="206">
        <v>1000</v>
      </c>
      <c r="D43" s="163"/>
      <c r="E43" s="163"/>
      <c r="F43" s="163"/>
      <c r="G43" s="163"/>
      <c r="H43" s="163">
        <v>0</v>
      </c>
      <c r="I43" s="206">
        <v>1000</v>
      </c>
    </row>
    <row r="44" spans="1:10" ht="21" customHeight="1" x14ac:dyDescent="0.25">
      <c r="A44" s="162" t="s">
        <v>20</v>
      </c>
      <c r="B44" s="215" t="s">
        <v>29</v>
      </c>
      <c r="C44" s="206">
        <v>2000</v>
      </c>
      <c r="D44" s="163"/>
      <c r="E44" s="163"/>
      <c r="F44" s="163"/>
      <c r="G44" s="163"/>
      <c r="H44" s="163">
        <v>0</v>
      </c>
      <c r="I44" s="206">
        <v>2000</v>
      </c>
    </row>
    <row r="45" spans="1:10" s="97" customFormat="1" ht="18" customHeight="1" x14ac:dyDescent="0.25">
      <c r="A45" s="162" t="s">
        <v>22</v>
      </c>
      <c r="B45" s="207" t="s">
        <v>195</v>
      </c>
      <c r="C45" s="206">
        <f>C46+C49+C52</f>
        <v>2329231.9608</v>
      </c>
      <c r="D45" s="206">
        <f t="shared" ref="D45:H45" si="2">D46+D49+D52</f>
        <v>0</v>
      </c>
      <c r="E45" s="206">
        <f t="shared" si="2"/>
        <v>0</v>
      </c>
      <c r="F45" s="206">
        <f t="shared" si="2"/>
        <v>0</v>
      </c>
      <c r="G45" s="206">
        <f t="shared" si="2"/>
        <v>0</v>
      </c>
      <c r="H45" s="206">
        <f t="shared" si="2"/>
        <v>4300</v>
      </c>
      <c r="I45" s="206">
        <f>I46+I49+I52</f>
        <v>2333531.9608</v>
      </c>
      <c r="J45" s="98"/>
    </row>
    <row r="46" spans="1:10" ht="18" customHeight="1" x14ac:dyDescent="0.25">
      <c r="A46" s="162">
        <v>1</v>
      </c>
      <c r="B46" s="207" t="s">
        <v>196</v>
      </c>
      <c r="C46" s="206">
        <f>C47+C48</f>
        <v>1856028</v>
      </c>
      <c r="D46" s="206">
        <f t="shared" ref="D46:H46" si="3">D47+D48</f>
        <v>0</v>
      </c>
      <c r="E46" s="206">
        <f t="shared" si="3"/>
        <v>0</v>
      </c>
      <c r="F46" s="206">
        <f t="shared" si="3"/>
        <v>0</v>
      </c>
      <c r="G46" s="206">
        <f t="shared" si="3"/>
        <v>0</v>
      </c>
      <c r="H46" s="206">
        <f t="shared" si="3"/>
        <v>0</v>
      </c>
      <c r="I46" s="206">
        <f>I47+I48</f>
        <v>1856028</v>
      </c>
    </row>
    <row r="47" spans="1:10" ht="18" customHeight="1" x14ac:dyDescent="0.25">
      <c r="A47" s="210" t="s">
        <v>197</v>
      </c>
      <c r="B47" s="211" t="s">
        <v>198</v>
      </c>
      <c r="C47" s="212">
        <v>164297</v>
      </c>
      <c r="D47" s="163"/>
      <c r="E47" s="163"/>
      <c r="F47" s="163"/>
      <c r="G47" s="163"/>
      <c r="H47" s="163"/>
      <c r="I47" s="212">
        <v>164297</v>
      </c>
    </row>
    <row r="48" spans="1:10" ht="18" customHeight="1" x14ac:dyDescent="0.25">
      <c r="A48" s="210" t="s">
        <v>199</v>
      </c>
      <c r="B48" s="211" t="s">
        <v>200</v>
      </c>
      <c r="C48" s="214">
        <v>1691731</v>
      </c>
      <c r="D48" s="163"/>
      <c r="E48" s="163"/>
      <c r="F48" s="163"/>
      <c r="G48" s="163"/>
      <c r="H48" s="163"/>
      <c r="I48" s="214">
        <v>1691731</v>
      </c>
    </row>
    <row r="49" spans="1:9" ht="18" customHeight="1" x14ac:dyDescent="0.25">
      <c r="A49" s="162">
        <v>2</v>
      </c>
      <c r="B49" s="207" t="s">
        <v>28</v>
      </c>
      <c r="C49" s="206">
        <f>C50+C51</f>
        <v>393738.9608</v>
      </c>
      <c r="D49" s="206">
        <f t="shared" ref="D49:H49" si="4">D50+D51</f>
        <v>0</v>
      </c>
      <c r="E49" s="206">
        <f t="shared" si="4"/>
        <v>0</v>
      </c>
      <c r="F49" s="206">
        <f t="shared" si="4"/>
        <v>0</v>
      </c>
      <c r="G49" s="206">
        <f t="shared" si="4"/>
        <v>0</v>
      </c>
      <c r="H49" s="206">
        <f t="shared" si="4"/>
        <v>4300</v>
      </c>
      <c r="I49" s="206">
        <f>I50+I51</f>
        <v>398038.9608</v>
      </c>
    </row>
    <row r="50" spans="1:9" ht="18" customHeight="1" x14ac:dyDescent="0.25">
      <c r="A50" s="210" t="s">
        <v>201</v>
      </c>
      <c r="B50" s="211" t="s">
        <v>198</v>
      </c>
      <c r="C50" s="212">
        <f>321569.9608</f>
        <v>321569.9608</v>
      </c>
      <c r="D50" s="163"/>
      <c r="E50" s="163"/>
      <c r="F50" s="163"/>
      <c r="G50" s="163"/>
      <c r="H50" s="212">
        <v>4300</v>
      </c>
      <c r="I50" s="208">
        <f>C50+H50</f>
        <v>325869.9608</v>
      </c>
    </row>
    <row r="51" spans="1:9" ht="18" customHeight="1" x14ac:dyDescent="0.25">
      <c r="A51" s="210" t="s">
        <v>202</v>
      </c>
      <c r="B51" s="211" t="s">
        <v>200</v>
      </c>
      <c r="C51" s="212">
        <v>72169</v>
      </c>
      <c r="D51" s="163"/>
      <c r="E51" s="163"/>
      <c r="F51" s="163"/>
      <c r="G51" s="163"/>
      <c r="H51" s="163"/>
      <c r="I51" s="212">
        <v>72169</v>
      </c>
    </row>
    <row r="52" spans="1:9" ht="18" customHeight="1" x14ac:dyDescent="0.25">
      <c r="A52" s="162">
        <v>3</v>
      </c>
      <c r="B52" s="207" t="s">
        <v>31</v>
      </c>
      <c r="C52" s="206">
        <v>79465</v>
      </c>
      <c r="D52" s="163"/>
      <c r="E52" s="163"/>
      <c r="F52" s="163"/>
      <c r="G52" s="163"/>
      <c r="H52" s="163"/>
      <c r="I52" s="206">
        <v>79465</v>
      </c>
    </row>
    <row r="53" spans="1:9" x14ac:dyDescent="0.25">
      <c r="A53" s="287"/>
      <c r="B53" s="287"/>
      <c r="C53" s="287"/>
    </row>
    <row r="54" spans="1:9" s="99" customFormat="1" x14ac:dyDescent="0.25">
      <c r="A54" s="281"/>
      <c r="B54" s="281"/>
      <c r="C54" s="281"/>
    </row>
    <row r="55" spans="1:9" s="99" customFormat="1" x14ac:dyDescent="0.25">
      <c r="A55" s="281"/>
      <c r="B55" s="281"/>
      <c r="C55" s="281"/>
    </row>
  </sheetData>
  <mergeCells count="10">
    <mergeCell ref="H5:H6"/>
    <mergeCell ref="I5:I6"/>
    <mergeCell ref="A2:I2"/>
    <mergeCell ref="A1:I1"/>
    <mergeCell ref="A53:C53"/>
    <mergeCell ref="A54:C54"/>
    <mergeCell ref="A55:C55"/>
    <mergeCell ref="A5:A6"/>
    <mergeCell ref="B5:B6"/>
    <mergeCell ref="C5:C6"/>
  </mergeCells>
  <pageMargins left="0.25" right="0.25" top="0.6" bottom="0.75" header="0.3" footer="0.3"/>
  <pageSetup paperSize="9" scale="90" fitToHeight="0" orientation="portrait"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DDYPFUVZ5X6F-6-5277</_dlc_DocId>
    <_dlc_DocIdUrl xmlns="ae4e42cd-c673-4541-a17d-d353a4125f5e">
      <Url>https://dbdc.backan.gov.vn/_layouts/15/DocIdRedir.aspx?ID=DDYPFUVZ5X6F-6-5277</Url>
      <Description>DDYPFUVZ5X6F-6-5277</Description>
    </_dlc_DocIdUrl>
  </documentManagement>
</p:properties>
</file>

<file path=customXml/itemProps1.xml><?xml version="1.0" encoding="utf-8"?>
<ds:datastoreItem xmlns:ds="http://schemas.openxmlformats.org/officeDocument/2006/customXml" ds:itemID="{667EEBC3-9FF3-421D-8074-6F04FA31115B}"/>
</file>

<file path=customXml/itemProps2.xml><?xml version="1.0" encoding="utf-8"?>
<ds:datastoreItem xmlns:ds="http://schemas.openxmlformats.org/officeDocument/2006/customXml" ds:itemID="{5A1B8DA9-6C8F-40C9-B01E-71103BD38D5A}"/>
</file>

<file path=customXml/itemProps3.xml><?xml version="1.0" encoding="utf-8"?>
<ds:datastoreItem xmlns:ds="http://schemas.openxmlformats.org/officeDocument/2006/customXml" ds:itemID="{3D192223-973C-4E3C-8608-B9A26B7E5819}"/>
</file>

<file path=customXml/itemProps4.xml><?xml version="1.0" encoding="utf-8"?>
<ds:datastoreItem xmlns:ds="http://schemas.openxmlformats.org/officeDocument/2006/customXml" ds:itemID="{BFF37ACC-8065-4A5D-8F40-5117C06E8C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15</vt:lpstr>
      <vt:lpstr>Bieu 16</vt:lpstr>
      <vt:lpstr>Bieu 16a</vt:lpstr>
      <vt:lpstr>Bieu 16b</vt:lpstr>
      <vt:lpstr>Bieu 30</vt:lpstr>
      <vt:lpstr>Bieu 32</vt:lpstr>
      <vt:lpstr>Bieu 33</vt:lpstr>
      <vt:lpstr>Bieu 34</vt:lpstr>
      <vt:lpstr>'Bieu 15'!Print_Area</vt:lpstr>
      <vt:lpstr>'Bieu 16'!Print_Area</vt:lpstr>
      <vt:lpstr>'Bieu 16a'!Print_Area</vt:lpstr>
      <vt:lpstr>'Bieu 16b'!Print_Area</vt:lpstr>
      <vt:lpstr>'Bieu 30'!Print_Area</vt:lpstr>
      <vt:lpstr>'Bieu 32'!Print_Area</vt:lpstr>
      <vt:lpstr>'Bieu 33'!Print_Area</vt:lpstr>
      <vt:lpstr>'Bieu 34'!Print_Area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Dũng TT</cp:lastModifiedBy>
  <cp:lastPrinted>2023-04-19T09:59:36Z</cp:lastPrinted>
  <dcterms:created xsi:type="dcterms:W3CDTF">2023-03-28T04:49:42Z</dcterms:created>
  <dcterms:modified xsi:type="dcterms:W3CDTF">2023-04-20T08:47:50Z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7d4e6b21-aad2-4c0d-bd58-ee992f23ae91</vt:lpwstr>
  </property>
</Properties>
</file>