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508" windowHeight="8556" firstSheet="5" activeTab="6"/>
  </bookViews>
  <sheets>
    <sheet name="Biểu 4 ODA" sheetId="1" state="hidden" r:id="rId1"/>
    <sheet name="Biểu tổng" sheetId="2" state="hidden" r:id="rId2"/>
    <sheet name="Biểu 2 Giảm nghèo" sheetId="3" state="hidden" r:id="rId3"/>
    <sheet name="Biểu 3. CTMTQG DTTS" sheetId="4" state="hidden" r:id="rId4"/>
    <sheet name="Bieu 4.NTM" sheetId="5" state="hidden" r:id="rId5"/>
    <sheet name="Biểu 1" sheetId="6" r:id="rId6"/>
    <sheet name="Biểu 2" sheetId="7" r:id="rId7"/>
    <sheet name="Sheet1" sheetId="8" state="hidden" r:id="rId8"/>
  </sheets>
  <definedNames>
    <definedName name="_xlnm.Print_Area" localSheetId="3">'Biểu 3. CTMTQG DTTS'!$A:$Q</definedName>
    <definedName name="_xlnm.Print_Area" localSheetId="0">'Biểu 4 ODA'!$A:$AN</definedName>
    <definedName name="_xlnm.Print_Area" localSheetId="4">'Bieu 4.NTM'!$A:$K</definedName>
    <definedName name="_xlnm.Print_Titles" localSheetId="6">'Biểu 2'!$6:$9</definedName>
    <definedName name="_xlnm.Print_Titles" localSheetId="2">'Biểu 2 Giảm nghèo'!$5:$6</definedName>
    <definedName name="_xlnm.Print_Titles" localSheetId="3">'Biểu 3. CTMTQG DTTS'!$5:$7</definedName>
    <definedName name="_xlnm.Print_Titles" localSheetId="0">'Biểu 4 ODA'!$4:$11</definedName>
    <definedName name="_xlnm.Print_Titles" localSheetId="4">'Bieu 4.NTM'!$5:$8</definedName>
  </definedNames>
  <calcPr fullCalcOnLoad="1"/>
</workbook>
</file>

<file path=xl/sharedStrings.xml><?xml version="1.0" encoding="utf-8"?>
<sst xmlns="http://schemas.openxmlformats.org/spreadsheetml/2006/main" count="564" uniqueCount="242">
  <si>
    <t>Đơn vị: Triệu đồng</t>
  </si>
  <si>
    <t>Tổng số (tất cả các nguồn vốn)</t>
  </si>
  <si>
    <t>TỔNG SỐ</t>
  </si>
  <si>
    <t xml:space="preserve">Trong đó: </t>
  </si>
  <si>
    <t>Trong đó:</t>
  </si>
  <si>
    <t>Quy đổi ra tiền Việt</t>
  </si>
  <si>
    <t>Danh mục dự án</t>
  </si>
  <si>
    <t>1</t>
  </si>
  <si>
    <t>Dự án nhóm B</t>
  </si>
  <si>
    <t>STT</t>
  </si>
  <si>
    <t>TT</t>
  </si>
  <si>
    <t>Quyết định đầu tư</t>
  </si>
  <si>
    <t>Ghi chú</t>
  </si>
  <si>
    <t xml:space="preserve">Số quyết định </t>
  </si>
  <si>
    <t xml:space="preserve">TMĐT </t>
  </si>
  <si>
    <t>Tổng số</t>
  </si>
  <si>
    <t>A</t>
  </si>
  <si>
    <t>I</t>
  </si>
  <si>
    <t>II</t>
  </si>
  <si>
    <t>Nhà tài trợ</t>
  </si>
  <si>
    <t>Ngày kết thúc Hiệp định</t>
  </si>
  <si>
    <t>Tính bằng nguyên tệ</t>
  </si>
  <si>
    <t>Đưa vào cân đối NSTW</t>
  </si>
  <si>
    <t>Vay lại</t>
  </si>
  <si>
    <t>Trong đó: vốn NSTW</t>
  </si>
  <si>
    <t>Vốn đối ứng nguồn NSTW</t>
  </si>
  <si>
    <t xml:space="preserve">Vốn nước ngoài (vốn NSTW) </t>
  </si>
  <si>
    <t>Vốn nước ngoài (theo Hiệp định)</t>
  </si>
  <si>
    <t>Vốn đối ứng</t>
  </si>
  <si>
    <t>WB</t>
  </si>
  <si>
    <t>Ngành/lĩnh vực giao thông</t>
  </si>
  <si>
    <t>30/6/2023</t>
  </si>
  <si>
    <t>2529/QĐ-TTg, 21/12/2015; 622/QĐ-BGTVT, 02/3/2016</t>
  </si>
  <si>
    <t>8.700.000 USD</t>
  </si>
  <si>
    <t>Dự án Hạ tầng cơ bản cho phát triển toàn diện các tỉnh vùng Đông Bắc: Hà Giang, Cao Bằng, Bắc Kạn, Lạng Sơn- Tiểu dự án tỉnh Bắc Kạn</t>
  </si>
  <si>
    <t>ADB</t>
  </si>
  <si>
    <t>30/9/2023</t>
  </si>
  <si>
    <t>1205/QĐ-TTg 17/8/2017; Bắc Kạn: 1249/ QĐ-UBND 25/8/2017; 1767/QĐ-UBND 23/10/2018</t>
  </si>
  <si>
    <t>33.750.000 USD</t>
  </si>
  <si>
    <t>III</t>
  </si>
  <si>
    <t>Dự án hỗ trợ kinh doanh cho nông hộ tỉnh Bắc Kạn (CSSP)</t>
  </si>
  <si>
    <t>IFAD</t>
  </si>
  <si>
    <t>31/3/2024</t>
  </si>
  <si>
    <t>21.250.000 USD</t>
  </si>
  <si>
    <t>IV</t>
  </si>
  <si>
    <t>Ngành/Lĩnh vực Y tế</t>
  </si>
  <si>
    <t>Dự án “Đầu tư xây dựng và phát triển hệ thống cung ứng dịch vụ y tế tuyến cơ sở”- Dự án thành phần tỉnh Bắc Kạn</t>
  </si>
  <si>
    <t>31/12/2024</t>
  </si>
  <si>
    <t xml:space="preserve"> 481, 29/3/2019; 223, 17/02/2020 </t>
  </si>
  <si>
    <t>5.330.000 USD</t>
  </si>
  <si>
    <t>Ban QLDA ĐTXD tỉnh</t>
  </si>
  <si>
    <t>V</t>
  </si>
  <si>
    <t>UBND thành phố Bắc Kạn</t>
  </si>
  <si>
    <t>VI</t>
  </si>
  <si>
    <t>VII</t>
  </si>
  <si>
    <t>VIII</t>
  </si>
  <si>
    <t>UBND huyện Chợ Đồn</t>
  </si>
  <si>
    <t>UBND huyện Pác Nặm</t>
  </si>
  <si>
    <t>UBND huyện Ngân Sơn</t>
  </si>
  <si>
    <t>UBND huyện Na Rì</t>
  </si>
  <si>
    <t>UBND huyện Bạch Thông</t>
  </si>
  <si>
    <t>UBND huyện Ba Bể</t>
  </si>
  <si>
    <t>Ngành/lĩnh vực nông nghiệp, lâm nghiệp, diêm nghiệp, thuỷ lợi và thủy sản</t>
  </si>
  <si>
    <t>Kế hoạch vốn giai đoạn 2021-2025</t>
  </si>
  <si>
    <t>Thành phố Bắc Kạn</t>
  </si>
  <si>
    <t>Huyện Bạch Thông</t>
  </si>
  <si>
    <t>Huyện Chợ Đồn</t>
  </si>
  <si>
    <t>Huyện Na Rì</t>
  </si>
  <si>
    <t>Huyện Pác Nặm</t>
  </si>
  <si>
    <t>Huyện Ba Bể</t>
  </si>
  <si>
    <t>Huyện Ngân Sơn</t>
  </si>
  <si>
    <t>Huyện Chợ Mới</t>
  </si>
  <si>
    <t>B</t>
  </si>
  <si>
    <t>Chủ đầu tư/Đơn vị thực hiện</t>
  </si>
  <si>
    <t>Chương trình mục tiêu quốc gia giảm nghèo bền vững</t>
  </si>
  <si>
    <t>Chương trình mục tiêu quốc gia phát triển kinh tế - xã hội vùng đồng bào dân tộc thiểu số và miền núi</t>
  </si>
  <si>
    <t>Chương trình mục tiêu quốc gia xây dựng nông thôn mới</t>
  </si>
  <si>
    <t>TỔNG</t>
  </si>
  <si>
    <t>Tên công trình/đơn vị</t>
  </si>
  <si>
    <t>Tổng</t>
  </si>
  <si>
    <t>Ngân sách TW</t>
  </si>
  <si>
    <t>Nguồn vốn tỉnh đối ứng</t>
  </si>
  <si>
    <t>TỈNH ĐIỀU HÀNH</t>
  </si>
  <si>
    <t xml:space="preserve">Dự án 4: Phát triển giáo dục nghề nghiệp, việc làm bền vững </t>
  </si>
  <si>
    <t>I.1</t>
  </si>
  <si>
    <t>I.2</t>
  </si>
  <si>
    <t>Tiểu dự án 3: Hỗ trợ việc làm bền vững</t>
  </si>
  <si>
    <t>PHÂN CẤP HUYỆN ĐIỀU HÀNH</t>
  </si>
  <si>
    <t>Dự án 1: Hỗ trợ đầu tư phát triển hạ tầng kinh tế - xã hội các huyện nghèo</t>
  </si>
  <si>
    <t>TMĐT</t>
  </si>
  <si>
    <t>Tên dự án, công trình</t>
  </si>
  <si>
    <t>DỰ ÁN 1 - GIẢI QUYẾT TÌNH TRẠNG THIẾU ĐẤT Ở, NHÀ Ở, ĐẤT SẢN XUẤT, NƯỚC SINH HOẠT</t>
  </si>
  <si>
    <t>Nội dung 4: Hỗ trợ nước sinh hoạt</t>
  </si>
  <si>
    <t>Dự án Cấp nước sinh hoạt tập trung vùng đồng bào dân tộc thiểu số và miền núi tỉnh Bắc Kạn năm 2022</t>
  </si>
  <si>
    <t>Ban QLDA ĐTXD CT NN&amp;PTNT</t>
  </si>
  <si>
    <t>DỰ ÁN 2 - QUY HOẠCH, SẮP XẾP, BỐ TRÍ, ỔN ĐỊNH DÂN CƯ Ở NHỮNG NƠI CẦN THIẾT</t>
  </si>
  <si>
    <t>Dự án bố trí ổn định tập trung dân cư vùng thiên tai tại khu Pù Pèn, thôn Nà Chảo-Nà Tậu, xã Công Bằng, huyện Pác Nặm, tỉnh Bắc Kạn</t>
  </si>
  <si>
    <t>Dự án Bố trí, ổn định dân cư tại chỗ các thôn thuộc xã Thượng Quan, huyện Ngân Sơn, tỉnh Bắc Kạn.</t>
  </si>
  <si>
    <t>DỰ ÁN 3 - PHÁT TRIỂN SẢN XUẤT NÔNG, LÂM NGHIỆP BỀN VỮNG, PHÁT HUY TIỀM NĂNG THẾ MẠNH CÁC VÙNG MIỀN ĐỂ SẢN XUẤT HÀNG HÓA THEO CHUỖI GIÁ TRỊ</t>
  </si>
  <si>
    <t xml:space="preserve"> DỰ ÁN 4 - ĐẦU TƯ CƠ SỞ HẠ TẦNG THIẾT YẾU, PHỤC VỤ SẢN XUẤT, ĐỜI SỐNG VÙNG ĐỒNG BÀO DTTS&amp;MN </t>
  </si>
  <si>
    <t>IV.3</t>
  </si>
  <si>
    <t>Nội dung 4: Đầu tư cứng hóa đường đến trung tâm xã chưa được cứng hóa; ưu tiên đầu tư đối với các xã chưa có đường từ trung tâm huyện đến trung tâm xã, đường liên xã (từ trung tâm xã đến trung tâm xã)</t>
  </si>
  <si>
    <t>Đường Nông Hạ - Khe Thỉ: ĐH.75</t>
  </si>
  <si>
    <t>Ban QLDA ĐTXD CTGT</t>
  </si>
  <si>
    <t>Đường Yên Cư - Cao Kỳ</t>
  </si>
  <si>
    <t>Đường liên xã Cao Sơn - Mỹ Thanh, huyện Bạch Thông</t>
  </si>
  <si>
    <t>Đường Bình Trung-Trung Minh (Tuyên Quang)</t>
  </si>
  <si>
    <t>Cải tạo, nâng cấp đường Quang Phong - Đổng Xá</t>
  </si>
  <si>
    <t xml:space="preserve">Đường từ trung tâm xã Cốc Đán, huyện Ngân Sơn đến xã Thành Công, huyện Nguyên Bình  </t>
  </si>
  <si>
    <t>Đường liên thôn Phiêng Giản (xã Phúc Lộc) - Lủng Pjầu (Yến Dương)</t>
  </si>
  <si>
    <t>Đường Nghiên Loan - Cổ Linh</t>
  </si>
  <si>
    <t>DỰ ÁN 5: PHÁT TRIỂN GIÁO DỤC ĐÀO TẠO NÂNG CAO CHẤT LƯỢNG NGUỒN NHÂN LỰC</t>
  </si>
  <si>
    <t>Đổi mới hoạt động, củng cố phát triển các trường phổ thông dân tộc nội trú, trường phổ thông dân tộc bán trú, trường phổ thông có học sinh ở bán trú và xóa mù chữ cho người dân vùng đồng bào dân tộc thiểu số, Chương trình MTQG phát triển KT – XH vùng đồng bào DTTS&amp;MN năm 2022</t>
  </si>
  <si>
    <t>DỰ ÁN 6: BẢO TỒN, PHÁT HUY GIÁ TRỊ VĂN HÓA TRUYỀN THỐNG TỐT ĐẸP CỦA CÁC DÂN TỘC THIỂU SỐ GẮN VỚI PHÁT TRIỂN DU LỊCH</t>
  </si>
  <si>
    <t>DỰ ÁN 7: CHĂM SÓC SỨC KHỎE NHÂN DÂN, NÂNG CAO THỂ TRẠNG, TẦM VÓC NGƯỜI DÂN TỘC THIỂU SỐ; PHÒNG CHỐNG SUY DINH DƯỠNG TRẺ EM</t>
  </si>
  <si>
    <t>DỰ ÁN 10: TRUYỀN THÔNG, TUYÊN TRUYỀN, VẬN ĐỘNG TRONG VÙNG ĐỒNG BÀO DÂN TỘC THIỂU SỐ, KIỂM TRA GIÁM SÁT ĐÁNH GIÁ VIỆC TỔ CHỨC THỰC HIỆN CHƯƠNG TRÌNH</t>
  </si>
  <si>
    <t>Nội dung 1, 2, 3: Hỗ trợ đất ở, nhà ở, đất sản xuất - phân cấp huyện điều hành</t>
  </si>
  <si>
    <t>Nội dung số 01: Đầu tư cơ sở hạ tầng thiết yếu cùng đồng bào dân tộc thiểu số và miền núi; ưu tiên đối với các xã ĐBKK, thôn ĐBKK</t>
  </si>
  <si>
    <t>ĐỊA PHƯƠNG</t>
  </si>
  <si>
    <t xml:space="preserve">Tổng </t>
  </si>
  <si>
    <t>NSTW</t>
  </si>
  <si>
    <t>Năm 2022</t>
  </si>
  <si>
    <t>HUYỆN NGÂN SƠN</t>
  </si>
  <si>
    <t>HUYỆN CHỢ ĐỒN</t>
  </si>
  <si>
    <t>HUYỆN CHỢ MỚI</t>
  </si>
  <si>
    <t>HUYỆN BA BỂ</t>
  </si>
  <si>
    <t>HUYỆN BẠCH THÔNG</t>
  </si>
  <si>
    <t>HUYỆN NA RÌ</t>
  </si>
  <si>
    <t>THÀNH PHỐ BẮC KẠN</t>
  </si>
  <si>
    <t>Chuẩn bị đầu tư</t>
  </si>
  <si>
    <t>Nguồn vốn</t>
  </si>
  <si>
    <t>2</t>
  </si>
  <si>
    <t>6</t>
  </si>
  <si>
    <t>3</t>
  </si>
  <si>
    <t>Vốn nước ngoài</t>
  </si>
  <si>
    <t>Biểu 4</t>
  </si>
  <si>
    <t>Mã dự án</t>
  </si>
  <si>
    <t>Nhóm dự án</t>
  </si>
  <si>
    <t>Ngày ký kết hiệp định</t>
  </si>
  <si>
    <t>KH đầu tư trung hạn vốn NSTW giai đoạn 2021-2025</t>
  </si>
  <si>
    <t>KH vốn NSTW năm 2023</t>
  </si>
  <si>
    <t>Kế hoạch vốn NSTW</t>
  </si>
  <si>
    <t>Ước giải ngân kế hoạch vốn NSTW năm 2022 từ 1/1/2022 đến 30/9/2022</t>
  </si>
  <si>
    <t>Ước giải ngân kế hoạch vốn NSTW năm 2022 từ 1/1/2022 đến 31/12/2022</t>
  </si>
  <si>
    <t>Giai đoạn 2021-2025</t>
  </si>
  <si>
    <t>Trong đó: Đã giao các năm 2021, 2022</t>
  </si>
  <si>
    <t xml:space="preserve">Vốn đối ứng </t>
  </si>
  <si>
    <t xml:space="preserve">Vốn nước ngoài </t>
  </si>
  <si>
    <t>Thu hồi các khoản vốn ứng trước</t>
  </si>
  <si>
    <t>4</t>
  </si>
  <si>
    <t>5</t>
  </si>
  <si>
    <t>7</t>
  </si>
  <si>
    <t>16</t>
  </si>
  <si>
    <t>17</t>
  </si>
  <si>
    <t>18</t>
  </si>
  <si>
    <t>19</t>
  </si>
  <si>
    <t>20</t>
  </si>
  <si>
    <t>21</t>
  </si>
  <si>
    <t>22</t>
  </si>
  <si>
    <t>23</t>
  </si>
  <si>
    <t>24</t>
  </si>
  <si>
    <t>VỐN NƯỚC NGOÀI GIẢI NGÂN KHÔNG THEO CƠ CHẾ TÀI CHÍNH TRONG NƯỚC</t>
  </si>
  <si>
    <t>Các dự án dự kiến hoàn thành năm 2023</t>
  </si>
  <si>
    <t>12/04/2018</t>
  </si>
  <si>
    <t>Xây dựng cầu dân sinh và quản lý tài sản đường địa phương (LRAMP) - Hợp phần đường</t>
  </si>
  <si>
    <t>04/07/2016</t>
  </si>
  <si>
    <t>Dự án dự kiến  hoàn thành sau năm 2023</t>
  </si>
  <si>
    <t>24/03/2017</t>
  </si>
  <si>
    <t>1438, 07/9/2016;762, 02/6/2017; 1896, ngày 21/10/2020, 1327, ngày 18/7/2022</t>
  </si>
  <si>
    <t>18/02/2020</t>
  </si>
  <si>
    <t xml:space="preserve"> KẾ HOẠCH VỐN NGÂN SÁCH TRUNG ƯƠNG (VỐN NƯỚC NGOÀI) GIAI ĐOẠN 2021-2025 VÀ DỰ KIẾN NĂM 2023</t>
  </si>
  <si>
    <t xml:space="preserve">Chuẩn bị đầu tư </t>
  </si>
  <si>
    <t>Kế hoạch vốn năm 2023</t>
  </si>
  <si>
    <t>QĐ đầu tư dự án</t>
  </si>
  <si>
    <t>KH vốn năm 2022</t>
  </si>
  <si>
    <t>Số QĐ</t>
  </si>
  <si>
    <t>1394/QĐ-UBND ngày 27/7/2022; 6587/UBND-NNTNMT ngày 04/10/2022</t>
  </si>
  <si>
    <t>Dự phòng chưa phân bổ</t>
  </si>
  <si>
    <t>2054/QĐ-UBND ngày 24/10/2022</t>
  </si>
  <si>
    <t>2084/QĐ-UBND ngày 27/10/2022</t>
  </si>
  <si>
    <t>1873/QĐ-UBND ngày 06/10/2022</t>
  </si>
  <si>
    <t>1863/QĐ-UBND ngày 04/10/2022</t>
  </si>
  <si>
    <t>1845/QĐ-UBND ngày 30/9/2022 (CV 6502/UBND-GTCNXD ngày 3/10/2022)</t>
  </si>
  <si>
    <t>2005/QĐ-UBND ngày 19/10/2022</t>
  </si>
  <si>
    <t>1758/QĐ-UBND ngày 19/9/2022</t>
  </si>
  <si>
    <t>2199/QĐ-UBND ngày 14/11/2022</t>
  </si>
  <si>
    <t>1619/QĐ-UBND ngày 26/8/2022</t>
  </si>
  <si>
    <t>2034/QĐ-UBND ngày 21/10/2022</t>
  </si>
  <si>
    <t>2035/QĐ-UBND ngày 21/10/2022</t>
  </si>
  <si>
    <t>UBND Huyện Chợ Mới</t>
  </si>
  <si>
    <t>TỔNG CỘNG 
(Nội dung thành phần số 2)</t>
  </si>
  <si>
    <t xml:space="preserve">Đầu tư xây dựng cơ sở vật chất và các công trình phụ trợ phục vụ đào tạo nhân lực chất lượng cao giai đoạn 2021 - 2025 và định hướng đến năm 2030 tại trường Cao đẳng Bắc Kạn </t>
  </si>
  <si>
    <t>Tiểu dự án 1: Phát triển giáo dục nghề nghiệp vùng nghèo, vùng khó khăn</t>
  </si>
  <si>
    <t>Dự án Cấp nước sinh hoạt tập trung vùng đồng bào dân tộc thiểu số và miền núi tỉnh Bắc Kạn năm 2023-2025</t>
  </si>
  <si>
    <t>Bố trí ổn định dân cư tại chỗ các thôn thuộc xã Bình Trung, huyện Chợ Đồn, tỉnh Bắc Kạn</t>
  </si>
  <si>
    <t>Bố trí ổn định dân cư tại chỗ thôn Nà Nguộc - Phiêng Câm và thôn Khau Lồm, xã Cao Kỳ, huyện Chợ Mới, tỉnh Bắc Kạn</t>
  </si>
  <si>
    <t>Dự án Hỗ trợ đầu tư xây dựng điểm đến du lịch tiêu biểu vùng đồng bào dân tộc thiểu sốvà miền núi</t>
  </si>
  <si>
    <t>Dự án Hỗ trợ tu bổ, tôn tạo di tích quốc gia đặc biệt, di tích quốc gia có giá trị tiêu biểu của các dân tộc thiểu số</t>
  </si>
  <si>
    <t>Dự án Hỗ trợ đầu tư bảo tồn làng, bản, văn hóa truyền thống tiêu biểu của các dân tộc thiểu số</t>
  </si>
  <si>
    <t>Sở Văn hoá, Thể thao và Du lịch</t>
  </si>
  <si>
    <t>2586/QĐ-UBND ngày 29/12/2022</t>
  </si>
  <si>
    <t>Chưa phân bổ; thực hiện phân bổ chi tiết sau</t>
  </si>
  <si>
    <t>Do dự án chưa được quyết định đầu tư</t>
  </si>
  <si>
    <t>Huy động khác</t>
  </si>
  <si>
    <t>2036/QĐ-UBND ngày 21/10/2022</t>
  </si>
  <si>
    <t>Kế hoạch vốn năm 2022</t>
  </si>
  <si>
    <t>Biểu số 01</t>
  </si>
  <si>
    <t>KẾT QUẢ PHÂN BỔ VỐN ĐẦU TƯ CÔNG THỰC HIỆN CHƯƠNG TRÌNH MỤC TIÊU QUỐC GIA PHÁT TRIỂN KINH TẾ XÃ HỘI VÙNG ĐỒNG BÀO DÂN TỘC THIỂU SỐ VÀ MIỀN NÚI NĂM 2023</t>
  </si>
  <si>
    <t>Biểu số 02</t>
  </si>
  <si>
    <t>Biểu số 03</t>
  </si>
  <si>
    <t>KH năm 2023 của tỉnh</t>
  </si>
  <si>
    <t>Đã giao chi tiết</t>
  </si>
  <si>
    <t>Chưa giao tiết</t>
  </si>
  <si>
    <t>Vốn NSĐP thực hiện chương trình mục tiêu quốc gia</t>
  </si>
  <si>
    <t>Vốn NSTW thực hiện chương trình mục tiêu quốc gia</t>
  </si>
  <si>
    <t>BÁO CÁO KẾ HOẠCH ĐẦU TƯ CÔNG THỰC HIỆN CÁC CHƯƠNG TRÌNH MỤC TIÊU QUỐC GIA NĂM 2023</t>
  </si>
  <si>
    <t>Biểu số 04</t>
  </si>
  <si>
    <t>(Kèm theo Tờ trình số      /TTr-UBND ngày     /7/2023 của Uỷ ban nhân dân tỉnh Bắc Kạn)</t>
  </si>
  <si>
    <t>PHƯƠNG ÁN PHÂN BỔ VỐN ĐẦU TƯ CÔNG THỰC HIỆN CHƯƠNG TRÌNH MỤC TIÊU QUỐC GIA GIẢM NGHÈO BỀN VỮNG NĂM 2023</t>
  </si>
  <si>
    <t>Nguồn vốn ngân sách Trung ương</t>
  </si>
  <si>
    <t>Đối ứng ngân sách địa phương (cấp tỉnh)</t>
  </si>
  <si>
    <t>PHƯƠNG ÁN PHÂN BỔ KẾ HOẠCH VỐN ĐẦU TƯ CÔNG THỰC HIỆN CHƯƠNG TRÌNH MỤC TIÊU QUỐC GIA XÂY DỰNG NÔNG THÔN MỚI NĂM 2023</t>
  </si>
  <si>
    <t>Trung tâm y tế huyện Ngân Sơn</t>
  </si>
  <si>
    <t>Dự án được phê duyệt tổng dự toán là 66.561 triệu đồng; chủ đầu tư đang trình điều chỉnh dự án</t>
  </si>
  <si>
    <t xml:space="preserve">Kế hoạch vốn năm 2023 đã giao </t>
  </si>
  <si>
    <t>1066/QĐ-UBND ngày 16/6/2023</t>
  </si>
  <si>
    <t>967/QĐ-UBND ngày 05/6/2023</t>
  </si>
  <si>
    <t>Đường liên xã Quang Thuận huyện Bạch Thông - xã Mai Lạp Chợ Mới</t>
  </si>
  <si>
    <t>Luỹ kế vốn đã bố trí đến hết năm 2022</t>
  </si>
  <si>
    <t>Kế hoạch vốn sau điều chỉnh</t>
  </si>
  <si>
    <t>Giảm</t>
  </si>
  <si>
    <t xml:space="preserve">Tăng </t>
  </si>
  <si>
    <t>(Kèm theo Nghị quyết số          /NQ-HĐND ngày     /7/2023 của Hội đồng nhân dân tỉnh)</t>
  </si>
  <si>
    <t>PHÂN BỔ, ĐIỀU CHỈNH KẾ HOẠCH VỐN ĐẦU TƯ CÔNG THỰC HIỆN CHƯƠNG TRÌNH MỤC TIÊU QUỐC GIA PHÁT TRIỂN KINH TẾ XÃ HỘI VÙNG ĐỒNG BÀO DÂN TỘC THIỂU SỐ VÀ MIỀN NÚI  NĂM 2023 VÀ NĂM 2022 KÉO DÀI SANG NĂM 2023</t>
  </si>
  <si>
    <t>Điều chỉnh</t>
  </si>
  <si>
    <t>ĐIỀU CHỈNH KẾ HOẠCH VỐN ĐẦU TƯ CÔNG THỰC HIỆN CHƯƠNG TRÌNH MỤC TIÊU QUỐC GIA GIẢM NGHÈO BỀN VỮNG NĂM 2022 KÉO DÀI SANG NĂM 2023</t>
  </si>
  <si>
    <t>KH vốn năm 2022 chưa phân bổ chi tiết được kéo dài sang năm 2023</t>
  </si>
  <si>
    <t>Kế hoạch vốn năm 2022 được  kéo dài sang năm 2023</t>
  </si>
  <si>
    <t>Phân bổ chi tiết sau</t>
  </si>
  <si>
    <t>UBND huyện Chợ Mới</t>
  </si>
  <si>
    <t>Kế hoạch vốn năm 2022 được kéo dài sang năm 2023</t>
  </si>
  <si>
    <t>Kế hoạch  vốn năm 2022 được kéo dài sang năm 2023</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</si>
</sst>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00\ _V_N_D_-;\-* #,##0.00\ _V_N_D_-;_-* &quot;-&quot;??\ _V_N_D_-;_-@_-"/>
    <numFmt numFmtId="187" formatCode="#,##0;[Red]#,##0"/>
    <numFmt numFmtId="188" formatCode="#,##0.0"/>
    <numFmt numFmtId="189" formatCode="_(* #,##0_);_(* \(#,##0\);_(* &quot;-&quot;??_);_(@_)"/>
    <numFmt numFmtId="190" formatCode="0.0"/>
    <numFmt numFmtId="191" formatCode="[$-409]h:mm:ss\ AM/PM"/>
    <numFmt numFmtId="192" formatCode="[$-409]dddd\,\ mmmm\ dd\,\ yyyy"/>
    <numFmt numFmtId="193" formatCode="0.0%"/>
    <numFmt numFmtId="194" formatCode="#,##0.000"/>
    <numFmt numFmtId="195" formatCode="#,##0.0;[Red]#,##0.0"/>
    <numFmt numFmtId="196" formatCode="[$-1010000]d/m/yyyy"/>
    <numFmt numFmtId="197" formatCode="0_);\(0\)"/>
    <numFmt numFmtId="198" formatCode="###0"/>
    <numFmt numFmtId="199" formatCode="_(* #,##0.0_);_(* \(#,##0.0\);_(* &quot;-&quot;??_);_(@_)"/>
    <numFmt numFmtId="200" formatCode="_(* #,##0.000_);_(* \(#,##0.000\);_(* &quot;-&quot;??_);_(@_)"/>
    <numFmt numFmtId="201" formatCode="_(* #,##0.000_);_(* \(#,##0.000\);_(* &quot;-&quot;???_);_(@_)"/>
    <numFmt numFmtId="202" formatCode="0.000"/>
    <numFmt numFmtId="203" formatCode="_(* #,##0.0_);_(* \(#,##0.0\);_(* &quot;-&quot;?_);_(@_)"/>
    <numFmt numFmtId="204" formatCode="&quot;Yes&quot;;&quot;Yes&quot;;&quot;No&quot;"/>
    <numFmt numFmtId="205" formatCode="&quot;True&quot;;&quot;True&quot;;&quot;False&quot;"/>
    <numFmt numFmtId="206" formatCode="&quot;On&quot;;&quot;On&quot;;&quot;Off&quot;"/>
    <numFmt numFmtId="207" formatCode="[$€-2]\ #,##0.00_);[Red]\([$€-2]\ #,##0.00\)"/>
    <numFmt numFmtId="208" formatCode="_-* #,##0\ _₫_-;\-* #,##0\ _₫_-;_-* &quot;-&quot;??\ _₫_-;_-@_-"/>
    <numFmt numFmtId="209" formatCode="#,##0.0_);\(#,##0.0\)"/>
    <numFmt numFmtId="210" formatCode="_-* #,##0.0\ _₫_-;\-* #,##0.0\ _₫_-;_-* &quot;-&quot;??\ _₫_-;_-@_-"/>
    <numFmt numFmtId="211" formatCode="_-* #,##0_-;\-* #,##0_-;_-* &quot;-&quot;??_-;_-@_-"/>
  </numFmts>
  <fonts count="79">
    <font>
      <sz val="11"/>
      <color theme="1"/>
      <name val="Calibri"/>
      <family val="2"/>
    </font>
    <font>
      <sz val="11"/>
      <color indexed="8"/>
      <name val="Calibri"/>
      <family val="2"/>
    </font>
    <font>
      <sz val="10"/>
      <name val="Arial"/>
      <family val="2"/>
    </font>
    <font>
      <b/>
      <sz val="14"/>
      <name val="Times New Roman"/>
      <family val="1"/>
    </font>
    <font>
      <sz val="12"/>
      <name val=".VnTime"/>
      <family val="2"/>
    </font>
    <font>
      <sz val="11"/>
      <color indexed="8"/>
      <name val="Helvetica Neue"/>
      <family val="0"/>
    </font>
    <font>
      <sz val="12"/>
      <name val="Times New Roman"/>
      <family val="1"/>
    </font>
    <font>
      <b/>
      <sz val="12"/>
      <name val="Times New Roman"/>
      <family val="1"/>
    </font>
    <font>
      <i/>
      <sz val="12"/>
      <name val="Times New Roman"/>
      <family val="1"/>
    </font>
    <font>
      <b/>
      <sz val="10"/>
      <name val="Times New Roman"/>
      <family val="1"/>
    </font>
    <font>
      <b/>
      <i/>
      <sz val="12"/>
      <name val="Times New Roman"/>
      <family val="1"/>
    </font>
    <font>
      <i/>
      <sz val="14"/>
      <name val="Times New Roman"/>
      <family val="1"/>
    </font>
    <font>
      <sz val="14"/>
      <name val="Times New Roman"/>
      <family val="1"/>
    </font>
    <font>
      <b/>
      <sz val="11"/>
      <name val="Times New Roman"/>
      <family val="1"/>
    </font>
    <font>
      <sz val="11"/>
      <name val="Times New Roman"/>
      <family val="1"/>
    </font>
    <font>
      <i/>
      <sz val="11"/>
      <name val="Times New Roman"/>
      <family val="1"/>
    </font>
    <font>
      <b/>
      <i/>
      <sz val="14"/>
      <name val="Times New Roman"/>
      <family val="1"/>
    </font>
    <font>
      <b/>
      <i/>
      <sz val="11"/>
      <name val="Times New Roman"/>
      <family val="1"/>
    </font>
    <font>
      <sz val="11"/>
      <color indexed="8"/>
      <name val="Times New Roman"/>
      <family val="2"/>
    </font>
    <font>
      <b/>
      <sz val="14"/>
      <color indexed="8"/>
      <name val="Times New Roman"/>
      <family val="1"/>
    </font>
    <font>
      <sz val="14"/>
      <color indexed="8"/>
      <name val="Times New Roman"/>
      <family val="1"/>
    </font>
    <font>
      <b/>
      <sz val="16"/>
      <name val="Times New Roman"/>
      <family val="1"/>
    </font>
    <font>
      <i/>
      <sz val="16"/>
      <name val="Times New Roman"/>
      <family val="1"/>
    </font>
    <font>
      <sz val="14"/>
      <color indexed="9"/>
      <name val="Times New Roman"/>
      <family val="1"/>
    </font>
    <font>
      <sz val="11"/>
      <color indexed="9"/>
      <name val="Calibri"/>
      <family val="2"/>
    </font>
    <font>
      <sz val="11"/>
      <color indexed="20"/>
      <name val="Calibri"/>
      <family val="2"/>
    </font>
    <font>
      <sz val="12"/>
      <color indexed="8"/>
      <name val="Times New Roman"/>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8"/>
      <name val="Times New Roman"/>
      <family val="1"/>
    </font>
    <font>
      <b/>
      <sz val="12"/>
      <color indexed="8"/>
      <name val="Times New Roman"/>
      <family val="1"/>
    </font>
    <font>
      <i/>
      <sz val="12"/>
      <color indexed="8"/>
      <name val="Times New Roman"/>
      <family val="1"/>
    </font>
    <font>
      <sz val="14"/>
      <name val="Calibri"/>
      <family val="2"/>
    </font>
    <font>
      <sz val="11"/>
      <name val="Calibri"/>
      <family val="2"/>
    </font>
    <font>
      <b/>
      <sz val="11"/>
      <name val="Calibri"/>
      <family val="2"/>
    </font>
    <font>
      <b/>
      <sz val="11"/>
      <color indexed="8"/>
      <name val="Times New Roman"/>
      <family val="1"/>
    </font>
    <font>
      <sz val="11"/>
      <color theme="0"/>
      <name val="Calibri"/>
      <family val="2"/>
    </font>
    <font>
      <sz val="11"/>
      <color rgb="FF9C0006"/>
      <name val="Calibri"/>
      <family val="2"/>
    </font>
    <font>
      <sz val="12"/>
      <color theme="1"/>
      <name val="Times New Roman"/>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theme="1"/>
      <name val="Times New Roman"/>
      <family val="1"/>
    </font>
    <font>
      <sz val="14"/>
      <color theme="1"/>
      <name val="Times New Roman"/>
      <family val="1"/>
    </font>
    <font>
      <b/>
      <sz val="14"/>
      <color theme="1"/>
      <name val="Times New Roman"/>
      <family val="1"/>
    </font>
    <font>
      <b/>
      <sz val="12"/>
      <color theme="1"/>
      <name val="Times New Roman"/>
      <family val="1"/>
    </font>
    <font>
      <sz val="12"/>
      <color rgb="FF000000"/>
      <name val="Times New Roman"/>
      <family val="1"/>
    </font>
    <font>
      <i/>
      <sz val="12"/>
      <color theme="1"/>
      <name val="Times New Roman"/>
      <family val="1"/>
    </font>
    <font>
      <b/>
      <sz val="11"/>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thin"/>
      <bottom>
        <color indexed="63"/>
      </bottom>
    </border>
    <border>
      <left style="thin"/>
      <right style="thin"/>
      <top/>
      <bottom style="thin"/>
    </border>
    <border>
      <left style="thin"/>
      <right style="thin"/>
      <top style="thin"/>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color indexed="63"/>
      </right>
      <top>
        <color indexed="63"/>
      </top>
      <bottom style="thin"/>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0" fillId="0" borderId="0">
      <alignment/>
      <protection/>
    </xf>
    <xf numFmtId="0" fontId="53" fillId="0" borderId="0">
      <alignment/>
      <protection/>
    </xf>
    <xf numFmtId="0" fontId="1" fillId="0" borderId="0">
      <alignment/>
      <protection/>
    </xf>
    <xf numFmtId="0" fontId="54" fillId="26" borderId="1" applyNumberFormat="0" applyAlignment="0" applyProtection="0"/>
    <xf numFmtId="0" fontId="55" fillId="27" borderId="2" applyNumberFormat="0" applyAlignment="0" applyProtection="0"/>
    <xf numFmtId="0" fontId="0" fillId="0" borderId="0">
      <alignment/>
      <protection/>
    </xf>
    <xf numFmtId="0" fontId="53" fillId="0" borderId="0">
      <alignment/>
      <protection/>
    </xf>
    <xf numFmtId="0" fontId="53" fillId="0" borderId="0">
      <alignment/>
      <protection/>
    </xf>
    <xf numFmtId="0" fontId="0" fillId="0" borderId="0">
      <alignment/>
      <protection/>
    </xf>
    <xf numFmtId="0" fontId="4" fillId="0" borderId="0">
      <alignment/>
      <protection/>
    </xf>
    <xf numFmtId="171" fontId="1" fillId="0" borderId="0" applyFont="0" applyFill="0" applyBorder="0" applyAlignment="0" applyProtection="0"/>
    <xf numFmtId="169" fontId="1" fillId="0" borderId="0" applyFont="0" applyFill="0" applyBorder="0" applyAlignment="0" applyProtection="0"/>
    <xf numFmtId="179" fontId="53"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86" fontId="2"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18" fillId="0" borderId="0" applyFont="0" applyFill="0" applyBorder="0" applyAlignment="0" applyProtection="0"/>
    <xf numFmtId="171" fontId="2" fillId="0" borderId="0" applyFont="0" applyFill="0" applyBorder="0" applyAlignment="0" applyProtection="0"/>
    <xf numFmtId="210" fontId="2" fillId="0" borderId="0" applyFont="0" applyFill="0" applyBorder="0" applyAlignment="0" applyProtection="0"/>
    <xf numFmtId="171" fontId="53"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1" fontId="5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8"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1" fillId="0" borderId="0">
      <alignment/>
      <protection/>
    </xf>
    <xf numFmtId="0" fontId="53" fillId="0" borderId="0">
      <alignment/>
      <protection/>
    </xf>
    <xf numFmtId="0" fontId="4" fillId="0" borderId="0">
      <alignment/>
      <protection/>
    </xf>
    <xf numFmtId="0" fontId="66" fillId="0" borderId="0">
      <alignment/>
      <protection/>
    </xf>
    <xf numFmtId="0" fontId="0" fillId="0" borderId="0">
      <alignment/>
      <protection/>
    </xf>
    <xf numFmtId="0" fontId="2" fillId="0" borderId="0">
      <alignment/>
      <protection/>
    </xf>
    <xf numFmtId="0" fontId="4" fillId="0" borderId="0">
      <alignment/>
      <protection/>
    </xf>
    <xf numFmtId="0" fontId="53" fillId="0" borderId="0">
      <alignment/>
      <protection/>
    </xf>
    <xf numFmtId="0" fontId="2" fillId="0" borderId="0">
      <alignment/>
      <protection/>
    </xf>
    <xf numFmtId="0" fontId="4" fillId="0" borderId="0">
      <alignment/>
      <protection/>
    </xf>
    <xf numFmtId="0" fontId="5" fillId="0" borderId="0" applyNumberFormat="0" applyFill="0" applyBorder="0" applyProtection="0">
      <alignment vertical="top"/>
    </xf>
    <xf numFmtId="0" fontId="4" fillId="0" borderId="0">
      <alignment/>
      <protection/>
    </xf>
    <xf numFmtId="0" fontId="1" fillId="0" borderId="0">
      <alignment/>
      <protection/>
    </xf>
    <xf numFmtId="0" fontId="2" fillId="0" borderId="0">
      <alignment/>
      <protection/>
    </xf>
    <xf numFmtId="0" fontId="1" fillId="31" borderId="7" applyNumberFormat="0" applyFont="0" applyAlignment="0" applyProtection="0"/>
    <xf numFmtId="0" fontId="67" fillId="26"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13">
    <xf numFmtId="0" fontId="0" fillId="0" borderId="0" xfId="0" applyFont="1" applyAlignment="1">
      <alignment/>
    </xf>
    <xf numFmtId="1" fontId="6" fillId="32" borderId="0" xfId="95" applyNumberFormat="1" applyFont="1" applyFill="1" applyAlignment="1">
      <alignment vertical="center"/>
      <protection/>
    </xf>
    <xf numFmtId="1" fontId="8" fillId="32" borderId="0" xfId="95" applyNumberFormat="1" applyFont="1" applyFill="1" applyAlignment="1">
      <alignment vertical="center"/>
      <protection/>
    </xf>
    <xf numFmtId="3" fontId="6" fillId="32" borderId="10" xfId="95" applyNumberFormat="1" applyFont="1" applyFill="1" applyBorder="1" applyAlignment="1" quotePrefix="1">
      <alignment horizontal="center" vertical="center" wrapText="1"/>
      <protection/>
    </xf>
    <xf numFmtId="3" fontId="6" fillId="32" borderId="0" xfId="95" applyNumberFormat="1" applyFont="1" applyFill="1" applyBorder="1" applyAlignment="1">
      <alignment vertical="center" wrapText="1"/>
      <protection/>
    </xf>
    <xf numFmtId="3" fontId="9" fillId="32" borderId="0" xfId="95" applyNumberFormat="1" applyFont="1" applyFill="1" applyBorder="1" applyAlignment="1">
      <alignment vertical="center" wrapText="1"/>
      <protection/>
    </xf>
    <xf numFmtId="188" fontId="6" fillId="32" borderId="0" xfId="95" applyNumberFormat="1" applyFont="1" applyFill="1" applyAlignment="1">
      <alignment vertical="center"/>
      <protection/>
    </xf>
    <xf numFmtId="1" fontId="10" fillId="32" borderId="0" xfId="95" applyNumberFormat="1" applyFont="1" applyFill="1" applyAlignment="1">
      <alignment vertical="center"/>
      <protection/>
    </xf>
    <xf numFmtId="188" fontId="10" fillId="32" borderId="0" xfId="95" applyNumberFormat="1" applyFont="1" applyFill="1" applyAlignment="1">
      <alignment vertical="center"/>
      <protection/>
    </xf>
    <xf numFmtId="1" fontId="53" fillId="32" borderId="0" xfId="95" applyNumberFormat="1" applyFont="1" applyFill="1" applyAlignment="1">
      <alignment vertical="center"/>
      <protection/>
    </xf>
    <xf numFmtId="1" fontId="71" fillId="32" borderId="0" xfId="95" applyNumberFormat="1" applyFont="1" applyFill="1" applyAlignment="1">
      <alignment vertical="center"/>
      <protection/>
    </xf>
    <xf numFmtId="3" fontId="12" fillId="0" borderId="10" xfId="95" applyNumberFormat="1" applyFont="1" applyFill="1" applyBorder="1" applyAlignment="1">
      <alignment horizontal="center" vertical="center" wrapText="1"/>
      <protection/>
    </xf>
    <xf numFmtId="3" fontId="12" fillId="0" borderId="10" xfId="0" applyNumberFormat="1" applyFont="1" applyBorder="1" applyAlignment="1">
      <alignment vertical="center" wrapText="1"/>
    </xf>
    <xf numFmtId="0" fontId="14" fillId="0" borderId="0" xfId="0" applyFont="1" applyFill="1" applyAlignment="1">
      <alignment/>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12" fillId="0" borderId="0" xfId="0" applyFont="1" applyFill="1" applyAlignment="1">
      <alignment/>
    </xf>
    <xf numFmtId="189" fontId="3" fillId="0" borderId="1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xf>
    <xf numFmtId="0" fontId="3" fillId="0" borderId="0" xfId="0" applyFont="1" applyFill="1" applyAlignment="1">
      <alignment horizontal="center" vertical="center"/>
    </xf>
    <xf numFmtId="0" fontId="16" fillId="0" borderId="10" xfId="0" applyFont="1" applyFill="1" applyBorder="1" applyAlignment="1">
      <alignment horizontal="center" vertical="center"/>
    </xf>
    <xf numFmtId="0" fontId="16" fillId="0" borderId="10" xfId="45" applyFont="1" applyFill="1" applyBorder="1" applyAlignment="1">
      <alignment vertical="center" wrapText="1"/>
      <protection/>
    </xf>
    <xf numFmtId="189" fontId="16" fillId="0" borderId="10" xfId="0" applyNumberFormat="1" applyFont="1" applyFill="1" applyBorder="1" applyAlignment="1">
      <alignment horizontal="center" vertical="center"/>
    </xf>
    <xf numFmtId="189" fontId="16" fillId="0" borderId="10" xfId="0" applyNumberFormat="1" applyFont="1" applyFill="1" applyBorder="1" applyAlignment="1">
      <alignment vertical="center"/>
    </xf>
    <xf numFmtId="0" fontId="16" fillId="0" borderId="0" xfId="0" applyFont="1" applyFill="1" applyAlignment="1">
      <alignment/>
    </xf>
    <xf numFmtId="0" fontId="12" fillId="0" borderId="10" xfId="0" applyFont="1" applyFill="1" applyBorder="1" applyAlignment="1">
      <alignment horizontal="center" vertical="center"/>
    </xf>
    <xf numFmtId="0" fontId="12" fillId="0" borderId="10" xfId="0" applyFont="1" applyFill="1" applyBorder="1" applyAlignment="1">
      <alignment vertical="center" wrapText="1"/>
    </xf>
    <xf numFmtId="3" fontId="12" fillId="0" borderId="10" xfId="0" applyNumberFormat="1" applyFont="1" applyFill="1" applyBorder="1" applyAlignment="1">
      <alignment horizontal="right" vertical="center" wrapText="1"/>
    </xf>
    <xf numFmtId="3" fontId="12" fillId="0" borderId="10" xfId="0" applyNumberFormat="1" applyFont="1" applyFill="1" applyBorder="1" applyAlignment="1">
      <alignment horizontal="center" vertical="center" wrapText="1"/>
    </xf>
    <xf numFmtId="0" fontId="16" fillId="0" borderId="10" xfId="0" applyFont="1" applyFill="1" applyBorder="1" applyAlignment="1">
      <alignment vertical="center" wrapText="1"/>
    </xf>
    <xf numFmtId="189" fontId="12"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189" fontId="3" fillId="0" borderId="10" xfId="0" applyNumberFormat="1" applyFont="1" applyFill="1" applyBorder="1" applyAlignment="1">
      <alignment vertical="center"/>
    </xf>
    <xf numFmtId="0" fontId="3" fillId="0" borderId="0" xfId="0" applyFont="1" applyFill="1" applyAlignment="1">
      <alignment/>
    </xf>
    <xf numFmtId="0" fontId="12" fillId="0" borderId="10" xfId="0" applyFont="1" applyFill="1" applyBorder="1" applyAlignment="1">
      <alignment horizontal="center"/>
    </xf>
    <xf numFmtId="0" fontId="12" fillId="0" borderId="0" xfId="0" applyFont="1" applyFill="1" applyAlignment="1">
      <alignment horizontal="center" vertical="center"/>
    </xf>
    <xf numFmtId="0" fontId="12" fillId="0" borderId="0" xfId="0" applyFont="1" applyFill="1" applyAlignment="1">
      <alignment horizontal="center"/>
    </xf>
    <xf numFmtId="0" fontId="13" fillId="0" borderId="10" xfId="40" applyFont="1" applyFill="1" applyBorder="1" applyAlignment="1">
      <alignment horizontal="center" vertical="center" wrapText="1"/>
      <protection/>
    </xf>
    <xf numFmtId="0" fontId="15" fillId="0" borderId="10" xfId="40" applyFont="1" applyFill="1" applyBorder="1" applyAlignment="1">
      <alignment horizontal="center" vertical="center" wrapText="1"/>
      <protection/>
    </xf>
    <xf numFmtId="3" fontId="13" fillId="0" borderId="10" xfId="40" applyNumberFormat="1" applyFont="1" applyFill="1" applyBorder="1" applyAlignment="1">
      <alignment horizontal="right" vertical="center" wrapText="1"/>
      <protection/>
    </xf>
    <xf numFmtId="188" fontId="13" fillId="0" borderId="10" xfId="40" applyNumberFormat="1" applyFont="1" applyFill="1" applyBorder="1" applyAlignment="1">
      <alignment horizontal="center" vertical="center" wrapText="1"/>
      <protection/>
    </xf>
    <xf numFmtId="0" fontId="13" fillId="0" borderId="10" xfId="0" applyFont="1" applyFill="1" applyBorder="1" applyAlignment="1">
      <alignment vertical="center" wrapText="1"/>
    </xf>
    <xf numFmtId="3" fontId="13" fillId="0" borderId="10" xfId="0" applyNumberFormat="1" applyFont="1" applyFill="1" applyBorder="1" applyAlignment="1">
      <alignment horizontal="right" vertical="center" wrapText="1"/>
    </xf>
    <xf numFmtId="188" fontId="13" fillId="0" borderId="10" xfId="0" applyNumberFormat="1" applyFont="1" applyFill="1" applyBorder="1" applyAlignment="1">
      <alignment horizontal="center" vertical="center" wrapText="1"/>
    </xf>
    <xf numFmtId="0" fontId="17" fillId="0" borderId="10" xfId="40" applyFont="1" applyFill="1" applyBorder="1" applyAlignment="1">
      <alignment horizontal="center" vertical="center" wrapText="1"/>
      <protection/>
    </xf>
    <xf numFmtId="0" fontId="17" fillId="0" borderId="10" xfId="0" applyFont="1" applyFill="1" applyBorder="1" applyAlignment="1">
      <alignment vertical="center" wrapText="1"/>
    </xf>
    <xf numFmtId="3" fontId="17" fillId="0" borderId="10" xfId="40" applyNumberFormat="1" applyFont="1" applyFill="1" applyBorder="1" applyAlignment="1">
      <alignment horizontal="right" vertical="center" wrapText="1"/>
      <protection/>
    </xf>
    <xf numFmtId="0" fontId="13" fillId="0" borderId="0" xfId="0" applyFont="1" applyFill="1" applyAlignment="1">
      <alignment/>
    </xf>
    <xf numFmtId="3" fontId="14" fillId="0" borderId="10" xfId="95" applyNumberFormat="1" applyFont="1" applyFill="1" applyBorder="1" applyAlignment="1">
      <alignment horizontal="center" vertical="center" wrapText="1"/>
      <protection/>
    </xf>
    <xf numFmtId="0" fontId="14" fillId="0" borderId="10" xfId="0" applyFont="1" applyFill="1" applyBorder="1" applyAlignment="1">
      <alignment horizontal="left" vertical="center" wrapText="1"/>
    </xf>
    <xf numFmtId="0" fontId="14" fillId="0" borderId="10" xfId="40" applyFont="1" applyFill="1" applyBorder="1" applyAlignment="1">
      <alignment horizontal="center" vertical="center" wrapText="1"/>
      <protection/>
    </xf>
    <xf numFmtId="3" fontId="14" fillId="0" borderId="10" xfId="40" applyNumberFormat="1" applyFont="1" applyFill="1" applyBorder="1" applyAlignment="1">
      <alignment horizontal="right" vertical="center" wrapText="1"/>
      <protection/>
    </xf>
    <xf numFmtId="3" fontId="13" fillId="0" borderId="10" xfId="95" applyNumberFormat="1" applyFont="1" applyFill="1" applyBorder="1" applyAlignment="1">
      <alignment horizontal="center" vertical="center" wrapText="1"/>
      <protection/>
    </xf>
    <xf numFmtId="0" fontId="13" fillId="0" borderId="10" xfId="0" applyFont="1" applyFill="1" applyBorder="1" applyAlignment="1">
      <alignment horizontal="left" vertical="center" wrapText="1"/>
    </xf>
    <xf numFmtId="0" fontId="17" fillId="0" borderId="10" xfId="0" applyFont="1" applyFill="1" applyBorder="1" applyAlignment="1">
      <alignment horizontal="center" vertical="center"/>
    </xf>
    <xf numFmtId="0" fontId="17" fillId="0" borderId="0" xfId="0" applyFont="1" applyFill="1" applyAlignment="1">
      <alignment/>
    </xf>
    <xf numFmtId="0" fontId="14" fillId="0" borderId="10" xfId="0" applyFont="1" applyFill="1" applyBorder="1" applyAlignment="1">
      <alignment horizontal="center" vertical="center"/>
    </xf>
    <xf numFmtId="0" fontId="14" fillId="0" borderId="10" xfId="0" applyFont="1" applyFill="1" applyBorder="1" applyAlignment="1">
      <alignment vertical="center" wrapText="1"/>
    </xf>
    <xf numFmtId="0" fontId="14" fillId="0" borderId="10" xfId="0" applyFont="1" applyFill="1" applyBorder="1" applyAlignment="1">
      <alignment horizontal="center" vertical="center" wrapText="1"/>
    </xf>
    <xf numFmtId="3" fontId="14" fillId="0" borderId="10" xfId="0" applyNumberFormat="1" applyFont="1" applyFill="1" applyBorder="1" applyAlignment="1">
      <alignment horizontal="right" vertical="center"/>
    </xf>
    <xf numFmtId="3" fontId="17" fillId="0" borderId="10" xfId="40" applyNumberFormat="1" applyFont="1" applyFill="1" applyBorder="1" applyAlignment="1">
      <alignment horizontal="right" vertical="center"/>
      <protection/>
    </xf>
    <xf numFmtId="0" fontId="14" fillId="0" borderId="10" xfId="40" applyFont="1" applyFill="1" applyBorder="1" applyAlignment="1">
      <alignment horizontal="center" vertical="center"/>
      <protection/>
    </xf>
    <xf numFmtId="3" fontId="14" fillId="0" borderId="10" xfId="40" applyNumberFormat="1" applyFont="1" applyFill="1" applyBorder="1" applyAlignment="1">
      <alignment horizontal="right" vertical="center"/>
      <protection/>
    </xf>
    <xf numFmtId="1" fontId="14" fillId="0" borderId="10" xfId="0" applyNumberFormat="1" applyFont="1" applyFill="1" applyBorder="1" applyAlignment="1">
      <alignment horizontal="center" vertical="center" wrapText="1"/>
    </xf>
    <xf numFmtId="3" fontId="14" fillId="0" borderId="10" xfId="0" applyNumberFormat="1" applyFont="1" applyFill="1" applyBorder="1" applyAlignment="1">
      <alignment horizontal="right" vertical="center" wrapText="1"/>
    </xf>
    <xf numFmtId="1" fontId="14" fillId="0" borderId="10" xfId="0" applyNumberFormat="1" applyFont="1" applyFill="1" applyBorder="1" applyAlignment="1">
      <alignment horizontal="left" vertical="center" wrapText="1"/>
    </xf>
    <xf numFmtId="49" fontId="14" fillId="0" borderId="10" xfId="0" applyNumberFormat="1" applyFont="1" applyFill="1" applyBorder="1" applyAlignment="1">
      <alignment horizontal="left" vertical="center" wrapText="1"/>
    </xf>
    <xf numFmtId="0" fontId="13" fillId="0" borderId="10" xfId="0" applyFont="1" applyFill="1" applyBorder="1" applyAlignment="1">
      <alignment horizontal="center" vertical="center"/>
    </xf>
    <xf numFmtId="3" fontId="13" fillId="0" borderId="10" xfId="0" applyNumberFormat="1" applyFont="1" applyFill="1" applyBorder="1" applyAlignment="1">
      <alignment horizontal="right" vertical="center"/>
    </xf>
    <xf numFmtId="3" fontId="13" fillId="0" borderId="10" xfId="0" applyNumberFormat="1" applyFont="1" applyFill="1" applyBorder="1" applyAlignment="1">
      <alignment horizontal="center" vertical="center"/>
    </xf>
    <xf numFmtId="188" fontId="14" fillId="0" borderId="10" xfId="0" applyNumberFormat="1" applyFont="1" applyFill="1" applyBorder="1" applyAlignment="1">
      <alignment horizontal="right" vertical="center"/>
    </xf>
    <xf numFmtId="0" fontId="13" fillId="0" borderId="10" xfId="0" applyFont="1" applyFill="1" applyBorder="1" applyAlignment="1">
      <alignment/>
    </xf>
    <xf numFmtId="188" fontId="14" fillId="0" borderId="10" xfId="0" applyNumberFormat="1"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0" fontId="14" fillId="0" borderId="10" xfId="0" applyFont="1" applyFill="1" applyBorder="1" applyAlignment="1">
      <alignment/>
    </xf>
    <xf numFmtId="3" fontId="17" fillId="0" borderId="10" xfId="0" applyNumberFormat="1" applyFont="1" applyFill="1" applyBorder="1" applyAlignment="1">
      <alignment horizontal="right" vertical="center" wrapText="1"/>
    </xf>
    <xf numFmtId="0" fontId="14" fillId="0" borderId="10" xfId="40" applyFont="1" applyFill="1" applyBorder="1" applyAlignment="1">
      <alignment horizontal="left" vertical="center" wrapText="1"/>
      <protection/>
    </xf>
    <xf numFmtId="0" fontId="14" fillId="0" borderId="0" xfId="0" applyFont="1" applyFill="1" applyAlignment="1">
      <alignment horizontal="center" vertical="center"/>
    </xf>
    <xf numFmtId="0" fontId="14" fillId="0" borderId="0" xfId="0" applyFont="1" applyFill="1" applyAlignment="1">
      <alignment horizontal="left"/>
    </xf>
    <xf numFmtId="0" fontId="14" fillId="0" borderId="0" xfId="0" applyFont="1" applyFill="1" applyAlignment="1">
      <alignment horizontal="center"/>
    </xf>
    <xf numFmtId="0" fontId="14" fillId="0" borderId="0" xfId="0" applyFont="1" applyFill="1" applyAlignment="1">
      <alignment horizontal="right"/>
    </xf>
    <xf numFmtId="3" fontId="14" fillId="0" borderId="0" xfId="0" applyNumberFormat="1" applyFont="1" applyFill="1" applyAlignment="1">
      <alignment/>
    </xf>
    <xf numFmtId="3" fontId="53" fillId="32" borderId="10" xfId="0" applyNumberFormat="1" applyFont="1" applyFill="1" applyBorder="1" applyAlignment="1">
      <alignment horizontal="center" vertical="center" wrapText="1"/>
    </xf>
    <xf numFmtId="3" fontId="53" fillId="32" borderId="10" xfId="95" applyNumberFormat="1" applyFont="1" applyFill="1" applyBorder="1" applyAlignment="1">
      <alignment horizontal="center" vertical="center" wrapText="1"/>
      <protection/>
    </xf>
    <xf numFmtId="3" fontId="6" fillId="32" borderId="10" xfId="95" applyNumberFormat="1" applyFont="1" applyFill="1" applyBorder="1" applyAlignment="1">
      <alignment vertical="center" wrapText="1"/>
      <protection/>
    </xf>
    <xf numFmtId="3" fontId="6" fillId="0" borderId="10" xfId="0" applyNumberFormat="1" applyFont="1" applyFill="1" applyBorder="1" applyAlignment="1">
      <alignment horizontal="center" vertical="center" wrapText="1"/>
    </xf>
    <xf numFmtId="189" fontId="6" fillId="0" borderId="10" xfId="50" applyNumberFormat="1" applyFont="1" applyFill="1" applyBorder="1" applyAlignment="1">
      <alignment horizontal="right" vertical="center" wrapText="1"/>
    </xf>
    <xf numFmtId="189" fontId="7" fillId="0" borderId="10" xfId="50" applyNumberFormat="1" applyFont="1" applyFill="1" applyBorder="1" applyAlignment="1">
      <alignment horizontal="right" vertical="center" wrapText="1"/>
    </xf>
    <xf numFmtId="3" fontId="6" fillId="32" borderId="10" xfId="95" applyNumberFormat="1" applyFont="1" applyFill="1" applyBorder="1" applyAlignment="1">
      <alignment horizontal="center" vertical="center" wrapText="1"/>
      <protection/>
    </xf>
    <xf numFmtId="189" fontId="6" fillId="0" borderId="10" xfId="53" applyNumberFormat="1" applyFont="1" applyFill="1" applyBorder="1" applyAlignment="1">
      <alignment horizontal="right" vertical="center" wrapText="1"/>
    </xf>
    <xf numFmtId="3" fontId="7" fillId="0" borderId="10" xfId="0" applyNumberFormat="1" applyFont="1" applyFill="1" applyBorder="1" applyAlignment="1">
      <alignment horizontal="center" vertical="center" wrapText="1"/>
    </xf>
    <xf numFmtId="3" fontId="7" fillId="32" borderId="10" xfId="95" applyNumberFormat="1" applyFont="1" applyFill="1" applyBorder="1" applyAlignment="1">
      <alignment horizontal="center" vertical="center" wrapText="1"/>
      <protection/>
    </xf>
    <xf numFmtId="3" fontId="7" fillId="32" borderId="10" xfId="95" applyNumberFormat="1" applyFont="1" applyFill="1" applyBorder="1" applyAlignment="1" quotePrefix="1">
      <alignment horizontal="center" vertical="center" wrapText="1"/>
      <protection/>
    </xf>
    <xf numFmtId="3" fontId="6" fillId="32" borderId="10" xfId="95" applyNumberFormat="1" applyFont="1" applyFill="1" applyBorder="1" applyAlignment="1">
      <alignment vertical="center"/>
      <protection/>
    </xf>
    <xf numFmtId="3" fontId="6" fillId="32" borderId="10" xfId="95" applyNumberFormat="1" applyFont="1" applyFill="1" applyBorder="1" applyAlignment="1">
      <alignment horizontal="right" vertical="center"/>
      <protection/>
    </xf>
    <xf numFmtId="3" fontId="20" fillId="0" borderId="0" xfId="0" applyNumberFormat="1" applyFont="1" applyAlignment="1">
      <alignment vertical="center" wrapText="1"/>
    </xf>
    <xf numFmtId="3" fontId="72" fillId="0" borderId="0" xfId="0" applyNumberFormat="1" applyFont="1" applyAlignment="1">
      <alignment vertical="center" wrapText="1" readingOrder="1"/>
    </xf>
    <xf numFmtId="3" fontId="72" fillId="0" borderId="0" xfId="0" applyNumberFormat="1" applyFont="1" applyAlignment="1">
      <alignment/>
    </xf>
    <xf numFmtId="3" fontId="19" fillId="0" borderId="0" xfId="0" applyNumberFormat="1" applyFont="1" applyAlignment="1">
      <alignment vertical="center" wrapText="1"/>
    </xf>
    <xf numFmtId="3" fontId="20" fillId="0" borderId="0" xfId="0" applyNumberFormat="1" applyFont="1" applyAlignment="1">
      <alignment horizontal="center" vertical="center" wrapText="1"/>
    </xf>
    <xf numFmtId="3" fontId="12" fillId="0" borderId="10" xfId="0" applyNumberFormat="1" applyFont="1" applyBorder="1" applyAlignment="1" quotePrefix="1">
      <alignment horizontal="center" vertical="center" wrapText="1"/>
    </xf>
    <xf numFmtId="3" fontId="3" fillId="0" borderId="10" xfId="0" applyNumberFormat="1" applyFont="1" applyBorder="1" applyAlignment="1">
      <alignment horizontal="center" vertical="center" wrapText="1"/>
    </xf>
    <xf numFmtId="3" fontId="73" fillId="0" borderId="0" xfId="0" applyNumberFormat="1" applyFont="1" applyAlignment="1">
      <alignment/>
    </xf>
    <xf numFmtId="1" fontId="11" fillId="0" borderId="0" xfId="95" applyNumberFormat="1" applyFont="1" applyFill="1" applyAlignment="1">
      <alignment vertical="center"/>
      <protection/>
    </xf>
    <xf numFmtId="1" fontId="12" fillId="0" borderId="0" xfId="95" applyNumberFormat="1" applyFont="1" applyFill="1" applyAlignment="1">
      <alignment vertical="center"/>
      <protection/>
    </xf>
    <xf numFmtId="1" fontId="23" fillId="0" borderId="0" xfId="95" applyNumberFormat="1" applyFont="1" applyFill="1" applyAlignment="1">
      <alignment vertical="center"/>
      <protection/>
    </xf>
    <xf numFmtId="3" fontId="12" fillId="0" borderId="0" xfId="95" applyNumberFormat="1" applyFont="1" applyBorder="1" applyAlignment="1">
      <alignment horizontal="center" vertical="center" wrapText="1"/>
      <protection/>
    </xf>
    <xf numFmtId="3" fontId="12" fillId="0" borderId="10" xfId="95" applyNumberFormat="1" applyFont="1" applyFill="1" applyBorder="1" applyAlignment="1" quotePrefix="1">
      <alignment horizontal="center" vertical="center" wrapText="1"/>
      <protection/>
    </xf>
    <xf numFmtId="3" fontId="12" fillId="0" borderId="0" xfId="95" applyNumberFormat="1" applyFont="1" applyFill="1" applyBorder="1" applyAlignment="1">
      <alignment vertical="center" wrapText="1"/>
      <protection/>
    </xf>
    <xf numFmtId="3" fontId="10" fillId="32" borderId="11" xfId="95" applyNumberFormat="1" applyFont="1" applyFill="1" applyBorder="1" applyAlignment="1">
      <alignment vertical="center"/>
      <protection/>
    </xf>
    <xf numFmtId="3" fontId="7" fillId="32" borderId="0" xfId="95" applyNumberFormat="1" applyFont="1" applyFill="1" applyBorder="1" applyAlignment="1">
      <alignment vertical="center" wrapText="1"/>
      <protection/>
    </xf>
    <xf numFmtId="1" fontId="12" fillId="0" borderId="0" xfId="95" applyNumberFormat="1" applyFont="1" applyFill="1" applyAlignment="1">
      <alignment horizontal="center" vertical="center"/>
      <protection/>
    </xf>
    <xf numFmtId="1" fontId="12" fillId="0" borderId="0" xfId="95" applyNumberFormat="1" applyFont="1" applyFill="1" applyAlignment="1">
      <alignment vertical="center" wrapText="1"/>
      <protection/>
    </xf>
    <xf numFmtId="1" fontId="12" fillId="0" borderId="0" xfId="95" applyNumberFormat="1" applyFont="1" applyFill="1" applyAlignment="1">
      <alignment horizontal="center" vertical="center" wrapText="1"/>
      <protection/>
    </xf>
    <xf numFmtId="1" fontId="12" fillId="0" borderId="0" xfId="95" applyNumberFormat="1" applyFont="1" applyFill="1" applyAlignment="1">
      <alignment horizontal="right" vertical="center"/>
      <protection/>
    </xf>
    <xf numFmtId="3" fontId="7" fillId="32" borderId="10" xfId="95" applyNumberFormat="1" applyFont="1" applyFill="1" applyBorder="1" applyAlignment="1" quotePrefix="1">
      <alignment vertical="center" wrapText="1"/>
      <protection/>
    </xf>
    <xf numFmtId="3" fontId="74" fillId="32" borderId="10" xfId="95" applyNumberFormat="1" applyFont="1" applyFill="1" applyBorder="1" applyAlignment="1" quotePrefix="1">
      <alignment vertical="center" wrapText="1"/>
      <protection/>
    </xf>
    <xf numFmtId="3" fontId="7" fillId="32" borderId="10" xfId="95" applyNumberFormat="1" applyFont="1" applyFill="1" applyBorder="1" applyAlignment="1" quotePrefix="1">
      <alignment horizontal="right" vertical="center" wrapText="1"/>
      <protection/>
    </xf>
    <xf numFmtId="3" fontId="9" fillId="32" borderId="10" xfId="95" applyNumberFormat="1" applyFont="1" applyFill="1" applyBorder="1" applyAlignment="1" quotePrefix="1">
      <alignment horizontal="center" vertical="center" wrapText="1"/>
      <protection/>
    </xf>
    <xf numFmtId="3" fontId="9" fillId="32" borderId="10" xfId="95" applyNumberFormat="1" applyFont="1" applyFill="1" applyBorder="1" applyAlignment="1">
      <alignment horizontal="center" vertical="center" wrapText="1"/>
      <protection/>
    </xf>
    <xf numFmtId="49" fontId="10" fillId="32" borderId="10" xfId="95" applyNumberFormat="1" applyFont="1" applyFill="1" applyBorder="1" applyAlignment="1">
      <alignment horizontal="center" vertical="center"/>
      <protection/>
    </xf>
    <xf numFmtId="1" fontId="10" fillId="32" borderId="10" xfId="95" applyNumberFormat="1" applyFont="1" applyFill="1" applyBorder="1" applyAlignment="1">
      <alignment horizontal="center" vertical="center" wrapText="1"/>
      <protection/>
    </xf>
    <xf numFmtId="1" fontId="8" fillId="32" borderId="10" xfId="95" applyNumberFormat="1" applyFont="1" applyFill="1" applyBorder="1" applyAlignment="1">
      <alignment horizontal="center" vertical="center" wrapText="1"/>
      <protection/>
    </xf>
    <xf numFmtId="3" fontId="10" fillId="32" borderId="10" xfId="95" applyNumberFormat="1" applyFont="1" applyFill="1" applyBorder="1" applyAlignment="1">
      <alignment vertical="center"/>
      <protection/>
    </xf>
    <xf numFmtId="3" fontId="10" fillId="32" borderId="10" xfId="95" applyNumberFormat="1" applyFont="1" applyFill="1" applyBorder="1" applyAlignment="1">
      <alignment horizontal="center" vertical="center"/>
      <protection/>
    </xf>
    <xf numFmtId="3" fontId="10" fillId="32" borderId="10" xfId="95" applyNumberFormat="1" applyFont="1" applyFill="1" applyBorder="1" applyAlignment="1">
      <alignment horizontal="right" vertical="center"/>
      <protection/>
    </xf>
    <xf numFmtId="3" fontId="71" fillId="32" borderId="10" xfId="95" applyNumberFormat="1" applyFont="1" applyFill="1" applyBorder="1" applyAlignment="1">
      <alignment vertical="center"/>
      <protection/>
    </xf>
    <xf numFmtId="1" fontId="8" fillId="32" borderId="10" xfId="95" applyNumberFormat="1" applyFont="1" applyFill="1" applyBorder="1" applyAlignment="1">
      <alignment vertical="center"/>
      <protection/>
    </xf>
    <xf numFmtId="1" fontId="10" fillId="32" borderId="10" xfId="95" applyNumberFormat="1" applyFont="1" applyFill="1" applyBorder="1" applyAlignment="1">
      <alignment vertical="center"/>
      <protection/>
    </xf>
    <xf numFmtId="49" fontId="7" fillId="32" borderId="10" xfId="95" applyNumberFormat="1" applyFont="1" applyFill="1" applyBorder="1" applyAlignment="1">
      <alignment horizontal="center" vertical="center"/>
      <protection/>
    </xf>
    <xf numFmtId="1" fontId="7" fillId="32" borderId="10" xfId="95" applyNumberFormat="1" applyFont="1" applyFill="1" applyBorder="1" applyAlignment="1">
      <alignment horizontal="center" vertical="center" wrapText="1"/>
      <protection/>
    </xf>
    <xf numFmtId="1" fontId="6" fillId="32" borderId="10" xfId="95" applyNumberFormat="1" applyFont="1" applyFill="1" applyBorder="1" applyAlignment="1">
      <alignment horizontal="center" vertical="center" wrapText="1"/>
      <protection/>
    </xf>
    <xf numFmtId="3" fontId="6" fillId="32" borderId="10" xfId="95" applyNumberFormat="1" applyFont="1" applyFill="1" applyBorder="1" applyAlignment="1">
      <alignment horizontal="center" vertical="center"/>
      <protection/>
    </xf>
    <xf numFmtId="3" fontId="53" fillId="32" borderId="10" xfId="95" applyNumberFormat="1" applyFont="1" applyFill="1" applyBorder="1" applyAlignment="1">
      <alignment vertical="center"/>
      <protection/>
    </xf>
    <xf numFmtId="1" fontId="6" fillId="32" borderId="10" xfId="95" applyNumberFormat="1" applyFont="1" applyFill="1" applyBorder="1" applyAlignment="1">
      <alignment vertical="center"/>
      <protection/>
    </xf>
    <xf numFmtId="1" fontId="6" fillId="32" borderId="10" xfId="95" applyNumberFormat="1" applyFont="1" applyFill="1" applyBorder="1" applyAlignment="1">
      <alignment vertical="center" wrapText="1"/>
      <protection/>
    </xf>
    <xf numFmtId="49" fontId="53" fillId="32" borderId="10" xfId="0" applyNumberFormat="1" applyFont="1" applyFill="1" applyBorder="1" applyAlignment="1">
      <alignment horizontal="center" vertical="center" wrapText="1"/>
    </xf>
    <xf numFmtId="2" fontId="53" fillId="32" borderId="10" xfId="0" applyNumberFormat="1" applyFont="1" applyFill="1" applyBorder="1" applyAlignment="1">
      <alignment horizontal="center" vertical="center" wrapText="1"/>
    </xf>
    <xf numFmtId="3" fontId="53" fillId="32" borderId="10" xfId="0" applyNumberFormat="1" applyFont="1" applyFill="1" applyBorder="1" applyAlignment="1">
      <alignment vertical="center" wrapText="1"/>
    </xf>
    <xf numFmtId="3" fontId="75" fillId="32" borderId="10" xfId="0" applyNumberFormat="1" applyFont="1" applyFill="1" applyBorder="1" applyAlignment="1">
      <alignment horizontal="center" vertical="center" wrapText="1"/>
    </xf>
    <xf numFmtId="3" fontId="75" fillId="32" borderId="10" xfId="0" applyNumberFormat="1" applyFont="1" applyFill="1" applyBorder="1" applyAlignment="1">
      <alignment vertical="center" wrapText="1"/>
    </xf>
    <xf numFmtId="3" fontId="6" fillId="32" borderId="10" xfId="0" applyNumberFormat="1" applyFont="1" applyFill="1" applyBorder="1" applyAlignment="1">
      <alignment vertical="center" wrapText="1"/>
    </xf>
    <xf numFmtId="3" fontId="76" fillId="32" borderId="10" xfId="95" applyNumberFormat="1" applyFont="1" applyFill="1" applyBorder="1" applyAlignment="1">
      <alignment vertical="center"/>
      <protection/>
    </xf>
    <xf numFmtId="3" fontId="6" fillId="32" borderId="10" xfId="53" applyNumberFormat="1" applyFont="1" applyFill="1" applyBorder="1" applyAlignment="1">
      <alignment horizontal="right" vertical="center"/>
    </xf>
    <xf numFmtId="49" fontId="71" fillId="32" borderId="10" xfId="95" applyNumberFormat="1" applyFont="1" applyFill="1" applyBorder="1" applyAlignment="1">
      <alignment horizontal="center" vertical="center"/>
      <protection/>
    </xf>
    <xf numFmtId="1" fontId="53" fillId="32" borderId="10" xfId="95" applyNumberFormat="1" applyFont="1" applyFill="1" applyBorder="1" applyAlignment="1">
      <alignment vertical="center" wrapText="1"/>
      <protection/>
    </xf>
    <xf numFmtId="1" fontId="53" fillId="32" borderId="10" xfId="95" applyNumberFormat="1" applyFont="1" applyFill="1" applyBorder="1" applyAlignment="1">
      <alignment horizontal="center" vertical="center" wrapText="1"/>
      <protection/>
    </xf>
    <xf numFmtId="1" fontId="53" fillId="32" borderId="10" xfId="95" applyNumberFormat="1" applyFont="1" applyFill="1" applyBorder="1" applyAlignment="1">
      <alignment vertical="center"/>
      <protection/>
    </xf>
    <xf numFmtId="49" fontId="75" fillId="32"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72" fillId="0" borderId="12" xfId="0" applyFont="1" applyFill="1" applyBorder="1" applyAlignment="1">
      <alignment horizontal="center" vertical="center" wrapText="1"/>
    </xf>
    <xf numFmtId="3" fontId="12" fillId="0" borderId="10" xfId="53"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0" fontId="3" fillId="0" borderId="10" xfId="40" applyFont="1" applyFill="1" applyBorder="1" applyAlignment="1">
      <alignment horizontal="left" vertical="center" wrapText="1"/>
      <protection/>
    </xf>
    <xf numFmtId="3" fontId="17" fillId="0" borderId="10" xfId="40" applyNumberFormat="1" applyFont="1" applyFill="1" applyBorder="1" applyAlignment="1">
      <alignment horizontal="center" vertical="center" wrapText="1"/>
      <protection/>
    </xf>
    <xf numFmtId="0" fontId="17" fillId="0" borderId="10" xfId="0" applyFont="1" applyFill="1" applyBorder="1" applyAlignment="1">
      <alignment horizontal="center" wrapText="1"/>
    </xf>
    <xf numFmtId="188" fontId="13" fillId="0" borderId="10" xfId="0" applyNumberFormat="1" applyFont="1" applyFill="1" applyBorder="1" applyAlignment="1">
      <alignment horizontal="center" wrapText="1"/>
    </xf>
    <xf numFmtId="0" fontId="13" fillId="0" borderId="10" xfId="0" applyFont="1" applyFill="1" applyBorder="1" applyAlignment="1">
      <alignment horizontal="center" wrapText="1"/>
    </xf>
    <xf numFmtId="3" fontId="14" fillId="0" borderId="10" xfId="0" applyNumberFormat="1" applyFont="1" applyFill="1" applyBorder="1" applyAlignment="1">
      <alignment horizontal="center" wrapText="1"/>
    </xf>
    <xf numFmtId="3" fontId="6" fillId="0" borderId="10" xfId="40" applyNumberFormat="1" applyFont="1" applyFill="1" applyBorder="1" applyAlignment="1">
      <alignment horizontal="center" vertical="center" wrapText="1"/>
      <protection/>
    </xf>
    <xf numFmtId="0" fontId="14" fillId="0" borderId="0" xfId="0" applyFont="1" applyFill="1" applyAlignment="1">
      <alignment horizontal="center" wrapText="1"/>
    </xf>
    <xf numFmtId="189" fontId="0" fillId="0" borderId="0" xfId="0" applyNumberFormat="1" applyAlignment="1">
      <alignment/>
    </xf>
    <xf numFmtId="0" fontId="0" fillId="0" borderId="0" xfId="0" applyAlignment="1">
      <alignment/>
    </xf>
    <xf numFmtId="189" fontId="6" fillId="0" borderId="10" xfId="53" applyNumberFormat="1" applyFont="1" applyFill="1" applyBorder="1" applyAlignment="1" quotePrefix="1">
      <alignment horizontal="right" vertical="center" wrapText="1"/>
    </xf>
    <xf numFmtId="0" fontId="13" fillId="0" borderId="10" xfId="0" applyFont="1" applyFill="1" applyBorder="1" applyAlignment="1">
      <alignment horizontal="center" vertical="center" wrapText="1"/>
    </xf>
    <xf numFmtId="0" fontId="14" fillId="0" borderId="0" xfId="0" applyFont="1" applyFill="1" applyAlignment="1">
      <alignment wrapText="1"/>
    </xf>
    <xf numFmtId="0" fontId="17" fillId="0" borderId="10" xfId="0" applyFont="1" applyFill="1" applyBorder="1" applyAlignment="1">
      <alignment horizontal="center" vertical="center" wrapText="1"/>
    </xf>
    <xf numFmtId="3" fontId="14" fillId="0" borderId="10" xfId="0" applyNumberFormat="1" applyFont="1" applyFill="1" applyBorder="1" applyAlignment="1">
      <alignment horizontal="center" vertical="center" wrapText="1"/>
    </xf>
    <xf numFmtId="0" fontId="12" fillId="0" borderId="10" xfId="40" applyFont="1" applyFill="1" applyBorder="1" applyAlignment="1">
      <alignment horizontal="left" vertical="center" wrapText="1"/>
      <protection/>
    </xf>
    <xf numFmtId="0" fontId="12" fillId="0" borderId="10" xfId="40" applyFont="1" applyFill="1" applyBorder="1" applyAlignment="1">
      <alignment horizontal="center" vertical="center" wrapText="1"/>
      <protection/>
    </xf>
    <xf numFmtId="0" fontId="3" fillId="0" borderId="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xf>
    <xf numFmtId="0" fontId="14" fillId="0" borderId="10" xfId="0" applyFont="1" applyFill="1" applyBorder="1" applyAlignment="1">
      <alignment horizontal="center"/>
    </xf>
    <xf numFmtId="0" fontId="11" fillId="0" borderId="0" xfId="40" applyFont="1" applyFill="1" applyBorder="1" applyAlignment="1">
      <alignment horizontal="center" vertical="center" wrapText="1"/>
      <protection/>
    </xf>
    <xf numFmtId="0" fontId="11" fillId="0" borderId="0" xfId="40" applyFont="1" applyFill="1" applyBorder="1" applyAlignment="1">
      <alignment horizontal="left" vertical="center" wrapText="1"/>
      <protection/>
    </xf>
    <xf numFmtId="188" fontId="12" fillId="0" borderId="10" xfId="40" applyNumberFormat="1" applyFont="1" applyFill="1" applyBorder="1" applyAlignment="1">
      <alignment horizontal="right" vertical="center" wrapText="1"/>
      <protection/>
    </xf>
    <xf numFmtId="0" fontId="3" fillId="0" borderId="10" xfId="40" applyFont="1" applyFill="1" applyBorder="1" applyAlignment="1">
      <alignment horizontal="center" vertical="center" wrapText="1"/>
      <protection/>
    </xf>
    <xf numFmtId="189" fontId="14" fillId="0" borderId="10" xfId="0" applyNumberFormat="1" applyFont="1" applyFill="1" applyBorder="1" applyAlignment="1">
      <alignment horizontal="center" vertical="center" wrapText="1"/>
    </xf>
    <xf numFmtId="0" fontId="3" fillId="0" borderId="10" xfId="40" applyFont="1" applyFill="1" applyBorder="1" applyAlignment="1">
      <alignment vertical="center" wrapText="1"/>
      <protection/>
    </xf>
    <xf numFmtId="0" fontId="3" fillId="0" borderId="0" xfId="0" applyFont="1" applyFill="1" applyAlignment="1">
      <alignment horizontal="center"/>
    </xf>
    <xf numFmtId="0" fontId="12" fillId="0" borderId="0" xfId="0" applyFont="1" applyFill="1" applyAlignment="1">
      <alignment horizontal="right"/>
    </xf>
    <xf numFmtId="0" fontId="12" fillId="0" borderId="0" xfId="0" applyFont="1" applyFill="1" applyAlignment="1">
      <alignment horizontal="center" wrapText="1"/>
    </xf>
    <xf numFmtId="0" fontId="11" fillId="0" borderId="0" xfId="40" applyFont="1" applyFill="1" applyBorder="1" applyAlignment="1">
      <alignment horizontal="right" vertical="center" wrapText="1"/>
      <protection/>
    </xf>
    <xf numFmtId="0" fontId="3" fillId="0" borderId="10" xfId="86" applyFont="1" applyFill="1" applyBorder="1" applyAlignment="1" quotePrefix="1">
      <alignment horizontal="center" vertical="center" wrapText="1"/>
      <protection/>
    </xf>
    <xf numFmtId="189" fontId="3" fillId="0" borderId="10" xfId="53" applyNumberFormat="1" applyFont="1" applyFill="1" applyBorder="1" applyAlignment="1">
      <alignment horizontal="left" vertical="center" wrapText="1"/>
    </xf>
    <xf numFmtId="189" fontId="3" fillId="0" borderId="10" xfId="53" applyNumberFormat="1" applyFont="1" applyFill="1" applyBorder="1" applyAlignment="1">
      <alignment vertical="center" wrapText="1"/>
    </xf>
    <xf numFmtId="189" fontId="12" fillId="0" borderId="10" xfId="53" applyNumberFormat="1" applyFont="1" applyFill="1" applyBorder="1" applyAlignment="1">
      <alignment vertical="center" wrapText="1"/>
    </xf>
    <xf numFmtId="189" fontId="12" fillId="0" borderId="10" xfId="58" applyNumberFormat="1" applyFont="1" applyFill="1" applyBorder="1" applyAlignment="1">
      <alignment horizontal="left" vertical="center" wrapText="1"/>
    </xf>
    <xf numFmtId="3" fontId="12" fillId="0" borderId="10" xfId="0" applyNumberFormat="1" applyFont="1" applyFill="1" applyBorder="1" applyAlignment="1">
      <alignment vertical="center" wrapText="1"/>
    </xf>
    <xf numFmtId="3" fontId="12" fillId="0" borderId="10" xfId="0" applyNumberFormat="1" applyFont="1" applyFill="1" applyBorder="1" applyAlignment="1">
      <alignment horizontal="right" vertical="center"/>
    </xf>
    <xf numFmtId="3" fontId="11" fillId="0" borderId="0" xfId="0" applyNumberFormat="1" applyFont="1" applyAlignment="1">
      <alignment horizontal="center" vertical="center" wrapText="1"/>
    </xf>
    <xf numFmtId="3" fontId="16" fillId="0" borderId="10" xfId="0" applyNumberFormat="1" applyFont="1" applyBorder="1" applyAlignment="1" quotePrefix="1">
      <alignment horizontal="center" vertical="center" wrapText="1"/>
    </xf>
    <xf numFmtId="3" fontId="16" fillId="0" borderId="10" xfId="0" applyNumberFormat="1" applyFont="1" applyBorder="1" applyAlignment="1">
      <alignment vertical="center" wrapText="1"/>
    </xf>
    <xf numFmtId="194" fontId="20" fillId="0" borderId="0" xfId="0" applyNumberFormat="1" applyFont="1" applyAlignment="1">
      <alignment vertical="center" wrapText="1"/>
    </xf>
    <xf numFmtId="4" fontId="20" fillId="0" borderId="0" xfId="0" applyNumberFormat="1" applyFont="1" applyAlignment="1">
      <alignment vertical="center" wrapText="1"/>
    </xf>
    <xf numFmtId="0" fontId="12" fillId="0" borderId="0" xfId="0" applyFont="1" applyFill="1" applyAlignment="1">
      <alignment vertical="center"/>
    </xf>
    <xf numFmtId="0" fontId="12" fillId="0" borderId="10" xfId="0" applyFont="1" applyFill="1" applyBorder="1" applyAlignment="1">
      <alignment vertical="center"/>
    </xf>
    <xf numFmtId="189" fontId="12" fillId="0" borderId="10" xfId="0" applyNumberFormat="1" applyFont="1" applyFill="1" applyBorder="1" applyAlignment="1">
      <alignment vertical="center"/>
    </xf>
    <xf numFmtId="189" fontId="12" fillId="0" borderId="10" xfId="0" applyNumberFormat="1" applyFont="1" applyFill="1" applyBorder="1" applyAlignment="1">
      <alignment vertical="center" wrapText="1"/>
    </xf>
    <xf numFmtId="0" fontId="47" fillId="0" borderId="0" xfId="0" applyFont="1" applyFill="1" applyAlignment="1">
      <alignment/>
    </xf>
    <xf numFmtId="0" fontId="48" fillId="0" borderId="0" xfId="0" applyFont="1" applyFill="1" applyAlignment="1">
      <alignment/>
    </xf>
    <xf numFmtId="189" fontId="6" fillId="0" borderId="10" xfId="0" applyNumberFormat="1" applyFont="1" applyFill="1" applyBorder="1" applyAlignment="1">
      <alignment horizontal="center" vertical="center" wrapText="1"/>
    </xf>
    <xf numFmtId="189" fontId="6" fillId="0" borderId="10" xfId="0" applyNumberFormat="1" applyFont="1" applyFill="1" applyBorder="1" applyAlignment="1">
      <alignment horizontal="center" vertical="center"/>
    </xf>
    <xf numFmtId="0" fontId="49" fillId="0" borderId="0" xfId="0" applyFont="1" applyFill="1" applyAlignment="1">
      <alignment/>
    </xf>
    <xf numFmtId="0" fontId="6"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48" fillId="0" borderId="0" xfId="0" applyFont="1" applyFill="1" applyAlignment="1">
      <alignment wrapText="1"/>
    </xf>
    <xf numFmtId="0" fontId="14" fillId="0" borderId="13" xfId="40" applyFont="1" applyFill="1" applyBorder="1" applyAlignment="1">
      <alignment horizontal="center" vertical="center" wrapText="1"/>
      <protection/>
    </xf>
    <xf numFmtId="0" fontId="13" fillId="0" borderId="13" xfId="40" applyFont="1" applyFill="1" applyBorder="1" applyAlignment="1">
      <alignment horizontal="center" vertical="center" wrapText="1"/>
      <protection/>
    </xf>
    <xf numFmtId="0" fontId="11" fillId="0" borderId="0" xfId="0" applyFont="1" applyFill="1" applyBorder="1" applyAlignment="1">
      <alignment vertical="center" wrapText="1"/>
    </xf>
    <xf numFmtId="3" fontId="12" fillId="0" borderId="10" xfId="0" applyNumberFormat="1" applyFont="1" applyBorder="1" applyAlignment="1">
      <alignment horizontal="center" vertical="center" wrapText="1"/>
    </xf>
    <xf numFmtId="3" fontId="16" fillId="0" borderId="10" xfId="0" applyNumberFormat="1" applyFont="1" applyBorder="1" applyAlignment="1">
      <alignment horizontal="center" vertical="center" wrapText="1"/>
    </xf>
    <xf numFmtId="0" fontId="72" fillId="0" borderId="10" xfId="0" applyFont="1" applyBorder="1" applyAlignment="1">
      <alignment horizontal="center" vertical="center" wrapText="1"/>
    </xf>
    <xf numFmtId="3" fontId="14" fillId="0" borderId="10" xfId="40" applyNumberFormat="1" applyFont="1" applyFill="1" applyBorder="1" applyAlignment="1">
      <alignment horizontal="center" vertical="center"/>
      <protection/>
    </xf>
    <xf numFmtId="0" fontId="12" fillId="0" borderId="10" xfId="0" applyFont="1" applyFill="1" applyBorder="1" applyAlignment="1">
      <alignment horizontal="justify" vertical="center"/>
    </xf>
    <xf numFmtId="189" fontId="12" fillId="0" borderId="10" xfId="0" applyNumberFormat="1" applyFont="1" applyFill="1" applyBorder="1" applyAlignment="1">
      <alignment horizontal="right" vertical="center"/>
    </xf>
    <xf numFmtId="0" fontId="12" fillId="0" borderId="10" xfId="0" applyFont="1" applyFill="1" applyBorder="1" applyAlignment="1">
      <alignment horizontal="left" vertical="center"/>
    </xf>
    <xf numFmtId="3" fontId="12" fillId="0" borderId="10" xfId="40" applyNumberFormat="1" applyFont="1" applyFill="1" applyBorder="1" applyAlignment="1">
      <alignment horizontal="center" vertical="center" wrapText="1"/>
      <protection/>
    </xf>
    <xf numFmtId="3" fontId="77" fillId="0" borderId="10" xfId="0" applyNumberFormat="1" applyFont="1" applyBorder="1" applyAlignment="1">
      <alignment vertical="center" wrapText="1"/>
    </xf>
    <xf numFmtId="3" fontId="78" fillId="0" borderId="10" xfId="0" applyNumberFormat="1" applyFont="1" applyBorder="1" applyAlignment="1">
      <alignment horizontal="center" vertical="center" wrapText="1"/>
    </xf>
    <xf numFmtId="3" fontId="78" fillId="0" borderId="10" xfId="0" applyNumberFormat="1" applyFont="1" applyBorder="1" applyAlignment="1">
      <alignment vertical="center" wrapText="1"/>
    </xf>
    <xf numFmtId="0" fontId="78" fillId="0" borderId="10" xfId="0" applyFont="1" applyFill="1" applyBorder="1" applyAlignment="1">
      <alignment horizontal="center" vertical="center" wrapText="1"/>
    </xf>
    <xf numFmtId="3" fontId="78" fillId="0" borderId="10" xfId="0" applyNumberFormat="1" applyFont="1" applyFill="1" applyBorder="1" applyAlignment="1">
      <alignment horizontal="right" vertical="center" wrapText="1"/>
    </xf>
    <xf numFmtId="0" fontId="14" fillId="0" borderId="10" xfId="0" applyFont="1" applyFill="1" applyBorder="1" applyAlignment="1">
      <alignment horizontal="right"/>
    </xf>
    <xf numFmtId="0" fontId="14" fillId="0" borderId="10" xfId="0" applyFont="1" applyFill="1" applyBorder="1" applyAlignment="1">
      <alignment horizontal="center" wrapText="1"/>
    </xf>
    <xf numFmtId="0" fontId="72" fillId="0" borderId="10" xfId="0" applyFont="1" applyBorder="1" applyAlignment="1">
      <alignment horizontal="center" vertical="center" wrapText="1"/>
    </xf>
    <xf numFmtId="0" fontId="11" fillId="0" borderId="0" xfId="0" applyFont="1" applyFill="1" applyBorder="1" applyAlignment="1">
      <alignment horizontal="center" vertical="center" wrapText="1"/>
    </xf>
    <xf numFmtId="1" fontId="11" fillId="0" borderId="0" xfId="0" applyNumberFormat="1" applyFont="1" applyFill="1" applyBorder="1" applyAlignment="1">
      <alignment horizontal="center" vertical="center" wrapText="1"/>
    </xf>
    <xf numFmtId="189" fontId="13" fillId="0" borderId="10" xfId="40" applyNumberFormat="1" applyFont="1" applyFill="1" applyBorder="1" applyAlignment="1">
      <alignment horizontal="center" vertical="center" wrapText="1"/>
      <protection/>
    </xf>
    <xf numFmtId="0" fontId="13" fillId="0" borderId="10" xfId="40" applyFont="1" applyFill="1" applyBorder="1" applyAlignment="1">
      <alignment horizontal="left" vertical="center" wrapText="1"/>
      <protection/>
    </xf>
    <xf numFmtId="0" fontId="13" fillId="0" borderId="10" xfId="40" applyFont="1" applyFill="1" applyBorder="1" applyAlignment="1">
      <alignment horizontal="right" vertical="center" wrapText="1"/>
      <protection/>
    </xf>
    <xf numFmtId="0" fontId="17" fillId="0" borderId="10" xfId="40" applyFont="1" applyFill="1" applyBorder="1" applyAlignment="1">
      <alignment horizontal="right" vertical="center" wrapText="1"/>
      <protection/>
    </xf>
    <xf numFmtId="0" fontId="17" fillId="0" borderId="13" xfId="40" applyFont="1" applyFill="1" applyBorder="1" applyAlignment="1">
      <alignment horizontal="center" vertical="center" wrapText="1"/>
      <protection/>
    </xf>
    <xf numFmtId="0" fontId="14" fillId="0" borderId="10" xfId="40" applyFont="1" applyFill="1" applyBorder="1" applyAlignment="1">
      <alignment horizontal="right" vertical="center" wrapText="1"/>
      <protection/>
    </xf>
    <xf numFmtId="0" fontId="14" fillId="0" borderId="13" xfId="40" applyFont="1" applyFill="1" applyBorder="1" applyAlignment="1">
      <alignment horizontal="right" vertical="center" wrapText="1"/>
      <protection/>
    </xf>
    <xf numFmtId="189" fontId="13" fillId="0" borderId="10" xfId="0" applyNumberFormat="1" applyFont="1" applyFill="1" applyBorder="1" applyAlignment="1">
      <alignment horizontal="center" vertical="center"/>
    </xf>
    <xf numFmtId="189" fontId="17" fillId="0" borderId="10" xfId="0" applyNumberFormat="1" applyFont="1" applyFill="1" applyBorder="1" applyAlignment="1">
      <alignment vertical="center"/>
    </xf>
    <xf numFmtId="0" fontId="14" fillId="0" borderId="14" xfId="0" applyFont="1" applyFill="1" applyBorder="1" applyAlignment="1">
      <alignment horizontal="center" vertical="center" wrapText="1"/>
    </xf>
    <xf numFmtId="189" fontId="13" fillId="0" borderId="13" xfId="40" applyNumberFormat="1" applyFont="1" applyFill="1" applyBorder="1" applyAlignment="1">
      <alignment horizontal="center" vertical="center" wrapText="1"/>
      <protection/>
    </xf>
    <xf numFmtId="0" fontId="13" fillId="0" borderId="13" xfId="40" applyFont="1" applyFill="1" applyBorder="1" applyAlignment="1">
      <alignment horizontal="right" vertical="center" wrapText="1"/>
      <protection/>
    </xf>
    <xf numFmtId="0" fontId="17" fillId="0" borderId="13" xfId="40" applyFont="1" applyFill="1" applyBorder="1" applyAlignment="1">
      <alignment horizontal="right" vertical="center" wrapText="1"/>
      <protection/>
    </xf>
    <xf numFmtId="189" fontId="14" fillId="0" borderId="10" xfId="0" applyNumberFormat="1" applyFont="1" applyFill="1" applyBorder="1" applyAlignment="1">
      <alignment vertical="center" wrapText="1"/>
    </xf>
    <xf numFmtId="0" fontId="13" fillId="0" borderId="0" xfId="0" applyFont="1" applyFill="1" applyAlignment="1">
      <alignment wrapText="1"/>
    </xf>
    <xf numFmtId="0" fontId="14" fillId="0" borderId="13" xfId="0" applyFont="1" applyFill="1" applyBorder="1" applyAlignment="1">
      <alignment horizontal="center" vertical="center" wrapText="1"/>
    </xf>
    <xf numFmtId="0" fontId="14" fillId="0" borderId="10" xfId="0" applyFont="1" applyFill="1" applyBorder="1" applyAlignment="1">
      <alignment horizontal="justify" vertical="center" wrapText="1"/>
    </xf>
    <xf numFmtId="1" fontId="21" fillId="0" borderId="0" xfId="95" applyNumberFormat="1" applyFont="1" applyFill="1" applyAlignment="1">
      <alignment horizontal="center" vertical="center" wrapText="1"/>
      <protection/>
    </xf>
    <xf numFmtId="1" fontId="22" fillId="0" borderId="15" xfId="95" applyNumberFormat="1" applyFont="1" applyFill="1" applyBorder="1" applyAlignment="1">
      <alignment horizontal="right" vertical="center"/>
      <protection/>
    </xf>
    <xf numFmtId="3" fontId="12" fillId="0" borderId="10" xfId="95" applyNumberFormat="1" applyFont="1" applyBorder="1" applyAlignment="1">
      <alignment horizontal="center" vertical="center" wrapText="1"/>
      <protection/>
    </xf>
    <xf numFmtId="3" fontId="12" fillId="0" borderId="10" xfId="95" applyNumberFormat="1" applyFont="1" applyFill="1" applyBorder="1" applyAlignment="1">
      <alignment horizontal="center" vertical="center" wrapText="1"/>
      <protection/>
    </xf>
    <xf numFmtId="3" fontId="11" fillId="0" borderId="10" xfId="95" applyNumberFormat="1" applyFont="1" applyFill="1" applyBorder="1" applyAlignment="1">
      <alignment horizontal="left" vertical="center" wrapText="1"/>
      <protection/>
    </xf>
    <xf numFmtId="3" fontId="11" fillId="0" borderId="10" xfId="95" applyNumberFormat="1" applyFont="1" applyFill="1" applyBorder="1" applyAlignment="1">
      <alignment horizontal="center" vertical="center" wrapText="1"/>
      <protection/>
    </xf>
    <xf numFmtId="1" fontId="7" fillId="32" borderId="10" xfId="95" applyNumberFormat="1" applyFont="1" applyFill="1" applyBorder="1" applyAlignment="1">
      <alignment horizontal="left" vertical="center" wrapText="1"/>
      <protection/>
    </xf>
    <xf numFmtId="1" fontId="10" fillId="32" borderId="10" xfId="95" applyNumberFormat="1" applyFont="1" applyFill="1" applyBorder="1" applyAlignment="1">
      <alignment horizontal="left" vertical="center" wrapText="1"/>
      <protection/>
    </xf>
    <xf numFmtId="1" fontId="7" fillId="32" borderId="10" xfId="95" applyNumberFormat="1" applyFont="1" applyFill="1" applyBorder="1" applyAlignment="1">
      <alignment horizontal="center" vertical="center" wrapText="1"/>
      <protection/>
    </xf>
    <xf numFmtId="1" fontId="10" fillId="32" borderId="10" xfId="95" applyNumberFormat="1" applyFont="1" applyFill="1" applyBorder="1" applyAlignment="1">
      <alignment horizontal="center" vertical="center" wrapText="1"/>
      <protection/>
    </xf>
    <xf numFmtId="3" fontId="7" fillId="32" borderId="10" xfId="95" applyNumberFormat="1" applyFont="1" applyFill="1" applyBorder="1" applyAlignment="1">
      <alignment horizontal="center" vertical="center" wrapText="1"/>
      <protection/>
    </xf>
    <xf numFmtId="3" fontId="9" fillId="32" borderId="10" xfId="95" applyNumberFormat="1" applyFont="1" applyFill="1" applyBorder="1" applyAlignment="1">
      <alignment horizontal="center" vertical="center" wrapText="1"/>
      <protection/>
    </xf>
    <xf numFmtId="3" fontId="3" fillId="0" borderId="0" xfId="95" applyNumberFormat="1" applyFont="1" applyFill="1" applyAlignment="1">
      <alignment horizontal="center" vertical="center" wrapText="1"/>
      <protection/>
    </xf>
    <xf numFmtId="3" fontId="3" fillId="0" borderId="0" xfId="0" applyNumberFormat="1" applyFont="1" applyAlignment="1">
      <alignment horizontal="center" vertical="center" wrapText="1"/>
    </xf>
    <xf numFmtId="0" fontId="11" fillId="0" borderId="0" xfId="0" applyFont="1" applyFill="1" applyBorder="1" applyAlignment="1">
      <alignment horizontal="center" vertical="center" wrapText="1"/>
    </xf>
    <xf numFmtId="3" fontId="3" fillId="0" borderId="10" xfId="0" applyNumberFormat="1" applyFont="1" applyBorder="1" applyAlignment="1">
      <alignment horizontal="center" vertical="center" wrapText="1"/>
    </xf>
    <xf numFmtId="0" fontId="3" fillId="0" borderId="0" xfId="0" applyFont="1" applyFill="1" applyBorder="1" applyAlignment="1">
      <alignment horizontal="center" vertical="center" wrapText="1"/>
    </xf>
    <xf numFmtId="0" fontId="11" fillId="0" borderId="15" xfId="40" applyFont="1" applyFill="1" applyBorder="1" applyAlignment="1">
      <alignment horizontal="right" vertical="center" wrapText="1"/>
      <protection/>
    </xf>
    <xf numFmtId="0" fontId="3" fillId="0" borderId="10"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40" applyFont="1" applyFill="1" applyBorder="1" applyAlignment="1">
      <alignment horizontal="center" vertical="center" wrapText="1"/>
      <protection/>
    </xf>
    <xf numFmtId="0" fontId="3" fillId="0" borderId="20" xfId="40" applyFont="1" applyFill="1" applyBorder="1" applyAlignment="1">
      <alignment horizontal="center" vertical="center" wrapText="1"/>
      <protection/>
    </xf>
    <xf numFmtId="0" fontId="3" fillId="0" borderId="21" xfId="40" applyFont="1" applyFill="1" applyBorder="1" applyAlignment="1">
      <alignment horizontal="center" vertical="center" wrapText="1"/>
      <protection/>
    </xf>
    <xf numFmtId="0" fontId="73" fillId="0" borderId="16"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4" fillId="0" borderId="19" xfId="40" applyFont="1" applyFill="1" applyBorder="1" applyAlignment="1">
      <alignment horizontal="center" vertical="center" wrapText="1"/>
      <protection/>
    </xf>
    <xf numFmtId="0" fontId="14" fillId="0" borderId="21" xfId="40" applyFont="1" applyFill="1" applyBorder="1" applyAlignment="1">
      <alignment horizontal="center" vertical="center" wrapText="1"/>
      <protection/>
    </xf>
    <xf numFmtId="0" fontId="13" fillId="0" borderId="10" xfId="40" applyFont="1" applyFill="1" applyBorder="1" applyAlignment="1">
      <alignment horizontal="center" vertical="center" wrapText="1"/>
      <protection/>
    </xf>
    <xf numFmtId="3" fontId="7" fillId="0" borderId="10" xfId="95" applyNumberFormat="1" applyFont="1" applyFill="1" applyBorder="1" applyAlignment="1">
      <alignment horizontal="center" vertical="center" wrapText="1"/>
      <protection/>
    </xf>
    <xf numFmtId="0" fontId="13" fillId="0" borderId="19" xfId="40" applyFont="1" applyFill="1" applyBorder="1" applyAlignment="1">
      <alignment horizontal="center" vertical="center" wrapText="1"/>
      <protection/>
    </xf>
    <xf numFmtId="0" fontId="13" fillId="0" borderId="20" xfId="40" applyFont="1" applyFill="1" applyBorder="1" applyAlignment="1">
      <alignment horizontal="center" vertical="center" wrapText="1"/>
      <protection/>
    </xf>
    <xf numFmtId="0" fontId="13" fillId="0" borderId="21" xfId="40" applyFont="1" applyFill="1" applyBorder="1" applyAlignment="1">
      <alignment horizontal="center" vertical="center" wrapText="1"/>
      <protection/>
    </xf>
    <xf numFmtId="0" fontId="13" fillId="0" borderId="12" xfId="40" applyFont="1" applyFill="1" applyBorder="1" applyAlignment="1">
      <alignment horizontal="center" vertical="center" wrapText="1"/>
      <protection/>
    </xf>
    <xf numFmtId="0" fontId="13" fillId="0" borderId="13" xfId="40" applyFont="1" applyFill="1" applyBorder="1" applyAlignment="1">
      <alignment horizontal="center" vertical="center" wrapText="1"/>
      <protection/>
    </xf>
    <xf numFmtId="1" fontId="11" fillId="0" borderId="0" xfId="0" applyNumberFormat="1" applyFont="1" applyFill="1" applyBorder="1" applyAlignment="1">
      <alignment horizontal="center" vertical="center" wrapText="1"/>
    </xf>
    <xf numFmtId="0" fontId="11" fillId="0" borderId="15" xfId="40" applyFont="1" applyFill="1" applyBorder="1" applyAlignment="1">
      <alignment horizontal="center" vertical="center" wrapText="1"/>
      <protection/>
    </xf>
    <xf numFmtId="0" fontId="13" fillId="0" borderId="22" xfId="40" applyFont="1" applyFill="1" applyBorder="1" applyAlignment="1">
      <alignment horizontal="center" vertical="center" wrapText="1"/>
      <protection/>
    </xf>
    <xf numFmtId="0" fontId="14" fillId="0" borderId="12" xfId="40" applyFont="1" applyFill="1" applyBorder="1" applyAlignment="1">
      <alignment horizontal="center" vertical="center" wrapText="1"/>
      <protection/>
    </xf>
    <xf numFmtId="0" fontId="14" fillId="0" borderId="13" xfId="40" applyFont="1" applyFill="1" applyBorder="1" applyAlignment="1">
      <alignment horizontal="center" vertical="center" wrapText="1"/>
      <protection/>
    </xf>
    <xf numFmtId="3" fontId="3" fillId="0" borderId="10" xfId="95"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2" xfId="86" applyFont="1" applyFill="1" applyBorder="1" applyAlignment="1">
      <alignment horizontal="center" vertical="center" wrapText="1"/>
      <protection/>
    </xf>
    <xf numFmtId="0" fontId="3" fillId="0" borderId="13" xfId="86" applyFont="1" applyFill="1" applyBorder="1" applyAlignment="1">
      <alignment horizontal="center" vertical="center" wrapText="1"/>
      <protection/>
    </xf>
    <xf numFmtId="189"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1" fillId="0" borderId="15" xfId="0" applyFont="1" applyFill="1" applyBorder="1" applyAlignment="1">
      <alignment horizontal="center" vertical="center"/>
    </xf>
    <xf numFmtId="0" fontId="3" fillId="0" borderId="10" xfId="86" applyFont="1" applyFill="1" applyBorder="1" applyAlignment="1">
      <alignment horizontal="center" vertical="center" wrapText="1"/>
      <protection/>
    </xf>
    <xf numFmtId="0" fontId="16" fillId="0" borderId="19" xfId="40" applyFont="1" applyFill="1" applyBorder="1" applyAlignment="1">
      <alignment horizontal="center" vertical="center" wrapText="1"/>
      <protection/>
    </xf>
    <xf numFmtId="0" fontId="16" fillId="0" borderId="21" xfId="40" applyFont="1" applyFill="1" applyBorder="1" applyAlignment="1">
      <alignment horizontal="center" vertical="center" wrapText="1"/>
      <protection/>
    </xf>
    <xf numFmtId="0" fontId="3" fillId="0" borderId="16" xfId="40" applyFont="1" applyFill="1" applyBorder="1" applyAlignment="1">
      <alignment horizontal="center" vertical="center" wrapText="1"/>
      <protection/>
    </xf>
    <xf numFmtId="0" fontId="3" fillId="0" borderId="23" xfId="40" applyFont="1" applyFill="1" applyBorder="1" applyAlignment="1">
      <alignment horizontal="center" vertical="center" wrapText="1"/>
      <protection/>
    </xf>
    <xf numFmtId="0" fontId="72" fillId="0" borderId="10"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1" xfId="0" applyFont="1" applyBorder="1" applyAlignment="1">
      <alignment horizontal="center" vertical="center" wrapText="1"/>
    </xf>
    <xf numFmtId="0" fontId="3" fillId="0" borderId="10" xfId="40" applyFont="1" applyFill="1" applyBorder="1" applyAlignment="1">
      <alignment horizontal="center" vertical="center" wrapText="1"/>
      <protection/>
    </xf>
    <xf numFmtId="0" fontId="3" fillId="0" borderId="12" xfId="40" applyFont="1" applyFill="1" applyBorder="1" applyAlignment="1">
      <alignment horizontal="center" vertical="center" wrapText="1"/>
      <protection/>
    </xf>
    <xf numFmtId="0" fontId="3" fillId="0" borderId="22" xfId="40" applyFont="1" applyFill="1" applyBorder="1" applyAlignment="1">
      <alignment horizontal="center" vertical="center" wrapText="1"/>
      <protection/>
    </xf>
    <xf numFmtId="0" fontId="3" fillId="0" borderId="13" xfId="40" applyFont="1" applyFill="1" applyBorder="1" applyAlignment="1">
      <alignment horizontal="center" vertical="center" wrapText="1"/>
      <protection/>
    </xf>
    <xf numFmtId="0" fontId="13" fillId="0" borderId="0" xfId="0" applyFont="1" applyFill="1" applyAlignment="1">
      <alignment horizontal="center" vertical="center"/>
    </xf>
    <xf numFmtId="0" fontId="16" fillId="0" borderId="20" xfId="40" applyFont="1" applyFill="1" applyBorder="1" applyAlignment="1">
      <alignment horizontal="center" vertical="center" wrapText="1"/>
      <protection/>
    </xf>
    <xf numFmtId="0" fontId="3" fillId="0" borderId="0" xfId="0" applyFont="1" applyFill="1" applyAlignment="1">
      <alignment horizontal="center" vertical="center"/>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h thường 2" xfId="40"/>
    <cellStyle name="Bình thường 2 2" xfId="41"/>
    <cellStyle name="Bình thường 3" xfId="42"/>
    <cellStyle name="Calculation" xfId="43"/>
    <cellStyle name="Check Cell" xfId="44"/>
    <cellStyle name="Chuẩn 2" xfId="45"/>
    <cellStyle name="Chuẩn 2 2" xfId="46"/>
    <cellStyle name="Chuẩn 2 2 2" xfId="47"/>
    <cellStyle name="Chuẩn 2 3" xfId="48"/>
    <cellStyle name="Chuẩn 5" xfId="49"/>
    <cellStyle name="Comma" xfId="50"/>
    <cellStyle name="Comma [0]" xfId="51"/>
    <cellStyle name="Comma 10" xfId="52"/>
    <cellStyle name="Comma 10 10" xfId="53"/>
    <cellStyle name="Comma 15" xfId="54"/>
    <cellStyle name="Comma 2" xfId="55"/>
    <cellStyle name="Comma 2 2" xfId="56"/>
    <cellStyle name="Comma 2 3" xfId="57"/>
    <cellStyle name="Comma 2 6" xfId="58"/>
    <cellStyle name="Comma 3" xfId="59"/>
    <cellStyle name="Comma 3 2" xfId="60"/>
    <cellStyle name="Comma 4" xfId="61"/>
    <cellStyle name="Comma 5" xfId="62"/>
    <cellStyle name="Comma 6" xfId="63"/>
    <cellStyle name="Comma 7" xfId="64"/>
    <cellStyle name="Currency" xfId="65"/>
    <cellStyle name="Currency [0]" xfId="66"/>
    <cellStyle name="Dấu_phảy 2"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Input" xfId="76"/>
    <cellStyle name="Linked Cell" xfId="77"/>
    <cellStyle name="Neutral" xfId="78"/>
    <cellStyle name="Normal 2" xfId="79"/>
    <cellStyle name="Normal 2 2" xfId="80"/>
    <cellStyle name="Normal 2 3" xfId="81"/>
    <cellStyle name="Normal 2 3 2" xfId="82"/>
    <cellStyle name="Normal 2 4" xfId="83"/>
    <cellStyle name="Normal 2 4 2 2" xfId="84"/>
    <cellStyle name="Normal 2 5" xfId="85"/>
    <cellStyle name="Normal 2 8" xfId="86"/>
    <cellStyle name="Normal 3" xfId="87"/>
    <cellStyle name="Normal 3 2" xfId="88"/>
    <cellStyle name="Normal 4" xfId="89"/>
    <cellStyle name="Normal 5" xfId="90"/>
    <cellStyle name="Normal 5 2" xfId="91"/>
    <cellStyle name="Normal 6" xfId="92"/>
    <cellStyle name="Normal 7" xfId="93"/>
    <cellStyle name="Normal 8" xfId="94"/>
    <cellStyle name="Normal_Bieu mau (CV )" xfId="95"/>
    <cellStyle name="Note" xfId="96"/>
    <cellStyle name="Output" xfId="97"/>
    <cellStyle name="Percent" xfId="98"/>
    <cellStyle name="Percent 2" xfId="99"/>
    <cellStyle name="Percent 3" xfId="100"/>
    <cellStyle name="Percent 4" xfId="101"/>
    <cellStyle name="Percent 5" xfId="102"/>
    <cellStyle name="Percent 6" xfId="103"/>
    <cellStyle name="Title" xfId="104"/>
    <cellStyle name="Total" xfId="105"/>
    <cellStyle name="Warning Text"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Z304"/>
  <sheetViews>
    <sheetView zoomScale="85" zoomScaleNormal="85" zoomScalePageLayoutView="0" workbookViewId="0" topLeftCell="A1">
      <selection activeCell="M20" sqref="M20"/>
    </sheetView>
  </sheetViews>
  <sheetFormatPr defaultColWidth="9.140625" defaultRowHeight="15"/>
  <cols>
    <col min="1" max="1" width="5.140625" style="111" customWidth="1"/>
    <col min="2" max="2" width="29.28125" style="112" customWidth="1"/>
    <col min="3" max="4" width="8.57421875" style="112" hidden="1" customWidth="1"/>
    <col min="5" max="7" width="8.28125" style="113" hidden="1" customWidth="1"/>
    <col min="8" max="8" width="13.00390625" style="113" customWidth="1"/>
    <col min="9" max="9" width="11.57421875" style="114" customWidth="1"/>
    <col min="10" max="10" width="10.28125" style="114" customWidth="1"/>
    <col min="11" max="11" width="9.7109375" style="114" customWidth="1"/>
    <col min="12" max="12" width="9.28125" style="114" customWidth="1"/>
    <col min="13" max="13" width="11.00390625" style="114" customWidth="1"/>
    <col min="14" max="14" width="10.8515625" style="114" customWidth="1"/>
    <col min="15" max="15" width="9.140625" style="114" customWidth="1"/>
    <col min="16" max="16" width="9.28125" style="114" hidden="1" customWidth="1"/>
    <col min="17" max="17" width="9.00390625" style="114" hidden="1" customWidth="1"/>
    <col min="18" max="18" width="10.28125" style="114" hidden="1" customWidth="1"/>
    <col min="19" max="19" width="9.00390625" style="114" hidden="1" customWidth="1"/>
    <col min="20" max="20" width="9.28125" style="114" hidden="1" customWidth="1"/>
    <col min="21" max="21" width="10.140625" style="114" hidden="1" customWidth="1"/>
    <col min="22" max="22" width="12.00390625" style="114" hidden="1" customWidth="1"/>
    <col min="23" max="23" width="9.28125" style="114" hidden="1" customWidth="1"/>
    <col min="24" max="24" width="11.00390625" style="114" hidden="1" customWidth="1"/>
    <col min="25" max="25" width="11.8515625" style="114" customWidth="1"/>
    <col min="26" max="26" width="10.00390625" style="114" customWidth="1"/>
    <col min="27" max="27" width="11.00390625" style="114" customWidth="1"/>
    <col min="28" max="28" width="9.7109375" style="114" customWidth="1"/>
    <col min="29" max="29" width="11.28125" style="114" customWidth="1"/>
    <col min="30" max="31" width="10.57421875" style="114" customWidth="1"/>
    <col min="32" max="32" width="10.57421875" style="114" hidden="1" customWidth="1"/>
    <col min="33" max="33" width="9.7109375" style="114" hidden="1" customWidth="1"/>
    <col min="34" max="34" width="11.28125" style="114" customWidth="1"/>
    <col min="35" max="35" width="12.421875" style="114" customWidth="1"/>
    <col min="36" max="36" width="7.7109375" style="114" hidden="1" customWidth="1"/>
    <col min="37" max="37" width="11.140625" style="114" hidden="1" customWidth="1"/>
    <col min="38" max="38" width="9.57421875" style="114" hidden="1" customWidth="1"/>
    <col min="39" max="39" width="13.28125" style="114" customWidth="1"/>
    <col min="40" max="40" width="8.00390625" style="114" customWidth="1"/>
    <col min="41" max="16384" width="9.140625" style="104" customWidth="1"/>
  </cols>
  <sheetData>
    <row r="1" spans="1:40" s="103" customFormat="1" ht="20.25">
      <c r="A1" s="247" t="s">
        <v>135</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row>
    <row r="2" spans="1:40" ht="45" customHeight="1">
      <c r="A2" s="247" t="s">
        <v>170</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row>
    <row r="3" spans="1:40" s="105" customFormat="1" ht="30" customHeight="1">
      <c r="A3" s="248" t="s">
        <v>0</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row>
    <row r="4" spans="1:40" s="106" customFormat="1" ht="18">
      <c r="A4" s="249" t="s">
        <v>10</v>
      </c>
      <c r="B4" s="249" t="s">
        <v>6</v>
      </c>
      <c r="C4" s="249" t="s">
        <v>136</v>
      </c>
      <c r="D4" s="249" t="s">
        <v>137</v>
      </c>
      <c r="E4" s="249" t="s">
        <v>19</v>
      </c>
      <c r="F4" s="249" t="s">
        <v>138</v>
      </c>
      <c r="G4" s="249" t="s">
        <v>20</v>
      </c>
      <c r="H4" s="250" t="s">
        <v>11</v>
      </c>
      <c r="I4" s="250"/>
      <c r="J4" s="250"/>
      <c r="K4" s="250"/>
      <c r="L4" s="250"/>
      <c r="M4" s="250"/>
      <c r="N4" s="250"/>
      <c r="O4" s="250"/>
      <c r="P4" s="249" t="s">
        <v>121</v>
      </c>
      <c r="Q4" s="249"/>
      <c r="R4" s="249"/>
      <c r="S4" s="249"/>
      <c r="T4" s="249"/>
      <c r="U4" s="249"/>
      <c r="V4" s="249"/>
      <c r="W4" s="249"/>
      <c r="X4" s="249"/>
      <c r="Y4" s="249" t="s">
        <v>139</v>
      </c>
      <c r="Z4" s="249"/>
      <c r="AA4" s="249"/>
      <c r="AB4" s="249"/>
      <c r="AC4" s="249"/>
      <c r="AD4" s="249"/>
      <c r="AE4" s="249"/>
      <c r="AF4" s="249"/>
      <c r="AG4" s="249"/>
      <c r="AH4" s="249"/>
      <c r="AI4" s="249" t="s">
        <v>140</v>
      </c>
      <c r="AJ4" s="249"/>
      <c r="AK4" s="249"/>
      <c r="AL4" s="249"/>
      <c r="AM4" s="249"/>
      <c r="AN4" s="249" t="s">
        <v>12</v>
      </c>
    </row>
    <row r="5" spans="1:40" s="106" customFormat="1" ht="48" customHeight="1">
      <c r="A5" s="249"/>
      <c r="B5" s="249"/>
      <c r="C5" s="249"/>
      <c r="D5" s="249"/>
      <c r="E5" s="249"/>
      <c r="F5" s="249"/>
      <c r="G5" s="249"/>
      <c r="H5" s="250" t="s">
        <v>13</v>
      </c>
      <c r="I5" s="250" t="s">
        <v>14</v>
      </c>
      <c r="J5" s="250"/>
      <c r="K5" s="250"/>
      <c r="L5" s="250"/>
      <c r="M5" s="250"/>
      <c r="N5" s="250"/>
      <c r="O5" s="250"/>
      <c r="P5" s="249" t="s">
        <v>141</v>
      </c>
      <c r="Q5" s="249"/>
      <c r="R5" s="249"/>
      <c r="S5" s="249" t="s">
        <v>142</v>
      </c>
      <c r="T5" s="249"/>
      <c r="U5" s="249"/>
      <c r="V5" s="249" t="s">
        <v>143</v>
      </c>
      <c r="W5" s="249"/>
      <c r="X5" s="249"/>
      <c r="Y5" s="249" t="s">
        <v>144</v>
      </c>
      <c r="Z5" s="249"/>
      <c r="AA5" s="249"/>
      <c r="AB5" s="249"/>
      <c r="AC5" s="249"/>
      <c r="AD5" s="249" t="s">
        <v>145</v>
      </c>
      <c r="AE5" s="249"/>
      <c r="AF5" s="249"/>
      <c r="AG5" s="249"/>
      <c r="AH5" s="249"/>
      <c r="AI5" s="249"/>
      <c r="AJ5" s="249"/>
      <c r="AK5" s="249"/>
      <c r="AL5" s="249"/>
      <c r="AM5" s="249"/>
      <c r="AN5" s="249"/>
    </row>
    <row r="6" spans="1:40" s="106" customFormat="1" ht="30.75" customHeight="1">
      <c r="A6" s="249"/>
      <c r="B6" s="249"/>
      <c r="C6" s="249"/>
      <c r="D6" s="249"/>
      <c r="E6" s="249"/>
      <c r="F6" s="249"/>
      <c r="G6" s="249"/>
      <c r="H6" s="250"/>
      <c r="I6" s="250" t="s">
        <v>1</v>
      </c>
      <c r="J6" s="251" t="s">
        <v>3</v>
      </c>
      <c r="K6" s="251"/>
      <c r="L6" s="251"/>
      <c r="M6" s="251"/>
      <c r="N6" s="251"/>
      <c r="O6" s="251"/>
      <c r="P6" s="250" t="s">
        <v>15</v>
      </c>
      <c r="Q6" s="251" t="s">
        <v>3</v>
      </c>
      <c r="R6" s="251"/>
      <c r="S6" s="250" t="s">
        <v>15</v>
      </c>
      <c r="T6" s="251" t="s">
        <v>3</v>
      </c>
      <c r="U6" s="251"/>
      <c r="V6" s="250" t="s">
        <v>15</v>
      </c>
      <c r="W6" s="251" t="s">
        <v>3</v>
      </c>
      <c r="X6" s="251"/>
      <c r="Y6" s="250" t="s">
        <v>15</v>
      </c>
      <c r="Z6" s="252" t="s">
        <v>3</v>
      </c>
      <c r="AA6" s="252"/>
      <c r="AB6" s="252"/>
      <c r="AC6" s="252"/>
      <c r="AD6" s="250" t="s">
        <v>15</v>
      </c>
      <c r="AE6" s="252" t="s">
        <v>3</v>
      </c>
      <c r="AF6" s="252"/>
      <c r="AG6" s="252"/>
      <c r="AH6" s="252"/>
      <c r="AI6" s="250" t="s">
        <v>15</v>
      </c>
      <c r="AJ6" s="251" t="s">
        <v>3</v>
      </c>
      <c r="AK6" s="251"/>
      <c r="AL6" s="251"/>
      <c r="AM6" s="251"/>
      <c r="AN6" s="249"/>
    </row>
    <row r="7" spans="1:40" s="106" customFormat="1" ht="31.5" customHeight="1">
      <c r="A7" s="249"/>
      <c r="B7" s="249"/>
      <c r="C7" s="249"/>
      <c r="D7" s="249"/>
      <c r="E7" s="249"/>
      <c r="F7" s="249"/>
      <c r="G7" s="249"/>
      <c r="H7" s="250"/>
      <c r="I7" s="250"/>
      <c r="J7" s="249" t="s">
        <v>28</v>
      </c>
      <c r="K7" s="249"/>
      <c r="L7" s="250" t="s">
        <v>27</v>
      </c>
      <c r="M7" s="250"/>
      <c r="N7" s="250"/>
      <c r="O7" s="250"/>
      <c r="P7" s="250"/>
      <c r="Q7" s="249" t="s">
        <v>146</v>
      </c>
      <c r="R7" s="250" t="s">
        <v>134</v>
      </c>
      <c r="S7" s="250"/>
      <c r="T7" s="249" t="s">
        <v>146</v>
      </c>
      <c r="U7" s="250" t="s">
        <v>147</v>
      </c>
      <c r="V7" s="250"/>
      <c r="W7" s="249" t="s">
        <v>146</v>
      </c>
      <c r="X7" s="250" t="s">
        <v>147</v>
      </c>
      <c r="Y7" s="250"/>
      <c r="Z7" s="249" t="s">
        <v>25</v>
      </c>
      <c r="AA7" s="249"/>
      <c r="AB7" s="249"/>
      <c r="AC7" s="250" t="s">
        <v>26</v>
      </c>
      <c r="AD7" s="250"/>
      <c r="AE7" s="249" t="s">
        <v>25</v>
      </c>
      <c r="AF7" s="249"/>
      <c r="AG7" s="249"/>
      <c r="AH7" s="250" t="s">
        <v>26</v>
      </c>
      <c r="AI7" s="250"/>
      <c r="AJ7" s="249" t="s">
        <v>25</v>
      </c>
      <c r="AK7" s="249"/>
      <c r="AL7" s="249"/>
      <c r="AM7" s="250" t="s">
        <v>26</v>
      </c>
      <c r="AN7" s="249"/>
    </row>
    <row r="8" spans="1:40" s="106" customFormat="1" ht="31.5" customHeight="1">
      <c r="A8" s="249"/>
      <c r="B8" s="249"/>
      <c r="C8" s="249"/>
      <c r="D8" s="249"/>
      <c r="E8" s="249"/>
      <c r="F8" s="249"/>
      <c r="G8" s="249"/>
      <c r="H8" s="250"/>
      <c r="I8" s="250"/>
      <c r="J8" s="249"/>
      <c r="K8" s="249"/>
      <c r="L8" s="250"/>
      <c r="M8" s="250"/>
      <c r="N8" s="250"/>
      <c r="O8" s="250"/>
      <c r="P8" s="250"/>
      <c r="Q8" s="249"/>
      <c r="R8" s="250"/>
      <c r="S8" s="250"/>
      <c r="T8" s="249"/>
      <c r="U8" s="250"/>
      <c r="V8" s="250"/>
      <c r="W8" s="249"/>
      <c r="X8" s="250"/>
      <c r="Y8" s="250"/>
      <c r="Z8" s="250" t="s">
        <v>15</v>
      </c>
      <c r="AA8" s="250" t="s">
        <v>4</v>
      </c>
      <c r="AB8" s="250"/>
      <c r="AC8" s="250"/>
      <c r="AD8" s="250"/>
      <c r="AE8" s="249"/>
      <c r="AF8" s="249"/>
      <c r="AG8" s="249"/>
      <c r="AH8" s="250"/>
      <c r="AI8" s="250"/>
      <c r="AJ8" s="250" t="s">
        <v>15</v>
      </c>
      <c r="AK8" s="250" t="s">
        <v>4</v>
      </c>
      <c r="AL8" s="250"/>
      <c r="AM8" s="250"/>
      <c r="AN8" s="249"/>
    </row>
    <row r="9" spans="1:40" s="106" customFormat="1" ht="33" customHeight="1">
      <c r="A9" s="249"/>
      <c r="B9" s="249"/>
      <c r="C9" s="249"/>
      <c r="D9" s="249"/>
      <c r="E9" s="249"/>
      <c r="F9" s="249"/>
      <c r="G9" s="249"/>
      <c r="H9" s="250"/>
      <c r="I9" s="250"/>
      <c r="J9" s="250" t="s">
        <v>15</v>
      </c>
      <c r="K9" s="250" t="s">
        <v>24</v>
      </c>
      <c r="L9" s="250" t="s">
        <v>21</v>
      </c>
      <c r="M9" s="250" t="s">
        <v>5</v>
      </c>
      <c r="N9" s="250"/>
      <c r="O9" s="250"/>
      <c r="P9" s="250"/>
      <c r="Q9" s="249"/>
      <c r="R9" s="250"/>
      <c r="S9" s="250"/>
      <c r="T9" s="249"/>
      <c r="U9" s="250"/>
      <c r="V9" s="250"/>
      <c r="W9" s="249"/>
      <c r="X9" s="250"/>
      <c r="Y9" s="250"/>
      <c r="Z9" s="250"/>
      <c r="AA9" s="252" t="s">
        <v>148</v>
      </c>
      <c r="AB9" s="252" t="s">
        <v>129</v>
      </c>
      <c r="AC9" s="250"/>
      <c r="AD9" s="250"/>
      <c r="AE9" s="249"/>
      <c r="AF9" s="249"/>
      <c r="AG9" s="249"/>
      <c r="AH9" s="250"/>
      <c r="AI9" s="250"/>
      <c r="AJ9" s="250"/>
      <c r="AK9" s="252" t="s">
        <v>148</v>
      </c>
      <c r="AL9" s="252" t="s">
        <v>129</v>
      </c>
      <c r="AM9" s="250"/>
      <c r="AN9" s="249"/>
    </row>
    <row r="10" spans="1:40" s="106" customFormat="1" ht="33" customHeight="1">
      <c r="A10" s="249"/>
      <c r="B10" s="249"/>
      <c r="C10" s="249"/>
      <c r="D10" s="249"/>
      <c r="E10" s="249"/>
      <c r="F10" s="249"/>
      <c r="G10" s="249"/>
      <c r="H10" s="250"/>
      <c r="I10" s="250"/>
      <c r="J10" s="250"/>
      <c r="K10" s="250"/>
      <c r="L10" s="250"/>
      <c r="M10" s="250" t="s">
        <v>15</v>
      </c>
      <c r="N10" s="250" t="s">
        <v>4</v>
      </c>
      <c r="O10" s="250"/>
      <c r="P10" s="250"/>
      <c r="Q10" s="249"/>
      <c r="R10" s="250"/>
      <c r="S10" s="250"/>
      <c r="T10" s="249"/>
      <c r="U10" s="250"/>
      <c r="V10" s="250"/>
      <c r="W10" s="249"/>
      <c r="X10" s="250"/>
      <c r="Y10" s="250"/>
      <c r="Z10" s="250"/>
      <c r="AA10" s="252"/>
      <c r="AB10" s="252"/>
      <c r="AC10" s="250"/>
      <c r="AD10" s="250"/>
      <c r="AE10" s="249"/>
      <c r="AF10" s="249"/>
      <c r="AG10" s="249"/>
      <c r="AH10" s="250"/>
      <c r="AI10" s="250"/>
      <c r="AJ10" s="250"/>
      <c r="AK10" s="252"/>
      <c r="AL10" s="252"/>
      <c r="AM10" s="250"/>
      <c r="AN10" s="249"/>
    </row>
    <row r="11" spans="1:40" s="106" customFormat="1" ht="33.75" customHeight="1">
      <c r="A11" s="249"/>
      <c r="B11" s="249"/>
      <c r="C11" s="249"/>
      <c r="D11" s="249"/>
      <c r="E11" s="249"/>
      <c r="F11" s="249"/>
      <c r="G11" s="249"/>
      <c r="H11" s="250"/>
      <c r="I11" s="250"/>
      <c r="J11" s="250"/>
      <c r="K11" s="250"/>
      <c r="L11" s="250"/>
      <c r="M11" s="250"/>
      <c r="N11" s="11" t="s">
        <v>22</v>
      </c>
      <c r="O11" s="11" t="s">
        <v>23</v>
      </c>
      <c r="P11" s="250"/>
      <c r="Q11" s="249"/>
      <c r="R11" s="250"/>
      <c r="S11" s="250"/>
      <c r="T11" s="249"/>
      <c r="U11" s="250"/>
      <c r="V11" s="250"/>
      <c r="W11" s="249"/>
      <c r="X11" s="250"/>
      <c r="Y11" s="250"/>
      <c r="Z11" s="250"/>
      <c r="AA11" s="252"/>
      <c r="AB11" s="252"/>
      <c r="AC11" s="250"/>
      <c r="AD11" s="250"/>
      <c r="AE11" s="249"/>
      <c r="AF11" s="249"/>
      <c r="AG11" s="249"/>
      <c r="AH11" s="250"/>
      <c r="AI11" s="250"/>
      <c r="AJ11" s="250"/>
      <c r="AK11" s="252"/>
      <c r="AL11" s="252"/>
      <c r="AM11" s="250"/>
      <c r="AN11" s="249"/>
    </row>
    <row r="12" spans="1:40" s="108" customFormat="1" ht="30.75" customHeight="1">
      <c r="A12" s="107" t="s">
        <v>7</v>
      </c>
      <c r="B12" s="107" t="s">
        <v>131</v>
      </c>
      <c r="C12" s="107" t="s">
        <v>133</v>
      </c>
      <c r="D12" s="107" t="s">
        <v>149</v>
      </c>
      <c r="E12" s="107" t="s">
        <v>150</v>
      </c>
      <c r="F12" s="107" t="s">
        <v>132</v>
      </c>
      <c r="G12" s="107" t="s">
        <v>151</v>
      </c>
      <c r="H12" s="107">
        <v>3</v>
      </c>
      <c r="I12" s="107">
        <v>4</v>
      </c>
      <c r="J12" s="107">
        <v>5</v>
      </c>
      <c r="K12" s="107">
        <v>6</v>
      </c>
      <c r="L12" s="107">
        <v>7</v>
      </c>
      <c r="M12" s="107">
        <v>8</v>
      </c>
      <c r="N12" s="107">
        <v>9</v>
      </c>
      <c r="O12" s="107">
        <v>10</v>
      </c>
      <c r="P12" s="107" t="s">
        <v>152</v>
      </c>
      <c r="Q12" s="107" t="s">
        <v>153</v>
      </c>
      <c r="R12" s="107" t="s">
        <v>154</v>
      </c>
      <c r="S12" s="107" t="s">
        <v>155</v>
      </c>
      <c r="T12" s="107" t="s">
        <v>156</v>
      </c>
      <c r="U12" s="107" t="s">
        <v>157</v>
      </c>
      <c r="V12" s="107" t="s">
        <v>158</v>
      </c>
      <c r="W12" s="107" t="s">
        <v>159</v>
      </c>
      <c r="X12" s="107" t="s">
        <v>160</v>
      </c>
      <c r="Y12" s="107">
        <v>11</v>
      </c>
      <c r="Z12" s="107">
        <v>12</v>
      </c>
      <c r="AA12" s="107">
        <v>13</v>
      </c>
      <c r="AB12" s="107">
        <v>14</v>
      </c>
      <c r="AC12" s="107">
        <v>15</v>
      </c>
      <c r="AD12" s="107">
        <v>16</v>
      </c>
      <c r="AE12" s="107">
        <v>17</v>
      </c>
      <c r="AF12" s="107">
        <v>19</v>
      </c>
      <c r="AG12" s="107">
        <v>20</v>
      </c>
      <c r="AH12" s="107">
        <v>18</v>
      </c>
      <c r="AI12" s="107">
        <v>19</v>
      </c>
      <c r="AJ12" s="107">
        <v>23</v>
      </c>
      <c r="AK12" s="107">
        <v>24</v>
      </c>
      <c r="AL12" s="107">
        <v>25</v>
      </c>
      <c r="AM12" s="107">
        <v>20</v>
      </c>
      <c r="AN12" s="107">
        <v>21</v>
      </c>
    </row>
    <row r="13" spans="1:40" s="4" customFormat="1" ht="36.75" customHeight="1">
      <c r="A13" s="3"/>
      <c r="B13" s="257" t="s">
        <v>2</v>
      </c>
      <c r="C13" s="257"/>
      <c r="D13" s="91"/>
      <c r="E13" s="3"/>
      <c r="F13" s="3"/>
      <c r="G13" s="3"/>
      <c r="H13" s="3"/>
      <c r="I13" s="115">
        <f>I14</f>
        <v>2279505</v>
      </c>
      <c r="J13" s="115">
        <f aca="true" t="shared" si="0" ref="J13:AM13">J14</f>
        <v>728752</v>
      </c>
      <c r="K13" s="115">
        <f t="shared" si="0"/>
        <v>179852</v>
      </c>
      <c r="L13" s="115"/>
      <c r="M13" s="115">
        <f t="shared" si="0"/>
        <v>1550303</v>
      </c>
      <c r="N13" s="115">
        <f t="shared" si="0"/>
        <v>1343826.8</v>
      </c>
      <c r="O13" s="115">
        <f t="shared" si="0"/>
        <v>206476.2</v>
      </c>
      <c r="P13" s="115">
        <f t="shared" si="0"/>
        <v>367013</v>
      </c>
      <c r="Q13" s="115">
        <f t="shared" si="0"/>
        <v>23313</v>
      </c>
      <c r="R13" s="115">
        <f t="shared" si="0"/>
        <v>343700</v>
      </c>
      <c r="S13" s="115">
        <f t="shared" si="0"/>
        <v>102481</v>
      </c>
      <c r="T13" s="115">
        <f t="shared" si="0"/>
        <v>23313</v>
      </c>
      <c r="U13" s="115">
        <f t="shared" si="0"/>
        <v>95368</v>
      </c>
      <c r="V13" s="115">
        <f t="shared" si="0"/>
        <v>348732</v>
      </c>
      <c r="W13" s="115">
        <f t="shared" si="0"/>
        <v>21232</v>
      </c>
      <c r="X13" s="115">
        <f t="shared" si="0"/>
        <v>343700</v>
      </c>
      <c r="Y13" s="115">
        <f t="shared" si="0"/>
        <v>1064551</v>
      </c>
      <c r="Z13" s="115">
        <f t="shared" si="0"/>
        <v>111933</v>
      </c>
      <c r="AA13" s="115">
        <f t="shared" si="0"/>
        <v>0</v>
      </c>
      <c r="AB13" s="115">
        <f t="shared" si="0"/>
        <v>0</v>
      </c>
      <c r="AC13" s="115">
        <f t="shared" si="0"/>
        <v>952618</v>
      </c>
      <c r="AD13" s="116">
        <v>856875</v>
      </c>
      <c r="AE13" s="116">
        <v>111933</v>
      </c>
      <c r="AF13" s="116">
        <v>0</v>
      </c>
      <c r="AG13" s="116">
        <v>0</v>
      </c>
      <c r="AH13" s="116">
        <v>744942</v>
      </c>
      <c r="AI13" s="115">
        <f t="shared" si="0"/>
        <v>205942</v>
      </c>
      <c r="AJ13" s="115">
        <f t="shared" si="0"/>
        <v>0</v>
      </c>
      <c r="AK13" s="115">
        <v>0</v>
      </c>
      <c r="AL13" s="115">
        <f t="shared" si="0"/>
        <v>0</v>
      </c>
      <c r="AM13" s="115">
        <f t="shared" si="0"/>
        <v>205942</v>
      </c>
      <c r="AN13" s="117"/>
    </row>
    <row r="14" spans="1:52" s="5" customFormat="1" ht="57.75" customHeight="1">
      <c r="A14" s="118" t="s">
        <v>16</v>
      </c>
      <c r="B14" s="258" t="s">
        <v>161</v>
      </c>
      <c r="C14" s="258"/>
      <c r="D14" s="119"/>
      <c r="E14" s="118"/>
      <c r="F14" s="118"/>
      <c r="G14" s="92"/>
      <c r="H14" s="92"/>
      <c r="I14" s="115">
        <f>I15+I20+I24</f>
        <v>2279505</v>
      </c>
      <c r="J14" s="115">
        <f aca="true" t="shared" si="1" ref="J14:AA14">J15+J20+J24</f>
        <v>728752</v>
      </c>
      <c r="K14" s="115">
        <f t="shared" si="1"/>
        <v>179852</v>
      </c>
      <c r="L14" s="115"/>
      <c r="M14" s="115">
        <f t="shared" si="1"/>
        <v>1550303</v>
      </c>
      <c r="N14" s="115">
        <f t="shared" si="1"/>
        <v>1343826.8</v>
      </c>
      <c r="O14" s="115">
        <f t="shared" si="1"/>
        <v>206476.2</v>
      </c>
      <c r="P14" s="115">
        <f t="shared" si="1"/>
        <v>367013</v>
      </c>
      <c r="Q14" s="115">
        <f t="shared" si="1"/>
        <v>23313</v>
      </c>
      <c r="R14" s="115">
        <f t="shared" si="1"/>
        <v>343700</v>
      </c>
      <c r="S14" s="115">
        <f t="shared" si="1"/>
        <v>102481</v>
      </c>
      <c r="T14" s="115">
        <f t="shared" si="1"/>
        <v>23313</v>
      </c>
      <c r="U14" s="115">
        <f t="shared" si="1"/>
        <v>95368</v>
      </c>
      <c r="V14" s="115">
        <f t="shared" si="1"/>
        <v>348732</v>
      </c>
      <c r="W14" s="115">
        <f t="shared" si="1"/>
        <v>21232</v>
      </c>
      <c r="X14" s="115">
        <f t="shared" si="1"/>
        <v>343700</v>
      </c>
      <c r="Y14" s="115">
        <f t="shared" si="1"/>
        <v>1064551</v>
      </c>
      <c r="Z14" s="115">
        <f t="shared" si="1"/>
        <v>111933</v>
      </c>
      <c r="AA14" s="115">
        <f t="shared" si="1"/>
        <v>0</v>
      </c>
      <c r="AB14" s="115"/>
      <c r="AC14" s="115">
        <f>AC15+AC20+AC24</f>
        <v>952618</v>
      </c>
      <c r="AD14" s="116">
        <v>856875</v>
      </c>
      <c r="AE14" s="116">
        <v>111933</v>
      </c>
      <c r="AF14" s="116">
        <v>0</v>
      </c>
      <c r="AG14" s="116">
        <v>0</v>
      </c>
      <c r="AH14" s="116">
        <v>744942</v>
      </c>
      <c r="AI14" s="115">
        <f>AI15+AI20+AI24</f>
        <v>205942</v>
      </c>
      <c r="AJ14" s="115">
        <f>AJ15+AJ20+AJ24</f>
        <v>0</v>
      </c>
      <c r="AK14" s="115">
        <v>0</v>
      </c>
      <c r="AL14" s="115">
        <f>AL15+AL20+AL24</f>
        <v>0</v>
      </c>
      <c r="AM14" s="115">
        <f>AM15+AM20+AM24</f>
        <v>205942</v>
      </c>
      <c r="AN14" s="115"/>
      <c r="AO14" s="4"/>
      <c r="AZ14" s="109">
        <f>AK25</f>
        <v>0</v>
      </c>
    </row>
    <row r="15" spans="1:42" s="2" customFormat="1" ht="36.75" customHeight="1">
      <c r="A15" s="120" t="s">
        <v>17</v>
      </c>
      <c r="B15" s="256" t="s">
        <v>30</v>
      </c>
      <c r="C15" s="256"/>
      <c r="D15" s="121"/>
      <c r="E15" s="122"/>
      <c r="F15" s="122"/>
      <c r="G15" s="122"/>
      <c r="H15" s="122"/>
      <c r="I15" s="123">
        <f>I16</f>
        <v>1285721</v>
      </c>
      <c r="J15" s="123">
        <f aca="true" t="shared" si="2" ref="J15:AM15">J16</f>
        <v>332569</v>
      </c>
      <c r="K15" s="123">
        <f t="shared" si="2"/>
        <v>139852</v>
      </c>
      <c r="L15" s="124"/>
      <c r="M15" s="123">
        <f t="shared" si="2"/>
        <v>953152</v>
      </c>
      <c r="N15" s="123">
        <f t="shared" si="2"/>
        <v>857836.8</v>
      </c>
      <c r="O15" s="123">
        <f t="shared" si="2"/>
        <v>95315.2</v>
      </c>
      <c r="P15" s="123">
        <f t="shared" si="2"/>
        <v>207432</v>
      </c>
      <c r="Q15" s="123">
        <f t="shared" si="2"/>
        <v>21232</v>
      </c>
      <c r="R15" s="123">
        <f t="shared" si="2"/>
        <v>186200</v>
      </c>
      <c r="S15" s="125">
        <f t="shared" si="2"/>
        <v>55067</v>
      </c>
      <c r="T15" s="125">
        <f t="shared" si="2"/>
        <v>21232</v>
      </c>
      <c r="U15" s="125">
        <f t="shared" si="2"/>
        <v>50035</v>
      </c>
      <c r="V15" s="123">
        <f t="shared" si="2"/>
        <v>191232</v>
      </c>
      <c r="W15" s="123">
        <f t="shared" si="2"/>
        <v>21232</v>
      </c>
      <c r="X15" s="123">
        <f t="shared" si="2"/>
        <v>186200</v>
      </c>
      <c r="Y15" s="123">
        <f t="shared" si="2"/>
        <v>685586</v>
      </c>
      <c r="Z15" s="123">
        <f t="shared" si="2"/>
        <v>109852</v>
      </c>
      <c r="AA15" s="123">
        <f t="shared" si="2"/>
        <v>0</v>
      </c>
      <c r="AB15" s="123"/>
      <c r="AC15" s="123">
        <f t="shared" si="2"/>
        <v>575734</v>
      </c>
      <c r="AD15" s="126">
        <v>587820</v>
      </c>
      <c r="AE15" s="126">
        <v>109852</v>
      </c>
      <c r="AF15" s="126">
        <v>0</v>
      </c>
      <c r="AG15" s="126">
        <v>0</v>
      </c>
      <c r="AH15" s="126">
        <v>477968</v>
      </c>
      <c r="AI15" s="123">
        <f t="shared" si="2"/>
        <v>96449</v>
      </c>
      <c r="AJ15" s="123">
        <f t="shared" si="2"/>
        <v>0</v>
      </c>
      <c r="AK15" s="123">
        <v>0</v>
      </c>
      <c r="AL15" s="123"/>
      <c r="AM15" s="123">
        <f t="shared" si="2"/>
        <v>96449</v>
      </c>
      <c r="AN15" s="127"/>
      <c r="AO15" s="4"/>
      <c r="AP15" s="8"/>
    </row>
    <row r="16" spans="1:41" s="7" customFormat="1" ht="39.75" customHeight="1">
      <c r="A16" s="120"/>
      <c r="B16" s="254" t="s">
        <v>162</v>
      </c>
      <c r="C16" s="254"/>
      <c r="D16" s="121"/>
      <c r="E16" s="121"/>
      <c r="F16" s="121"/>
      <c r="G16" s="121"/>
      <c r="H16" s="121"/>
      <c r="I16" s="126">
        <f aca="true" t="shared" si="3" ref="I16:AC16">SUM(I18:I19)</f>
        <v>1285721</v>
      </c>
      <c r="J16" s="126">
        <f t="shared" si="3"/>
        <v>332569</v>
      </c>
      <c r="K16" s="126">
        <f t="shared" si="3"/>
        <v>139852</v>
      </c>
      <c r="L16" s="126"/>
      <c r="M16" s="126">
        <f t="shared" si="3"/>
        <v>953152</v>
      </c>
      <c r="N16" s="126">
        <f t="shared" si="3"/>
        <v>857836.8</v>
      </c>
      <c r="O16" s="126">
        <f t="shared" si="3"/>
        <v>95315.2</v>
      </c>
      <c r="P16" s="126">
        <f t="shared" si="3"/>
        <v>207432</v>
      </c>
      <c r="Q16" s="126">
        <f t="shared" si="3"/>
        <v>21232</v>
      </c>
      <c r="R16" s="126">
        <f t="shared" si="3"/>
        <v>186200</v>
      </c>
      <c r="S16" s="126">
        <f t="shared" si="3"/>
        <v>55067</v>
      </c>
      <c r="T16" s="126">
        <f t="shared" si="3"/>
        <v>21232</v>
      </c>
      <c r="U16" s="126">
        <f t="shared" si="3"/>
        <v>50035</v>
      </c>
      <c r="V16" s="126">
        <f t="shared" si="3"/>
        <v>191232</v>
      </c>
      <c r="W16" s="126">
        <f t="shared" si="3"/>
        <v>21232</v>
      </c>
      <c r="X16" s="126">
        <f t="shared" si="3"/>
        <v>186200</v>
      </c>
      <c r="Y16" s="126">
        <f t="shared" si="3"/>
        <v>685586</v>
      </c>
      <c r="Z16" s="126">
        <f t="shared" si="3"/>
        <v>109852</v>
      </c>
      <c r="AA16" s="126">
        <f t="shared" si="3"/>
        <v>0</v>
      </c>
      <c r="AB16" s="126">
        <f t="shared" si="3"/>
        <v>0</v>
      </c>
      <c r="AC16" s="126">
        <f t="shared" si="3"/>
        <v>575734</v>
      </c>
      <c r="AD16" s="126">
        <v>587820</v>
      </c>
      <c r="AE16" s="126">
        <v>109852</v>
      </c>
      <c r="AF16" s="126">
        <v>0</v>
      </c>
      <c r="AG16" s="126">
        <v>0</v>
      </c>
      <c r="AH16" s="126">
        <v>477968</v>
      </c>
      <c r="AI16" s="126">
        <f>SUM(AI18:AI19)</f>
        <v>96449</v>
      </c>
      <c r="AJ16" s="126">
        <f>SUM(AJ18:AJ19)</f>
        <v>0</v>
      </c>
      <c r="AK16" s="126">
        <v>0</v>
      </c>
      <c r="AL16" s="126">
        <f>SUM(AL18:AL19)</f>
        <v>0</v>
      </c>
      <c r="AM16" s="126">
        <f>SUM(AM18:AM19)</f>
        <v>96449</v>
      </c>
      <c r="AN16" s="128"/>
      <c r="AO16" s="4"/>
    </row>
    <row r="17" spans="1:42" s="1" customFormat="1" ht="24.75" customHeight="1">
      <c r="A17" s="129"/>
      <c r="B17" s="253" t="s">
        <v>8</v>
      </c>
      <c r="C17" s="253"/>
      <c r="D17" s="130"/>
      <c r="E17" s="131"/>
      <c r="F17" s="131"/>
      <c r="G17" s="131"/>
      <c r="H17" s="131"/>
      <c r="I17" s="93"/>
      <c r="J17" s="93"/>
      <c r="K17" s="93"/>
      <c r="L17" s="132"/>
      <c r="M17" s="93"/>
      <c r="N17" s="93"/>
      <c r="O17" s="93"/>
      <c r="P17" s="93"/>
      <c r="Q17" s="93"/>
      <c r="R17" s="93"/>
      <c r="S17" s="93"/>
      <c r="T17" s="93"/>
      <c r="U17" s="93"/>
      <c r="V17" s="93"/>
      <c r="W17" s="93"/>
      <c r="X17" s="93"/>
      <c r="Y17" s="93"/>
      <c r="Z17" s="93"/>
      <c r="AA17" s="93"/>
      <c r="AB17" s="93"/>
      <c r="AC17" s="93"/>
      <c r="AD17" s="133"/>
      <c r="AE17" s="133"/>
      <c r="AF17" s="133"/>
      <c r="AG17" s="133"/>
      <c r="AH17" s="133"/>
      <c r="AI17" s="93"/>
      <c r="AJ17" s="93"/>
      <c r="AK17" s="93"/>
      <c r="AL17" s="93"/>
      <c r="AM17" s="93"/>
      <c r="AN17" s="134"/>
      <c r="AO17" s="4"/>
      <c r="AP17" s="6"/>
    </row>
    <row r="18" spans="1:41" s="2" customFormat="1" ht="156">
      <c r="A18" s="120"/>
      <c r="B18" s="135" t="s">
        <v>34</v>
      </c>
      <c r="C18" s="135">
        <v>7641426</v>
      </c>
      <c r="D18" s="131" t="s">
        <v>72</v>
      </c>
      <c r="E18" s="131" t="s">
        <v>35</v>
      </c>
      <c r="F18" s="136" t="s">
        <v>163</v>
      </c>
      <c r="G18" s="137" t="s">
        <v>36</v>
      </c>
      <c r="H18" s="137" t="s">
        <v>37</v>
      </c>
      <c r="I18" s="138">
        <v>1071289</v>
      </c>
      <c r="J18" s="138">
        <v>313939</v>
      </c>
      <c r="K18" s="138">
        <v>139852</v>
      </c>
      <c r="L18" s="139" t="s">
        <v>38</v>
      </c>
      <c r="M18" s="140">
        <v>757350</v>
      </c>
      <c r="N18" s="140">
        <v>681615</v>
      </c>
      <c r="O18" s="140">
        <f>M18-N18</f>
        <v>75735</v>
      </c>
      <c r="P18" s="93">
        <f>Q18+R18</f>
        <v>191232</v>
      </c>
      <c r="Q18" s="93">
        <v>21232</v>
      </c>
      <c r="R18" s="138">
        <v>170000</v>
      </c>
      <c r="S18" s="141">
        <f>T18+U18</f>
        <v>55067</v>
      </c>
      <c r="T18" s="141">
        <v>21232</v>
      </c>
      <c r="U18" s="141">
        <v>33835</v>
      </c>
      <c r="V18" s="138">
        <f>W18+X18</f>
        <v>191232</v>
      </c>
      <c r="W18" s="138">
        <v>21232</v>
      </c>
      <c r="X18" s="138">
        <v>170000</v>
      </c>
      <c r="Y18" s="133">
        <f>Z18+AC18</f>
        <v>635364</v>
      </c>
      <c r="Z18" s="133">
        <v>109852</v>
      </c>
      <c r="AA18" s="142"/>
      <c r="AB18" s="142"/>
      <c r="AC18" s="133">
        <v>525512</v>
      </c>
      <c r="AD18" s="133">
        <v>544197</v>
      </c>
      <c r="AE18" s="133">
        <v>109852</v>
      </c>
      <c r="AF18" s="142"/>
      <c r="AG18" s="142"/>
      <c r="AH18" s="133">
        <v>434345</v>
      </c>
      <c r="AI18" s="133">
        <f>AJ18+AM18</f>
        <v>91167</v>
      </c>
      <c r="AJ18" s="133"/>
      <c r="AK18" s="133"/>
      <c r="AL18" s="133"/>
      <c r="AM18" s="133">
        <v>91167</v>
      </c>
      <c r="AN18" s="134"/>
      <c r="AO18" s="4"/>
    </row>
    <row r="19" spans="1:41" s="2" customFormat="1" ht="93">
      <c r="A19" s="120"/>
      <c r="B19" s="135" t="s">
        <v>164</v>
      </c>
      <c r="C19" s="135">
        <v>7593697</v>
      </c>
      <c r="D19" s="131" t="s">
        <v>72</v>
      </c>
      <c r="E19" s="131" t="s">
        <v>29</v>
      </c>
      <c r="F19" s="136" t="s">
        <v>165</v>
      </c>
      <c r="G19" s="136" t="s">
        <v>31</v>
      </c>
      <c r="H19" s="137" t="s">
        <v>32</v>
      </c>
      <c r="I19" s="143">
        <v>214432.00000000003</v>
      </c>
      <c r="J19" s="94">
        <v>18630</v>
      </c>
      <c r="K19" s="94">
        <v>0</v>
      </c>
      <c r="L19" s="88" t="s">
        <v>33</v>
      </c>
      <c r="M19" s="94">
        <v>195802.00000000003</v>
      </c>
      <c r="N19" s="94">
        <v>176221.80000000002</v>
      </c>
      <c r="O19" s="94">
        <v>19580.2</v>
      </c>
      <c r="P19" s="93">
        <f>Q19+R19</f>
        <v>16200</v>
      </c>
      <c r="Q19" s="93"/>
      <c r="R19" s="138">
        <v>16200</v>
      </c>
      <c r="S19" s="141"/>
      <c r="T19" s="141"/>
      <c r="U19" s="141">
        <f>V19+X19</f>
        <v>16200</v>
      </c>
      <c r="V19" s="138"/>
      <c r="W19" s="138"/>
      <c r="X19" s="138">
        <v>16200</v>
      </c>
      <c r="Y19" s="133">
        <f>Z19+AC19</f>
        <v>50222</v>
      </c>
      <c r="Z19" s="133"/>
      <c r="AA19" s="142"/>
      <c r="AB19" s="142"/>
      <c r="AC19" s="133">
        <v>50222</v>
      </c>
      <c r="AD19" s="133">
        <v>43623</v>
      </c>
      <c r="AE19" s="133"/>
      <c r="AF19" s="142"/>
      <c r="AG19" s="142"/>
      <c r="AH19" s="133">
        <v>43623</v>
      </c>
      <c r="AI19" s="133">
        <f>AJ19+AM19</f>
        <v>5282</v>
      </c>
      <c r="AJ19" s="133"/>
      <c r="AK19" s="133"/>
      <c r="AL19" s="133"/>
      <c r="AM19" s="133">
        <v>5282</v>
      </c>
      <c r="AN19" s="134"/>
      <c r="AO19" s="4"/>
    </row>
    <row r="20" spans="1:41" s="7" customFormat="1" ht="48" customHeight="1">
      <c r="A20" s="129" t="s">
        <v>18</v>
      </c>
      <c r="B20" s="253" t="s">
        <v>62</v>
      </c>
      <c r="C20" s="253"/>
      <c r="D20" s="130"/>
      <c r="E20" s="121"/>
      <c r="F20" s="121"/>
      <c r="G20" s="121"/>
      <c r="H20" s="121"/>
      <c r="I20" s="123">
        <f>I21</f>
        <v>840129</v>
      </c>
      <c r="J20" s="123">
        <f aca="true" t="shared" si="4" ref="J20:AM20">J21</f>
        <v>364129</v>
      </c>
      <c r="K20" s="123">
        <f t="shared" si="4"/>
        <v>40000</v>
      </c>
      <c r="L20" s="124"/>
      <c r="M20" s="123">
        <f t="shared" si="4"/>
        <v>476000</v>
      </c>
      <c r="N20" s="123">
        <f t="shared" si="4"/>
        <v>401184</v>
      </c>
      <c r="O20" s="123">
        <f t="shared" si="4"/>
        <v>74816</v>
      </c>
      <c r="P20" s="123">
        <f t="shared" si="4"/>
        <v>128081</v>
      </c>
      <c r="Q20" s="123">
        <f t="shared" si="4"/>
        <v>2081</v>
      </c>
      <c r="R20" s="123">
        <f t="shared" si="4"/>
        <v>126000</v>
      </c>
      <c r="S20" s="123">
        <f t="shared" si="4"/>
        <v>38081</v>
      </c>
      <c r="T20" s="123">
        <f t="shared" si="4"/>
        <v>2081</v>
      </c>
      <c r="U20" s="123">
        <f t="shared" si="4"/>
        <v>36000</v>
      </c>
      <c r="V20" s="123">
        <f t="shared" si="4"/>
        <v>126000</v>
      </c>
      <c r="W20" s="123">
        <f t="shared" si="4"/>
        <v>0</v>
      </c>
      <c r="X20" s="123">
        <f t="shared" si="4"/>
        <v>126000</v>
      </c>
      <c r="Y20" s="123">
        <f t="shared" si="4"/>
        <v>294159</v>
      </c>
      <c r="Z20" s="123">
        <f t="shared" si="4"/>
        <v>2081</v>
      </c>
      <c r="AA20" s="123">
        <f t="shared" si="4"/>
        <v>0</v>
      </c>
      <c r="AB20" s="123"/>
      <c r="AC20" s="123">
        <f t="shared" si="4"/>
        <v>292078</v>
      </c>
      <c r="AD20" s="123">
        <v>217555</v>
      </c>
      <c r="AE20" s="123">
        <v>2081</v>
      </c>
      <c r="AF20" s="123">
        <v>0</v>
      </c>
      <c r="AG20" s="123">
        <v>0</v>
      </c>
      <c r="AH20" s="123">
        <v>215474</v>
      </c>
      <c r="AI20" s="123">
        <f>AI21</f>
        <v>76493</v>
      </c>
      <c r="AJ20" s="123">
        <f t="shared" si="4"/>
        <v>0</v>
      </c>
      <c r="AK20" s="123"/>
      <c r="AL20" s="123"/>
      <c r="AM20" s="123">
        <f t="shared" si="4"/>
        <v>76493</v>
      </c>
      <c r="AN20" s="128"/>
      <c r="AO20" s="4"/>
    </row>
    <row r="21" spans="1:41" s="7" customFormat="1" ht="36.75" customHeight="1">
      <c r="A21" s="120"/>
      <c r="B21" s="254" t="s">
        <v>166</v>
      </c>
      <c r="C21" s="254"/>
      <c r="D21" s="121"/>
      <c r="E21" s="121"/>
      <c r="F21" s="121"/>
      <c r="G21" s="121"/>
      <c r="H21" s="121"/>
      <c r="I21" s="123">
        <f>I23</f>
        <v>840129</v>
      </c>
      <c r="J21" s="123">
        <f aca="true" t="shared" si="5" ref="J21:AM21">J23</f>
        <v>364129</v>
      </c>
      <c r="K21" s="123">
        <f t="shared" si="5"/>
        <v>40000</v>
      </c>
      <c r="L21" s="123"/>
      <c r="M21" s="123">
        <f t="shared" si="5"/>
        <v>476000</v>
      </c>
      <c r="N21" s="123">
        <f t="shared" si="5"/>
        <v>401184</v>
      </c>
      <c r="O21" s="123">
        <f t="shared" si="5"/>
        <v>74816</v>
      </c>
      <c r="P21" s="123">
        <f t="shared" si="5"/>
        <v>128081</v>
      </c>
      <c r="Q21" s="123">
        <f t="shared" si="5"/>
        <v>2081</v>
      </c>
      <c r="R21" s="123">
        <f t="shared" si="5"/>
        <v>126000</v>
      </c>
      <c r="S21" s="123">
        <f>S23</f>
        <v>38081</v>
      </c>
      <c r="T21" s="123">
        <f>T23</f>
        <v>2081</v>
      </c>
      <c r="U21" s="123">
        <f>U23</f>
        <v>36000</v>
      </c>
      <c r="V21" s="123">
        <f t="shared" si="5"/>
        <v>126000</v>
      </c>
      <c r="W21" s="123">
        <f t="shared" si="5"/>
        <v>0</v>
      </c>
      <c r="X21" s="123">
        <f t="shared" si="5"/>
        <v>126000</v>
      </c>
      <c r="Y21" s="123">
        <f t="shared" si="5"/>
        <v>294159</v>
      </c>
      <c r="Z21" s="123">
        <f t="shared" si="5"/>
        <v>2081</v>
      </c>
      <c r="AA21" s="123">
        <f t="shared" si="5"/>
        <v>0</v>
      </c>
      <c r="AB21" s="123"/>
      <c r="AC21" s="123">
        <f t="shared" si="5"/>
        <v>292078</v>
      </c>
      <c r="AD21" s="126">
        <v>217555</v>
      </c>
      <c r="AE21" s="126">
        <v>2081</v>
      </c>
      <c r="AF21" s="126">
        <v>0</v>
      </c>
      <c r="AG21" s="126">
        <v>0</v>
      </c>
      <c r="AH21" s="126">
        <v>215474</v>
      </c>
      <c r="AI21" s="123">
        <f t="shared" si="5"/>
        <v>76493</v>
      </c>
      <c r="AJ21" s="123">
        <f t="shared" si="5"/>
        <v>0</v>
      </c>
      <c r="AK21" s="123">
        <f t="shared" si="5"/>
        <v>0</v>
      </c>
      <c r="AL21" s="123"/>
      <c r="AM21" s="123">
        <f t="shared" si="5"/>
        <v>76493</v>
      </c>
      <c r="AN21" s="128"/>
      <c r="AO21" s="4"/>
    </row>
    <row r="22" spans="1:41" s="7" customFormat="1" ht="28.5" customHeight="1">
      <c r="A22" s="120"/>
      <c r="B22" s="254" t="s">
        <v>8</v>
      </c>
      <c r="C22" s="254"/>
      <c r="D22" s="121"/>
      <c r="E22" s="121"/>
      <c r="F22" s="121"/>
      <c r="G22" s="121"/>
      <c r="H22" s="121"/>
      <c r="I22" s="123"/>
      <c r="J22" s="123"/>
      <c r="K22" s="123"/>
      <c r="L22" s="124"/>
      <c r="M22" s="123"/>
      <c r="N22" s="123"/>
      <c r="O22" s="123"/>
      <c r="P22" s="123"/>
      <c r="Q22" s="123"/>
      <c r="R22" s="123"/>
      <c r="S22" s="123"/>
      <c r="T22" s="123"/>
      <c r="U22" s="123"/>
      <c r="V22" s="123"/>
      <c r="W22" s="123"/>
      <c r="X22" s="123"/>
      <c r="Y22" s="123"/>
      <c r="Z22" s="123"/>
      <c r="AA22" s="123"/>
      <c r="AB22" s="123"/>
      <c r="AC22" s="123"/>
      <c r="AD22" s="126"/>
      <c r="AE22" s="126"/>
      <c r="AF22" s="126"/>
      <c r="AG22" s="126"/>
      <c r="AH22" s="126"/>
      <c r="AI22" s="123"/>
      <c r="AJ22" s="123"/>
      <c r="AK22" s="123"/>
      <c r="AL22" s="123"/>
      <c r="AM22" s="123"/>
      <c r="AN22" s="128"/>
      <c r="AO22" s="4"/>
    </row>
    <row r="23" spans="1:42" s="10" customFormat="1" ht="75" customHeight="1">
      <c r="A23" s="144"/>
      <c r="B23" s="145" t="s">
        <v>40</v>
      </c>
      <c r="C23" s="145">
        <v>7608323</v>
      </c>
      <c r="D23" s="146" t="s">
        <v>72</v>
      </c>
      <c r="E23" s="146" t="s">
        <v>41</v>
      </c>
      <c r="F23" s="136" t="s">
        <v>167</v>
      </c>
      <c r="G23" s="146" t="s">
        <v>42</v>
      </c>
      <c r="H23" s="137" t="s">
        <v>168</v>
      </c>
      <c r="I23" s="138">
        <v>840129</v>
      </c>
      <c r="J23" s="138">
        <v>364129</v>
      </c>
      <c r="K23" s="138">
        <v>40000</v>
      </c>
      <c r="L23" s="83" t="s">
        <v>43</v>
      </c>
      <c r="M23" s="138">
        <v>476000</v>
      </c>
      <c r="N23" s="138">
        <v>401184</v>
      </c>
      <c r="O23" s="138">
        <f>M23-N23</f>
        <v>74816</v>
      </c>
      <c r="P23" s="133">
        <f>Q23+R23</f>
        <v>128081</v>
      </c>
      <c r="Q23" s="133">
        <v>2081</v>
      </c>
      <c r="R23" s="133">
        <v>126000</v>
      </c>
      <c r="S23" s="93">
        <f>T23+U23</f>
        <v>38081</v>
      </c>
      <c r="T23" s="93">
        <v>2081</v>
      </c>
      <c r="U23" s="93">
        <v>36000</v>
      </c>
      <c r="V23" s="133">
        <f>W23+X23</f>
        <v>126000</v>
      </c>
      <c r="W23" s="133"/>
      <c r="X23" s="133">
        <v>126000</v>
      </c>
      <c r="Y23" s="133">
        <f>Z23+AC23</f>
        <v>294159</v>
      </c>
      <c r="Z23" s="133">
        <v>2081</v>
      </c>
      <c r="AA23" s="133"/>
      <c r="AB23" s="133"/>
      <c r="AC23" s="133">
        <v>292078</v>
      </c>
      <c r="AD23" s="133">
        <v>217555</v>
      </c>
      <c r="AE23" s="133">
        <v>2081</v>
      </c>
      <c r="AF23" s="133"/>
      <c r="AG23" s="133"/>
      <c r="AH23" s="133">
        <v>215474</v>
      </c>
      <c r="AI23" s="133">
        <v>76493</v>
      </c>
      <c r="AJ23" s="133"/>
      <c r="AK23" s="133"/>
      <c r="AL23" s="133"/>
      <c r="AM23" s="133">
        <f>AI23</f>
        <v>76493</v>
      </c>
      <c r="AN23" s="147"/>
      <c r="AO23" s="4"/>
      <c r="AP23" s="9"/>
    </row>
    <row r="24" spans="1:42" s="7" customFormat="1" ht="39" customHeight="1">
      <c r="A24" s="129" t="s">
        <v>39</v>
      </c>
      <c r="B24" s="255" t="s">
        <v>45</v>
      </c>
      <c r="C24" s="255"/>
      <c r="D24" s="130"/>
      <c r="E24" s="121"/>
      <c r="F24" s="121"/>
      <c r="G24" s="121"/>
      <c r="H24" s="121"/>
      <c r="I24" s="123">
        <f>I25</f>
        <v>153655</v>
      </c>
      <c r="J24" s="123">
        <f aca="true" t="shared" si="6" ref="J24:AM24">J25</f>
        <v>32054</v>
      </c>
      <c r="K24" s="123">
        <f t="shared" si="6"/>
        <v>0</v>
      </c>
      <c r="L24" s="124"/>
      <c r="M24" s="123">
        <f>M25</f>
        <v>121151</v>
      </c>
      <c r="N24" s="123">
        <f t="shared" si="6"/>
        <v>84806</v>
      </c>
      <c r="O24" s="123">
        <f t="shared" si="6"/>
        <v>36345</v>
      </c>
      <c r="P24" s="123">
        <f t="shared" si="6"/>
        <v>31500</v>
      </c>
      <c r="Q24" s="123">
        <f t="shared" si="6"/>
        <v>0</v>
      </c>
      <c r="R24" s="123">
        <f t="shared" si="6"/>
        <v>31500</v>
      </c>
      <c r="S24" s="123">
        <f t="shared" si="6"/>
        <v>9333</v>
      </c>
      <c r="T24" s="123">
        <f t="shared" si="6"/>
        <v>0</v>
      </c>
      <c r="U24" s="123">
        <f t="shared" si="6"/>
        <v>9333</v>
      </c>
      <c r="V24" s="123">
        <f t="shared" si="6"/>
        <v>31500</v>
      </c>
      <c r="W24" s="123">
        <f t="shared" si="6"/>
        <v>0</v>
      </c>
      <c r="X24" s="123">
        <f t="shared" si="6"/>
        <v>31500</v>
      </c>
      <c r="Y24" s="123">
        <f t="shared" si="6"/>
        <v>84806</v>
      </c>
      <c r="Z24" s="123">
        <f t="shared" si="6"/>
        <v>0</v>
      </c>
      <c r="AA24" s="123">
        <f t="shared" si="6"/>
        <v>0</v>
      </c>
      <c r="AB24" s="123"/>
      <c r="AC24" s="123">
        <f t="shared" si="6"/>
        <v>84806</v>
      </c>
      <c r="AD24" s="126">
        <v>51500</v>
      </c>
      <c r="AE24" s="126">
        <v>0</v>
      </c>
      <c r="AF24" s="126">
        <v>0</v>
      </c>
      <c r="AG24" s="126">
        <v>0</v>
      </c>
      <c r="AH24" s="126">
        <v>51500</v>
      </c>
      <c r="AI24" s="123">
        <f t="shared" si="6"/>
        <v>33000</v>
      </c>
      <c r="AJ24" s="123">
        <f t="shared" si="6"/>
        <v>0</v>
      </c>
      <c r="AK24" s="123">
        <f t="shared" si="6"/>
        <v>0</v>
      </c>
      <c r="AL24" s="123"/>
      <c r="AM24" s="123">
        <f t="shared" si="6"/>
        <v>33000</v>
      </c>
      <c r="AN24" s="123"/>
      <c r="AO24" s="4"/>
      <c r="AP24" s="1"/>
    </row>
    <row r="25" spans="1:42" s="7" customFormat="1" ht="39" customHeight="1">
      <c r="A25" s="129"/>
      <c r="B25" s="256" t="str">
        <f>B21</f>
        <v>Dự án dự kiến  hoàn thành sau năm 2023</v>
      </c>
      <c r="C25" s="256"/>
      <c r="D25" s="121"/>
      <c r="E25" s="121"/>
      <c r="F25" s="121"/>
      <c r="G25" s="121"/>
      <c r="H25" s="121"/>
      <c r="I25" s="123">
        <f>I27</f>
        <v>153655</v>
      </c>
      <c r="J25" s="123">
        <f>J27</f>
        <v>32054</v>
      </c>
      <c r="K25" s="123">
        <f>K27</f>
        <v>0</v>
      </c>
      <c r="L25" s="124"/>
      <c r="M25" s="123">
        <f aca="true" t="shared" si="7" ref="M25:AM25">M27</f>
        <v>121151</v>
      </c>
      <c r="N25" s="123">
        <f t="shared" si="7"/>
        <v>84806</v>
      </c>
      <c r="O25" s="123">
        <f t="shared" si="7"/>
        <v>36345</v>
      </c>
      <c r="P25" s="123">
        <f t="shared" si="7"/>
        <v>31500</v>
      </c>
      <c r="Q25" s="123">
        <f t="shared" si="7"/>
        <v>0</v>
      </c>
      <c r="R25" s="123">
        <f t="shared" si="7"/>
        <v>31500</v>
      </c>
      <c r="S25" s="123">
        <f>S27</f>
        <v>9333</v>
      </c>
      <c r="T25" s="123">
        <f>T27</f>
        <v>0</v>
      </c>
      <c r="U25" s="123">
        <f>U27</f>
        <v>9333</v>
      </c>
      <c r="V25" s="123">
        <f t="shared" si="7"/>
        <v>31500</v>
      </c>
      <c r="W25" s="123">
        <f t="shared" si="7"/>
        <v>0</v>
      </c>
      <c r="X25" s="123">
        <f t="shared" si="7"/>
        <v>31500</v>
      </c>
      <c r="Y25" s="123">
        <f t="shared" si="7"/>
        <v>84806</v>
      </c>
      <c r="Z25" s="123">
        <f t="shared" si="7"/>
        <v>0</v>
      </c>
      <c r="AA25" s="123">
        <f t="shared" si="7"/>
        <v>0</v>
      </c>
      <c r="AB25" s="123"/>
      <c r="AC25" s="123">
        <f t="shared" si="7"/>
        <v>84806</v>
      </c>
      <c r="AD25" s="126">
        <v>51500</v>
      </c>
      <c r="AE25" s="126">
        <v>0</v>
      </c>
      <c r="AF25" s="126">
        <v>0</v>
      </c>
      <c r="AG25" s="126">
        <v>0</v>
      </c>
      <c r="AH25" s="126">
        <v>51500</v>
      </c>
      <c r="AI25" s="123">
        <f t="shared" si="7"/>
        <v>33000</v>
      </c>
      <c r="AJ25" s="123">
        <f t="shared" si="7"/>
        <v>0</v>
      </c>
      <c r="AK25" s="123">
        <f t="shared" si="7"/>
        <v>0</v>
      </c>
      <c r="AL25" s="123"/>
      <c r="AM25" s="123">
        <f t="shared" si="7"/>
        <v>33000</v>
      </c>
      <c r="AN25" s="123"/>
      <c r="AO25" s="4"/>
      <c r="AP25" s="1"/>
    </row>
    <row r="26" spans="1:42" s="7" customFormat="1" ht="33" customHeight="1">
      <c r="A26" s="120"/>
      <c r="B26" s="256" t="s">
        <v>8</v>
      </c>
      <c r="C26" s="256"/>
      <c r="D26" s="121"/>
      <c r="E26" s="121"/>
      <c r="F26" s="121"/>
      <c r="G26" s="121"/>
      <c r="H26" s="121"/>
      <c r="I26" s="123"/>
      <c r="J26" s="123"/>
      <c r="K26" s="123"/>
      <c r="L26" s="124"/>
      <c r="M26" s="123"/>
      <c r="N26" s="123"/>
      <c r="O26" s="123"/>
      <c r="P26" s="123"/>
      <c r="Q26" s="123"/>
      <c r="R26" s="123"/>
      <c r="S26" s="123"/>
      <c r="T26" s="123"/>
      <c r="U26" s="123"/>
      <c r="V26" s="123"/>
      <c r="W26" s="123"/>
      <c r="X26" s="123"/>
      <c r="Y26" s="123"/>
      <c r="Z26" s="123"/>
      <c r="AA26" s="123"/>
      <c r="AB26" s="123"/>
      <c r="AC26" s="123"/>
      <c r="AD26" s="126"/>
      <c r="AE26" s="126"/>
      <c r="AF26" s="126"/>
      <c r="AG26" s="126"/>
      <c r="AH26" s="126"/>
      <c r="AI26" s="123"/>
      <c r="AJ26" s="123"/>
      <c r="AK26" s="123"/>
      <c r="AL26" s="123"/>
      <c r="AM26" s="123"/>
      <c r="AN26" s="134"/>
      <c r="AO26" s="4"/>
      <c r="AP26" s="1"/>
    </row>
    <row r="27" spans="1:42" s="7" customFormat="1" ht="62.25">
      <c r="A27" s="120"/>
      <c r="B27" s="135" t="s">
        <v>46</v>
      </c>
      <c r="C27" s="135">
        <v>7847201</v>
      </c>
      <c r="D27" s="131" t="s">
        <v>72</v>
      </c>
      <c r="E27" s="131" t="s">
        <v>29</v>
      </c>
      <c r="F27" s="148" t="s">
        <v>169</v>
      </c>
      <c r="G27" s="131" t="s">
        <v>47</v>
      </c>
      <c r="H27" s="137" t="s">
        <v>48</v>
      </c>
      <c r="I27" s="138">
        <v>153655</v>
      </c>
      <c r="J27" s="138">
        <v>32054</v>
      </c>
      <c r="K27" s="123"/>
      <c r="L27" s="82" t="s">
        <v>49</v>
      </c>
      <c r="M27" s="138">
        <v>121151</v>
      </c>
      <c r="N27" s="138">
        <v>84806</v>
      </c>
      <c r="O27" s="138">
        <f>M27-N27</f>
        <v>36345</v>
      </c>
      <c r="P27" s="93">
        <f>Q27+R27</f>
        <v>31500</v>
      </c>
      <c r="Q27" s="123"/>
      <c r="R27" s="93">
        <v>31500</v>
      </c>
      <c r="S27" s="93">
        <f>T27+U27</f>
        <v>9333</v>
      </c>
      <c r="T27" s="93"/>
      <c r="U27" s="93">
        <v>9333</v>
      </c>
      <c r="V27" s="93">
        <f>W27+X27</f>
        <v>31500</v>
      </c>
      <c r="W27" s="93"/>
      <c r="X27" s="93">
        <v>31500</v>
      </c>
      <c r="Y27" s="93">
        <f>Z27+AC27</f>
        <v>84806</v>
      </c>
      <c r="Z27" s="123"/>
      <c r="AA27" s="123"/>
      <c r="AB27" s="123"/>
      <c r="AC27" s="93">
        <v>84806</v>
      </c>
      <c r="AD27" s="133">
        <v>51500</v>
      </c>
      <c r="AE27" s="126"/>
      <c r="AF27" s="126"/>
      <c r="AG27" s="126"/>
      <c r="AH27" s="133">
        <v>51500</v>
      </c>
      <c r="AI27" s="93">
        <f>AJ27+AM27</f>
        <v>33000</v>
      </c>
      <c r="AJ27" s="123"/>
      <c r="AK27" s="123"/>
      <c r="AL27" s="123"/>
      <c r="AM27" s="84">
        <v>33000</v>
      </c>
      <c r="AN27" s="134"/>
      <c r="AO27" s="110"/>
      <c r="AP27" s="1"/>
    </row>
    <row r="28" spans="1:40" ht="18">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row>
    <row r="29" spans="1:40" ht="18">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row>
    <row r="30" spans="1:40" ht="18">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row>
    <row r="31" spans="1:40" ht="18">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row>
    <row r="32" spans="1:40" ht="18">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row>
    <row r="33" spans="1:40" ht="18">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row>
    <row r="34" spans="1:40" ht="18">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row>
    <row r="35" spans="1:40" ht="18">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row>
    <row r="36" spans="1:40" ht="18">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row>
    <row r="37" spans="1:40" ht="18">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row>
    <row r="38" spans="1:40" ht="18">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row>
    <row r="39" spans="1:40" ht="18">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row>
    <row r="40" spans="1:40" ht="18">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row>
    <row r="41" spans="1:40" ht="18">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row>
    <row r="42" spans="1:40" ht="18">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row>
    <row r="43" spans="1:40" ht="18">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row>
    <row r="44" spans="1:40" ht="18">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row>
    <row r="45" spans="1:40" ht="18">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row>
    <row r="46" spans="1:40" ht="18">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row>
    <row r="47" spans="1:40" ht="18">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row>
    <row r="48" spans="1:40" ht="18">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row>
    <row r="49" spans="1:40" ht="18">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row>
    <row r="50" spans="1:40" ht="18">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row>
    <row r="51" spans="1:40" ht="18">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row>
    <row r="52" spans="1:40" ht="18">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row>
    <row r="53" spans="1:40" ht="18">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row>
    <row r="54" spans="1:40" ht="18">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row>
    <row r="55" spans="1:40" ht="18">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row>
    <row r="56" spans="1:40" ht="18">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row>
    <row r="57" spans="1:40" ht="18">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row>
    <row r="58" spans="1:40" ht="18">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row>
    <row r="59" spans="1:40" ht="18">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row>
    <row r="60" spans="1:40" ht="18">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row>
    <row r="61" spans="1:40" ht="18">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row>
    <row r="62" spans="1:40" ht="18">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row>
    <row r="63" spans="1:40" ht="18">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row>
    <row r="64" spans="1:40" ht="18">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row>
    <row r="65" spans="1:40" ht="18">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row>
    <row r="66" spans="1:40" ht="18">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row>
    <row r="67" spans="1:40" ht="18">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row>
    <row r="68" spans="1:40" ht="18">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row>
    <row r="69" spans="1:40" ht="18">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row>
    <row r="70" spans="1:40" ht="18">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row>
    <row r="71" spans="1:40" ht="18">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row>
    <row r="72" spans="1:40" ht="18">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row>
    <row r="73" spans="1:40" ht="18">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row>
    <row r="74" spans="1:40" ht="18">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row>
    <row r="75" spans="1:40" ht="18">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row>
    <row r="76" spans="1:40" ht="18">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row>
    <row r="77" spans="1:40" ht="18">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row>
    <row r="78" spans="1:40" ht="18">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row>
    <row r="79" spans="1:40" ht="18">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row>
    <row r="80" spans="1:40" ht="18">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row>
    <row r="81" spans="1:40" ht="18">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row>
    <row r="82" spans="1:40" ht="18">
      <c r="A82" s="104"/>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row>
    <row r="83" spans="1:40" ht="18">
      <c r="A83" s="104"/>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row>
    <row r="84" spans="1:40" ht="18">
      <c r="A84" s="104"/>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row>
    <row r="85" spans="1:40" ht="18">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row>
    <row r="86" spans="1:40" ht="18">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row>
    <row r="87" spans="1:40" ht="18">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row>
    <row r="88" spans="1:40" ht="18">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row>
    <row r="89" spans="1:40" ht="18">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row>
    <row r="90" spans="1:40" ht="18">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row>
    <row r="91" spans="1:40" ht="18">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row>
    <row r="92" spans="1:40" ht="18">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row>
    <row r="93" spans="1:40" ht="18">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row>
    <row r="94" spans="1:40" ht="18">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row>
    <row r="95" spans="1:40" ht="18">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row>
    <row r="96" spans="1:40" ht="18">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row>
    <row r="97" spans="1:40" ht="18">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row>
    <row r="98" spans="1:40" ht="18">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row>
    <row r="99" spans="1:40" ht="18">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row>
    <row r="100" spans="1:40" ht="18">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row>
    <row r="101" spans="1:40" ht="18">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row>
    <row r="102" spans="1:40" ht="18">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row>
    <row r="103" spans="1:40" ht="18">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row>
    <row r="104" spans="1:40" ht="18">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row>
    <row r="105" spans="1:40" ht="18">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row>
    <row r="106" spans="1:40" ht="18">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row>
    <row r="107" spans="1:40" ht="18">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row>
    <row r="108" spans="1:40" ht="18">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row>
    <row r="109" spans="1:40" ht="18">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row>
    <row r="110" spans="1:40" ht="18">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row>
    <row r="111" spans="1:40" ht="18">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row>
    <row r="112" spans="1:40" ht="18">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row>
    <row r="113" spans="1:40" ht="18">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row>
    <row r="114" spans="1:40" ht="18">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row>
    <row r="115" spans="1:40" ht="18">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row>
    <row r="116" spans="1:40" ht="18">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row>
    <row r="117" spans="1:40" ht="18">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row>
    <row r="118" spans="1:40" ht="18">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row>
    <row r="119" spans="1:40" ht="18">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row>
    <row r="120" spans="1:40" ht="18">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row>
    <row r="121" spans="1:40" ht="18">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row>
    <row r="122" spans="1:40" ht="18">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row>
    <row r="123" spans="1:40" ht="18">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row>
    <row r="124" spans="1:40" ht="18">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row>
    <row r="125" spans="1:40" ht="18">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row>
    <row r="126" spans="1:40" ht="18">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row>
    <row r="127" spans="1:40" ht="18">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row>
    <row r="128" spans="1:40" ht="18">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row>
    <row r="129" spans="1:40" ht="18">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row>
    <row r="130" spans="1:40" ht="18">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row>
    <row r="131" spans="1:40" ht="18">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row>
    <row r="132" spans="1:40" ht="18">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row>
    <row r="133" spans="1:40" ht="18">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row>
    <row r="134" spans="1:40" ht="18">
      <c r="A134" s="104"/>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row>
    <row r="135" spans="1:40" ht="18">
      <c r="A135" s="104"/>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row>
    <row r="136" spans="1:40" ht="18">
      <c r="A136" s="104"/>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row>
    <row r="137" spans="1:40" ht="18">
      <c r="A137" s="104"/>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row>
    <row r="138" spans="1:40" ht="18">
      <c r="A138" s="104"/>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row>
    <row r="139" spans="1:40" ht="18">
      <c r="A139" s="104"/>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row>
    <row r="140" spans="1:40" ht="18">
      <c r="A140" s="104"/>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4"/>
      <c r="AM140" s="104"/>
      <c r="AN140" s="104"/>
    </row>
    <row r="141" spans="1:40" ht="18">
      <c r="A141" s="104"/>
      <c r="B141" s="104"/>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04"/>
    </row>
    <row r="142" spans="1:40" ht="18">
      <c r="A142" s="104"/>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4"/>
      <c r="AN142" s="104"/>
    </row>
    <row r="143" spans="1:40" ht="18">
      <c r="A143" s="104"/>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row>
    <row r="144" spans="1:40" ht="18">
      <c r="A144" s="104"/>
      <c r="B144" s="104"/>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row>
    <row r="145" spans="1:40" ht="18">
      <c r="A145" s="104"/>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row>
    <row r="146" spans="1:40" ht="18">
      <c r="A146" s="104"/>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row>
    <row r="147" spans="1:40" ht="18">
      <c r="A147" s="104"/>
      <c r="B147" s="104"/>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row>
    <row r="148" spans="1:40" ht="18">
      <c r="A148" s="104"/>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row>
    <row r="149" spans="1:40" ht="18">
      <c r="A149" s="104"/>
      <c r="B149" s="10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row>
    <row r="150" spans="1:40" ht="18">
      <c r="A150" s="104"/>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row>
    <row r="151" spans="1:40" ht="18">
      <c r="A151" s="104"/>
      <c r="B151" s="104"/>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row>
    <row r="152" spans="1:40" ht="18">
      <c r="A152" s="104"/>
      <c r="B152" s="104"/>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4"/>
    </row>
    <row r="153" spans="1:40" ht="18">
      <c r="A153" s="104"/>
      <c r="B153" s="104"/>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c r="AL153" s="104"/>
      <c r="AM153" s="104"/>
      <c r="AN153" s="104"/>
    </row>
    <row r="154" spans="1:40" ht="18">
      <c r="A154" s="104"/>
      <c r="B154" s="104"/>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4"/>
      <c r="AL154" s="104"/>
      <c r="AM154" s="104"/>
      <c r="AN154" s="104"/>
    </row>
    <row r="155" spans="1:40" ht="18">
      <c r="A155" s="104"/>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4"/>
      <c r="AL155" s="104"/>
      <c r="AM155" s="104"/>
      <c r="AN155" s="104"/>
    </row>
    <row r="156" spans="1:40" ht="18">
      <c r="A156" s="104"/>
      <c r="B156" s="104"/>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row>
    <row r="157" spans="1:40" ht="18">
      <c r="A157" s="104"/>
      <c r="B157" s="104"/>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4"/>
      <c r="AL157" s="104"/>
      <c r="AM157" s="104"/>
      <c r="AN157" s="104"/>
    </row>
    <row r="158" spans="1:40" ht="18">
      <c r="A158" s="104"/>
      <c r="B158" s="104"/>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row>
    <row r="159" spans="1:40" ht="18">
      <c r="A159" s="104"/>
      <c r="B159" s="104"/>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4"/>
      <c r="AL159" s="104"/>
      <c r="AM159" s="104"/>
      <c r="AN159" s="104"/>
    </row>
    <row r="160" spans="1:40" ht="18">
      <c r="A160" s="104"/>
      <c r="B160" s="104"/>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row>
    <row r="161" spans="1:40" ht="18">
      <c r="A161" s="104"/>
      <c r="B161" s="104"/>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row>
    <row r="162" spans="1:40" ht="18">
      <c r="A162" s="104"/>
      <c r="B162" s="104"/>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row>
    <row r="163" spans="1:40" ht="18">
      <c r="A163" s="104"/>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row>
    <row r="164" spans="1:40" ht="18">
      <c r="A164" s="104"/>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row>
    <row r="165" spans="1:40" ht="18">
      <c r="A165" s="104"/>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row>
    <row r="166" spans="1:40" ht="18">
      <c r="A166" s="104"/>
      <c r="B166" s="104"/>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row>
    <row r="167" spans="1:40" ht="18">
      <c r="A167" s="104"/>
      <c r="B167" s="104"/>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row>
    <row r="168" spans="1:40" ht="18">
      <c r="A168" s="104"/>
      <c r="B168" s="104"/>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row>
    <row r="169" spans="1:40" ht="18">
      <c r="A169" s="104"/>
      <c r="B169" s="104"/>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row>
    <row r="170" spans="1:40" ht="18">
      <c r="A170" s="104"/>
      <c r="B170" s="104"/>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row>
    <row r="171" spans="1:40" ht="18">
      <c r="A171" s="104"/>
      <c r="B171" s="104"/>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4"/>
      <c r="AL171" s="104"/>
      <c r="AM171" s="104"/>
      <c r="AN171" s="104"/>
    </row>
    <row r="172" spans="1:40" ht="18">
      <c r="A172" s="104"/>
      <c r="B172" s="104"/>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row>
    <row r="173" spans="1:40" ht="18">
      <c r="A173" s="104"/>
      <c r="B173" s="104"/>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04"/>
      <c r="AM173" s="104"/>
      <c r="AN173" s="104"/>
    </row>
    <row r="174" spans="1:40" ht="18">
      <c r="A174" s="104"/>
      <c r="B174" s="104"/>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4"/>
      <c r="AL174" s="104"/>
      <c r="AM174" s="104"/>
      <c r="AN174" s="104"/>
    </row>
    <row r="175" spans="1:40" ht="18">
      <c r="A175" s="104"/>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4"/>
      <c r="AL175" s="104"/>
      <c r="AM175" s="104"/>
      <c r="AN175" s="104"/>
    </row>
    <row r="176" spans="1:40" ht="18">
      <c r="A176" s="104"/>
      <c r="B176" s="104"/>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4"/>
      <c r="AL176" s="104"/>
      <c r="AM176" s="104"/>
      <c r="AN176" s="104"/>
    </row>
    <row r="177" spans="1:40" ht="18">
      <c r="A177" s="104"/>
      <c r="B177" s="104"/>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4"/>
      <c r="AL177" s="104"/>
      <c r="AM177" s="104"/>
      <c r="AN177" s="104"/>
    </row>
    <row r="178" spans="1:40" ht="18">
      <c r="A178" s="104"/>
      <c r="B178" s="104"/>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4"/>
      <c r="AL178" s="104"/>
      <c r="AM178" s="104"/>
      <c r="AN178" s="104"/>
    </row>
    <row r="179" spans="1:40" ht="18">
      <c r="A179" s="104"/>
      <c r="B179" s="104"/>
      <c r="C179" s="104"/>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row>
    <row r="180" spans="1:40" ht="18">
      <c r="A180" s="104"/>
      <c r="B180" s="104"/>
      <c r="C180" s="10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row>
    <row r="181" spans="1:40" ht="18">
      <c r="A181" s="104"/>
      <c r="B181" s="104"/>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row>
    <row r="182" spans="1:40" ht="18">
      <c r="A182" s="104"/>
      <c r="B182" s="104"/>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row>
    <row r="183" spans="1:40" ht="18">
      <c r="A183" s="104"/>
      <c r="B183" s="104"/>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row>
    <row r="184" spans="1:40" ht="18">
      <c r="A184" s="104"/>
      <c r="B184" s="104"/>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4"/>
      <c r="AL184" s="104"/>
      <c r="AM184" s="104"/>
      <c r="AN184" s="104"/>
    </row>
    <row r="185" spans="1:40" ht="18">
      <c r="A185" s="104"/>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04"/>
      <c r="AM185" s="104"/>
      <c r="AN185" s="104"/>
    </row>
    <row r="186" spans="1:40" ht="18">
      <c r="A186" s="104"/>
      <c r="B186" s="104"/>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4"/>
      <c r="AL186" s="104"/>
      <c r="AM186" s="104"/>
      <c r="AN186" s="104"/>
    </row>
    <row r="187" spans="1:40" ht="18">
      <c r="A187" s="104"/>
      <c r="B187" s="104"/>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row>
    <row r="188" spans="1:40" ht="18">
      <c r="A188" s="104"/>
      <c r="B188" s="104"/>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row>
    <row r="189" spans="1:40" ht="18">
      <c r="A189" s="104"/>
      <c r="B189" s="104"/>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row>
    <row r="190" spans="1:40" ht="18">
      <c r="A190" s="104"/>
      <c r="B190" s="104"/>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row>
    <row r="191" spans="1:40" ht="18">
      <c r="A191" s="104"/>
      <c r="B191" s="104"/>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row>
    <row r="192" spans="1:40" ht="18">
      <c r="A192" s="104"/>
      <c r="B192" s="104"/>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row>
    <row r="193" spans="1:40" ht="18">
      <c r="A193" s="104"/>
      <c r="B193" s="104"/>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04"/>
      <c r="AL193" s="104"/>
      <c r="AM193" s="104"/>
      <c r="AN193" s="104"/>
    </row>
    <row r="194" spans="1:40" ht="18">
      <c r="A194" s="104"/>
      <c r="B194" s="104"/>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4"/>
      <c r="AL194" s="104"/>
      <c r="AM194" s="104"/>
      <c r="AN194" s="104"/>
    </row>
    <row r="195" spans="1:40" ht="18">
      <c r="A195" s="104"/>
      <c r="B195" s="104"/>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4"/>
      <c r="AL195" s="104"/>
      <c r="AM195" s="104"/>
      <c r="AN195" s="104"/>
    </row>
    <row r="196" spans="1:40" ht="18">
      <c r="A196" s="104"/>
      <c r="B196" s="104"/>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row>
    <row r="197" spans="1:40" ht="18">
      <c r="A197" s="104"/>
      <c r="B197" s="104"/>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row>
    <row r="198" spans="1:40" ht="18">
      <c r="A198" s="104"/>
      <c r="B198" s="104"/>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4"/>
      <c r="AL198" s="104"/>
      <c r="AM198" s="104"/>
      <c r="AN198" s="104"/>
    </row>
    <row r="199" spans="1:40" ht="18">
      <c r="A199" s="104"/>
      <c r="B199" s="104"/>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row>
    <row r="200" spans="1:40" ht="18">
      <c r="A200" s="104"/>
      <c r="B200" s="104"/>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c r="AM200" s="104"/>
      <c r="AN200" s="104"/>
    </row>
    <row r="201" spans="1:40" ht="18">
      <c r="A201" s="104"/>
      <c r="B201" s="104"/>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c r="AM201" s="104"/>
      <c r="AN201" s="104"/>
    </row>
    <row r="202" spans="1:40" ht="18">
      <c r="A202" s="104"/>
      <c r="B202" s="104"/>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c r="AM202" s="104"/>
      <c r="AN202" s="104"/>
    </row>
    <row r="203" spans="1:40" ht="18">
      <c r="A203" s="104"/>
      <c r="B203" s="104"/>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4"/>
      <c r="AL203" s="104"/>
      <c r="AM203" s="104"/>
      <c r="AN203" s="104"/>
    </row>
    <row r="204" spans="1:40" ht="18">
      <c r="A204" s="104"/>
      <c r="B204" s="104"/>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4"/>
      <c r="AL204" s="104"/>
      <c r="AM204" s="104"/>
      <c r="AN204" s="104"/>
    </row>
    <row r="205" spans="1:40" ht="18">
      <c r="A205" s="104"/>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row>
    <row r="206" spans="1:40" ht="18">
      <c r="A206" s="104"/>
      <c r="B206" s="104"/>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4"/>
      <c r="AL206" s="104"/>
      <c r="AM206" s="104"/>
      <c r="AN206" s="104"/>
    </row>
    <row r="207" spans="1:40" ht="18">
      <c r="A207" s="104"/>
      <c r="B207" s="104"/>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4"/>
      <c r="AL207" s="104"/>
      <c r="AM207" s="104"/>
      <c r="AN207" s="104"/>
    </row>
    <row r="208" spans="1:40" ht="18">
      <c r="A208" s="104"/>
      <c r="B208" s="104"/>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4"/>
      <c r="AL208" s="104"/>
      <c r="AM208" s="104"/>
      <c r="AN208" s="104"/>
    </row>
    <row r="209" spans="1:40" ht="18">
      <c r="A209" s="104"/>
      <c r="B209" s="104"/>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4"/>
      <c r="AL209" s="104"/>
      <c r="AM209" s="104"/>
      <c r="AN209" s="104"/>
    </row>
    <row r="210" spans="1:40" ht="18">
      <c r="A210" s="104"/>
      <c r="B210" s="104"/>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4"/>
      <c r="AL210" s="104"/>
      <c r="AM210" s="104"/>
      <c r="AN210" s="104"/>
    </row>
    <row r="211" spans="1:40" ht="18">
      <c r="A211" s="104"/>
      <c r="B211" s="104"/>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c r="AH211" s="104"/>
      <c r="AI211" s="104"/>
      <c r="AJ211" s="104"/>
      <c r="AK211" s="104"/>
      <c r="AL211" s="104"/>
      <c r="AM211" s="104"/>
      <c r="AN211" s="104"/>
    </row>
    <row r="212" spans="1:40" ht="18">
      <c r="A212" s="104"/>
      <c r="B212" s="104"/>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4"/>
      <c r="AL212" s="104"/>
      <c r="AM212" s="104"/>
      <c r="AN212" s="104"/>
    </row>
    <row r="213" spans="1:40" ht="18">
      <c r="A213" s="104"/>
      <c r="B213" s="104"/>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4"/>
      <c r="AL213" s="104"/>
      <c r="AM213" s="104"/>
      <c r="AN213" s="104"/>
    </row>
    <row r="214" spans="1:40" ht="18">
      <c r="A214" s="104"/>
      <c r="B214" s="104"/>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c r="AL214" s="104"/>
      <c r="AM214" s="104"/>
      <c r="AN214" s="104"/>
    </row>
    <row r="215" spans="1:40" ht="18">
      <c r="A215" s="104"/>
      <c r="B215" s="104"/>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4"/>
      <c r="AL215" s="104"/>
      <c r="AM215" s="104"/>
      <c r="AN215" s="104"/>
    </row>
    <row r="216" spans="1:40" ht="18">
      <c r="A216" s="104"/>
      <c r="B216" s="104"/>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04"/>
      <c r="AM216" s="104"/>
      <c r="AN216" s="104"/>
    </row>
    <row r="217" spans="1:40" ht="18">
      <c r="A217" s="104"/>
      <c r="B217" s="104"/>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4"/>
      <c r="AL217" s="104"/>
      <c r="AM217" s="104"/>
      <c r="AN217" s="104"/>
    </row>
    <row r="218" spans="1:40" ht="18">
      <c r="A218" s="104"/>
      <c r="B218" s="104"/>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c r="AM218" s="104"/>
      <c r="AN218" s="104"/>
    </row>
    <row r="219" spans="1:40" ht="18">
      <c r="A219" s="104"/>
      <c r="B219" s="104"/>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c r="AH219" s="104"/>
      <c r="AI219" s="104"/>
      <c r="AJ219" s="104"/>
      <c r="AK219" s="104"/>
      <c r="AL219" s="104"/>
      <c r="AM219" s="104"/>
      <c r="AN219" s="104"/>
    </row>
    <row r="220" spans="1:40" ht="18">
      <c r="A220" s="1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4"/>
      <c r="AL220" s="104"/>
      <c r="AM220" s="104"/>
      <c r="AN220" s="104"/>
    </row>
    <row r="221" spans="1:40" ht="18">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c r="AH221" s="104"/>
      <c r="AI221" s="104"/>
      <c r="AJ221" s="104"/>
      <c r="AK221" s="104"/>
      <c r="AL221" s="104"/>
      <c r="AM221" s="104"/>
      <c r="AN221" s="104"/>
    </row>
    <row r="222" spans="1:40" ht="18">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c r="AH222" s="104"/>
      <c r="AI222" s="104"/>
      <c r="AJ222" s="104"/>
      <c r="AK222" s="104"/>
      <c r="AL222" s="104"/>
      <c r="AM222" s="104"/>
      <c r="AN222" s="104"/>
    </row>
    <row r="223" spans="1:40" ht="18">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c r="AH223" s="104"/>
      <c r="AI223" s="104"/>
      <c r="AJ223" s="104"/>
      <c r="AK223" s="104"/>
      <c r="AL223" s="104"/>
      <c r="AM223" s="104"/>
      <c r="AN223" s="104"/>
    </row>
    <row r="224" spans="1:40" ht="18">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4"/>
      <c r="AL224" s="104"/>
      <c r="AM224" s="104"/>
      <c r="AN224" s="104"/>
    </row>
    <row r="225" spans="1:40" ht="18">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c r="AH225" s="104"/>
      <c r="AI225" s="104"/>
      <c r="AJ225" s="104"/>
      <c r="AK225" s="104"/>
      <c r="AL225" s="104"/>
      <c r="AM225" s="104"/>
      <c r="AN225" s="104"/>
    </row>
    <row r="226" spans="1:40" ht="18">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104"/>
      <c r="AL226" s="104"/>
      <c r="AM226" s="104"/>
      <c r="AN226" s="104"/>
    </row>
    <row r="227" spans="1:40" ht="18">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4"/>
      <c r="AL227" s="104"/>
      <c r="AM227" s="104"/>
      <c r="AN227" s="104"/>
    </row>
    <row r="228" spans="1:40" ht="18">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4"/>
      <c r="AL228" s="104"/>
      <c r="AM228" s="104"/>
      <c r="AN228" s="104"/>
    </row>
    <row r="229" spans="1:40" ht="18">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row>
    <row r="230" spans="1:40" ht="18">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row>
    <row r="231" spans="1:40" ht="18">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4"/>
      <c r="AL231" s="104"/>
      <c r="AM231" s="104"/>
      <c r="AN231" s="104"/>
    </row>
    <row r="232" spans="1:40" ht="18">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c r="AG232" s="104"/>
      <c r="AH232" s="104"/>
      <c r="AI232" s="104"/>
      <c r="AJ232" s="104"/>
      <c r="AK232" s="104"/>
      <c r="AL232" s="104"/>
      <c r="AM232" s="104"/>
      <c r="AN232" s="104"/>
    </row>
    <row r="233" spans="1:40" ht="18">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04"/>
      <c r="AF233" s="104"/>
      <c r="AG233" s="104"/>
      <c r="AH233" s="104"/>
      <c r="AI233" s="104"/>
      <c r="AJ233" s="104"/>
      <c r="AK233" s="104"/>
      <c r="AL233" s="104"/>
      <c r="AM233" s="104"/>
      <c r="AN233" s="104"/>
    </row>
    <row r="234" spans="1:40" ht="18">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c r="AH234" s="104"/>
      <c r="AI234" s="104"/>
      <c r="AJ234" s="104"/>
      <c r="AK234" s="104"/>
      <c r="AL234" s="104"/>
      <c r="AM234" s="104"/>
      <c r="AN234" s="104"/>
    </row>
    <row r="235" spans="1:40" ht="18">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c r="AH235" s="104"/>
      <c r="AI235" s="104"/>
      <c r="AJ235" s="104"/>
      <c r="AK235" s="104"/>
      <c r="AL235" s="104"/>
      <c r="AM235" s="104"/>
      <c r="AN235" s="104"/>
    </row>
    <row r="236" spans="1:40" ht="18">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row>
    <row r="237" spans="1:40" ht="18">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row>
    <row r="238" spans="1:40" ht="18">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4"/>
      <c r="AL238" s="104"/>
      <c r="AM238" s="104"/>
      <c r="AN238" s="104"/>
    </row>
    <row r="239" spans="1:40" ht="18">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4"/>
      <c r="AL239" s="104"/>
      <c r="AM239" s="104"/>
      <c r="AN239" s="104"/>
    </row>
    <row r="240" spans="1:40" ht="18">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4"/>
      <c r="AL240" s="104"/>
      <c r="AM240" s="104"/>
      <c r="AN240" s="104"/>
    </row>
    <row r="241" spans="1:40" ht="18">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4"/>
      <c r="AL241" s="104"/>
      <c r="AM241" s="104"/>
      <c r="AN241" s="104"/>
    </row>
    <row r="242" spans="1:40" ht="18">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4"/>
      <c r="AL242" s="104"/>
      <c r="AM242" s="104"/>
      <c r="AN242" s="104"/>
    </row>
    <row r="243" spans="1:40" ht="18">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4"/>
      <c r="AL243" s="104"/>
      <c r="AM243" s="104"/>
      <c r="AN243" s="104"/>
    </row>
    <row r="244" spans="1:40" ht="18">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4"/>
      <c r="AL244" s="104"/>
      <c r="AM244" s="104"/>
      <c r="AN244" s="104"/>
    </row>
    <row r="245" spans="1:40" ht="18">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4"/>
      <c r="AL245" s="104"/>
      <c r="AM245" s="104"/>
      <c r="AN245" s="104"/>
    </row>
    <row r="246" spans="1:40" ht="18">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4"/>
      <c r="AL246" s="104"/>
      <c r="AM246" s="104"/>
      <c r="AN246" s="104"/>
    </row>
    <row r="247" spans="1:40" ht="18">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row>
    <row r="248" spans="1:40" ht="18">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row>
    <row r="249" spans="1:40" ht="18">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row>
    <row r="250" spans="1:40" ht="18">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row>
    <row r="251" spans="1:40" ht="18">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4"/>
      <c r="AL251" s="104"/>
      <c r="AM251" s="104"/>
      <c r="AN251" s="104"/>
    </row>
    <row r="252" spans="1:40" ht="18">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row>
    <row r="253" spans="1:40" ht="18">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4"/>
      <c r="AL253" s="104"/>
      <c r="AM253" s="104"/>
      <c r="AN253" s="104"/>
    </row>
    <row r="254" spans="1:40" ht="18">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4"/>
      <c r="AL254" s="104"/>
      <c r="AM254" s="104"/>
      <c r="AN254" s="104"/>
    </row>
    <row r="255" spans="1:40" ht="18">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4"/>
      <c r="AL255" s="104"/>
      <c r="AM255" s="104"/>
      <c r="AN255" s="104"/>
    </row>
    <row r="256" spans="1:40" ht="18">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4"/>
      <c r="AL256" s="104"/>
      <c r="AM256" s="104"/>
      <c r="AN256" s="104"/>
    </row>
    <row r="257" spans="1:40" ht="18">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4"/>
      <c r="AL257" s="104"/>
      <c r="AM257" s="104"/>
      <c r="AN257" s="104"/>
    </row>
    <row r="258" spans="1:40" ht="18">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4"/>
      <c r="AL258" s="104"/>
      <c r="AM258" s="104"/>
      <c r="AN258" s="104"/>
    </row>
    <row r="259" spans="1:40" ht="18">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4"/>
      <c r="AL259" s="104"/>
      <c r="AM259" s="104"/>
      <c r="AN259" s="104"/>
    </row>
    <row r="260" spans="1:40" ht="18">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4"/>
      <c r="AL260" s="104"/>
      <c r="AM260" s="104"/>
      <c r="AN260" s="104"/>
    </row>
    <row r="261" spans="1:40" ht="18">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4"/>
      <c r="AL261" s="104"/>
      <c r="AM261" s="104"/>
      <c r="AN261" s="104"/>
    </row>
    <row r="262" spans="1:40" ht="18">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4"/>
      <c r="AL262" s="104"/>
      <c r="AM262" s="104"/>
      <c r="AN262" s="104"/>
    </row>
    <row r="263" spans="1:40" ht="18">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4"/>
      <c r="AL263" s="104"/>
      <c r="AM263" s="104"/>
      <c r="AN263" s="104"/>
    </row>
    <row r="264" spans="1:40" ht="18">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4"/>
      <c r="AL264" s="104"/>
      <c r="AM264" s="104"/>
      <c r="AN264" s="104"/>
    </row>
    <row r="265" spans="1:40" ht="18">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4"/>
      <c r="AL265" s="104"/>
      <c r="AM265" s="104"/>
      <c r="AN265" s="104"/>
    </row>
    <row r="266" spans="1:40" ht="18">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c r="AH266" s="104"/>
      <c r="AI266" s="104"/>
      <c r="AJ266" s="104"/>
      <c r="AK266" s="104"/>
      <c r="AL266" s="104"/>
      <c r="AM266" s="104"/>
      <c r="AN266" s="104"/>
    </row>
    <row r="267" spans="1:40" ht="18">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row>
    <row r="268" spans="1:40" ht="18">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c r="AH268" s="104"/>
      <c r="AI268" s="104"/>
      <c r="AJ268" s="104"/>
      <c r="AK268" s="104"/>
      <c r="AL268" s="104"/>
      <c r="AM268" s="104"/>
      <c r="AN268" s="104"/>
    </row>
    <row r="269" spans="1:40" ht="18">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4"/>
      <c r="AL269" s="104"/>
      <c r="AM269" s="104"/>
      <c r="AN269" s="104"/>
    </row>
    <row r="270" spans="1:40" ht="18">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4"/>
      <c r="AL270" s="104"/>
      <c r="AM270" s="104"/>
      <c r="AN270" s="104"/>
    </row>
    <row r="271" spans="1:40" ht="18">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4"/>
      <c r="AL271" s="104"/>
      <c r="AM271" s="104"/>
      <c r="AN271" s="104"/>
    </row>
    <row r="272" spans="1:40" ht="18">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4"/>
      <c r="AL272" s="104"/>
      <c r="AM272" s="104"/>
      <c r="AN272" s="104"/>
    </row>
    <row r="273" spans="1:40" ht="18">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4"/>
      <c r="AL273" s="104"/>
      <c r="AM273" s="104"/>
      <c r="AN273" s="104"/>
    </row>
    <row r="274" spans="1:40" ht="18">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4"/>
      <c r="AL274" s="104"/>
      <c r="AM274" s="104"/>
      <c r="AN274" s="104"/>
    </row>
    <row r="275" spans="1:40" ht="18">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4"/>
      <c r="AL275" s="104"/>
      <c r="AM275" s="104"/>
      <c r="AN275" s="104"/>
    </row>
    <row r="276" spans="1:40" ht="18">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4"/>
      <c r="AL276" s="104"/>
      <c r="AM276" s="104"/>
      <c r="AN276" s="104"/>
    </row>
    <row r="277" spans="1:40" ht="18">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4"/>
      <c r="AL277" s="104"/>
      <c r="AM277" s="104"/>
      <c r="AN277" s="104"/>
    </row>
    <row r="278" spans="1:40" ht="18">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4"/>
      <c r="AL278" s="104"/>
      <c r="AM278" s="104"/>
      <c r="AN278" s="104"/>
    </row>
    <row r="279" spans="1:40" ht="18">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row>
    <row r="280" spans="1:40" ht="18">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4"/>
      <c r="AL280" s="104"/>
      <c r="AM280" s="104"/>
      <c r="AN280" s="104"/>
    </row>
    <row r="281" spans="1:40" ht="18">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4"/>
      <c r="AL281" s="104"/>
      <c r="AM281" s="104"/>
      <c r="AN281" s="104"/>
    </row>
    <row r="282" spans="1:40" ht="18">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4"/>
      <c r="AL282" s="104"/>
      <c r="AM282" s="104"/>
      <c r="AN282" s="104"/>
    </row>
    <row r="283" spans="1:40" ht="18">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row>
    <row r="284" spans="1:40" ht="18">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4"/>
      <c r="AL284" s="104"/>
      <c r="AM284" s="104"/>
      <c r="AN284" s="104"/>
    </row>
    <row r="285" spans="1:40" ht="18">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4"/>
      <c r="AL285" s="104"/>
      <c r="AM285" s="104"/>
      <c r="AN285" s="104"/>
    </row>
    <row r="286" spans="1:40" ht="18">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4"/>
      <c r="AL286" s="104"/>
      <c r="AM286" s="104"/>
      <c r="AN286" s="104"/>
    </row>
    <row r="287" spans="1:40" ht="18">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4"/>
      <c r="AL287" s="104"/>
      <c r="AM287" s="104"/>
      <c r="AN287" s="104"/>
    </row>
    <row r="288" spans="1:40" ht="18">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4"/>
      <c r="AL288" s="104"/>
      <c r="AM288" s="104"/>
      <c r="AN288" s="104"/>
    </row>
    <row r="289" spans="1:40" ht="18">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row>
    <row r="290" spans="1:40" ht="18">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row>
    <row r="291" spans="1:40" ht="18">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row>
    <row r="292" spans="1:40" ht="18">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row>
    <row r="293" spans="1:40" ht="18">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row>
    <row r="294" spans="1:40" ht="18">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row>
    <row r="295" spans="1:40" ht="18">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4"/>
      <c r="AL295" s="104"/>
      <c r="AM295" s="104"/>
      <c r="AN295" s="104"/>
    </row>
    <row r="296" spans="1:40" ht="18">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04"/>
      <c r="AM296" s="104"/>
      <c r="AN296" s="104"/>
    </row>
    <row r="297" spans="1:40" ht="18">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4"/>
      <c r="AL297" s="104"/>
      <c r="AM297" s="104"/>
      <c r="AN297" s="104"/>
    </row>
    <row r="298" spans="1:40" ht="18">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row>
    <row r="299" spans="1:40" ht="18">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c r="AF299" s="104"/>
      <c r="AG299" s="104"/>
      <c r="AH299" s="104"/>
      <c r="AI299" s="104"/>
      <c r="AJ299" s="104"/>
      <c r="AK299" s="104"/>
      <c r="AL299" s="104"/>
      <c r="AM299" s="104"/>
      <c r="AN299" s="104"/>
    </row>
    <row r="300" spans="1:40" ht="18">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row>
    <row r="301" spans="1:40" ht="18">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4"/>
      <c r="AL301" s="104"/>
      <c r="AM301" s="104"/>
      <c r="AN301" s="104"/>
    </row>
    <row r="302" spans="1:40" ht="18">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4"/>
      <c r="AL302" s="104"/>
      <c r="AM302" s="104"/>
      <c r="AN302" s="104"/>
    </row>
    <row r="303" spans="1:40" ht="18">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4"/>
      <c r="AL303" s="104"/>
      <c r="AM303" s="104"/>
      <c r="AN303" s="104"/>
    </row>
    <row r="304" spans="1:40" ht="18">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4"/>
      <c r="AL304" s="104"/>
      <c r="AM304" s="104"/>
      <c r="AN304" s="104"/>
    </row>
  </sheetData>
  <sheetProtection/>
  <mergeCells count="75">
    <mergeCell ref="B21:C21"/>
    <mergeCell ref="B22:C22"/>
    <mergeCell ref="B24:C24"/>
    <mergeCell ref="B25:C25"/>
    <mergeCell ref="B26:C26"/>
    <mergeCell ref="B13:C13"/>
    <mergeCell ref="B14:C14"/>
    <mergeCell ref="B15:C15"/>
    <mergeCell ref="B16:C16"/>
    <mergeCell ref="B17:C17"/>
    <mergeCell ref="B20:C20"/>
    <mergeCell ref="J9:J11"/>
    <mergeCell ref="K9:K11"/>
    <mergeCell ref="L9:L11"/>
    <mergeCell ref="M9:O9"/>
    <mergeCell ref="AA9:AA11"/>
    <mergeCell ref="I6:I11"/>
    <mergeCell ref="J6:O6"/>
    <mergeCell ref="P6:P11"/>
    <mergeCell ref="Q6:R6"/>
    <mergeCell ref="AJ7:AL7"/>
    <mergeCell ref="AM7:AM11"/>
    <mergeCell ref="Z8:Z11"/>
    <mergeCell ref="AA8:AB8"/>
    <mergeCell ref="AJ8:AJ11"/>
    <mergeCell ref="AK8:AL8"/>
    <mergeCell ref="AK9:AK11"/>
    <mergeCell ref="J7:K8"/>
    <mergeCell ref="L7:O8"/>
    <mergeCell ref="Q7:Q11"/>
    <mergeCell ref="R7:R11"/>
    <mergeCell ref="T7:T11"/>
    <mergeCell ref="U7:U11"/>
    <mergeCell ref="M10:M11"/>
    <mergeCell ref="N10:O10"/>
    <mergeCell ref="W6:X6"/>
    <mergeCell ref="Y6:Y11"/>
    <mergeCell ref="Z6:AC6"/>
    <mergeCell ref="AD6:AD11"/>
    <mergeCell ref="AE6:AH6"/>
    <mergeCell ref="AL9:AL11"/>
    <mergeCell ref="AJ6:AM6"/>
    <mergeCell ref="W7:W11"/>
    <mergeCell ref="X7:X11"/>
    <mergeCell ref="AB9:AB11"/>
    <mergeCell ref="G4:G11"/>
    <mergeCell ref="H4:O4"/>
    <mergeCell ref="P4:X4"/>
    <mergeCell ref="AI6:AI11"/>
    <mergeCell ref="AC7:AC11"/>
    <mergeCell ref="AE7:AG11"/>
    <mergeCell ref="AH7:AH11"/>
    <mergeCell ref="V5:X5"/>
    <mergeCell ref="Y5:AC5"/>
    <mergeCell ref="AD5:AH5"/>
    <mergeCell ref="AI4:AM5"/>
    <mergeCell ref="AN4:AN11"/>
    <mergeCell ref="H5:H11"/>
    <mergeCell ref="I5:O5"/>
    <mergeCell ref="P5:R5"/>
    <mergeCell ref="S5:U5"/>
    <mergeCell ref="S6:S11"/>
    <mergeCell ref="T6:U6"/>
    <mergeCell ref="V6:V11"/>
    <mergeCell ref="Z7:AB7"/>
    <mergeCell ref="A1:AN1"/>
    <mergeCell ref="A2:AN2"/>
    <mergeCell ref="A3:AN3"/>
    <mergeCell ref="A4:A11"/>
    <mergeCell ref="B4:B11"/>
    <mergeCell ref="C4:C11"/>
    <mergeCell ref="D4:D11"/>
    <mergeCell ref="E4:E11"/>
    <mergeCell ref="F4:F11"/>
    <mergeCell ref="Y4:AH4"/>
  </mergeCells>
  <printOptions/>
  <pageMargins left="0.7086614173228347" right="0.3937007874015748" top="0.5511811023622047" bottom="0.5118110236220472" header="0.31496062992125984" footer="0.31496062992125984"/>
  <pageSetup fitToHeight="0"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dimension ref="A1:IG18"/>
  <sheetViews>
    <sheetView zoomScale="55" zoomScaleNormal="55" zoomScaleSheetLayoutView="55" zoomScalePageLayoutView="0" workbookViewId="0" topLeftCell="A1">
      <selection activeCell="E17" sqref="E17"/>
    </sheetView>
  </sheetViews>
  <sheetFormatPr defaultColWidth="12.28125" defaultRowHeight="15"/>
  <cols>
    <col min="1" max="1" width="8.421875" style="99" customWidth="1"/>
    <col min="2" max="2" width="59.8515625" style="95" customWidth="1"/>
    <col min="3" max="5" width="22.421875" style="95" customWidth="1"/>
    <col min="6" max="6" width="13.28125" style="95" customWidth="1"/>
    <col min="7" max="232" width="9.140625" style="95" customWidth="1"/>
    <col min="233" max="233" width="6.00390625" style="95" customWidth="1"/>
    <col min="234" max="234" width="41.00390625" style="95" customWidth="1"/>
    <col min="235" max="241" width="12.28125" style="95" customWidth="1"/>
    <col min="242" max="16384" width="12.28125" style="97" customWidth="1"/>
  </cols>
  <sheetData>
    <row r="1" spans="1:24" ht="20.25" customHeight="1">
      <c r="A1" s="259" t="s">
        <v>206</v>
      </c>
      <c r="B1" s="259"/>
      <c r="C1" s="259"/>
      <c r="D1" s="259"/>
      <c r="E1" s="259"/>
      <c r="F1" s="96"/>
      <c r="G1" s="96"/>
      <c r="H1" s="96"/>
      <c r="I1" s="96"/>
      <c r="J1" s="96"/>
      <c r="K1" s="96"/>
      <c r="L1" s="96"/>
      <c r="M1" s="96"/>
      <c r="N1" s="96"/>
      <c r="O1" s="96"/>
      <c r="P1" s="96"/>
      <c r="Q1" s="96"/>
      <c r="R1" s="96"/>
      <c r="S1" s="96"/>
      <c r="T1" s="96"/>
      <c r="U1" s="96"/>
      <c r="V1" s="96"/>
      <c r="W1" s="96"/>
      <c r="X1" s="96"/>
    </row>
    <row r="2" spans="1:241" ht="27" customHeight="1">
      <c r="A2" s="260" t="s">
        <v>215</v>
      </c>
      <c r="B2" s="260"/>
      <c r="C2" s="260"/>
      <c r="D2" s="260"/>
      <c r="E2" s="260"/>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row>
    <row r="3" spans="1:241" ht="33.75" customHeight="1">
      <c r="A3" s="261" t="s">
        <v>217</v>
      </c>
      <c r="B3" s="261"/>
      <c r="C3" s="261"/>
      <c r="D3" s="261"/>
      <c r="E3" s="261"/>
      <c r="F3" s="211"/>
      <c r="G3" s="211"/>
      <c r="H3" s="211"/>
      <c r="I3" s="211"/>
      <c r="J3" s="211"/>
      <c r="K3" s="211"/>
      <c r="L3" s="211"/>
      <c r="M3" s="211"/>
      <c r="N3" s="211"/>
      <c r="O3" s="211"/>
      <c r="P3" s="211"/>
      <c r="Q3" s="211"/>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row>
    <row r="4" spans="1:241" ht="18" customHeight="1">
      <c r="A4" s="192"/>
      <c r="B4" s="192"/>
      <c r="C4" s="192"/>
      <c r="D4" s="192"/>
      <c r="E4" s="192"/>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row>
    <row r="5" spans="1:241" s="102" customFormat="1" ht="17.25">
      <c r="A5" s="262" t="s">
        <v>9</v>
      </c>
      <c r="B5" s="262" t="s">
        <v>130</v>
      </c>
      <c r="C5" s="262" t="s">
        <v>210</v>
      </c>
      <c r="D5" s="262"/>
      <c r="E5" s="262"/>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row>
    <row r="6" spans="1:241" s="102" customFormat="1" ht="81" customHeight="1">
      <c r="A6" s="262"/>
      <c r="B6" s="262"/>
      <c r="C6" s="101" t="s">
        <v>79</v>
      </c>
      <c r="D6" s="101" t="s">
        <v>211</v>
      </c>
      <c r="E6" s="101" t="s">
        <v>212</v>
      </c>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row>
    <row r="7" spans="1:241" s="102" customFormat="1" ht="18">
      <c r="A7" s="193"/>
      <c r="B7" s="194" t="s">
        <v>77</v>
      </c>
      <c r="C7" s="101">
        <f>SUM(C8:C10)</f>
        <v>633198</v>
      </c>
      <c r="D7" s="101">
        <f>SUM(D8:D10)</f>
        <v>569827</v>
      </c>
      <c r="E7" s="101">
        <f>SUM(E8:E10)</f>
        <v>63371</v>
      </c>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row>
    <row r="8" spans="1:241" s="102" customFormat="1" ht="18">
      <c r="A8" s="100">
        <v>1</v>
      </c>
      <c r="B8" s="12" t="s">
        <v>74</v>
      </c>
      <c r="C8" s="212">
        <f aca="true" t="shared" si="0" ref="C8:E10">C12+C16</f>
        <v>108626</v>
      </c>
      <c r="D8" s="212">
        <f t="shared" si="0"/>
        <v>105777</v>
      </c>
      <c r="E8" s="212">
        <f t="shared" si="0"/>
        <v>2849</v>
      </c>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row>
    <row r="9" spans="1:241" s="102" customFormat="1" ht="36">
      <c r="A9" s="100">
        <v>2</v>
      </c>
      <c r="B9" s="12" t="s">
        <v>75</v>
      </c>
      <c r="C9" s="212">
        <f t="shared" si="0"/>
        <v>416472</v>
      </c>
      <c r="D9" s="212">
        <f t="shared" si="0"/>
        <v>355950</v>
      </c>
      <c r="E9" s="212">
        <f>E13+E17</f>
        <v>60522</v>
      </c>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row>
    <row r="10" spans="1:241" s="102" customFormat="1" ht="36">
      <c r="A10" s="100">
        <v>3</v>
      </c>
      <c r="B10" s="12" t="s">
        <v>76</v>
      </c>
      <c r="C10" s="212">
        <f t="shared" si="0"/>
        <v>108100</v>
      </c>
      <c r="D10" s="212">
        <f t="shared" si="0"/>
        <v>108100</v>
      </c>
      <c r="E10" s="212">
        <f t="shared" si="0"/>
        <v>0</v>
      </c>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row>
    <row r="11" spans="1:5" ht="18">
      <c r="A11" s="193" t="s">
        <v>17</v>
      </c>
      <c r="B11" s="194" t="s">
        <v>213</v>
      </c>
      <c r="C11" s="213">
        <f>SUM(C12:C14)</f>
        <v>36100</v>
      </c>
      <c r="D11" s="213">
        <f>SUM(D12:D14)</f>
        <v>32277</v>
      </c>
      <c r="E11" s="213">
        <f>SUM(E12:E14)</f>
        <v>3823</v>
      </c>
    </row>
    <row r="12" spans="1:7" ht="18">
      <c r="A12" s="100">
        <v>1</v>
      </c>
      <c r="B12" s="12" t="s">
        <v>74</v>
      </c>
      <c r="C12" s="100">
        <v>3163</v>
      </c>
      <c r="D12" s="100">
        <f>C12-E12</f>
        <v>3080</v>
      </c>
      <c r="E12" s="100">
        <v>83</v>
      </c>
      <c r="G12" s="195"/>
    </row>
    <row r="13" spans="1:5" ht="36">
      <c r="A13" s="100">
        <v>2</v>
      </c>
      <c r="B13" s="12" t="s">
        <v>75</v>
      </c>
      <c r="C13" s="100">
        <v>21337</v>
      </c>
      <c r="D13" s="100">
        <f>C13-E13</f>
        <v>17597</v>
      </c>
      <c r="E13" s="100">
        <f>4053-313</f>
        <v>3740</v>
      </c>
    </row>
    <row r="14" spans="1:5" ht="36">
      <c r="A14" s="100">
        <v>3</v>
      </c>
      <c r="B14" s="12" t="s">
        <v>76</v>
      </c>
      <c r="C14" s="100">
        <v>11600</v>
      </c>
      <c r="D14" s="100">
        <f>C14-E14</f>
        <v>11600</v>
      </c>
      <c r="E14" s="100">
        <v>0</v>
      </c>
    </row>
    <row r="15" spans="1:5" ht="18">
      <c r="A15" s="193" t="s">
        <v>18</v>
      </c>
      <c r="B15" s="194" t="s">
        <v>214</v>
      </c>
      <c r="C15" s="213">
        <f>SUM(C16:C18)</f>
        <v>597098</v>
      </c>
      <c r="D15" s="213">
        <f>SUM(D16:D18)</f>
        <v>537550</v>
      </c>
      <c r="E15" s="213">
        <f>SUM(E16:E18)</f>
        <v>59548</v>
      </c>
    </row>
    <row r="16" spans="1:6" ht="18">
      <c r="A16" s="100">
        <v>1</v>
      </c>
      <c r="B16" s="12" t="s">
        <v>74</v>
      </c>
      <c r="C16" s="212">
        <v>105463</v>
      </c>
      <c r="D16" s="100">
        <f>C16-E16</f>
        <v>102697</v>
      </c>
      <c r="E16" s="212">
        <v>2766</v>
      </c>
      <c r="F16" s="196"/>
    </row>
    <row r="17" spans="1:7" ht="36">
      <c r="A17" s="100">
        <v>2</v>
      </c>
      <c r="B17" s="12" t="s">
        <v>75</v>
      </c>
      <c r="C17" s="212">
        <v>395135</v>
      </c>
      <c r="D17" s="100">
        <f>C17-E17</f>
        <v>338353</v>
      </c>
      <c r="E17" s="212">
        <f>91309-25936-1000-1940-5651</f>
        <v>56782</v>
      </c>
      <c r="G17" s="195"/>
    </row>
    <row r="18" spans="1:5" ht="36">
      <c r="A18" s="100">
        <v>3</v>
      </c>
      <c r="B18" s="12" t="s">
        <v>76</v>
      </c>
      <c r="C18" s="212">
        <v>96500</v>
      </c>
      <c r="D18" s="100">
        <f>C18-E18</f>
        <v>96500</v>
      </c>
      <c r="E18" s="212"/>
    </row>
  </sheetData>
  <sheetProtection/>
  <mergeCells count="6">
    <mergeCell ref="A1:E1"/>
    <mergeCell ref="A2:E2"/>
    <mergeCell ref="A3:E3"/>
    <mergeCell ref="A5:A6"/>
    <mergeCell ref="B5:B6"/>
    <mergeCell ref="C5:E5"/>
  </mergeCells>
  <printOptions/>
  <pageMargins left="0.48" right="0.46" top="0.22" bottom="0.22" header="0.31496062992125984" footer="0.2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16"/>
  <sheetViews>
    <sheetView zoomScale="55" zoomScaleNormal="55" zoomScalePageLayoutView="0" workbookViewId="0" topLeftCell="A1">
      <selection activeCell="E17" sqref="E17"/>
    </sheetView>
  </sheetViews>
  <sheetFormatPr defaultColWidth="9.140625" defaultRowHeight="15"/>
  <cols>
    <col min="1" max="1" width="5.7109375" style="35" customWidth="1"/>
    <col min="2" max="2" width="65.8515625" style="16" customWidth="1"/>
    <col min="3" max="3" width="24.28125" style="16" customWidth="1"/>
    <col min="4" max="4" width="10.7109375" style="16" customWidth="1"/>
    <col min="5" max="5" width="13.7109375" style="16" customWidth="1"/>
    <col min="6" max="6" width="13.57421875" style="16" customWidth="1"/>
    <col min="7" max="7" width="14.57421875" style="36" customWidth="1"/>
    <col min="8" max="9" width="12.28125" style="35" customWidth="1"/>
    <col min="10" max="10" width="12.57421875" style="35" hidden="1" customWidth="1"/>
    <col min="11" max="11" width="11.421875" style="35" hidden="1" customWidth="1"/>
    <col min="12" max="12" width="10.57421875" style="35" hidden="1" customWidth="1"/>
    <col min="13" max="13" width="12.57421875" style="16" customWidth="1"/>
    <col min="14" max="15" width="16.28125" style="16" customWidth="1"/>
    <col min="16" max="16" width="23.28125" style="16" customWidth="1"/>
    <col min="17" max="17" width="17.28125" style="16" customWidth="1"/>
    <col min="18" max="16384" width="8.8515625" style="16" customWidth="1"/>
  </cols>
  <sheetData>
    <row r="1" ht="18">
      <c r="B1" s="181" t="s">
        <v>208</v>
      </c>
    </row>
    <row r="2" spans="1:17" ht="30.75" customHeight="1">
      <c r="A2" s="263" t="s">
        <v>218</v>
      </c>
      <c r="B2" s="263"/>
      <c r="C2" s="263"/>
      <c r="D2" s="263"/>
      <c r="E2" s="263"/>
      <c r="F2" s="263"/>
      <c r="G2" s="263"/>
      <c r="H2" s="263"/>
      <c r="I2" s="263"/>
      <c r="J2" s="263"/>
      <c r="K2" s="263"/>
      <c r="L2" s="263"/>
      <c r="M2" s="263"/>
      <c r="N2" s="263"/>
      <c r="O2" s="263"/>
      <c r="P2" s="263"/>
      <c r="Q2" s="263"/>
    </row>
    <row r="3" spans="1:17" ht="26.25" customHeight="1">
      <c r="A3" s="261" t="str">
        <f>'Biểu tổng'!A3:E3</f>
        <v>(Kèm theo Tờ trình số      /TTr-UBND ngày     /7/2023 của Uỷ ban nhân dân tỉnh Bắc Kạn)</v>
      </c>
      <c r="B3" s="261"/>
      <c r="C3" s="261"/>
      <c r="D3" s="261"/>
      <c r="E3" s="261"/>
      <c r="F3" s="261"/>
      <c r="G3" s="261"/>
      <c r="H3" s="261"/>
      <c r="I3" s="261"/>
      <c r="J3" s="261"/>
      <c r="K3" s="261"/>
      <c r="L3" s="261"/>
      <c r="M3" s="261"/>
      <c r="N3" s="261"/>
      <c r="O3" s="261"/>
      <c r="P3" s="261"/>
      <c r="Q3" s="261"/>
    </row>
    <row r="4" spans="1:17" ht="15" customHeight="1">
      <c r="A4" s="175"/>
      <c r="B4" s="176"/>
      <c r="C4" s="176"/>
      <c r="D4" s="176"/>
      <c r="E4" s="176"/>
      <c r="F4" s="176"/>
      <c r="G4" s="175"/>
      <c r="H4" s="175"/>
      <c r="I4" s="175"/>
      <c r="J4" s="175"/>
      <c r="K4" s="175"/>
      <c r="L4" s="175"/>
      <c r="M4" s="175"/>
      <c r="N4" s="175"/>
      <c r="O4" s="175"/>
      <c r="P4" s="264" t="s">
        <v>0</v>
      </c>
      <c r="Q4" s="264"/>
    </row>
    <row r="5" spans="1:17" ht="36" customHeight="1">
      <c r="A5" s="265" t="s">
        <v>9</v>
      </c>
      <c r="B5" s="265" t="s">
        <v>78</v>
      </c>
      <c r="C5" s="269" t="s">
        <v>173</v>
      </c>
      <c r="D5" s="270"/>
      <c r="E5" s="270"/>
      <c r="F5" s="271"/>
      <c r="G5" s="266" t="s">
        <v>63</v>
      </c>
      <c r="H5" s="267"/>
      <c r="I5" s="268"/>
      <c r="J5" s="266" t="s">
        <v>205</v>
      </c>
      <c r="K5" s="267"/>
      <c r="L5" s="268"/>
      <c r="M5" s="272" t="s">
        <v>172</v>
      </c>
      <c r="N5" s="273"/>
      <c r="O5" s="274"/>
      <c r="P5" s="275" t="s">
        <v>73</v>
      </c>
      <c r="Q5" s="275" t="s">
        <v>12</v>
      </c>
    </row>
    <row r="6" spans="1:17" ht="93" customHeight="1">
      <c r="A6" s="265"/>
      <c r="B6" s="265"/>
      <c r="C6" s="178" t="s">
        <v>175</v>
      </c>
      <c r="D6" s="171" t="s">
        <v>119</v>
      </c>
      <c r="E6" s="214" t="s">
        <v>219</v>
      </c>
      <c r="F6" s="214" t="s">
        <v>220</v>
      </c>
      <c r="G6" s="171" t="s">
        <v>119</v>
      </c>
      <c r="H6" s="214" t="s">
        <v>219</v>
      </c>
      <c r="I6" s="214" t="s">
        <v>220</v>
      </c>
      <c r="J6" s="171" t="s">
        <v>119</v>
      </c>
      <c r="K6" s="150" t="s">
        <v>120</v>
      </c>
      <c r="L6" s="171" t="s">
        <v>81</v>
      </c>
      <c r="M6" s="171" t="s">
        <v>119</v>
      </c>
      <c r="N6" s="214" t="s">
        <v>219</v>
      </c>
      <c r="O6" s="214" t="s">
        <v>220</v>
      </c>
      <c r="P6" s="276"/>
      <c r="Q6" s="276"/>
    </row>
    <row r="7" spans="1:17" ht="18">
      <c r="A7" s="14"/>
      <c r="B7" s="14" t="s">
        <v>77</v>
      </c>
      <c r="C7" s="180"/>
      <c r="D7" s="178"/>
      <c r="E7" s="178"/>
      <c r="F7" s="178"/>
      <c r="G7" s="17">
        <f aca="true" t="shared" si="0" ref="G7:O7">G8+G13</f>
        <v>487904</v>
      </c>
      <c r="H7" s="17">
        <f t="shared" si="0"/>
        <v>473693</v>
      </c>
      <c r="I7" s="17">
        <f t="shared" si="0"/>
        <v>14211</v>
      </c>
      <c r="J7" s="17"/>
      <c r="K7" s="17"/>
      <c r="L7" s="17"/>
      <c r="M7" s="17">
        <f t="shared" si="0"/>
        <v>108626</v>
      </c>
      <c r="N7" s="17">
        <f t="shared" si="0"/>
        <v>105463</v>
      </c>
      <c r="O7" s="17">
        <f t="shared" si="0"/>
        <v>3163</v>
      </c>
      <c r="P7" s="17"/>
      <c r="Q7" s="15"/>
    </row>
    <row r="8" spans="1:17" ht="18">
      <c r="A8" s="14" t="s">
        <v>16</v>
      </c>
      <c r="B8" s="153" t="s">
        <v>82</v>
      </c>
      <c r="C8" s="153"/>
      <c r="D8" s="153"/>
      <c r="E8" s="153"/>
      <c r="F8" s="153"/>
      <c r="G8" s="17">
        <f aca="true" t="shared" si="1" ref="G8:O8">G9</f>
        <v>86584</v>
      </c>
      <c r="H8" s="17">
        <f t="shared" si="1"/>
        <v>84062</v>
      </c>
      <c r="I8" s="17">
        <f t="shared" si="1"/>
        <v>2522</v>
      </c>
      <c r="J8" s="17"/>
      <c r="K8" s="17"/>
      <c r="L8" s="17"/>
      <c r="M8" s="17">
        <f t="shared" si="1"/>
        <v>20869</v>
      </c>
      <c r="N8" s="17">
        <f t="shared" si="1"/>
        <v>20262</v>
      </c>
      <c r="O8" s="17">
        <f t="shared" si="1"/>
        <v>607</v>
      </c>
      <c r="P8" s="17"/>
      <c r="Q8" s="15"/>
    </row>
    <row r="9" spans="1:17" s="19" customFormat="1" ht="34.5">
      <c r="A9" s="14" t="s">
        <v>17</v>
      </c>
      <c r="B9" s="15" t="s">
        <v>83</v>
      </c>
      <c r="C9" s="15"/>
      <c r="D9" s="15"/>
      <c r="E9" s="15"/>
      <c r="F9" s="15"/>
      <c r="G9" s="18">
        <f aca="true" t="shared" si="2" ref="G9:O9">G10+G12</f>
        <v>86584</v>
      </c>
      <c r="H9" s="18">
        <f t="shared" si="2"/>
        <v>84062</v>
      </c>
      <c r="I9" s="18">
        <f>I10+I12</f>
        <v>2522</v>
      </c>
      <c r="J9" s="18"/>
      <c r="K9" s="18"/>
      <c r="L9" s="18"/>
      <c r="M9" s="18">
        <f t="shared" si="2"/>
        <v>20869</v>
      </c>
      <c r="N9" s="18">
        <f t="shared" si="2"/>
        <v>20262</v>
      </c>
      <c r="O9" s="18">
        <f t="shared" si="2"/>
        <v>607</v>
      </c>
      <c r="P9" s="18"/>
      <c r="Q9" s="14"/>
    </row>
    <row r="10" spans="1:17" s="24" customFormat="1" ht="36">
      <c r="A10" s="20" t="s">
        <v>84</v>
      </c>
      <c r="B10" s="21" t="s">
        <v>192</v>
      </c>
      <c r="C10" s="21"/>
      <c r="D10" s="21"/>
      <c r="E10" s="21"/>
      <c r="F10" s="21"/>
      <c r="G10" s="22">
        <f aca="true" t="shared" si="3" ref="G10:O10">G11</f>
        <v>77228</v>
      </c>
      <c r="H10" s="22">
        <f t="shared" si="3"/>
        <v>74979</v>
      </c>
      <c r="I10" s="22">
        <f t="shared" si="3"/>
        <v>2249</v>
      </c>
      <c r="J10" s="22"/>
      <c r="K10" s="22"/>
      <c r="L10" s="22"/>
      <c r="M10" s="22">
        <f t="shared" si="3"/>
        <v>18020</v>
      </c>
      <c r="N10" s="22">
        <f t="shared" si="3"/>
        <v>17496</v>
      </c>
      <c r="O10" s="22">
        <f t="shared" si="3"/>
        <v>524</v>
      </c>
      <c r="P10" s="22"/>
      <c r="Q10" s="23"/>
    </row>
    <row r="11" spans="1:17" ht="72">
      <c r="A11" s="25">
        <v>1</v>
      </c>
      <c r="B11" s="26" t="s">
        <v>191</v>
      </c>
      <c r="C11" s="172" t="s">
        <v>204</v>
      </c>
      <c r="D11" s="151">
        <v>77228</v>
      </c>
      <c r="E11" s="151">
        <v>74979</v>
      </c>
      <c r="F11" s="151">
        <v>2249</v>
      </c>
      <c r="G11" s="151">
        <f>H11+I11</f>
        <v>77228</v>
      </c>
      <c r="H11" s="151">
        <v>74979</v>
      </c>
      <c r="I11" s="151">
        <v>2249</v>
      </c>
      <c r="J11" s="151">
        <f>K11+L11</f>
        <v>23169</v>
      </c>
      <c r="K11" s="27">
        <v>22494</v>
      </c>
      <c r="L11" s="27">
        <v>675</v>
      </c>
      <c r="M11" s="27">
        <f>N11+O11</f>
        <v>18020</v>
      </c>
      <c r="N11" s="27">
        <v>17496</v>
      </c>
      <c r="O11" s="27">
        <v>524</v>
      </c>
      <c r="P11" s="28" t="s">
        <v>50</v>
      </c>
      <c r="Q11" s="25"/>
    </row>
    <row r="12" spans="1:17" ht="54">
      <c r="A12" s="20" t="s">
        <v>85</v>
      </c>
      <c r="B12" s="29" t="s">
        <v>86</v>
      </c>
      <c r="C12" s="29"/>
      <c r="D12" s="29"/>
      <c r="E12" s="29"/>
      <c r="F12" s="29"/>
      <c r="G12" s="23">
        <f>H12+I12</f>
        <v>9356</v>
      </c>
      <c r="H12" s="23">
        <v>9083</v>
      </c>
      <c r="I12" s="23">
        <f>27+246</f>
        <v>273</v>
      </c>
      <c r="J12" s="23">
        <f>K12+L12</f>
        <v>811</v>
      </c>
      <c r="K12" s="23">
        <f>79+708</f>
        <v>787</v>
      </c>
      <c r="L12" s="23">
        <f>2+22</f>
        <v>24</v>
      </c>
      <c r="M12" s="152">
        <f>N12+O12</f>
        <v>2849</v>
      </c>
      <c r="N12" s="32">
        <v>2766</v>
      </c>
      <c r="O12" s="32">
        <v>83</v>
      </c>
      <c r="P12" s="30" t="s">
        <v>201</v>
      </c>
      <c r="Q12" s="30" t="s">
        <v>202</v>
      </c>
    </row>
    <row r="13" spans="1:17" s="33" customFormat="1" ht="59.25" customHeight="1">
      <c r="A13" s="14" t="s">
        <v>72</v>
      </c>
      <c r="B13" s="31" t="s">
        <v>87</v>
      </c>
      <c r="C13" s="31"/>
      <c r="D13" s="31"/>
      <c r="E13" s="31"/>
      <c r="F13" s="31"/>
      <c r="G13" s="32">
        <f aca="true" t="shared" si="4" ref="G13:O13">G14</f>
        <v>401320</v>
      </c>
      <c r="H13" s="32">
        <f t="shared" si="4"/>
        <v>389631</v>
      </c>
      <c r="I13" s="32">
        <f t="shared" si="4"/>
        <v>11689</v>
      </c>
      <c r="J13" s="32"/>
      <c r="K13" s="32"/>
      <c r="L13" s="32"/>
      <c r="M13" s="32">
        <f t="shared" si="4"/>
        <v>87757</v>
      </c>
      <c r="N13" s="32">
        <f t="shared" si="4"/>
        <v>85201</v>
      </c>
      <c r="O13" s="32">
        <f t="shared" si="4"/>
        <v>2556</v>
      </c>
      <c r="P13" s="17"/>
      <c r="Q13" s="14"/>
    </row>
    <row r="14" spans="1:17" ht="34.5">
      <c r="A14" s="14"/>
      <c r="B14" s="149" t="s">
        <v>88</v>
      </c>
      <c r="C14" s="149"/>
      <c r="D14" s="149"/>
      <c r="E14" s="149"/>
      <c r="F14" s="149"/>
      <c r="G14" s="17">
        <f>G15+G16</f>
        <v>401320</v>
      </c>
      <c r="H14" s="17">
        <f>H15+H16</f>
        <v>389631</v>
      </c>
      <c r="I14" s="17">
        <f>I15+I16</f>
        <v>11689</v>
      </c>
      <c r="J14" s="17"/>
      <c r="K14" s="17"/>
      <c r="L14" s="17"/>
      <c r="M14" s="17">
        <f>M15+M16</f>
        <v>87757</v>
      </c>
      <c r="N14" s="17">
        <f>N15+N16</f>
        <v>85201</v>
      </c>
      <c r="O14" s="17">
        <f>O15+O16</f>
        <v>2556</v>
      </c>
      <c r="P14" s="17"/>
      <c r="Q14" s="15"/>
    </row>
    <row r="15" spans="1:17" ht="36">
      <c r="A15" s="25">
        <v>1</v>
      </c>
      <c r="B15" s="216" t="s">
        <v>70</v>
      </c>
      <c r="C15" s="216"/>
      <c r="D15" s="216"/>
      <c r="E15" s="216"/>
      <c r="F15" s="216"/>
      <c r="G15" s="151">
        <v>196047</v>
      </c>
      <c r="H15" s="191">
        <v>190337</v>
      </c>
      <c r="I15" s="191">
        <v>5710</v>
      </c>
      <c r="J15" s="151"/>
      <c r="K15" s="191"/>
      <c r="L15" s="191"/>
      <c r="M15" s="27">
        <f>N15+O15</f>
        <v>42870</v>
      </c>
      <c r="N15" s="191">
        <v>41621</v>
      </c>
      <c r="O15" s="191">
        <v>1249</v>
      </c>
      <c r="P15" s="28" t="s">
        <v>58</v>
      </c>
      <c r="Q15" s="34"/>
    </row>
    <row r="16" spans="1:17" ht="36">
      <c r="A16" s="25">
        <v>2</v>
      </c>
      <c r="B16" s="26" t="s">
        <v>68</v>
      </c>
      <c r="C16" s="26"/>
      <c r="D16" s="190"/>
      <c r="E16" s="26"/>
      <c r="F16" s="26"/>
      <c r="G16" s="199">
        <v>205273</v>
      </c>
      <c r="H16" s="199">
        <v>199294</v>
      </c>
      <c r="I16" s="199">
        <v>5979</v>
      </c>
      <c r="J16" s="199"/>
      <c r="K16" s="199"/>
      <c r="L16" s="199"/>
      <c r="M16" s="190">
        <f>N16+O16</f>
        <v>44887</v>
      </c>
      <c r="N16" s="199">
        <v>43580</v>
      </c>
      <c r="O16" s="199">
        <v>1307</v>
      </c>
      <c r="P16" s="30" t="s">
        <v>57</v>
      </c>
      <c r="Q16" s="217"/>
    </row>
  </sheetData>
  <sheetProtection/>
  <mergeCells count="11">
    <mergeCell ref="Q5:Q6"/>
    <mergeCell ref="A2:Q2"/>
    <mergeCell ref="A3:Q3"/>
    <mergeCell ref="P4:Q4"/>
    <mergeCell ref="A5:A6"/>
    <mergeCell ref="B5:B6"/>
    <mergeCell ref="G5:I5"/>
    <mergeCell ref="J5:L5"/>
    <mergeCell ref="C5:F5"/>
    <mergeCell ref="M5:O5"/>
    <mergeCell ref="P5:P6"/>
  </mergeCells>
  <printOptions/>
  <pageMargins left="0.708661417322835" right="0.31" top="0.4" bottom="0.433070866141732" header="0.31496062992126" footer="0.31496062992126"/>
  <pageSetup fitToHeight="0" fitToWidth="1" horizontalDpi="600" verticalDpi="600" orientation="landscape" paperSize="9" scale="52" r:id="rId1"/>
  <headerFooter>
    <oddHeader>&amp;C&amp;P</oddHead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A1:IN71"/>
  <sheetViews>
    <sheetView zoomScale="70" zoomScaleNormal="70" zoomScalePageLayoutView="0" workbookViewId="0" topLeftCell="A4">
      <selection activeCell="E17" sqref="E17"/>
    </sheetView>
  </sheetViews>
  <sheetFormatPr defaultColWidth="40.421875" defaultRowHeight="15"/>
  <cols>
    <col min="1" max="1" width="6.8515625" style="77" customWidth="1"/>
    <col min="2" max="2" width="57.140625" style="78" customWidth="1"/>
    <col min="3" max="3" width="17.00390625" style="79" customWidth="1"/>
    <col min="4" max="5" width="10.421875" style="13" customWidth="1"/>
    <col min="6" max="6" width="9.7109375" style="13" customWidth="1"/>
    <col min="7" max="7" width="10.7109375" style="80" customWidth="1"/>
    <col min="8" max="8" width="11.7109375" style="80" customWidth="1"/>
    <col min="9" max="9" width="11.28125" style="80" customWidth="1"/>
    <col min="10" max="10" width="12.7109375" style="80" hidden="1" customWidth="1"/>
    <col min="11" max="11" width="10.8515625" style="80" hidden="1" customWidth="1"/>
    <col min="12" max="12" width="11.28125" style="80" hidden="1" customWidth="1"/>
    <col min="13" max="14" width="12.7109375" style="80" customWidth="1"/>
    <col min="15" max="15" width="11.28125" style="80" customWidth="1"/>
    <col min="16" max="16" width="18.57421875" style="79" customWidth="1"/>
    <col min="17" max="17" width="15.421875" style="160" customWidth="1"/>
    <col min="18" max="241" width="8.8515625" style="13" customWidth="1"/>
    <col min="242" max="242" width="6.8515625" style="13" customWidth="1"/>
    <col min="243" max="243" width="27.421875" style="13" customWidth="1"/>
    <col min="244" max="244" width="12.8515625" style="13" customWidth="1"/>
    <col min="245" max="245" width="0" style="13" hidden="1" customWidth="1"/>
    <col min="246" max="248" width="40.421875" style="13" customWidth="1"/>
    <col min="249" max="16384" width="40.421875" style="202" customWidth="1"/>
  </cols>
  <sheetData>
    <row r="1" spans="1:248" s="201" customFormat="1" ht="18">
      <c r="A1" s="35"/>
      <c r="B1" s="19" t="s">
        <v>209</v>
      </c>
      <c r="C1" s="36"/>
      <c r="D1" s="16"/>
      <c r="E1" s="16"/>
      <c r="F1" s="16"/>
      <c r="G1" s="182"/>
      <c r="H1" s="182"/>
      <c r="I1" s="182"/>
      <c r="J1" s="182"/>
      <c r="K1" s="182"/>
      <c r="L1" s="182"/>
      <c r="M1" s="182"/>
      <c r="N1" s="182"/>
      <c r="O1" s="182"/>
      <c r="P1" s="36"/>
      <c r="Q1" s="183"/>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row>
    <row r="2" spans="1:248" s="201" customFormat="1" ht="48" customHeight="1">
      <c r="A2" s="263" t="s">
        <v>207</v>
      </c>
      <c r="B2" s="263"/>
      <c r="C2" s="263"/>
      <c r="D2" s="263"/>
      <c r="E2" s="263"/>
      <c r="F2" s="263"/>
      <c r="G2" s="263"/>
      <c r="H2" s="263"/>
      <c r="I2" s="263"/>
      <c r="J2" s="263"/>
      <c r="K2" s="263"/>
      <c r="L2" s="263"/>
      <c r="M2" s="263"/>
      <c r="N2" s="263"/>
      <c r="O2" s="263"/>
      <c r="P2" s="263"/>
      <c r="Q2" s="263"/>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row>
    <row r="3" spans="1:248" s="201" customFormat="1" ht="27.75" customHeight="1">
      <c r="A3" s="286" t="str">
        <f>'Biểu 2 Giảm nghèo'!A3:Q3</f>
        <v>(Kèm theo Tờ trình số      /TTr-UBND ngày     /7/2023 của Uỷ ban nhân dân tỉnh Bắc Kạn)</v>
      </c>
      <c r="B3" s="261"/>
      <c r="C3" s="261"/>
      <c r="D3" s="261"/>
      <c r="E3" s="261"/>
      <c r="F3" s="261"/>
      <c r="G3" s="261"/>
      <c r="H3" s="261"/>
      <c r="I3" s="261"/>
      <c r="J3" s="261"/>
      <c r="K3" s="261"/>
      <c r="L3" s="261"/>
      <c r="M3" s="261"/>
      <c r="N3" s="261"/>
      <c r="O3" s="261"/>
      <c r="P3" s="261"/>
      <c r="Q3" s="261"/>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row>
    <row r="4" spans="1:248" s="201" customFormat="1" ht="18">
      <c r="A4" s="175"/>
      <c r="B4" s="176"/>
      <c r="C4" s="175"/>
      <c r="D4" s="175"/>
      <c r="E4" s="175"/>
      <c r="F4" s="175"/>
      <c r="G4" s="184"/>
      <c r="H4" s="184"/>
      <c r="I4" s="175"/>
      <c r="J4" s="175"/>
      <c r="K4" s="175"/>
      <c r="L4" s="175"/>
      <c r="M4" s="175"/>
      <c r="N4" s="175"/>
      <c r="O4" s="175"/>
      <c r="P4" s="287" t="s">
        <v>0</v>
      </c>
      <c r="Q4" s="287"/>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row>
    <row r="5" spans="1:17" ht="27" customHeight="1">
      <c r="A5" s="279" t="s">
        <v>10</v>
      </c>
      <c r="B5" s="284" t="s">
        <v>90</v>
      </c>
      <c r="C5" s="281" t="s">
        <v>173</v>
      </c>
      <c r="D5" s="282"/>
      <c r="E5" s="282"/>
      <c r="F5" s="283"/>
      <c r="G5" s="279" t="s">
        <v>63</v>
      </c>
      <c r="H5" s="279"/>
      <c r="I5" s="279"/>
      <c r="J5" s="279" t="s">
        <v>174</v>
      </c>
      <c r="K5" s="279"/>
      <c r="L5" s="279"/>
      <c r="M5" s="279" t="s">
        <v>172</v>
      </c>
      <c r="N5" s="279"/>
      <c r="O5" s="279"/>
      <c r="P5" s="280" t="s">
        <v>73</v>
      </c>
      <c r="Q5" s="279" t="s">
        <v>12</v>
      </c>
    </row>
    <row r="6" spans="1:17" ht="14.25" customHeight="1">
      <c r="A6" s="279"/>
      <c r="B6" s="288"/>
      <c r="C6" s="279" t="s">
        <v>175</v>
      </c>
      <c r="D6" s="281" t="s">
        <v>89</v>
      </c>
      <c r="E6" s="282"/>
      <c r="F6" s="283"/>
      <c r="G6" s="284" t="s">
        <v>15</v>
      </c>
      <c r="H6" s="281" t="s">
        <v>4</v>
      </c>
      <c r="I6" s="283"/>
      <c r="J6" s="284" t="s">
        <v>15</v>
      </c>
      <c r="K6" s="281" t="s">
        <v>4</v>
      </c>
      <c r="L6" s="283"/>
      <c r="M6" s="289" t="s">
        <v>15</v>
      </c>
      <c r="N6" s="277" t="s">
        <v>4</v>
      </c>
      <c r="O6" s="278"/>
      <c r="P6" s="280"/>
      <c r="Q6" s="279"/>
    </row>
    <row r="7" spans="1:17" ht="108">
      <c r="A7" s="279"/>
      <c r="B7" s="285"/>
      <c r="C7" s="279"/>
      <c r="D7" s="37" t="s">
        <v>79</v>
      </c>
      <c r="E7" s="214" t="s">
        <v>219</v>
      </c>
      <c r="F7" s="214" t="s">
        <v>220</v>
      </c>
      <c r="G7" s="285"/>
      <c r="H7" s="214" t="s">
        <v>219</v>
      </c>
      <c r="I7" s="214" t="s">
        <v>220</v>
      </c>
      <c r="J7" s="285"/>
      <c r="K7" s="37" t="s">
        <v>80</v>
      </c>
      <c r="L7" s="37" t="s">
        <v>81</v>
      </c>
      <c r="M7" s="290"/>
      <c r="N7" s="214" t="s">
        <v>219</v>
      </c>
      <c r="O7" s="214" t="s">
        <v>220</v>
      </c>
      <c r="P7" s="280"/>
      <c r="Q7" s="279"/>
    </row>
    <row r="8" spans="1:17" ht="14.25">
      <c r="A8" s="38"/>
      <c r="B8" s="37" t="s">
        <v>77</v>
      </c>
      <c r="C8" s="38"/>
      <c r="D8" s="38"/>
      <c r="E8" s="38"/>
      <c r="F8" s="38"/>
      <c r="G8" s="39">
        <f>G9+G44</f>
        <v>1438849</v>
      </c>
      <c r="H8" s="39">
        <f>H9+H44</f>
        <v>1370437</v>
      </c>
      <c r="I8" s="39">
        <f>I9+I44</f>
        <v>68412</v>
      </c>
      <c r="J8" s="39"/>
      <c r="K8" s="39"/>
      <c r="L8" s="39"/>
      <c r="M8" s="39">
        <f>M9+M44</f>
        <v>376538</v>
      </c>
      <c r="N8" s="39">
        <f>N9+N44</f>
        <v>357249</v>
      </c>
      <c r="O8" s="39">
        <f>O9+O44</f>
        <v>19289</v>
      </c>
      <c r="P8" s="40"/>
      <c r="Q8" s="38"/>
    </row>
    <row r="9" spans="1:17" ht="14.25">
      <c r="A9" s="37" t="s">
        <v>16</v>
      </c>
      <c r="B9" s="37" t="s">
        <v>82</v>
      </c>
      <c r="C9" s="38"/>
      <c r="D9" s="38"/>
      <c r="E9" s="38"/>
      <c r="F9" s="38"/>
      <c r="G9" s="39">
        <f>G10+G14+G20+G21+G33+G36+G43+G41</f>
        <v>558084</v>
      </c>
      <c r="H9" s="39">
        <f>H10+H14+H20+H21+H33+H36+H43+H41</f>
        <v>533393</v>
      </c>
      <c r="I9" s="39">
        <f>I10+I14+I20+I21+I33+I36+I43+I41</f>
        <v>24691</v>
      </c>
      <c r="J9" s="39"/>
      <c r="K9" s="39"/>
      <c r="L9" s="39"/>
      <c r="M9" s="39">
        <f>M10+M14+M20+M21+M33+M36+M43+M41</f>
        <v>156577</v>
      </c>
      <c r="N9" s="39">
        <f>N10+N14+N20+N21+N33+N36+N43+N41</f>
        <v>149141</v>
      </c>
      <c r="O9" s="39">
        <f>O10+O14+O20+O21+O33+O36+O43+O41</f>
        <v>7436</v>
      </c>
      <c r="P9" s="40"/>
      <c r="Q9" s="38"/>
    </row>
    <row r="10" spans="1:17" ht="27">
      <c r="A10" s="37" t="s">
        <v>17</v>
      </c>
      <c r="B10" s="41" t="s">
        <v>91</v>
      </c>
      <c r="C10" s="164"/>
      <c r="D10" s="41"/>
      <c r="E10" s="41"/>
      <c r="F10" s="41"/>
      <c r="G10" s="42">
        <f>G11</f>
        <v>126092</v>
      </c>
      <c r="H10" s="42">
        <f aca="true" t="shared" si="0" ref="H10:O10">H11</f>
        <v>121865</v>
      </c>
      <c r="I10" s="42">
        <f t="shared" si="0"/>
        <v>4227</v>
      </c>
      <c r="J10" s="42"/>
      <c r="K10" s="42"/>
      <c r="L10" s="42"/>
      <c r="M10" s="42">
        <f>M11</f>
        <v>47369</v>
      </c>
      <c r="N10" s="42">
        <f t="shared" si="0"/>
        <v>45936</v>
      </c>
      <c r="O10" s="42">
        <f t="shared" si="0"/>
        <v>1433</v>
      </c>
      <c r="P10" s="43"/>
      <c r="Q10" s="41"/>
    </row>
    <row r="11" spans="1:248" ht="14.25">
      <c r="A11" s="44"/>
      <c r="B11" s="45" t="s">
        <v>92</v>
      </c>
      <c r="C11" s="44"/>
      <c r="D11" s="44"/>
      <c r="E11" s="44"/>
      <c r="F11" s="44"/>
      <c r="G11" s="46">
        <f>H11+I11</f>
        <v>126092</v>
      </c>
      <c r="H11" s="46">
        <f aca="true" t="shared" si="1" ref="H11:O11">SUM(H12:H13)</f>
        <v>121865</v>
      </c>
      <c r="I11" s="46">
        <f t="shared" si="1"/>
        <v>4227</v>
      </c>
      <c r="J11" s="46"/>
      <c r="K11" s="46"/>
      <c r="L11" s="46"/>
      <c r="M11" s="46">
        <f t="shared" si="1"/>
        <v>47369</v>
      </c>
      <c r="N11" s="46">
        <f t="shared" si="1"/>
        <v>45936</v>
      </c>
      <c r="O11" s="46">
        <f t="shared" si="1"/>
        <v>1433</v>
      </c>
      <c r="P11" s="40"/>
      <c r="Q11" s="44"/>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row>
    <row r="12" spans="1:17" ht="82.5">
      <c r="A12" s="48">
        <v>1</v>
      </c>
      <c r="B12" s="49" t="s">
        <v>93</v>
      </c>
      <c r="C12" s="50" t="s">
        <v>176</v>
      </c>
      <c r="D12" s="51">
        <v>83711</v>
      </c>
      <c r="E12" s="51">
        <v>79958</v>
      </c>
      <c r="F12" s="51">
        <v>3753</v>
      </c>
      <c r="G12" s="51">
        <f>H12+I12</f>
        <v>66561</v>
      </c>
      <c r="H12" s="51">
        <v>63566</v>
      </c>
      <c r="I12" s="51">
        <v>2995</v>
      </c>
      <c r="J12" s="51">
        <v>42834</v>
      </c>
      <c r="K12" s="51">
        <v>40280</v>
      </c>
      <c r="L12" s="51">
        <v>2554</v>
      </c>
      <c r="M12" s="51">
        <f>N12+O12</f>
        <v>20441</v>
      </c>
      <c r="N12" s="51">
        <f>12000+8000</f>
        <v>20000</v>
      </c>
      <c r="O12" s="51">
        <v>441</v>
      </c>
      <c r="P12" s="50" t="s">
        <v>94</v>
      </c>
      <c r="Q12" s="50" t="s">
        <v>223</v>
      </c>
    </row>
    <row r="13" spans="1:17" ht="27" customHeight="1">
      <c r="A13" s="48">
        <v>2</v>
      </c>
      <c r="B13" s="49" t="s">
        <v>193</v>
      </c>
      <c r="C13" s="50" t="s">
        <v>200</v>
      </c>
      <c r="D13" s="51">
        <v>59531</v>
      </c>
      <c r="E13" s="51">
        <v>58299</v>
      </c>
      <c r="F13" s="51">
        <v>1232</v>
      </c>
      <c r="G13" s="51">
        <v>59531</v>
      </c>
      <c r="H13" s="51">
        <v>58299</v>
      </c>
      <c r="I13" s="51">
        <v>1232</v>
      </c>
      <c r="J13" s="51"/>
      <c r="K13" s="51"/>
      <c r="L13" s="51"/>
      <c r="M13" s="51">
        <f>N13+O13</f>
        <v>26928</v>
      </c>
      <c r="N13" s="51">
        <v>25936</v>
      </c>
      <c r="O13" s="51">
        <v>992</v>
      </c>
      <c r="P13" s="50" t="s">
        <v>94</v>
      </c>
      <c r="Q13" s="50"/>
    </row>
    <row r="14" spans="1:17" ht="27">
      <c r="A14" s="37" t="s">
        <v>18</v>
      </c>
      <c r="B14" s="41" t="s">
        <v>95</v>
      </c>
      <c r="C14" s="38"/>
      <c r="D14" s="38"/>
      <c r="E14" s="38"/>
      <c r="F14" s="38"/>
      <c r="G14" s="39">
        <f aca="true" t="shared" si="2" ref="G14:O14">SUM(G15:G19)</f>
        <v>129098</v>
      </c>
      <c r="H14" s="39">
        <f t="shared" si="2"/>
        <v>123058</v>
      </c>
      <c r="I14" s="39">
        <f t="shared" si="2"/>
        <v>6040</v>
      </c>
      <c r="J14" s="39"/>
      <c r="K14" s="39"/>
      <c r="L14" s="39"/>
      <c r="M14" s="39">
        <f t="shared" si="2"/>
        <v>34169</v>
      </c>
      <c r="N14" s="39">
        <f t="shared" si="2"/>
        <v>32009</v>
      </c>
      <c r="O14" s="39">
        <f t="shared" si="2"/>
        <v>2160</v>
      </c>
      <c r="P14" s="40"/>
      <c r="Q14" s="38"/>
    </row>
    <row r="15" spans="1:17" ht="41.25">
      <c r="A15" s="48">
        <v>1</v>
      </c>
      <c r="B15" s="49" t="s">
        <v>96</v>
      </c>
      <c r="C15" s="50" t="s">
        <v>178</v>
      </c>
      <c r="D15" s="51">
        <v>16000</v>
      </c>
      <c r="E15" s="50">
        <v>15200</v>
      </c>
      <c r="F15" s="50">
        <v>800</v>
      </c>
      <c r="G15" s="51">
        <f>H15+I15</f>
        <v>16000</v>
      </c>
      <c r="H15" s="51">
        <v>15200</v>
      </c>
      <c r="I15" s="51">
        <v>800</v>
      </c>
      <c r="J15" s="51">
        <v>6500</v>
      </c>
      <c r="K15" s="51">
        <v>6000</v>
      </c>
      <c r="L15" s="51">
        <v>500</v>
      </c>
      <c r="M15" s="51">
        <f aca="true" t="shared" si="3" ref="M15:M20">N15+O15</f>
        <v>3000</v>
      </c>
      <c r="N15" s="51">
        <v>3000</v>
      </c>
      <c r="O15" s="51"/>
      <c r="P15" s="50" t="s">
        <v>94</v>
      </c>
      <c r="Q15" s="38"/>
    </row>
    <row r="16" spans="1:17" ht="27">
      <c r="A16" s="48">
        <v>2</v>
      </c>
      <c r="B16" s="49" t="s">
        <v>97</v>
      </c>
      <c r="C16" s="50" t="s">
        <v>179</v>
      </c>
      <c r="D16" s="51">
        <v>50000</v>
      </c>
      <c r="E16" s="51">
        <v>47665</v>
      </c>
      <c r="F16" s="51">
        <v>2335</v>
      </c>
      <c r="G16" s="51">
        <f>H16+I16</f>
        <v>50000</v>
      </c>
      <c r="H16" s="51">
        <v>47665</v>
      </c>
      <c r="I16" s="51">
        <v>2335</v>
      </c>
      <c r="J16" s="51">
        <v>22240</v>
      </c>
      <c r="K16" s="51">
        <v>22240</v>
      </c>
      <c r="L16" s="51">
        <v>0</v>
      </c>
      <c r="M16" s="51">
        <f t="shared" si="3"/>
        <v>15000</v>
      </c>
      <c r="N16" s="51">
        <f>22000-8000</f>
        <v>14000</v>
      </c>
      <c r="O16" s="51">
        <v>1000</v>
      </c>
      <c r="P16" s="50" t="s">
        <v>94</v>
      </c>
      <c r="Q16" s="38"/>
    </row>
    <row r="17" spans="1:17" ht="27">
      <c r="A17" s="48">
        <v>3</v>
      </c>
      <c r="B17" s="49" t="s">
        <v>194</v>
      </c>
      <c r="C17" s="50"/>
      <c r="D17" s="51"/>
      <c r="E17" s="51"/>
      <c r="F17" s="51"/>
      <c r="G17" s="51">
        <f>H17+I17</f>
        <v>18098</v>
      </c>
      <c r="H17" s="51">
        <v>17193</v>
      </c>
      <c r="I17" s="51">
        <v>905</v>
      </c>
      <c r="J17" s="51"/>
      <c r="K17" s="51"/>
      <c r="L17" s="51"/>
      <c r="M17" s="51">
        <f t="shared" si="3"/>
        <v>500</v>
      </c>
      <c r="N17" s="51">
        <v>500</v>
      </c>
      <c r="O17" s="51"/>
      <c r="P17" s="50" t="s">
        <v>94</v>
      </c>
      <c r="Q17" s="38" t="s">
        <v>171</v>
      </c>
    </row>
    <row r="18" spans="1:17" ht="27">
      <c r="A18" s="48">
        <v>4</v>
      </c>
      <c r="B18" s="49" t="s">
        <v>195</v>
      </c>
      <c r="C18" s="50"/>
      <c r="D18" s="51"/>
      <c r="E18" s="51"/>
      <c r="F18" s="51"/>
      <c r="G18" s="51">
        <f>H18+I18</f>
        <v>45000</v>
      </c>
      <c r="H18" s="51">
        <v>43000</v>
      </c>
      <c r="I18" s="51">
        <v>2000</v>
      </c>
      <c r="J18" s="51"/>
      <c r="K18" s="51"/>
      <c r="L18" s="51"/>
      <c r="M18" s="51">
        <f t="shared" si="3"/>
        <v>500</v>
      </c>
      <c r="N18" s="51">
        <v>500</v>
      </c>
      <c r="O18" s="51"/>
      <c r="P18" s="50" t="s">
        <v>94</v>
      </c>
      <c r="Q18" s="38" t="s">
        <v>171</v>
      </c>
    </row>
    <row r="19" spans="1:17" ht="41.25">
      <c r="A19" s="48">
        <v>5</v>
      </c>
      <c r="B19" s="49" t="s">
        <v>177</v>
      </c>
      <c r="C19" s="50"/>
      <c r="D19" s="51"/>
      <c r="E19" s="51"/>
      <c r="F19" s="51"/>
      <c r="G19" s="51"/>
      <c r="H19" s="51"/>
      <c r="I19" s="51"/>
      <c r="J19" s="51"/>
      <c r="K19" s="51"/>
      <c r="L19" s="51"/>
      <c r="M19" s="51">
        <f t="shared" si="3"/>
        <v>15169</v>
      </c>
      <c r="N19" s="51">
        <f>15009-1000</f>
        <v>14009</v>
      </c>
      <c r="O19" s="51">
        <v>1160</v>
      </c>
      <c r="P19" s="179" t="s">
        <v>201</v>
      </c>
      <c r="Q19" s="179" t="s">
        <v>202</v>
      </c>
    </row>
    <row r="20" spans="1:248" ht="54.75">
      <c r="A20" s="52" t="s">
        <v>39</v>
      </c>
      <c r="B20" s="53" t="s">
        <v>98</v>
      </c>
      <c r="C20" s="37"/>
      <c r="D20" s="37"/>
      <c r="E20" s="37"/>
      <c r="F20" s="37"/>
      <c r="G20" s="39">
        <f>H20+I20</f>
        <v>36058</v>
      </c>
      <c r="H20" s="39">
        <f>28733+5607</f>
        <v>34340</v>
      </c>
      <c r="I20" s="39">
        <f>1437+281</f>
        <v>1718</v>
      </c>
      <c r="J20" s="39"/>
      <c r="K20" s="39"/>
      <c r="L20" s="39"/>
      <c r="M20" s="39">
        <f t="shared" si="3"/>
        <v>8733</v>
      </c>
      <c r="N20" s="39">
        <v>8286</v>
      </c>
      <c r="O20" s="39">
        <v>447</v>
      </c>
      <c r="P20" s="179" t="s">
        <v>201</v>
      </c>
      <c r="Q20" s="179" t="s">
        <v>202</v>
      </c>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row>
    <row r="21" spans="1:17" ht="27">
      <c r="A21" s="37" t="s">
        <v>44</v>
      </c>
      <c r="B21" s="41" t="s">
        <v>99</v>
      </c>
      <c r="C21" s="164"/>
      <c r="D21" s="41"/>
      <c r="E21" s="41"/>
      <c r="F21" s="41"/>
      <c r="G21" s="42"/>
      <c r="H21" s="42"/>
      <c r="I21" s="42"/>
      <c r="J21" s="42"/>
      <c r="K21" s="42"/>
      <c r="L21" s="42"/>
      <c r="M21" s="42"/>
      <c r="N21" s="42"/>
      <c r="O21" s="42"/>
      <c r="P21" s="43"/>
      <c r="Q21" s="41"/>
    </row>
    <row r="22" spans="1:248" ht="66" customHeight="1">
      <c r="A22" s="54" t="s">
        <v>100</v>
      </c>
      <c r="B22" s="45" t="s">
        <v>101</v>
      </c>
      <c r="C22" s="54"/>
      <c r="D22" s="46">
        <f aca="true" t="shared" si="4" ref="D22:O22">SUM(D23:D32)</f>
        <v>131141</v>
      </c>
      <c r="E22" s="46">
        <f t="shared" si="4"/>
        <v>115005</v>
      </c>
      <c r="F22" s="46">
        <f t="shared" si="4"/>
        <v>16136</v>
      </c>
      <c r="G22" s="46">
        <f t="shared" si="4"/>
        <v>131141</v>
      </c>
      <c r="H22" s="46">
        <f t="shared" si="4"/>
        <v>115005</v>
      </c>
      <c r="I22" s="46">
        <f t="shared" si="4"/>
        <v>16136</v>
      </c>
      <c r="J22" s="46"/>
      <c r="K22" s="46"/>
      <c r="L22" s="46"/>
      <c r="M22" s="46">
        <f t="shared" si="4"/>
        <v>31093</v>
      </c>
      <c r="N22" s="46">
        <f t="shared" si="4"/>
        <v>29498</v>
      </c>
      <c r="O22" s="46">
        <f t="shared" si="4"/>
        <v>1595</v>
      </c>
      <c r="P22" s="40"/>
      <c r="Q22" s="1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row>
    <row r="23" spans="1:17" ht="27">
      <c r="A23" s="56">
        <v>1</v>
      </c>
      <c r="B23" s="49" t="s">
        <v>102</v>
      </c>
      <c r="C23" s="58" t="s">
        <v>180</v>
      </c>
      <c r="D23" s="64">
        <v>14686</v>
      </c>
      <c r="E23" s="64">
        <v>12771</v>
      </c>
      <c r="F23" s="64">
        <v>1915</v>
      </c>
      <c r="G23" s="64">
        <v>14686</v>
      </c>
      <c r="H23" s="59">
        <v>12771</v>
      </c>
      <c r="I23" s="59">
        <v>1915</v>
      </c>
      <c r="J23" s="51">
        <v>7096</v>
      </c>
      <c r="K23" s="59">
        <v>6613</v>
      </c>
      <c r="L23" s="59">
        <v>483</v>
      </c>
      <c r="M23" s="51">
        <f aca="true" t="shared" si="5" ref="M23:M32">N23+O23</f>
        <v>3050</v>
      </c>
      <c r="N23" s="59">
        <v>2900</v>
      </c>
      <c r="O23" s="59">
        <v>150</v>
      </c>
      <c r="P23" s="58" t="s">
        <v>103</v>
      </c>
      <c r="Q23" s="58"/>
    </row>
    <row r="24" spans="1:17" ht="33" customHeight="1">
      <c r="A24" s="56">
        <v>2</v>
      </c>
      <c r="B24" s="65" t="s">
        <v>105</v>
      </c>
      <c r="C24" s="58" t="s">
        <v>181</v>
      </c>
      <c r="D24" s="64">
        <v>23878</v>
      </c>
      <c r="E24" s="64">
        <v>21416</v>
      </c>
      <c r="F24" s="64">
        <v>2462</v>
      </c>
      <c r="G24" s="64">
        <v>23878</v>
      </c>
      <c r="H24" s="59">
        <v>21416</v>
      </c>
      <c r="I24" s="59">
        <v>2462</v>
      </c>
      <c r="J24" s="51">
        <v>11162</v>
      </c>
      <c r="K24" s="59">
        <v>10816</v>
      </c>
      <c r="L24" s="59">
        <v>346</v>
      </c>
      <c r="M24" s="51">
        <f t="shared" si="5"/>
        <v>5475</v>
      </c>
      <c r="N24" s="59">
        <v>5200</v>
      </c>
      <c r="O24" s="59">
        <v>275</v>
      </c>
      <c r="P24" s="58" t="s">
        <v>103</v>
      </c>
      <c r="Q24" s="58"/>
    </row>
    <row r="25" spans="1:17" ht="37.5" customHeight="1">
      <c r="A25" s="56">
        <v>3</v>
      </c>
      <c r="B25" s="65" t="s">
        <v>106</v>
      </c>
      <c r="C25" s="58" t="s">
        <v>182</v>
      </c>
      <c r="D25" s="59">
        <v>10506</v>
      </c>
      <c r="E25" s="59">
        <v>9136</v>
      </c>
      <c r="F25" s="59">
        <v>1370</v>
      </c>
      <c r="G25" s="64">
        <v>10506</v>
      </c>
      <c r="H25" s="59">
        <v>9136</v>
      </c>
      <c r="I25" s="59">
        <v>1370</v>
      </c>
      <c r="J25" s="51">
        <v>5022</v>
      </c>
      <c r="K25" s="59">
        <v>4588</v>
      </c>
      <c r="L25" s="59">
        <v>434</v>
      </c>
      <c r="M25" s="51">
        <f t="shared" si="5"/>
        <v>2310</v>
      </c>
      <c r="N25" s="59">
        <v>2200</v>
      </c>
      <c r="O25" s="59">
        <v>110</v>
      </c>
      <c r="P25" s="58" t="s">
        <v>103</v>
      </c>
      <c r="Q25" s="63"/>
    </row>
    <row r="26" spans="1:17" ht="27">
      <c r="A26" s="56">
        <v>4</v>
      </c>
      <c r="B26" s="49" t="s">
        <v>107</v>
      </c>
      <c r="C26" s="58" t="s">
        <v>183</v>
      </c>
      <c r="D26" s="59">
        <v>25466</v>
      </c>
      <c r="E26" s="59">
        <v>22400</v>
      </c>
      <c r="F26" s="59">
        <f>25466-22400</f>
        <v>3066</v>
      </c>
      <c r="G26" s="64">
        <v>25466</v>
      </c>
      <c r="H26" s="59">
        <v>22400</v>
      </c>
      <c r="I26" s="59">
        <v>3066</v>
      </c>
      <c r="J26" s="51">
        <v>8128</v>
      </c>
      <c r="K26" s="59">
        <v>7728</v>
      </c>
      <c r="L26" s="59">
        <v>400</v>
      </c>
      <c r="M26" s="51">
        <f t="shared" si="5"/>
        <v>7370</v>
      </c>
      <c r="N26" s="59">
        <v>7000</v>
      </c>
      <c r="O26" s="59">
        <v>370</v>
      </c>
      <c r="P26" s="58" t="s">
        <v>59</v>
      </c>
      <c r="Q26" s="63"/>
    </row>
    <row r="27" spans="1:17" ht="27">
      <c r="A27" s="56">
        <v>5</v>
      </c>
      <c r="B27" s="65" t="s">
        <v>108</v>
      </c>
      <c r="C27" s="58" t="s">
        <v>184</v>
      </c>
      <c r="D27" s="59">
        <v>7025</v>
      </c>
      <c r="E27" s="59">
        <v>6109</v>
      </c>
      <c r="F27" s="59">
        <v>916</v>
      </c>
      <c r="G27" s="64">
        <v>7025</v>
      </c>
      <c r="H27" s="59">
        <v>6109</v>
      </c>
      <c r="I27" s="59">
        <v>916</v>
      </c>
      <c r="J27" s="51">
        <v>3234</v>
      </c>
      <c r="K27" s="59">
        <v>2849</v>
      </c>
      <c r="L27" s="59">
        <v>385</v>
      </c>
      <c r="M27" s="51">
        <f t="shared" si="5"/>
        <v>1895</v>
      </c>
      <c r="N27" s="59">
        <v>1800</v>
      </c>
      <c r="O27" s="59">
        <v>95</v>
      </c>
      <c r="P27" s="58" t="s">
        <v>103</v>
      </c>
      <c r="Q27" s="63"/>
    </row>
    <row r="28" spans="1:17" ht="27">
      <c r="A28" s="56">
        <v>6</v>
      </c>
      <c r="B28" s="49" t="s">
        <v>109</v>
      </c>
      <c r="C28" s="58" t="s">
        <v>185</v>
      </c>
      <c r="D28" s="64">
        <v>5193</v>
      </c>
      <c r="E28" s="64">
        <v>4576</v>
      </c>
      <c r="F28" s="64">
        <v>617</v>
      </c>
      <c r="G28" s="64">
        <v>5193</v>
      </c>
      <c r="H28" s="59">
        <v>4576</v>
      </c>
      <c r="I28" s="59">
        <v>617</v>
      </c>
      <c r="J28" s="51">
        <v>2551</v>
      </c>
      <c r="K28" s="59">
        <v>2318</v>
      </c>
      <c r="L28" s="59">
        <v>233</v>
      </c>
      <c r="M28" s="51">
        <f t="shared" si="5"/>
        <v>1265</v>
      </c>
      <c r="N28" s="59">
        <v>1200</v>
      </c>
      <c r="O28" s="59">
        <v>65</v>
      </c>
      <c r="P28" s="58" t="s">
        <v>103</v>
      </c>
      <c r="Q28" s="63"/>
    </row>
    <row r="29" spans="1:17" ht="27">
      <c r="A29" s="56">
        <v>7</v>
      </c>
      <c r="B29" s="66" t="s">
        <v>110</v>
      </c>
      <c r="C29" s="58" t="s">
        <v>186</v>
      </c>
      <c r="D29" s="64">
        <v>8096</v>
      </c>
      <c r="E29" s="64">
        <v>7040</v>
      </c>
      <c r="F29" s="64">
        <v>1056</v>
      </c>
      <c r="G29" s="64">
        <v>8096</v>
      </c>
      <c r="H29" s="59">
        <v>7040</v>
      </c>
      <c r="I29" s="59">
        <v>1056</v>
      </c>
      <c r="J29" s="51">
        <v>3804</v>
      </c>
      <c r="K29" s="59">
        <v>3427</v>
      </c>
      <c r="L29" s="59">
        <v>377</v>
      </c>
      <c r="M29" s="51">
        <f t="shared" si="5"/>
        <v>2000</v>
      </c>
      <c r="N29" s="59">
        <v>1900</v>
      </c>
      <c r="O29" s="59">
        <v>100</v>
      </c>
      <c r="P29" s="58" t="s">
        <v>103</v>
      </c>
      <c r="Q29" s="63"/>
    </row>
    <row r="30" spans="1:18" ht="27">
      <c r="A30" s="56">
        <v>8</v>
      </c>
      <c r="B30" s="49" t="s">
        <v>104</v>
      </c>
      <c r="C30" s="221" t="s">
        <v>225</v>
      </c>
      <c r="D30" s="222">
        <v>24240</v>
      </c>
      <c r="E30" s="222">
        <v>21078</v>
      </c>
      <c r="F30" s="222">
        <v>3162</v>
      </c>
      <c r="G30" s="222">
        <v>24240</v>
      </c>
      <c r="H30" s="222">
        <v>21078</v>
      </c>
      <c r="I30" s="222">
        <v>3162</v>
      </c>
      <c r="J30" s="51">
        <v>0</v>
      </c>
      <c r="K30" s="59">
        <v>0</v>
      </c>
      <c r="L30" s="59">
        <v>0</v>
      </c>
      <c r="M30" s="51">
        <f t="shared" si="5"/>
        <v>500</v>
      </c>
      <c r="N30" s="59">
        <v>500</v>
      </c>
      <c r="O30" s="59"/>
      <c r="P30" s="58" t="s">
        <v>103</v>
      </c>
      <c r="Q30" s="38" t="s">
        <v>171</v>
      </c>
      <c r="R30" s="81"/>
    </row>
    <row r="31" spans="1:17" ht="27">
      <c r="A31" s="56">
        <v>9</v>
      </c>
      <c r="B31" s="65" t="s">
        <v>227</v>
      </c>
      <c r="C31" s="223" t="s">
        <v>226</v>
      </c>
      <c r="D31" s="224">
        <f>E31+F31</f>
        <v>12051</v>
      </c>
      <c r="E31" s="224">
        <v>10479</v>
      </c>
      <c r="F31" s="224">
        <v>1572</v>
      </c>
      <c r="G31" s="222">
        <v>12051</v>
      </c>
      <c r="H31" s="222">
        <v>10479</v>
      </c>
      <c r="I31" s="222">
        <v>1572</v>
      </c>
      <c r="J31" s="51">
        <v>0</v>
      </c>
      <c r="K31" s="59">
        <v>0</v>
      </c>
      <c r="L31" s="59">
        <v>0</v>
      </c>
      <c r="M31" s="51">
        <f t="shared" si="5"/>
        <v>500</v>
      </c>
      <c r="N31" s="59">
        <v>500</v>
      </c>
      <c r="O31" s="59"/>
      <c r="P31" s="58" t="s">
        <v>103</v>
      </c>
      <c r="Q31" s="38" t="s">
        <v>171</v>
      </c>
    </row>
    <row r="32" spans="1:246" ht="41.25">
      <c r="A32" s="56">
        <v>10</v>
      </c>
      <c r="B32" s="49" t="s">
        <v>177</v>
      </c>
      <c r="C32" s="44"/>
      <c r="D32" s="44"/>
      <c r="E32" s="154"/>
      <c r="F32" s="154"/>
      <c r="G32" s="60"/>
      <c r="H32" s="60"/>
      <c r="I32" s="60"/>
      <c r="J32" s="60"/>
      <c r="K32" s="60"/>
      <c r="L32" s="60"/>
      <c r="M32" s="62">
        <f t="shared" si="5"/>
        <v>6728</v>
      </c>
      <c r="N32" s="62">
        <v>6298</v>
      </c>
      <c r="O32" s="62">
        <v>430</v>
      </c>
      <c r="P32" s="179" t="s">
        <v>201</v>
      </c>
      <c r="Q32" s="179" t="s">
        <v>202</v>
      </c>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row>
    <row r="33" spans="1:248" ht="27">
      <c r="A33" s="67" t="s">
        <v>51</v>
      </c>
      <c r="B33" s="41" t="s">
        <v>111</v>
      </c>
      <c r="C33" s="58"/>
      <c r="D33" s="64"/>
      <c r="E33" s="64"/>
      <c r="F33" s="64"/>
      <c r="G33" s="68">
        <f aca="true" t="shared" si="6" ref="G33:O33">G34+G35</f>
        <v>158200</v>
      </c>
      <c r="H33" s="68">
        <f t="shared" si="6"/>
        <v>150667</v>
      </c>
      <c r="I33" s="68">
        <f t="shared" si="6"/>
        <v>7533</v>
      </c>
      <c r="J33" s="68"/>
      <c r="K33" s="68"/>
      <c r="L33" s="68"/>
      <c r="M33" s="68">
        <f t="shared" si="6"/>
        <v>38318</v>
      </c>
      <c r="N33" s="68">
        <f t="shared" si="6"/>
        <v>36355</v>
      </c>
      <c r="O33" s="68">
        <f t="shared" si="6"/>
        <v>1963</v>
      </c>
      <c r="P33" s="69"/>
      <c r="Q33" s="156"/>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row>
    <row r="34" spans="1:17" ht="70.5" customHeight="1">
      <c r="A34" s="56">
        <v>1</v>
      </c>
      <c r="B34" s="49" t="s">
        <v>112</v>
      </c>
      <c r="C34" s="203" t="s">
        <v>187</v>
      </c>
      <c r="D34" s="204">
        <v>52171</v>
      </c>
      <c r="E34" s="204">
        <v>49667</v>
      </c>
      <c r="F34" s="204">
        <v>2504</v>
      </c>
      <c r="G34" s="59">
        <f aca="true" t="shared" si="7" ref="G34:G39">H34+I34</f>
        <v>60629</v>
      </c>
      <c r="H34" s="59">
        <v>57742</v>
      </c>
      <c r="I34" s="70">
        <v>2887</v>
      </c>
      <c r="J34" s="59">
        <v>19000</v>
      </c>
      <c r="K34" s="59">
        <v>17644</v>
      </c>
      <c r="L34" s="59">
        <v>1356</v>
      </c>
      <c r="M34" s="51">
        <f>N34+O34</f>
        <v>20000</v>
      </c>
      <c r="N34" s="59">
        <v>19048</v>
      </c>
      <c r="O34" s="59">
        <v>952</v>
      </c>
      <c r="P34" s="58" t="s">
        <v>50</v>
      </c>
      <c r="Q34" s="38"/>
    </row>
    <row r="35" spans="1:17" ht="41.25">
      <c r="A35" s="56">
        <v>2</v>
      </c>
      <c r="B35" s="49" t="s">
        <v>177</v>
      </c>
      <c r="C35" s="203"/>
      <c r="D35" s="204"/>
      <c r="E35" s="204"/>
      <c r="F35" s="204"/>
      <c r="G35" s="59">
        <f t="shared" si="7"/>
        <v>97571</v>
      </c>
      <c r="H35" s="59">
        <v>92925</v>
      </c>
      <c r="I35" s="70">
        <v>4646</v>
      </c>
      <c r="J35" s="59">
        <v>500</v>
      </c>
      <c r="K35" s="59">
        <v>500</v>
      </c>
      <c r="L35" s="59">
        <v>0</v>
      </c>
      <c r="M35" s="51">
        <f>N35+O35</f>
        <v>18318</v>
      </c>
      <c r="N35" s="59">
        <v>17307</v>
      </c>
      <c r="O35" s="59">
        <v>1011</v>
      </c>
      <c r="P35" s="179" t="s">
        <v>201</v>
      </c>
      <c r="Q35" s="179" t="s">
        <v>202</v>
      </c>
    </row>
    <row r="36" spans="1:248" ht="41.25">
      <c r="A36" s="67" t="s">
        <v>53</v>
      </c>
      <c r="B36" s="41" t="s">
        <v>113</v>
      </c>
      <c r="C36" s="173"/>
      <c r="D36" s="71"/>
      <c r="E36" s="71"/>
      <c r="F36" s="71"/>
      <c r="G36" s="68">
        <f t="shared" si="7"/>
        <v>39062</v>
      </c>
      <c r="H36" s="68">
        <f>SUM(H37:H40)</f>
        <v>37202</v>
      </c>
      <c r="I36" s="68">
        <f>SUM(I37:I40)</f>
        <v>1860</v>
      </c>
      <c r="J36" s="68"/>
      <c r="K36" s="68"/>
      <c r="L36" s="68"/>
      <c r="M36" s="68">
        <v>11148</v>
      </c>
      <c r="N36" s="68">
        <v>10577</v>
      </c>
      <c r="O36" s="68">
        <v>571</v>
      </c>
      <c r="P36" s="72"/>
      <c r="Q36" s="15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row>
    <row r="37" spans="1:248" s="205" customFormat="1" ht="27">
      <c r="A37" s="56">
        <v>1</v>
      </c>
      <c r="B37" s="49" t="s">
        <v>196</v>
      </c>
      <c r="C37" s="173"/>
      <c r="D37" s="71"/>
      <c r="E37" s="71"/>
      <c r="F37" s="71"/>
      <c r="G37" s="59">
        <f t="shared" si="7"/>
        <v>8386</v>
      </c>
      <c r="H37" s="59">
        <v>7987</v>
      </c>
      <c r="I37" s="59">
        <v>399</v>
      </c>
      <c r="J37" s="68"/>
      <c r="K37" s="68"/>
      <c r="L37" s="68"/>
      <c r="M37" s="51">
        <f>N37+O37</f>
        <v>500</v>
      </c>
      <c r="N37" s="163">
        <v>500</v>
      </c>
      <c r="O37" s="68"/>
      <c r="P37" s="50" t="s">
        <v>199</v>
      </c>
      <c r="Q37" s="207" t="s">
        <v>171</v>
      </c>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row>
    <row r="38" spans="1:248" s="205" customFormat="1" ht="27">
      <c r="A38" s="56">
        <v>2</v>
      </c>
      <c r="B38" s="49" t="s">
        <v>197</v>
      </c>
      <c r="C38" s="173"/>
      <c r="D38" s="71"/>
      <c r="E38" s="71"/>
      <c r="F38" s="71"/>
      <c r="G38" s="59">
        <f t="shared" si="7"/>
        <v>10269</v>
      </c>
      <c r="H38" s="64">
        <v>9780</v>
      </c>
      <c r="I38" s="64">
        <v>489</v>
      </c>
      <c r="J38" s="68"/>
      <c r="K38" s="68"/>
      <c r="L38" s="68"/>
      <c r="M38" s="51">
        <f>N38+O38</f>
        <v>480</v>
      </c>
      <c r="N38" s="163">
        <v>480</v>
      </c>
      <c r="O38" s="68"/>
      <c r="P38" s="50" t="s">
        <v>199</v>
      </c>
      <c r="Q38" s="207" t="s">
        <v>171</v>
      </c>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c r="IB38" s="47"/>
      <c r="IC38" s="47"/>
      <c r="ID38" s="47"/>
      <c r="IE38" s="47"/>
      <c r="IF38" s="47"/>
      <c r="IG38" s="47"/>
      <c r="IH38" s="47"/>
      <c r="II38" s="47"/>
      <c r="IJ38" s="47"/>
      <c r="IK38" s="47"/>
      <c r="IL38" s="47"/>
      <c r="IM38" s="47"/>
      <c r="IN38" s="47"/>
    </row>
    <row r="39" spans="1:248" s="205" customFormat="1" ht="27">
      <c r="A39" s="56">
        <v>3</v>
      </c>
      <c r="B39" s="49" t="s">
        <v>198</v>
      </c>
      <c r="C39" s="173"/>
      <c r="D39" s="71"/>
      <c r="E39" s="71"/>
      <c r="F39" s="71"/>
      <c r="G39" s="59">
        <f t="shared" si="7"/>
        <v>20407</v>
      </c>
      <c r="H39" s="64">
        <v>19435</v>
      </c>
      <c r="I39" s="64">
        <v>972</v>
      </c>
      <c r="J39" s="68"/>
      <c r="K39" s="68"/>
      <c r="L39" s="68"/>
      <c r="M39" s="51">
        <f>N39+O39</f>
        <v>960</v>
      </c>
      <c r="N39" s="89">
        <v>960</v>
      </c>
      <c r="O39" s="68"/>
      <c r="P39" s="50" t="s">
        <v>199</v>
      </c>
      <c r="Q39" s="207" t="s">
        <v>171</v>
      </c>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c r="HI39" s="47"/>
      <c r="HJ39" s="47"/>
      <c r="HK39" s="47"/>
      <c r="HL39" s="47"/>
      <c r="HM39" s="47"/>
      <c r="HN39" s="47"/>
      <c r="HO39" s="47"/>
      <c r="HP39" s="47"/>
      <c r="HQ39" s="47"/>
      <c r="HR39" s="47"/>
      <c r="HS39" s="47"/>
      <c r="HT39" s="47"/>
      <c r="HU39" s="47"/>
      <c r="HV39" s="47"/>
      <c r="HW39" s="47"/>
      <c r="HX39" s="47"/>
      <c r="HY39" s="47"/>
      <c r="HZ39" s="47"/>
      <c r="IA39" s="47"/>
      <c r="IB39" s="47"/>
      <c r="IC39" s="47"/>
      <c r="ID39" s="47"/>
      <c r="IE39" s="47"/>
      <c r="IF39" s="47"/>
      <c r="IG39" s="47"/>
      <c r="IH39" s="47"/>
      <c r="II39" s="47"/>
      <c r="IJ39" s="47"/>
      <c r="IK39" s="47"/>
      <c r="IL39" s="47"/>
      <c r="IM39" s="47"/>
      <c r="IN39" s="47"/>
    </row>
    <row r="40" spans="1:248" s="205" customFormat="1" ht="41.25">
      <c r="A40" s="56">
        <v>4</v>
      </c>
      <c r="B40" s="57" t="s">
        <v>177</v>
      </c>
      <c r="C40" s="173"/>
      <c r="D40" s="71"/>
      <c r="E40" s="71"/>
      <c r="F40" s="71"/>
      <c r="G40" s="68"/>
      <c r="H40" s="68"/>
      <c r="I40" s="68"/>
      <c r="J40" s="68"/>
      <c r="K40" s="68"/>
      <c r="L40" s="68"/>
      <c r="M40" s="59">
        <v>9208</v>
      </c>
      <c r="N40" s="59">
        <v>8637</v>
      </c>
      <c r="O40" s="59">
        <v>571</v>
      </c>
      <c r="P40" s="179" t="s">
        <v>201</v>
      </c>
      <c r="Q40" s="179" t="s">
        <v>202</v>
      </c>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c r="GF40" s="47"/>
      <c r="GG40" s="47"/>
      <c r="GH40" s="47"/>
      <c r="GI40" s="47"/>
      <c r="GJ40" s="47"/>
      <c r="GK40" s="47"/>
      <c r="GL40" s="47"/>
      <c r="GM40" s="47"/>
      <c r="GN40" s="47"/>
      <c r="GO40" s="47"/>
      <c r="GP40" s="47"/>
      <c r="GQ40" s="47"/>
      <c r="GR40" s="47"/>
      <c r="GS40" s="47"/>
      <c r="GT40" s="47"/>
      <c r="GU40" s="47"/>
      <c r="GV40" s="47"/>
      <c r="GW40" s="47"/>
      <c r="GX40" s="47"/>
      <c r="GY40" s="47"/>
      <c r="GZ40" s="47"/>
      <c r="HA40" s="47"/>
      <c r="HB40" s="47"/>
      <c r="HC40" s="47"/>
      <c r="HD40" s="47"/>
      <c r="HE40" s="47"/>
      <c r="HF40" s="47"/>
      <c r="HG40" s="47"/>
      <c r="HH40" s="47"/>
      <c r="HI40" s="47"/>
      <c r="HJ40" s="47"/>
      <c r="HK40" s="47"/>
      <c r="HL40" s="47"/>
      <c r="HM40" s="47"/>
      <c r="HN40" s="47"/>
      <c r="HO40" s="47"/>
      <c r="HP40" s="47"/>
      <c r="HQ40" s="47"/>
      <c r="HR40" s="47"/>
      <c r="HS40" s="47"/>
      <c r="HT40" s="47"/>
      <c r="HU40" s="47"/>
      <c r="HV40" s="47"/>
      <c r="HW40" s="47"/>
      <c r="HX40" s="47"/>
      <c r="HY40" s="47"/>
      <c r="HZ40" s="47"/>
      <c r="IA40" s="47"/>
      <c r="IB40" s="47"/>
      <c r="IC40" s="47"/>
      <c r="ID40" s="47"/>
      <c r="IE40" s="47"/>
      <c r="IF40" s="47"/>
      <c r="IG40" s="47"/>
      <c r="IH40" s="47"/>
      <c r="II40" s="47"/>
      <c r="IJ40" s="47"/>
      <c r="IK40" s="47"/>
      <c r="IL40" s="47"/>
      <c r="IM40" s="47"/>
      <c r="IN40" s="47"/>
    </row>
    <row r="41" spans="1:17" ht="41.25">
      <c r="A41" s="67" t="s">
        <v>54</v>
      </c>
      <c r="B41" s="41" t="s">
        <v>114</v>
      </c>
      <c r="C41" s="164"/>
      <c r="D41" s="41"/>
      <c r="E41" s="41"/>
      <c r="F41" s="41"/>
      <c r="G41" s="42">
        <f aca="true" t="shared" si="8" ref="G41:O41">G42</f>
        <v>62969</v>
      </c>
      <c r="H41" s="42">
        <f t="shared" si="8"/>
        <v>59970</v>
      </c>
      <c r="I41" s="42">
        <f t="shared" si="8"/>
        <v>2999</v>
      </c>
      <c r="J41" s="42"/>
      <c r="K41" s="42"/>
      <c r="L41" s="42"/>
      <c r="M41" s="42">
        <f t="shared" si="8"/>
        <v>15251</v>
      </c>
      <c r="N41" s="42">
        <f t="shared" si="8"/>
        <v>14470</v>
      </c>
      <c r="O41" s="42">
        <f t="shared" si="8"/>
        <v>781</v>
      </c>
      <c r="P41" s="73"/>
      <c r="Q41" s="41"/>
    </row>
    <row r="42" spans="1:17" ht="82.5" customHeight="1">
      <c r="A42" s="56">
        <v>1</v>
      </c>
      <c r="B42" s="49" t="s">
        <v>222</v>
      </c>
      <c r="C42" s="58" t="s">
        <v>188</v>
      </c>
      <c r="D42" s="64">
        <f>E42+F42</f>
        <v>62969</v>
      </c>
      <c r="E42" s="64">
        <v>59970</v>
      </c>
      <c r="F42" s="64">
        <v>2999</v>
      </c>
      <c r="G42" s="64">
        <f>H42+I42</f>
        <v>62969</v>
      </c>
      <c r="H42" s="64">
        <v>59970</v>
      </c>
      <c r="I42" s="64">
        <v>2999</v>
      </c>
      <c r="J42" s="59">
        <f>K42+L42</f>
        <v>8961</v>
      </c>
      <c r="K42" s="59">
        <f>2460+5961</f>
        <v>8421</v>
      </c>
      <c r="L42" s="59">
        <v>540</v>
      </c>
      <c r="M42" s="51">
        <f>N42+O42</f>
        <v>15251</v>
      </c>
      <c r="N42" s="59">
        <v>14470</v>
      </c>
      <c r="O42" s="59">
        <v>781</v>
      </c>
      <c r="P42" s="58" t="s">
        <v>50</v>
      </c>
      <c r="Q42" s="158"/>
    </row>
    <row r="43" spans="1:17" ht="77.25" customHeight="1">
      <c r="A43" s="67" t="s">
        <v>55</v>
      </c>
      <c r="B43" s="41" t="s">
        <v>115</v>
      </c>
      <c r="C43" s="174"/>
      <c r="D43" s="74"/>
      <c r="E43" s="74"/>
      <c r="F43" s="74"/>
      <c r="G43" s="68">
        <f>H43+I43</f>
        <v>6605</v>
      </c>
      <c r="H43" s="68">
        <f>4742+1549</f>
        <v>6291</v>
      </c>
      <c r="I43" s="68">
        <f>237+77</f>
        <v>314</v>
      </c>
      <c r="J43" s="68"/>
      <c r="K43" s="68"/>
      <c r="L43" s="68"/>
      <c r="M43" s="42">
        <v>1589</v>
      </c>
      <c r="N43" s="42">
        <v>1508</v>
      </c>
      <c r="O43" s="42">
        <v>81</v>
      </c>
      <c r="P43" s="179" t="s">
        <v>201</v>
      </c>
      <c r="Q43" s="179" t="s">
        <v>202</v>
      </c>
    </row>
    <row r="44" spans="1:248" ht="30" customHeight="1">
      <c r="A44" s="52" t="s">
        <v>72</v>
      </c>
      <c r="B44" s="53" t="s">
        <v>87</v>
      </c>
      <c r="C44" s="37"/>
      <c r="D44" s="37"/>
      <c r="E44" s="37"/>
      <c r="F44" s="37"/>
      <c r="G44" s="39">
        <f>G45+G54+G64</f>
        <v>880765</v>
      </c>
      <c r="H44" s="39">
        <f>H45+H54+H64</f>
        <v>837044</v>
      </c>
      <c r="I44" s="39">
        <f>I45+I54+I64</f>
        <v>43721</v>
      </c>
      <c r="J44" s="39"/>
      <c r="K44" s="39"/>
      <c r="L44" s="39"/>
      <c r="M44" s="39">
        <f>M45+M54+M64</f>
        <v>219961</v>
      </c>
      <c r="N44" s="39">
        <f>N45+N54+N64</f>
        <v>208108</v>
      </c>
      <c r="O44" s="39">
        <f>O45+O54+O64</f>
        <v>11853</v>
      </c>
      <c r="P44" s="37"/>
      <c r="Q44" s="44"/>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c r="GZ44" s="47"/>
      <c r="HA44" s="47"/>
      <c r="HB44" s="47"/>
      <c r="HC44" s="47"/>
      <c r="HD44" s="47"/>
      <c r="HE44" s="47"/>
      <c r="HF44" s="47"/>
      <c r="HG44" s="47"/>
      <c r="HH44" s="47"/>
      <c r="HI44" s="47"/>
      <c r="HJ44" s="47"/>
      <c r="HK44" s="47"/>
      <c r="HL44" s="47"/>
      <c r="HM44" s="47"/>
      <c r="HN44" s="47"/>
      <c r="HO44" s="47"/>
      <c r="HP44" s="47"/>
      <c r="HQ44" s="47"/>
      <c r="HR44" s="47"/>
      <c r="HS44" s="47"/>
      <c r="HT44" s="47"/>
      <c r="HU44" s="47"/>
      <c r="HV44" s="47"/>
      <c r="HW44" s="47"/>
      <c r="HX44" s="47"/>
      <c r="HY44" s="47"/>
      <c r="HZ44" s="47"/>
      <c r="IA44" s="47"/>
      <c r="IB44" s="47"/>
      <c r="IC44" s="47"/>
      <c r="ID44" s="47"/>
      <c r="IE44" s="47"/>
      <c r="IF44" s="47"/>
      <c r="IG44" s="47"/>
      <c r="IH44" s="47"/>
      <c r="II44" s="47"/>
      <c r="IJ44" s="47"/>
      <c r="IK44" s="47"/>
      <c r="IL44" s="47"/>
      <c r="IM44" s="47"/>
      <c r="IN44" s="47"/>
    </row>
    <row r="45" spans="1:17" ht="35.25" customHeight="1">
      <c r="A45" s="37" t="s">
        <v>17</v>
      </c>
      <c r="B45" s="41" t="s">
        <v>91</v>
      </c>
      <c r="C45" s="164"/>
      <c r="D45" s="41"/>
      <c r="E45" s="41"/>
      <c r="F45" s="41"/>
      <c r="G45" s="42">
        <f>G46</f>
        <v>55905</v>
      </c>
      <c r="H45" s="42">
        <f aca="true" t="shared" si="9" ref="H45:O45">H46</f>
        <v>51465</v>
      </c>
      <c r="I45" s="42">
        <f t="shared" si="9"/>
        <v>4440</v>
      </c>
      <c r="J45" s="42"/>
      <c r="K45" s="42"/>
      <c r="L45" s="42"/>
      <c r="M45" s="42">
        <f t="shared" si="9"/>
        <v>20228</v>
      </c>
      <c r="N45" s="42">
        <f t="shared" si="9"/>
        <v>18608</v>
      </c>
      <c r="O45" s="42">
        <f t="shared" si="9"/>
        <v>1620</v>
      </c>
      <c r="P45" s="43"/>
      <c r="Q45" s="41"/>
    </row>
    <row r="46" spans="1:248" ht="28.5">
      <c r="A46" s="44"/>
      <c r="B46" s="45" t="s">
        <v>116</v>
      </c>
      <c r="C46" s="164"/>
      <c r="D46" s="53"/>
      <c r="E46" s="53"/>
      <c r="F46" s="53"/>
      <c r="G46" s="46">
        <f aca="true" t="shared" si="10" ref="G46:G53">H46+I46</f>
        <v>55905</v>
      </c>
      <c r="H46" s="46">
        <f>SUM(H47:H53)</f>
        <v>51465</v>
      </c>
      <c r="I46" s="46">
        <f>SUM(I47:I53)</f>
        <v>4440</v>
      </c>
      <c r="J46" s="46"/>
      <c r="K46" s="46"/>
      <c r="L46" s="46"/>
      <c r="M46" s="46">
        <f>M47+M48+M49+M50+M51+M52+M53</f>
        <v>20228</v>
      </c>
      <c r="N46" s="46">
        <f>N47+N48+N49+N50+N51+N52+N53</f>
        <v>18608</v>
      </c>
      <c r="O46" s="46">
        <f>O47+O48+O49+O50+O51+O52+O53</f>
        <v>1620</v>
      </c>
      <c r="P46" s="40"/>
      <c r="Q46" s="53"/>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c r="GZ46" s="47"/>
      <c r="HA46" s="47"/>
      <c r="HB46" s="47"/>
      <c r="HC46" s="47"/>
      <c r="HD46" s="47"/>
      <c r="HE46" s="47"/>
      <c r="HF46" s="47"/>
      <c r="HG46" s="47"/>
      <c r="HH46" s="47"/>
      <c r="HI46" s="47"/>
      <c r="HJ46" s="47"/>
      <c r="HK46" s="47"/>
      <c r="HL46" s="47"/>
      <c r="HM46" s="47"/>
      <c r="HN46" s="47"/>
      <c r="HO46" s="47"/>
      <c r="HP46" s="47"/>
      <c r="HQ46" s="47"/>
      <c r="HR46" s="47"/>
      <c r="HS46" s="47"/>
      <c r="HT46" s="47"/>
      <c r="HU46" s="47"/>
      <c r="HV46" s="47"/>
      <c r="HW46" s="47"/>
      <c r="HX46" s="47"/>
      <c r="HY46" s="47"/>
      <c r="HZ46" s="47"/>
      <c r="IA46" s="47"/>
      <c r="IB46" s="47"/>
      <c r="IC46" s="47"/>
      <c r="ID46" s="47"/>
      <c r="IE46" s="47"/>
      <c r="IF46" s="47"/>
      <c r="IG46" s="47"/>
      <c r="IH46" s="47"/>
      <c r="II46" s="47"/>
      <c r="IJ46" s="47"/>
      <c r="IK46" s="47"/>
      <c r="IL46" s="47"/>
      <c r="IM46" s="47"/>
      <c r="IN46" s="47"/>
    </row>
    <row r="47" spans="1:17" ht="30.75">
      <c r="A47" s="50">
        <v>1</v>
      </c>
      <c r="B47" s="49" t="s">
        <v>71</v>
      </c>
      <c r="C47" s="58"/>
      <c r="D47" s="58"/>
      <c r="E47" s="58"/>
      <c r="F47" s="58"/>
      <c r="G47" s="51">
        <f t="shared" si="10"/>
        <v>5045.5</v>
      </c>
      <c r="H47" s="64">
        <v>4617.5</v>
      </c>
      <c r="I47" s="64">
        <v>428</v>
      </c>
      <c r="J47" s="51">
        <f aca="true" t="shared" si="11" ref="J47:J53">K47+L47</f>
        <v>1278</v>
      </c>
      <c r="K47" s="64">
        <v>1170</v>
      </c>
      <c r="L47" s="64">
        <v>108</v>
      </c>
      <c r="M47" s="51">
        <f aca="true" t="shared" si="12" ref="M47:M53">N47+O47</f>
        <v>1785</v>
      </c>
      <c r="N47" s="64">
        <v>1633</v>
      </c>
      <c r="O47" s="64">
        <v>152</v>
      </c>
      <c r="P47" s="85" t="s">
        <v>189</v>
      </c>
      <c r="Q47" s="206"/>
    </row>
    <row r="48" spans="1:17" ht="30.75">
      <c r="A48" s="50">
        <v>2</v>
      </c>
      <c r="B48" s="49" t="s">
        <v>66</v>
      </c>
      <c r="C48" s="58"/>
      <c r="D48" s="58"/>
      <c r="E48" s="58"/>
      <c r="F48" s="58"/>
      <c r="G48" s="51">
        <f t="shared" si="10"/>
        <v>7681</v>
      </c>
      <c r="H48" s="64">
        <v>7085</v>
      </c>
      <c r="I48" s="64">
        <v>596</v>
      </c>
      <c r="J48" s="51">
        <f t="shared" si="11"/>
        <v>485</v>
      </c>
      <c r="K48" s="64">
        <v>445</v>
      </c>
      <c r="L48" s="64">
        <v>40</v>
      </c>
      <c r="M48" s="51">
        <f t="shared" si="12"/>
        <v>2781</v>
      </c>
      <c r="N48" s="64">
        <v>2565</v>
      </c>
      <c r="O48" s="64">
        <v>216</v>
      </c>
      <c r="P48" s="85" t="s">
        <v>56</v>
      </c>
      <c r="Q48" s="206"/>
    </row>
    <row r="49" spans="1:17" ht="30.75">
      <c r="A49" s="50">
        <v>3</v>
      </c>
      <c r="B49" s="49" t="s">
        <v>70</v>
      </c>
      <c r="C49" s="58"/>
      <c r="D49" s="58"/>
      <c r="E49" s="58"/>
      <c r="F49" s="58"/>
      <c r="G49" s="51">
        <f t="shared" si="10"/>
        <v>5243</v>
      </c>
      <c r="H49" s="64">
        <v>4795</v>
      </c>
      <c r="I49" s="64">
        <v>448</v>
      </c>
      <c r="J49" s="51">
        <f t="shared" si="11"/>
        <v>485</v>
      </c>
      <c r="K49" s="64">
        <v>445</v>
      </c>
      <c r="L49" s="64">
        <v>40</v>
      </c>
      <c r="M49" s="51">
        <f t="shared" si="12"/>
        <v>1804</v>
      </c>
      <c r="N49" s="64">
        <v>1640</v>
      </c>
      <c r="O49" s="64">
        <v>164</v>
      </c>
      <c r="P49" s="85" t="s">
        <v>58</v>
      </c>
      <c r="Q49" s="206"/>
    </row>
    <row r="50" spans="1:17" ht="30.75">
      <c r="A50" s="50">
        <v>4</v>
      </c>
      <c r="B50" s="49" t="s">
        <v>65</v>
      </c>
      <c r="C50" s="58"/>
      <c r="D50" s="58"/>
      <c r="E50" s="58"/>
      <c r="F50" s="58"/>
      <c r="G50" s="51">
        <f t="shared" si="10"/>
        <v>4590</v>
      </c>
      <c r="H50" s="64">
        <v>4230</v>
      </c>
      <c r="I50" s="64">
        <v>360</v>
      </c>
      <c r="J50" s="51">
        <f t="shared" si="11"/>
        <v>397</v>
      </c>
      <c r="K50" s="64">
        <v>365</v>
      </c>
      <c r="L50" s="64">
        <v>32</v>
      </c>
      <c r="M50" s="51">
        <f t="shared" si="12"/>
        <v>1633</v>
      </c>
      <c r="N50" s="64">
        <v>1505</v>
      </c>
      <c r="O50" s="64">
        <v>128</v>
      </c>
      <c r="P50" s="85" t="s">
        <v>60</v>
      </c>
      <c r="Q50" s="206"/>
    </row>
    <row r="51" spans="1:17" ht="31.5" customHeight="1">
      <c r="A51" s="50">
        <v>5</v>
      </c>
      <c r="B51" s="49" t="s">
        <v>67</v>
      </c>
      <c r="C51" s="58"/>
      <c r="D51" s="58"/>
      <c r="E51" s="58"/>
      <c r="F51" s="58"/>
      <c r="G51" s="51">
        <f t="shared" si="10"/>
        <v>9796</v>
      </c>
      <c r="H51" s="64">
        <v>9020</v>
      </c>
      <c r="I51" s="64">
        <v>776</v>
      </c>
      <c r="J51" s="51">
        <f t="shared" si="11"/>
        <v>530</v>
      </c>
      <c r="K51" s="64">
        <v>490</v>
      </c>
      <c r="L51" s="64">
        <v>40</v>
      </c>
      <c r="M51" s="51">
        <f t="shared" si="12"/>
        <v>3574</v>
      </c>
      <c r="N51" s="64">
        <v>3290</v>
      </c>
      <c r="O51" s="64">
        <v>284</v>
      </c>
      <c r="P51" s="85" t="s">
        <v>59</v>
      </c>
      <c r="Q51" s="206"/>
    </row>
    <row r="52" spans="1:17" ht="30.75">
      <c r="A52" s="50">
        <v>6</v>
      </c>
      <c r="B52" s="49" t="s">
        <v>68</v>
      </c>
      <c r="C52" s="58"/>
      <c r="D52" s="58"/>
      <c r="E52" s="58"/>
      <c r="F52" s="58"/>
      <c r="G52" s="51">
        <f t="shared" si="10"/>
        <v>14482</v>
      </c>
      <c r="H52" s="64">
        <v>13370</v>
      </c>
      <c r="I52" s="64">
        <v>1112</v>
      </c>
      <c r="J52" s="51">
        <f t="shared" si="11"/>
        <v>1104</v>
      </c>
      <c r="K52" s="64">
        <v>1020</v>
      </c>
      <c r="L52" s="64">
        <v>84</v>
      </c>
      <c r="M52" s="51">
        <f t="shared" si="12"/>
        <v>5342</v>
      </c>
      <c r="N52" s="64">
        <v>4930</v>
      </c>
      <c r="O52" s="64">
        <v>412</v>
      </c>
      <c r="P52" s="85" t="s">
        <v>57</v>
      </c>
      <c r="Q52" s="206"/>
    </row>
    <row r="53" spans="1:17" ht="30.75">
      <c r="A53" s="50">
        <v>7</v>
      </c>
      <c r="B53" s="49" t="s">
        <v>69</v>
      </c>
      <c r="C53" s="58"/>
      <c r="D53" s="58"/>
      <c r="E53" s="58"/>
      <c r="F53" s="58"/>
      <c r="G53" s="51">
        <f t="shared" si="10"/>
        <v>9067.5</v>
      </c>
      <c r="H53" s="64">
        <v>8347.5</v>
      </c>
      <c r="I53" s="64">
        <v>720</v>
      </c>
      <c r="J53" s="51">
        <f t="shared" si="11"/>
        <v>618</v>
      </c>
      <c r="K53" s="64">
        <v>570</v>
      </c>
      <c r="L53" s="64">
        <v>48</v>
      </c>
      <c r="M53" s="51">
        <f t="shared" si="12"/>
        <v>3309</v>
      </c>
      <c r="N53" s="64">
        <v>3045</v>
      </c>
      <c r="O53" s="64">
        <v>264</v>
      </c>
      <c r="P53" s="85" t="s">
        <v>61</v>
      </c>
      <c r="Q53" s="206"/>
    </row>
    <row r="54" spans="1:17" ht="27">
      <c r="A54" s="37" t="s">
        <v>18</v>
      </c>
      <c r="B54" s="41" t="s">
        <v>99</v>
      </c>
      <c r="C54" s="164"/>
      <c r="D54" s="41"/>
      <c r="E54" s="41"/>
      <c r="F54" s="41"/>
      <c r="G54" s="42">
        <f>G55</f>
        <v>787425</v>
      </c>
      <c r="H54" s="42">
        <f aca="true" t="shared" si="13" ref="H54:O54">H55</f>
        <v>749927</v>
      </c>
      <c r="I54" s="42">
        <f t="shared" si="13"/>
        <v>37498</v>
      </c>
      <c r="J54" s="42"/>
      <c r="K54" s="42"/>
      <c r="L54" s="42"/>
      <c r="M54" s="42">
        <f t="shared" si="13"/>
        <v>190724</v>
      </c>
      <c r="N54" s="42">
        <f t="shared" si="13"/>
        <v>180953</v>
      </c>
      <c r="O54" s="42">
        <f t="shared" si="13"/>
        <v>9771</v>
      </c>
      <c r="P54" s="90"/>
      <c r="Q54" s="206"/>
    </row>
    <row r="55" spans="1:248" ht="42.75">
      <c r="A55" s="44"/>
      <c r="B55" s="45" t="s">
        <v>117</v>
      </c>
      <c r="C55" s="166"/>
      <c r="D55" s="45"/>
      <c r="E55" s="45"/>
      <c r="F55" s="45"/>
      <c r="G55" s="75">
        <f>G56+G57+G58+G59+G60+G61+G62+G63</f>
        <v>787425</v>
      </c>
      <c r="H55" s="75">
        <f>H56+H57+H58+H59+H60+H61+H62+H63</f>
        <v>749927</v>
      </c>
      <c r="I55" s="75">
        <f>I56+I57+I58+I59+I60+I61+I62+I63</f>
        <v>37498</v>
      </c>
      <c r="J55" s="75"/>
      <c r="K55" s="75"/>
      <c r="L55" s="75"/>
      <c r="M55" s="75">
        <f>M56+M57+M58+M59+M60+M61+M62+M63</f>
        <v>190724</v>
      </c>
      <c r="N55" s="75">
        <f>N56+N57+N58+N59+N60+N61+N62+N63</f>
        <v>180953</v>
      </c>
      <c r="O55" s="75">
        <f>O56+O57+O58+O59+O60+O61+O62+O63</f>
        <v>9771</v>
      </c>
      <c r="P55" s="72"/>
      <c r="Q55" s="206"/>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7"/>
      <c r="FM55" s="47"/>
      <c r="FN55" s="47"/>
      <c r="FO55" s="47"/>
      <c r="FP55" s="47"/>
      <c r="FQ55" s="47"/>
      <c r="FR55" s="47"/>
      <c r="FS55" s="47"/>
      <c r="FT55" s="47"/>
      <c r="FU55" s="47"/>
      <c r="FV55" s="47"/>
      <c r="FW55" s="47"/>
      <c r="FX55" s="47"/>
      <c r="FY55" s="47"/>
      <c r="FZ55" s="47"/>
      <c r="GA55" s="47"/>
      <c r="GB55" s="47"/>
      <c r="GC55" s="47"/>
      <c r="GD55" s="47"/>
      <c r="GE55" s="47"/>
      <c r="GF55" s="47"/>
      <c r="GG55" s="47"/>
      <c r="GH55" s="47"/>
      <c r="GI55" s="47"/>
      <c r="GJ55" s="47"/>
      <c r="GK55" s="47"/>
      <c r="GL55" s="47"/>
      <c r="GM55" s="47"/>
      <c r="GN55" s="47"/>
      <c r="GO55" s="47"/>
      <c r="GP55" s="47"/>
      <c r="GQ55" s="47"/>
      <c r="GR55" s="47"/>
      <c r="GS55" s="47"/>
      <c r="GT55" s="47"/>
      <c r="GU55" s="47"/>
      <c r="GV55" s="47"/>
      <c r="GW55" s="47"/>
      <c r="GX55" s="47"/>
      <c r="GY55" s="47"/>
      <c r="GZ55" s="47"/>
      <c r="HA55" s="47"/>
      <c r="HB55" s="47"/>
      <c r="HC55" s="47"/>
      <c r="HD55" s="47"/>
      <c r="HE55" s="47"/>
      <c r="HF55" s="47"/>
      <c r="HG55" s="47"/>
      <c r="HH55" s="47"/>
      <c r="HI55" s="47"/>
      <c r="HJ55" s="47"/>
      <c r="HK55" s="47"/>
      <c r="HL55" s="47"/>
      <c r="HM55" s="47"/>
      <c r="HN55" s="47"/>
      <c r="HO55" s="47"/>
      <c r="HP55" s="47"/>
      <c r="HQ55" s="47"/>
      <c r="HR55" s="47"/>
      <c r="HS55" s="47"/>
      <c r="HT55" s="47"/>
      <c r="HU55" s="47"/>
      <c r="HV55" s="47"/>
      <c r="HW55" s="47"/>
      <c r="HX55" s="47"/>
      <c r="HY55" s="47"/>
      <c r="HZ55" s="47"/>
      <c r="IA55" s="47"/>
      <c r="IB55" s="47"/>
      <c r="IC55" s="47"/>
      <c r="ID55" s="47"/>
      <c r="IE55" s="47"/>
      <c r="IF55" s="47"/>
      <c r="IG55" s="47"/>
      <c r="IH55" s="47"/>
      <c r="II55" s="47"/>
      <c r="IJ55" s="47"/>
      <c r="IK55" s="47"/>
      <c r="IL55" s="47"/>
      <c r="IM55" s="47"/>
      <c r="IN55" s="47"/>
    </row>
    <row r="56" spans="1:17" ht="30.75">
      <c r="A56" s="50">
        <v>1</v>
      </c>
      <c r="B56" s="76" t="s">
        <v>71</v>
      </c>
      <c r="C56" s="50"/>
      <c r="D56" s="50"/>
      <c r="E56" s="50"/>
      <c r="F56" s="50"/>
      <c r="G56" s="51">
        <f aca="true" t="shared" si="14" ref="G56:G63">H56+I56</f>
        <v>94569</v>
      </c>
      <c r="H56" s="51">
        <v>90066</v>
      </c>
      <c r="I56" s="51">
        <v>4503</v>
      </c>
      <c r="J56" s="51"/>
      <c r="K56" s="51"/>
      <c r="L56" s="51"/>
      <c r="M56" s="51">
        <f aca="true" t="shared" si="15" ref="M56:M64">N56+O56</f>
        <v>22907</v>
      </c>
      <c r="N56" s="51">
        <v>21733</v>
      </c>
      <c r="O56" s="51">
        <v>1174</v>
      </c>
      <c r="P56" s="85" t="s">
        <v>189</v>
      </c>
      <c r="Q56" s="206"/>
    </row>
    <row r="57" spans="1:17" ht="30.75">
      <c r="A57" s="50">
        <v>2</v>
      </c>
      <c r="B57" s="76" t="s">
        <v>66</v>
      </c>
      <c r="C57" s="50"/>
      <c r="D57" s="50"/>
      <c r="E57" s="50"/>
      <c r="F57" s="50"/>
      <c r="G57" s="51">
        <f t="shared" si="14"/>
        <v>120748</v>
      </c>
      <c r="H57" s="51">
        <v>114998</v>
      </c>
      <c r="I57" s="51">
        <v>5750</v>
      </c>
      <c r="J57" s="51"/>
      <c r="K57" s="51"/>
      <c r="L57" s="51"/>
      <c r="M57" s="51">
        <f t="shared" si="15"/>
        <v>29246</v>
      </c>
      <c r="N57" s="51">
        <v>27748</v>
      </c>
      <c r="O57" s="51">
        <v>1498</v>
      </c>
      <c r="P57" s="85" t="s">
        <v>56</v>
      </c>
      <c r="Q57" s="206"/>
    </row>
    <row r="58" spans="1:17" ht="27">
      <c r="A58" s="50">
        <v>3</v>
      </c>
      <c r="B58" s="76" t="s">
        <v>70</v>
      </c>
      <c r="C58" s="61"/>
      <c r="D58" s="61"/>
      <c r="E58" s="61"/>
      <c r="F58" s="61"/>
      <c r="G58" s="51">
        <f t="shared" si="14"/>
        <v>92936</v>
      </c>
      <c r="H58" s="51">
        <v>88510</v>
      </c>
      <c r="I58" s="51">
        <v>4426</v>
      </c>
      <c r="J58" s="51"/>
      <c r="K58" s="51"/>
      <c r="L58" s="51"/>
      <c r="M58" s="51">
        <f t="shared" si="15"/>
        <v>22510</v>
      </c>
      <c r="N58" s="51">
        <v>21357</v>
      </c>
      <c r="O58" s="51">
        <v>1153</v>
      </c>
      <c r="P58" s="167" t="s">
        <v>58</v>
      </c>
      <c r="Q58" s="58"/>
    </row>
    <row r="59" spans="1:17" ht="30.75">
      <c r="A59" s="50">
        <v>4</v>
      </c>
      <c r="B59" s="76" t="s">
        <v>65</v>
      </c>
      <c r="C59" s="61"/>
      <c r="D59" s="61"/>
      <c r="E59" s="61"/>
      <c r="F59" s="61"/>
      <c r="G59" s="51">
        <f t="shared" si="14"/>
        <v>99142</v>
      </c>
      <c r="H59" s="51">
        <v>94421</v>
      </c>
      <c r="I59" s="51">
        <v>4721</v>
      </c>
      <c r="J59" s="51"/>
      <c r="K59" s="51"/>
      <c r="L59" s="51"/>
      <c r="M59" s="51">
        <f t="shared" si="15"/>
        <v>24013</v>
      </c>
      <c r="N59" s="51">
        <v>22783</v>
      </c>
      <c r="O59" s="51">
        <v>1230</v>
      </c>
      <c r="P59" s="85" t="s">
        <v>60</v>
      </c>
      <c r="Q59" s="206"/>
    </row>
    <row r="60" spans="1:17" ht="15">
      <c r="A60" s="50">
        <v>5</v>
      </c>
      <c r="B60" s="76" t="s">
        <v>67</v>
      </c>
      <c r="C60" s="61"/>
      <c r="D60" s="61"/>
      <c r="E60" s="61"/>
      <c r="F60" s="61"/>
      <c r="G60" s="51">
        <f t="shared" si="14"/>
        <v>154894</v>
      </c>
      <c r="H60" s="51">
        <v>147518</v>
      </c>
      <c r="I60" s="51">
        <v>7376</v>
      </c>
      <c r="J60" s="51"/>
      <c r="K60" s="51"/>
      <c r="L60" s="51"/>
      <c r="M60" s="51">
        <f t="shared" si="15"/>
        <v>37517</v>
      </c>
      <c r="N60" s="51">
        <v>35595</v>
      </c>
      <c r="O60" s="51">
        <v>1922</v>
      </c>
      <c r="P60" s="85" t="s">
        <v>59</v>
      </c>
      <c r="Q60" s="206"/>
    </row>
    <row r="61" spans="1:17" ht="30.75">
      <c r="A61" s="50">
        <v>6</v>
      </c>
      <c r="B61" s="49" t="s">
        <v>68</v>
      </c>
      <c r="C61" s="61"/>
      <c r="D61" s="61"/>
      <c r="E61" s="61"/>
      <c r="F61" s="61"/>
      <c r="G61" s="51">
        <f t="shared" si="14"/>
        <v>101338</v>
      </c>
      <c r="H61" s="51">
        <v>96512</v>
      </c>
      <c r="I61" s="51">
        <v>4826</v>
      </c>
      <c r="J61" s="51"/>
      <c r="K61" s="51"/>
      <c r="L61" s="51"/>
      <c r="M61" s="51">
        <f t="shared" si="15"/>
        <v>24545</v>
      </c>
      <c r="N61" s="51">
        <v>23288</v>
      </c>
      <c r="O61" s="51">
        <v>1257</v>
      </c>
      <c r="P61" s="85" t="s">
        <v>57</v>
      </c>
      <c r="Q61" s="206"/>
    </row>
    <row r="62" spans="1:17" ht="30.75">
      <c r="A62" s="50">
        <v>7</v>
      </c>
      <c r="B62" s="49" t="s">
        <v>69</v>
      </c>
      <c r="C62" s="61"/>
      <c r="D62" s="215"/>
      <c r="E62" s="215"/>
      <c r="F62" s="215"/>
      <c r="G62" s="51">
        <f t="shared" si="14"/>
        <v>122293</v>
      </c>
      <c r="H62" s="51">
        <v>116469</v>
      </c>
      <c r="I62" s="51">
        <v>5824</v>
      </c>
      <c r="J62" s="51"/>
      <c r="K62" s="51"/>
      <c r="L62" s="51"/>
      <c r="M62" s="51">
        <f t="shared" si="15"/>
        <v>29621</v>
      </c>
      <c r="N62" s="51">
        <v>28103</v>
      </c>
      <c r="O62" s="51">
        <v>1518</v>
      </c>
      <c r="P62" s="85" t="s">
        <v>61</v>
      </c>
      <c r="Q62" s="206"/>
    </row>
    <row r="63" spans="1:17" ht="30.75">
      <c r="A63" s="50">
        <v>8</v>
      </c>
      <c r="B63" s="49" t="s">
        <v>64</v>
      </c>
      <c r="C63" s="61"/>
      <c r="D63" s="61"/>
      <c r="E63" s="61"/>
      <c r="F63" s="61"/>
      <c r="G63" s="51">
        <f t="shared" si="14"/>
        <v>1505</v>
      </c>
      <c r="H63" s="51">
        <v>1433</v>
      </c>
      <c r="I63" s="51">
        <v>72</v>
      </c>
      <c r="J63" s="51"/>
      <c r="K63" s="51"/>
      <c r="L63" s="51"/>
      <c r="M63" s="51">
        <f t="shared" si="15"/>
        <v>365</v>
      </c>
      <c r="N63" s="51">
        <v>346</v>
      </c>
      <c r="O63" s="51">
        <v>19</v>
      </c>
      <c r="P63" s="159" t="s">
        <v>52</v>
      </c>
      <c r="Q63" s="206"/>
    </row>
    <row r="64" spans="1:248" s="208" customFormat="1" ht="54.75">
      <c r="A64" s="164" t="s">
        <v>39</v>
      </c>
      <c r="B64" s="41" t="s">
        <v>115</v>
      </c>
      <c r="C64" s="58"/>
      <c r="D64" s="58"/>
      <c r="E64" s="58"/>
      <c r="F64" s="58"/>
      <c r="G64" s="42">
        <f>SUM(G65:G71)</f>
        <v>37435</v>
      </c>
      <c r="H64" s="42">
        <f>SUM(H65:H71)</f>
        <v>35652</v>
      </c>
      <c r="I64" s="42">
        <f>SUM(I65:I71)</f>
        <v>1783</v>
      </c>
      <c r="J64" s="42"/>
      <c r="K64" s="42"/>
      <c r="L64" s="42"/>
      <c r="M64" s="42">
        <f t="shared" si="15"/>
        <v>9009</v>
      </c>
      <c r="N64" s="42">
        <f>10055-1508</f>
        <v>8547</v>
      </c>
      <c r="O64" s="42">
        <f>543-O43</f>
        <v>462</v>
      </c>
      <c r="P64" s="72"/>
      <c r="Q64" s="206"/>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5"/>
      <c r="CY64" s="165"/>
      <c r="CZ64" s="165"/>
      <c r="DA64" s="165"/>
      <c r="DB64" s="165"/>
      <c r="DC64" s="165"/>
      <c r="DD64" s="165"/>
      <c r="DE64" s="165"/>
      <c r="DF64" s="165"/>
      <c r="DG64" s="165"/>
      <c r="DH64" s="165"/>
      <c r="DI64" s="165"/>
      <c r="DJ64" s="165"/>
      <c r="DK64" s="165"/>
      <c r="DL64" s="165"/>
      <c r="DM64" s="165"/>
      <c r="DN64" s="165"/>
      <c r="DO64" s="165"/>
      <c r="DP64" s="165"/>
      <c r="DQ64" s="165"/>
      <c r="DR64" s="165"/>
      <c r="DS64" s="165"/>
      <c r="DT64" s="165"/>
      <c r="DU64" s="165"/>
      <c r="DV64" s="165"/>
      <c r="DW64" s="165"/>
      <c r="DX64" s="165"/>
      <c r="DY64" s="165"/>
      <c r="DZ64" s="165"/>
      <c r="EA64" s="165"/>
      <c r="EB64" s="165"/>
      <c r="EC64" s="165"/>
      <c r="ED64" s="165"/>
      <c r="EE64" s="165"/>
      <c r="EF64" s="165"/>
      <c r="EG64" s="165"/>
      <c r="EH64" s="165"/>
      <c r="EI64" s="165"/>
      <c r="EJ64" s="165"/>
      <c r="EK64" s="165"/>
      <c r="EL64" s="165"/>
      <c r="EM64" s="165"/>
      <c r="EN64" s="165"/>
      <c r="EO64" s="165"/>
      <c r="EP64" s="165"/>
      <c r="EQ64" s="165"/>
      <c r="ER64" s="165"/>
      <c r="ES64" s="165"/>
      <c r="ET64" s="165"/>
      <c r="EU64" s="165"/>
      <c r="EV64" s="165"/>
      <c r="EW64" s="165"/>
      <c r="EX64" s="165"/>
      <c r="EY64" s="165"/>
      <c r="EZ64" s="165"/>
      <c r="FA64" s="165"/>
      <c r="FB64" s="165"/>
      <c r="FC64" s="165"/>
      <c r="FD64" s="165"/>
      <c r="FE64" s="165"/>
      <c r="FF64" s="165"/>
      <c r="FG64" s="165"/>
      <c r="FH64" s="165"/>
      <c r="FI64" s="165"/>
      <c r="FJ64" s="165"/>
      <c r="FK64" s="165"/>
      <c r="FL64" s="165"/>
      <c r="FM64" s="165"/>
      <c r="FN64" s="165"/>
      <c r="FO64" s="165"/>
      <c r="FP64" s="165"/>
      <c r="FQ64" s="165"/>
      <c r="FR64" s="165"/>
      <c r="FS64" s="165"/>
      <c r="FT64" s="165"/>
      <c r="FU64" s="165"/>
      <c r="FV64" s="165"/>
      <c r="FW64" s="165"/>
      <c r="FX64" s="165"/>
      <c r="FY64" s="165"/>
      <c r="FZ64" s="165"/>
      <c r="GA64" s="165"/>
      <c r="GB64" s="165"/>
      <c r="GC64" s="165"/>
      <c r="GD64" s="165"/>
      <c r="GE64" s="165"/>
      <c r="GF64" s="165"/>
      <c r="GG64" s="165"/>
      <c r="GH64" s="165"/>
      <c r="GI64" s="165"/>
      <c r="GJ64" s="165"/>
      <c r="GK64" s="165"/>
      <c r="GL64" s="165"/>
      <c r="GM64" s="165"/>
      <c r="GN64" s="165"/>
      <c r="GO64" s="165"/>
      <c r="GP64" s="165"/>
      <c r="GQ64" s="165"/>
      <c r="GR64" s="165"/>
      <c r="GS64" s="165"/>
      <c r="GT64" s="165"/>
      <c r="GU64" s="165"/>
      <c r="GV64" s="165"/>
      <c r="GW64" s="165"/>
      <c r="GX64" s="165"/>
      <c r="GY64" s="165"/>
      <c r="GZ64" s="165"/>
      <c r="HA64" s="165"/>
      <c r="HB64" s="165"/>
      <c r="HC64" s="165"/>
      <c r="HD64" s="165"/>
      <c r="HE64" s="165"/>
      <c r="HF64" s="165"/>
      <c r="HG64" s="165"/>
      <c r="HH64" s="165"/>
      <c r="HI64" s="165"/>
      <c r="HJ64" s="165"/>
      <c r="HK64" s="165"/>
      <c r="HL64" s="165"/>
      <c r="HM64" s="165"/>
      <c r="HN64" s="165"/>
      <c r="HO64" s="165"/>
      <c r="HP64" s="165"/>
      <c r="HQ64" s="165"/>
      <c r="HR64" s="165"/>
      <c r="HS64" s="165"/>
      <c r="HT64" s="165"/>
      <c r="HU64" s="165"/>
      <c r="HV64" s="165"/>
      <c r="HW64" s="165"/>
      <c r="HX64" s="165"/>
      <c r="HY64" s="165"/>
      <c r="HZ64" s="165"/>
      <c r="IA64" s="165"/>
      <c r="IB64" s="165"/>
      <c r="IC64" s="165"/>
      <c r="ID64" s="165"/>
      <c r="IE64" s="165"/>
      <c r="IF64" s="165"/>
      <c r="IG64" s="165"/>
      <c r="IH64" s="165"/>
      <c r="II64" s="165"/>
      <c r="IJ64" s="165"/>
      <c r="IK64" s="165"/>
      <c r="IL64" s="165"/>
      <c r="IM64" s="165"/>
      <c r="IN64" s="165"/>
    </row>
    <row r="65" spans="1:17" ht="30.75">
      <c r="A65" s="56">
        <v>1</v>
      </c>
      <c r="B65" s="76" t="s">
        <v>71</v>
      </c>
      <c r="C65" s="58"/>
      <c r="D65" s="58"/>
      <c r="E65" s="58"/>
      <c r="F65" s="58"/>
      <c r="G65" s="59">
        <f>H65+I65</f>
        <v>4554</v>
      </c>
      <c r="H65" s="59">
        <f>3269+1068</f>
        <v>4337</v>
      </c>
      <c r="I65" s="59">
        <f>164+53</f>
        <v>217</v>
      </c>
      <c r="J65" s="59">
        <f>K65+L65</f>
        <v>618</v>
      </c>
      <c r="K65" s="59">
        <v>588</v>
      </c>
      <c r="L65" s="59">
        <v>30</v>
      </c>
      <c r="M65" s="51">
        <f aca="true" t="shared" si="16" ref="M65:M71">N65+O65</f>
        <v>1095</v>
      </c>
      <c r="N65" s="59">
        <v>1039</v>
      </c>
      <c r="O65" s="59">
        <v>56</v>
      </c>
      <c r="P65" s="85" t="s">
        <v>189</v>
      </c>
      <c r="Q65" s="206"/>
    </row>
    <row r="66" spans="1:17" s="13" customFormat="1" ht="30.75">
      <c r="A66" s="56">
        <v>2</v>
      </c>
      <c r="B66" s="76" t="s">
        <v>66</v>
      </c>
      <c r="C66" s="58"/>
      <c r="D66" s="58"/>
      <c r="E66" s="58"/>
      <c r="F66" s="58"/>
      <c r="G66" s="59">
        <f aca="true" t="shared" si="17" ref="G66:G71">H66+I66</f>
        <v>4609</v>
      </c>
      <c r="H66" s="59">
        <f>3309+1081</f>
        <v>4390</v>
      </c>
      <c r="I66" s="59">
        <f>165+54</f>
        <v>219</v>
      </c>
      <c r="J66" s="59">
        <f aca="true" t="shared" si="18" ref="J66:J71">K66+L66</f>
        <v>626</v>
      </c>
      <c r="K66" s="59">
        <v>596</v>
      </c>
      <c r="L66" s="59">
        <v>30</v>
      </c>
      <c r="M66" s="51">
        <f t="shared" si="16"/>
        <v>1109</v>
      </c>
      <c r="N66" s="59">
        <v>1052</v>
      </c>
      <c r="O66" s="59">
        <v>57</v>
      </c>
      <c r="P66" s="85" t="s">
        <v>56</v>
      </c>
      <c r="Q66" s="206"/>
    </row>
    <row r="67" spans="1:17" s="13" customFormat="1" ht="30.75">
      <c r="A67" s="56">
        <v>3</v>
      </c>
      <c r="B67" s="76" t="s">
        <v>70</v>
      </c>
      <c r="C67" s="58"/>
      <c r="D67" s="58"/>
      <c r="E67" s="58"/>
      <c r="F67" s="58"/>
      <c r="G67" s="59">
        <f t="shared" si="17"/>
        <v>5039</v>
      </c>
      <c r="H67" s="59">
        <f>3617+1182</f>
        <v>4799</v>
      </c>
      <c r="I67" s="59">
        <f>181+59</f>
        <v>240</v>
      </c>
      <c r="J67" s="59">
        <f t="shared" si="18"/>
        <v>684</v>
      </c>
      <c r="K67" s="59">
        <v>651</v>
      </c>
      <c r="L67" s="59">
        <v>33</v>
      </c>
      <c r="M67" s="51">
        <f t="shared" si="16"/>
        <v>1212</v>
      </c>
      <c r="N67" s="59">
        <v>1150</v>
      </c>
      <c r="O67" s="59">
        <v>62</v>
      </c>
      <c r="P67" s="85" t="s">
        <v>58</v>
      </c>
      <c r="Q67" s="206"/>
    </row>
    <row r="68" spans="1:17" s="13" customFormat="1" ht="30.75">
      <c r="A68" s="56">
        <v>4</v>
      </c>
      <c r="B68" s="76" t="s">
        <v>65</v>
      </c>
      <c r="C68" s="58"/>
      <c r="D68" s="58"/>
      <c r="E68" s="58"/>
      <c r="F68" s="58"/>
      <c r="G68" s="59">
        <f t="shared" si="17"/>
        <v>4564</v>
      </c>
      <c r="H68" s="59">
        <f>3276+1070</f>
        <v>4346</v>
      </c>
      <c r="I68" s="59">
        <f>164+54</f>
        <v>218</v>
      </c>
      <c r="J68" s="59">
        <f t="shared" si="18"/>
        <v>619</v>
      </c>
      <c r="K68" s="59">
        <v>590</v>
      </c>
      <c r="L68" s="59">
        <v>29</v>
      </c>
      <c r="M68" s="51">
        <f t="shared" si="16"/>
        <v>1098</v>
      </c>
      <c r="N68" s="59">
        <v>1042</v>
      </c>
      <c r="O68" s="59">
        <v>56</v>
      </c>
      <c r="P68" s="85" t="s">
        <v>60</v>
      </c>
      <c r="Q68" s="206"/>
    </row>
    <row r="69" spans="1:17" s="13" customFormat="1" ht="15">
      <c r="A69" s="56">
        <v>5</v>
      </c>
      <c r="B69" s="76" t="s">
        <v>67</v>
      </c>
      <c r="C69" s="58"/>
      <c r="D69" s="58"/>
      <c r="E69" s="58"/>
      <c r="F69" s="58"/>
      <c r="G69" s="59">
        <f t="shared" si="17"/>
        <v>7364</v>
      </c>
      <c r="H69" s="59">
        <f>5287+1727</f>
        <v>7014</v>
      </c>
      <c r="I69" s="59">
        <f>264+86</f>
        <v>350</v>
      </c>
      <c r="J69" s="59">
        <f t="shared" si="18"/>
        <v>1000</v>
      </c>
      <c r="K69" s="59">
        <v>952</v>
      </c>
      <c r="L69" s="59">
        <v>48</v>
      </c>
      <c r="M69" s="51">
        <f t="shared" si="16"/>
        <v>1772</v>
      </c>
      <c r="N69" s="59">
        <v>1681</v>
      </c>
      <c r="O69" s="59">
        <v>91</v>
      </c>
      <c r="P69" s="85" t="s">
        <v>59</v>
      </c>
      <c r="Q69" s="206"/>
    </row>
    <row r="70" spans="1:17" s="13" customFormat="1" ht="30.75">
      <c r="A70" s="56">
        <v>6</v>
      </c>
      <c r="B70" s="49" t="s">
        <v>68</v>
      </c>
      <c r="C70" s="58"/>
      <c r="D70" s="58"/>
      <c r="E70" s="58"/>
      <c r="F70" s="58"/>
      <c r="G70" s="59">
        <f t="shared" si="17"/>
        <v>5588</v>
      </c>
      <c r="H70" s="59">
        <f>4011+1310</f>
        <v>5321</v>
      </c>
      <c r="I70" s="59">
        <f>201+66</f>
        <v>267</v>
      </c>
      <c r="J70" s="59">
        <f t="shared" si="18"/>
        <v>758</v>
      </c>
      <c r="K70" s="59">
        <v>722</v>
      </c>
      <c r="L70" s="59">
        <v>36</v>
      </c>
      <c r="M70" s="51">
        <f t="shared" si="16"/>
        <v>1344</v>
      </c>
      <c r="N70" s="59">
        <v>1275</v>
      </c>
      <c r="O70" s="59">
        <v>69</v>
      </c>
      <c r="P70" s="85" t="s">
        <v>57</v>
      </c>
      <c r="Q70" s="206"/>
    </row>
    <row r="71" spans="1:17" s="13" customFormat="1" ht="30.75">
      <c r="A71" s="56">
        <v>7</v>
      </c>
      <c r="B71" s="49" t="s">
        <v>69</v>
      </c>
      <c r="C71" s="58"/>
      <c r="D71" s="58"/>
      <c r="E71" s="58"/>
      <c r="F71" s="58"/>
      <c r="G71" s="59">
        <f t="shared" si="17"/>
        <v>5717</v>
      </c>
      <c r="H71" s="59">
        <f>4104+1341</f>
        <v>5445</v>
      </c>
      <c r="I71" s="59">
        <f>205+67</f>
        <v>272</v>
      </c>
      <c r="J71" s="59">
        <f t="shared" si="18"/>
        <v>776</v>
      </c>
      <c r="K71" s="59">
        <v>739</v>
      </c>
      <c r="L71" s="59">
        <v>37</v>
      </c>
      <c r="M71" s="51">
        <f t="shared" si="16"/>
        <v>1379</v>
      </c>
      <c r="N71" s="59">
        <v>1308</v>
      </c>
      <c r="O71" s="59">
        <v>71</v>
      </c>
      <c r="P71" s="85" t="s">
        <v>61</v>
      </c>
      <c r="Q71" s="206"/>
    </row>
  </sheetData>
  <sheetProtection/>
  <mergeCells count="19">
    <mergeCell ref="A2:Q2"/>
    <mergeCell ref="A3:Q3"/>
    <mergeCell ref="P4:Q4"/>
    <mergeCell ref="A5:A7"/>
    <mergeCell ref="B5:B7"/>
    <mergeCell ref="C5:F5"/>
    <mergeCell ref="G5:I5"/>
    <mergeCell ref="J5:L5"/>
    <mergeCell ref="C6:C7"/>
    <mergeCell ref="M6:M7"/>
    <mergeCell ref="N6:O6"/>
    <mergeCell ref="M5:O5"/>
    <mergeCell ref="P5:P7"/>
    <mergeCell ref="Q5:Q7"/>
    <mergeCell ref="D6:F6"/>
    <mergeCell ref="G6:G7"/>
    <mergeCell ref="H6:I6"/>
    <mergeCell ref="J6:J7"/>
    <mergeCell ref="K6:L6"/>
  </mergeCells>
  <printOptions/>
  <pageMargins left="0.511811023622047" right="0.3" top="0.4" bottom="0.31496062992126" header="0.3" footer="0.31496062992126"/>
  <pageSetup fitToHeight="0" fitToWidth="1" horizontalDpi="600" verticalDpi="600" orientation="landscape" paperSize="9" scale="63" r:id="rId1"/>
  <headerFooter>
    <oddHeader>&amp;C&amp;P</oddHeader>
  </headerFooter>
</worksheet>
</file>

<file path=xl/worksheets/sheet5.xml><?xml version="1.0" encoding="utf-8"?>
<worksheet xmlns="http://schemas.openxmlformats.org/spreadsheetml/2006/main" xmlns:r="http://schemas.openxmlformats.org/officeDocument/2006/relationships">
  <sheetPr>
    <tabColor rgb="FFFFC000"/>
    <pageSetUpPr fitToPage="1"/>
  </sheetPr>
  <dimension ref="A1:K17"/>
  <sheetViews>
    <sheetView zoomScale="55" zoomScaleNormal="55" zoomScalePageLayoutView="0" workbookViewId="0" topLeftCell="A1">
      <pane xSplit="2" ySplit="8" topLeftCell="C9" activePane="bottomRight" state="frozen"/>
      <selection pane="topLeft" activeCell="E17" sqref="E17"/>
      <selection pane="topRight" activeCell="E17" sqref="E17"/>
      <selection pane="bottomLeft" activeCell="E17" sqref="E17"/>
      <selection pane="bottomRight" activeCell="E17" sqref="E17"/>
    </sheetView>
  </sheetViews>
  <sheetFormatPr defaultColWidth="9.140625" defaultRowHeight="15"/>
  <cols>
    <col min="1" max="1" width="9.28125" style="197" bestFit="1" customWidth="1"/>
    <col min="2" max="2" width="32.00390625" style="197" customWidth="1"/>
    <col min="3" max="4" width="15.7109375" style="197" customWidth="1"/>
    <col min="5" max="5" width="16.140625" style="197" customWidth="1"/>
    <col min="6" max="8" width="15.28125" style="197" customWidth="1"/>
    <col min="9" max="9" width="15.28125" style="197" hidden="1" customWidth="1"/>
    <col min="10" max="10" width="24.7109375" style="197" customWidth="1"/>
    <col min="11" max="11" width="21.00390625" style="197" customWidth="1"/>
    <col min="12" max="16384" width="8.8515625" style="197" customWidth="1"/>
  </cols>
  <sheetData>
    <row r="1" ht="18">
      <c r="B1" s="19" t="s">
        <v>216</v>
      </c>
    </row>
    <row r="2" spans="1:11" s="16" customFormat="1" ht="27" customHeight="1">
      <c r="A2" s="263" t="s">
        <v>221</v>
      </c>
      <c r="B2" s="263"/>
      <c r="C2" s="263"/>
      <c r="D2" s="263"/>
      <c r="E2" s="263"/>
      <c r="F2" s="263"/>
      <c r="G2" s="263"/>
      <c r="H2" s="263"/>
      <c r="I2" s="263"/>
      <c r="J2" s="263"/>
      <c r="K2" s="263"/>
    </row>
    <row r="3" spans="1:11" s="16" customFormat="1" ht="21.75" customHeight="1">
      <c r="A3" s="286" t="str">
        <f>'Biểu 3. CTMTQG DTTS'!A3:Q3</f>
        <v>(Kèm theo Tờ trình số      /TTr-UBND ngày     /7/2023 của Uỷ ban nhân dân tỉnh Bắc Kạn)</v>
      </c>
      <c r="B3" s="286"/>
      <c r="C3" s="286"/>
      <c r="D3" s="286"/>
      <c r="E3" s="286"/>
      <c r="F3" s="286"/>
      <c r="G3" s="286"/>
      <c r="H3" s="286"/>
      <c r="I3" s="286"/>
      <c r="J3" s="286"/>
      <c r="K3" s="286"/>
    </row>
    <row r="4" spans="1:11" ht="18">
      <c r="A4" s="170"/>
      <c r="B4" s="170"/>
      <c r="C4" s="170"/>
      <c r="D4" s="170"/>
      <c r="E4" s="170"/>
      <c r="J4" s="297" t="s">
        <v>0</v>
      </c>
      <c r="K4" s="297"/>
    </row>
    <row r="5" spans="1:11" ht="18" customHeight="1">
      <c r="A5" s="298" t="s">
        <v>10</v>
      </c>
      <c r="B5" s="298" t="s">
        <v>118</v>
      </c>
      <c r="C5" s="292" t="s">
        <v>63</v>
      </c>
      <c r="D5" s="292"/>
      <c r="E5" s="292"/>
      <c r="F5" s="292" t="s">
        <v>172</v>
      </c>
      <c r="G5" s="292"/>
      <c r="H5" s="292"/>
      <c r="I5" s="15"/>
      <c r="J5" s="291" t="s">
        <v>73</v>
      </c>
      <c r="K5" s="291" t="s">
        <v>12</v>
      </c>
    </row>
    <row r="6" spans="1:11" ht="18">
      <c r="A6" s="298"/>
      <c r="B6" s="298"/>
      <c r="C6" s="292"/>
      <c r="D6" s="292"/>
      <c r="E6" s="292"/>
      <c r="F6" s="296" t="s">
        <v>79</v>
      </c>
      <c r="G6" s="296" t="s">
        <v>4</v>
      </c>
      <c r="H6" s="296"/>
      <c r="I6" s="172"/>
      <c r="J6" s="291"/>
      <c r="K6" s="291"/>
    </row>
    <row r="7" spans="1:11" ht="18" customHeight="1">
      <c r="A7" s="298"/>
      <c r="B7" s="298"/>
      <c r="C7" s="292" t="s">
        <v>119</v>
      </c>
      <c r="D7" s="292" t="s">
        <v>120</v>
      </c>
      <c r="E7" s="292" t="s">
        <v>81</v>
      </c>
      <c r="F7" s="296"/>
      <c r="G7" s="295" t="s">
        <v>120</v>
      </c>
      <c r="H7" s="295" t="s">
        <v>81</v>
      </c>
      <c r="I7" s="293" t="s">
        <v>203</v>
      </c>
      <c r="J7" s="291"/>
      <c r="K7" s="291"/>
    </row>
    <row r="8" spans="1:11" ht="18">
      <c r="A8" s="298"/>
      <c r="B8" s="298"/>
      <c r="C8" s="292"/>
      <c r="D8" s="292"/>
      <c r="E8" s="292"/>
      <c r="F8" s="296"/>
      <c r="G8" s="295"/>
      <c r="H8" s="295"/>
      <c r="I8" s="294"/>
      <c r="J8" s="291"/>
      <c r="K8" s="291"/>
    </row>
    <row r="9" spans="1:11" ht="36" customHeight="1">
      <c r="A9" s="185"/>
      <c r="B9" s="186" t="s">
        <v>190</v>
      </c>
      <c r="C9" s="187">
        <f>SUM(C11:C17)</f>
        <v>450794</v>
      </c>
      <c r="D9" s="187">
        <f>SUM(D11:D17)</f>
        <v>408344</v>
      </c>
      <c r="E9" s="187">
        <f>SUM(E11:E17)</f>
        <v>42450</v>
      </c>
      <c r="F9" s="187">
        <f>F11+F12+F13+F14+F15+F16+F17</f>
        <v>108100</v>
      </c>
      <c r="G9" s="187">
        <f>G11+G12+G13+G14+G15+G16+G17</f>
        <v>96500</v>
      </c>
      <c r="H9" s="187">
        <f>H11+H12+H13+H14+H15+H16+H17</f>
        <v>11600</v>
      </c>
      <c r="I9" s="187"/>
      <c r="J9" s="198"/>
      <c r="K9" s="198"/>
    </row>
    <row r="10" spans="1:11" ht="36" customHeight="1">
      <c r="A10" s="185"/>
      <c r="B10" s="220" t="s">
        <v>87</v>
      </c>
      <c r="C10" s="187"/>
      <c r="D10" s="187"/>
      <c r="E10" s="187"/>
      <c r="F10" s="187"/>
      <c r="G10" s="187"/>
      <c r="H10" s="187"/>
      <c r="I10" s="187"/>
      <c r="J10" s="198"/>
      <c r="K10" s="198"/>
    </row>
    <row r="11" spans="1:11" ht="36">
      <c r="A11" s="25" t="s">
        <v>17</v>
      </c>
      <c r="B11" s="198" t="s">
        <v>122</v>
      </c>
      <c r="C11" s="188">
        <f aca="true" t="shared" si="0" ref="C11:C17">D11+E11</f>
        <v>18036.9</v>
      </c>
      <c r="D11" s="189">
        <v>17148.9</v>
      </c>
      <c r="E11" s="189">
        <v>888</v>
      </c>
      <c r="F11" s="199">
        <f aca="true" t="shared" si="1" ref="F11:F17">G11+H11</f>
        <v>1107</v>
      </c>
      <c r="G11" s="199">
        <v>1049</v>
      </c>
      <c r="H11" s="199">
        <v>58</v>
      </c>
      <c r="I11" s="199"/>
      <c r="J11" s="28" t="s">
        <v>58</v>
      </c>
      <c r="K11" s="198"/>
    </row>
    <row r="12" spans="1:11" ht="36">
      <c r="A12" s="25" t="s">
        <v>18</v>
      </c>
      <c r="B12" s="198" t="s">
        <v>123</v>
      </c>
      <c r="C12" s="188">
        <f t="shared" si="0"/>
        <v>193015</v>
      </c>
      <c r="D12" s="189">
        <f>150339+13011</f>
        <v>163350</v>
      </c>
      <c r="E12" s="189">
        <f>28755+910</f>
        <v>29665</v>
      </c>
      <c r="F12" s="199">
        <f t="shared" si="1"/>
        <v>56269</v>
      </c>
      <c r="G12" s="199">
        <v>47199</v>
      </c>
      <c r="H12" s="199">
        <v>9070</v>
      </c>
      <c r="I12" s="199"/>
      <c r="J12" s="28" t="s">
        <v>56</v>
      </c>
      <c r="K12" s="198"/>
    </row>
    <row r="13" spans="1:11" ht="36">
      <c r="A13" s="25" t="s">
        <v>39</v>
      </c>
      <c r="B13" s="218" t="s">
        <v>124</v>
      </c>
      <c r="C13" s="188">
        <f t="shared" si="0"/>
        <v>54341.2</v>
      </c>
      <c r="D13" s="189">
        <f>48293.2+3181</f>
        <v>51474.2</v>
      </c>
      <c r="E13" s="189">
        <f>2701+166</f>
        <v>2867</v>
      </c>
      <c r="F13" s="199">
        <f t="shared" si="1"/>
        <v>12127</v>
      </c>
      <c r="G13" s="199">
        <v>11539</v>
      </c>
      <c r="H13" s="199">
        <v>588</v>
      </c>
      <c r="I13" s="199"/>
      <c r="J13" s="28" t="s">
        <v>189</v>
      </c>
      <c r="K13" s="198"/>
    </row>
    <row r="14" spans="1:11" ht="18">
      <c r="A14" s="169" t="s">
        <v>53</v>
      </c>
      <c r="B14" s="168" t="s">
        <v>125</v>
      </c>
      <c r="C14" s="188">
        <f t="shared" si="0"/>
        <v>33427.4</v>
      </c>
      <c r="D14" s="189">
        <f>30676.4+1156</f>
        <v>31832.4</v>
      </c>
      <c r="E14" s="189">
        <f>1534+61</f>
        <v>1595</v>
      </c>
      <c r="F14" s="177">
        <f t="shared" si="1"/>
        <v>4408</v>
      </c>
      <c r="G14" s="177">
        <v>4196</v>
      </c>
      <c r="H14" s="177">
        <v>212</v>
      </c>
      <c r="I14" s="199"/>
      <c r="J14" s="28" t="s">
        <v>61</v>
      </c>
      <c r="K14" s="198"/>
    </row>
    <row r="15" spans="1:11" ht="36">
      <c r="A15" s="25" t="s">
        <v>51</v>
      </c>
      <c r="B15" s="218" t="s">
        <v>126</v>
      </c>
      <c r="C15" s="188">
        <f t="shared" si="0"/>
        <v>116283.1</v>
      </c>
      <c r="D15" s="189">
        <f>97528.1+13095</f>
        <v>110623.1</v>
      </c>
      <c r="E15" s="189">
        <f>4998+662</f>
        <v>5660</v>
      </c>
      <c r="F15" s="199">
        <f t="shared" si="1"/>
        <v>30880</v>
      </c>
      <c r="G15" s="199">
        <v>29370</v>
      </c>
      <c r="H15" s="199">
        <v>1510</v>
      </c>
      <c r="I15" s="199"/>
      <c r="J15" s="28" t="s">
        <v>60</v>
      </c>
      <c r="K15" s="198"/>
    </row>
    <row r="16" spans="1:11" ht="18">
      <c r="A16" s="25" t="s">
        <v>53</v>
      </c>
      <c r="B16" s="198" t="s">
        <v>127</v>
      </c>
      <c r="C16" s="188">
        <f t="shared" si="0"/>
        <v>28024.2</v>
      </c>
      <c r="D16" s="200">
        <f>26328.2+289</f>
        <v>26617.2</v>
      </c>
      <c r="E16" s="200">
        <f>1392+15</f>
        <v>1407</v>
      </c>
      <c r="F16" s="199">
        <f t="shared" si="1"/>
        <v>1103</v>
      </c>
      <c r="G16" s="199">
        <v>1049</v>
      </c>
      <c r="H16" s="199">
        <v>54</v>
      </c>
      <c r="I16" s="199"/>
      <c r="J16" s="28" t="s">
        <v>59</v>
      </c>
      <c r="K16" s="198"/>
    </row>
    <row r="17" spans="1:11" ht="36">
      <c r="A17" s="25" t="s">
        <v>54</v>
      </c>
      <c r="B17" s="198" t="s">
        <v>128</v>
      </c>
      <c r="C17" s="188">
        <f t="shared" si="0"/>
        <v>7666.2</v>
      </c>
      <c r="D17" s="200">
        <f>6720.2+578</f>
        <v>7298.2</v>
      </c>
      <c r="E17" s="200">
        <f>338+30</f>
        <v>368</v>
      </c>
      <c r="F17" s="199">
        <f t="shared" si="1"/>
        <v>2206</v>
      </c>
      <c r="G17" s="199">
        <v>2098</v>
      </c>
      <c r="H17" s="199">
        <v>108</v>
      </c>
      <c r="I17" s="199"/>
      <c r="J17" s="219" t="s">
        <v>52</v>
      </c>
      <c r="K17" s="198"/>
    </row>
  </sheetData>
  <sheetProtection/>
  <mergeCells count="17">
    <mergeCell ref="G6:H6"/>
    <mergeCell ref="A2:K2"/>
    <mergeCell ref="J4:K4"/>
    <mergeCell ref="C5:E6"/>
    <mergeCell ref="A5:A8"/>
    <mergeCell ref="B5:B8"/>
    <mergeCell ref="J5:J8"/>
    <mergeCell ref="K5:K8"/>
    <mergeCell ref="A3:K3"/>
    <mergeCell ref="C7:C8"/>
    <mergeCell ref="D7:D8"/>
    <mergeCell ref="E7:E8"/>
    <mergeCell ref="I7:I8"/>
    <mergeCell ref="F5:H5"/>
    <mergeCell ref="G7:G8"/>
    <mergeCell ref="H7:H8"/>
    <mergeCell ref="F6:F8"/>
  </mergeCells>
  <printOptions/>
  <pageMargins left="0.708661417322835" right="0.16" top="0.46" bottom="0.49" header="0.31496062992126" footer="0.31496062992126"/>
  <pageSetup fitToHeight="0" fitToWidth="1" horizontalDpi="600" verticalDpi="600" orientation="landscape" paperSize="9" scale="52" r:id="rId1"/>
  <headerFooter>
    <oddHeader xml:space="preserve">&amp;C&amp;P&amp;R&amp;"Times New Roman,Regular"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B24"/>
  <sheetViews>
    <sheetView zoomScale="85" zoomScaleNormal="85" zoomScalePageLayoutView="0" workbookViewId="0" topLeftCell="A1">
      <selection activeCell="F8" sqref="F8"/>
    </sheetView>
  </sheetViews>
  <sheetFormatPr defaultColWidth="9.140625" defaultRowHeight="15"/>
  <cols>
    <col min="1" max="1" width="6.8515625" style="77" customWidth="1"/>
    <col min="2" max="2" width="50.7109375" style="78" customWidth="1"/>
    <col min="3" max="3" width="12.7109375" style="80" customWidth="1"/>
    <col min="4" max="4" width="10.8515625" style="80" customWidth="1"/>
    <col min="5" max="5" width="11.28125" style="80" customWidth="1"/>
    <col min="6" max="9" width="9.57421875" style="80" customWidth="1"/>
    <col min="10" max="10" width="11.28125" style="80" customWidth="1"/>
    <col min="11" max="11" width="10.57421875" style="80" customWidth="1"/>
    <col min="12" max="12" width="11.28125" style="80" customWidth="1"/>
    <col min="13" max="13" width="19.28125" style="80" customWidth="1"/>
    <col min="14" max="14" width="15.421875" style="160" customWidth="1"/>
    <col min="15" max="16384" width="8.8515625" style="13" customWidth="1"/>
  </cols>
  <sheetData>
    <row r="1" spans="1:236" s="201" customFormat="1" ht="18">
      <c r="A1" s="312" t="s">
        <v>206</v>
      </c>
      <c r="B1" s="312"/>
      <c r="C1" s="312"/>
      <c r="D1" s="312"/>
      <c r="E1" s="312"/>
      <c r="F1" s="312"/>
      <c r="G1" s="312"/>
      <c r="H1" s="312"/>
      <c r="I1" s="312"/>
      <c r="J1" s="312"/>
      <c r="K1" s="312"/>
      <c r="L1" s="312"/>
      <c r="M1" s="312"/>
      <c r="N1" s="312"/>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row>
    <row r="2" spans="1:236" s="201" customFormat="1" ht="18">
      <c r="A2" s="263" t="s">
        <v>235</v>
      </c>
      <c r="B2" s="263"/>
      <c r="C2" s="263"/>
      <c r="D2" s="263"/>
      <c r="E2" s="263"/>
      <c r="F2" s="263"/>
      <c r="G2" s="263"/>
      <c r="H2" s="263"/>
      <c r="I2" s="263"/>
      <c r="J2" s="263"/>
      <c r="K2" s="263"/>
      <c r="L2" s="263"/>
      <c r="M2" s="263"/>
      <c r="N2" s="263"/>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row>
    <row r="3" spans="1:236" s="201" customFormat="1" ht="18">
      <c r="A3" s="286" t="str">
        <f>'Biểu 2'!A3:AH3</f>
        <v>(Kèm theo Nghị quyết số          /NQ-HĐND ngày     /7/2023 của Hội đồng nhân dân tỉnh)</v>
      </c>
      <c r="B3" s="261"/>
      <c r="C3" s="261"/>
      <c r="D3" s="261"/>
      <c r="E3" s="261"/>
      <c r="F3" s="261"/>
      <c r="G3" s="261"/>
      <c r="H3" s="261"/>
      <c r="I3" s="261"/>
      <c r="J3" s="261"/>
      <c r="K3" s="261"/>
      <c r="L3" s="261"/>
      <c r="M3" s="261"/>
      <c r="N3" s="261"/>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row>
    <row r="4" spans="1:236" s="201" customFormat="1" ht="18">
      <c r="A4" s="229"/>
      <c r="B4" s="228"/>
      <c r="C4" s="228"/>
      <c r="D4" s="228"/>
      <c r="E4" s="228"/>
      <c r="F4" s="228"/>
      <c r="G4" s="228"/>
      <c r="H4" s="228"/>
      <c r="I4" s="228"/>
      <c r="J4" s="228"/>
      <c r="K4" s="228"/>
      <c r="L4" s="228"/>
      <c r="M4" s="228"/>
      <c r="N4" s="228"/>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row>
    <row r="5" spans="1:236" s="201" customFormat="1" ht="18" customHeight="1">
      <c r="A5" s="175"/>
      <c r="B5" s="176"/>
      <c r="C5" s="175"/>
      <c r="D5" s="175"/>
      <c r="E5" s="175"/>
      <c r="F5" s="175"/>
      <c r="G5" s="175"/>
      <c r="H5" s="175"/>
      <c r="I5" s="175"/>
      <c r="J5" s="175"/>
      <c r="K5" s="175"/>
      <c r="L5" s="264" t="s">
        <v>0</v>
      </c>
      <c r="M5" s="264"/>
      <c r="N5" s="264"/>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row>
    <row r="6" spans="1:14" s="16" customFormat="1" ht="42.75" customHeight="1">
      <c r="A6" s="306" t="s">
        <v>10</v>
      </c>
      <c r="B6" s="307" t="s">
        <v>90</v>
      </c>
      <c r="C6" s="306" t="s">
        <v>240</v>
      </c>
      <c r="D6" s="306"/>
      <c r="E6" s="306"/>
      <c r="F6" s="269" t="s">
        <v>234</v>
      </c>
      <c r="G6" s="270"/>
      <c r="H6" s="270"/>
      <c r="I6" s="270"/>
      <c r="J6" s="269" t="s">
        <v>241</v>
      </c>
      <c r="K6" s="270"/>
      <c r="L6" s="270"/>
      <c r="M6" s="291" t="s">
        <v>73</v>
      </c>
      <c r="N6" s="306" t="s">
        <v>12</v>
      </c>
    </row>
    <row r="7" spans="1:14" s="16" customFormat="1" ht="51" customHeight="1">
      <c r="A7" s="306"/>
      <c r="B7" s="308"/>
      <c r="C7" s="301" t="s">
        <v>79</v>
      </c>
      <c r="D7" s="303" t="s">
        <v>219</v>
      </c>
      <c r="E7" s="303" t="s">
        <v>220</v>
      </c>
      <c r="F7" s="304" t="s">
        <v>219</v>
      </c>
      <c r="G7" s="305"/>
      <c r="H7" s="304" t="s">
        <v>220</v>
      </c>
      <c r="I7" s="305"/>
      <c r="J7" s="301" t="s">
        <v>79</v>
      </c>
      <c r="K7" s="299" t="s">
        <v>4</v>
      </c>
      <c r="L7" s="300"/>
      <c r="M7" s="291"/>
      <c r="N7" s="306"/>
    </row>
    <row r="8" spans="1:14" s="16" customFormat="1" ht="125.25" customHeight="1">
      <c r="A8" s="306"/>
      <c r="B8" s="309"/>
      <c r="C8" s="302"/>
      <c r="D8" s="303"/>
      <c r="E8" s="303"/>
      <c r="F8" s="169" t="s">
        <v>230</v>
      </c>
      <c r="G8" s="169" t="s">
        <v>231</v>
      </c>
      <c r="H8" s="169" t="s">
        <v>230</v>
      </c>
      <c r="I8" s="169" t="s">
        <v>231</v>
      </c>
      <c r="J8" s="302"/>
      <c r="K8" s="227" t="s">
        <v>219</v>
      </c>
      <c r="L8" s="227" t="s">
        <v>220</v>
      </c>
      <c r="M8" s="291"/>
      <c r="N8" s="306"/>
    </row>
    <row r="9" spans="1:14" s="47" customFormat="1" ht="13.5">
      <c r="A9" s="37"/>
      <c r="B9" s="210" t="s">
        <v>77</v>
      </c>
      <c r="C9" s="230">
        <f>C10+C14</f>
        <v>811</v>
      </c>
      <c r="D9" s="230">
        <f aca="true" t="shared" si="0" ref="D9:L9">D10+D14</f>
        <v>787</v>
      </c>
      <c r="E9" s="230">
        <f t="shared" si="0"/>
        <v>24</v>
      </c>
      <c r="F9" s="230">
        <f t="shared" si="0"/>
        <v>708</v>
      </c>
      <c r="G9" s="230">
        <f t="shared" si="0"/>
        <v>708</v>
      </c>
      <c r="H9" s="230">
        <f t="shared" si="0"/>
        <v>22</v>
      </c>
      <c r="I9" s="230">
        <f t="shared" si="0"/>
        <v>22</v>
      </c>
      <c r="J9" s="230">
        <f t="shared" si="0"/>
        <v>811</v>
      </c>
      <c r="K9" s="230">
        <f t="shared" si="0"/>
        <v>787</v>
      </c>
      <c r="L9" s="230">
        <f t="shared" si="0"/>
        <v>24</v>
      </c>
      <c r="M9" s="240"/>
      <c r="N9" s="210"/>
    </row>
    <row r="10" spans="1:15" ht="21" customHeight="1">
      <c r="A10" s="37" t="s">
        <v>16</v>
      </c>
      <c r="B10" s="231" t="s">
        <v>82</v>
      </c>
      <c r="C10" s="39">
        <f>C11</f>
        <v>81</v>
      </c>
      <c r="D10" s="39">
        <f aca="true" t="shared" si="1" ref="D10:L12">D11</f>
        <v>79</v>
      </c>
      <c r="E10" s="39">
        <f t="shared" si="1"/>
        <v>2</v>
      </c>
      <c r="F10" s="39">
        <f t="shared" si="1"/>
        <v>0</v>
      </c>
      <c r="G10" s="39">
        <f t="shared" si="1"/>
        <v>708</v>
      </c>
      <c r="H10" s="39">
        <f t="shared" si="1"/>
        <v>0</v>
      </c>
      <c r="I10" s="39">
        <f t="shared" si="1"/>
        <v>22</v>
      </c>
      <c r="J10" s="39">
        <f t="shared" si="1"/>
        <v>811</v>
      </c>
      <c r="K10" s="39">
        <f t="shared" si="1"/>
        <v>787</v>
      </c>
      <c r="L10" s="39">
        <f t="shared" si="1"/>
        <v>24</v>
      </c>
      <c r="M10" s="39"/>
      <c r="N10" s="38"/>
      <c r="O10" s="81"/>
    </row>
    <row r="11" spans="1:14" s="47" customFormat="1" ht="36" customHeight="1">
      <c r="A11" s="67" t="s">
        <v>17</v>
      </c>
      <c r="B11" s="53" t="s">
        <v>83</v>
      </c>
      <c r="C11" s="232">
        <f>C12</f>
        <v>81</v>
      </c>
      <c r="D11" s="232">
        <f t="shared" si="1"/>
        <v>79</v>
      </c>
      <c r="E11" s="232">
        <f t="shared" si="1"/>
        <v>2</v>
      </c>
      <c r="F11" s="232">
        <f t="shared" si="1"/>
        <v>0</v>
      </c>
      <c r="G11" s="232">
        <f t="shared" si="1"/>
        <v>708</v>
      </c>
      <c r="H11" s="232">
        <f t="shared" si="1"/>
        <v>0</v>
      </c>
      <c r="I11" s="232">
        <f t="shared" si="1"/>
        <v>22</v>
      </c>
      <c r="J11" s="232">
        <f t="shared" si="1"/>
        <v>811</v>
      </c>
      <c r="K11" s="232">
        <f t="shared" si="1"/>
        <v>787</v>
      </c>
      <c r="L11" s="232">
        <f t="shared" si="1"/>
        <v>24</v>
      </c>
      <c r="M11" s="241"/>
      <c r="N11" s="210"/>
    </row>
    <row r="12" spans="1:14" s="55" customFormat="1" ht="21" customHeight="1">
      <c r="A12" s="54"/>
      <c r="B12" s="45" t="s">
        <v>86</v>
      </c>
      <c r="C12" s="233">
        <f>C13</f>
        <v>81</v>
      </c>
      <c r="D12" s="233">
        <f t="shared" si="1"/>
        <v>79</v>
      </c>
      <c r="E12" s="233">
        <f t="shared" si="1"/>
        <v>2</v>
      </c>
      <c r="F12" s="233">
        <f t="shared" si="1"/>
        <v>0</v>
      </c>
      <c r="G12" s="233">
        <f t="shared" si="1"/>
        <v>708</v>
      </c>
      <c r="H12" s="233">
        <f t="shared" si="1"/>
        <v>0</v>
      </c>
      <c r="I12" s="233">
        <f t="shared" si="1"/>
        <v>22</v>
      </c>
      <c r="J12" s="233">
        <f t="shared" si="1"/>
        <v>811</v>
      </c>
      <c r="K12" s="233">
        <f t="shared" si="1"/>
        <v>787</v>
      </c>
      <c r="L12" s="233">
        <f t="shared" si="1"/>
        <v>24</v>
      </c>
      <c r="M12" s="242"/>
      <c r="N12" s="234"/>
    </row>
    <row r="13" spans="1:14" s="47" customFormat="1" ht="21" customHeight="1">
      <c r="A13" s="54"/>
      <c r="B13" s="49" t="s">
        <v>177</v>
      </c>
      <c r="C13" s="235">
        <v>81</v>
      </c>
      <c r="D13" s="236">
        <v>79</v>
      </c>
      <c r="E13" s="235">
        <v>2</v>
      </c>
      <c r="F13" s="232"/>
      <c r="G13" s="236">
        <v>708</v>
      </c>
      <c r="H13" s="235"/>
      <c r="I13" s="236">
        <v>22</v>
      </c>
      <c r="J13" s="235">
        <f>K13+L13</f>
        <v>811</v>
      </c>
      <c r="K13" s="236">
        <f>D13-F13+G13</f>
        <v>787</v>
      </c>
      <c r="L13" s="235">
        <f>E13-H13+I13</f>
        <v>24</v>
      </c>
      <c r="M13" s="50" t="s">
        <v>238</v>
      </c>
      <c r="N13" s="50"/>
    </row>
    <row r="14" spans="1:14" s="47" customFormat="1" ht="21" customHeight="1">
      <c r="A14" s="67" t="s">
        <v>72</v>
      </c>
      <c r="B14" s="41" t="s">
        <v>87</v>
      </c>
      <c r="C14" s="230">
        <f>C15</f>
        <v>730</v>
      </c>
      <c r="D14" s="230">
        <f aca="true" t="shared" si="2" ref="D14:L14">D15</f>
        <v>708</v>
      </c>
      <c r="E14" s="230">
        <f t="shared" si="2"/>
        <v>22</v>
      </c>
      <c r="F14" s="230">
        <f t="shared" si="2"/>
        <v>708</v>
      </c>
      <c r="G14" s="230">
        <f t="shared" si="2"/>
        <v>0</v>
      </c>
      <c r="H14" s="230">
        <f t="shared" si="2"/>
        <v>22</v>
      </c>
      <c r="I14" s="230">
        <f t="shared" si="2"/>
        <v>0</v>
      </c>
      <c r="J14" s="230">
        <f t="shared" si="2"/>
        <v>0</v>
      </c>
      <c r="K14" s="230">
        <f t="shared" si="2"/>
        <v>0</v>
      </c>
      <c r="L14" s="230">
        <f t="shared" si="2"/>
        <v>0</v>
      </c>
      <c r="M14" s="37"/>
      <c r="N14" s="37"/>
    </row>
    <row r="15" spans="1:14" s="47" customFormat="1" ht="34.5" customHeight="1">
      <c r="A15" s="67" t="s">
        <v>17</v>
      </c>
      <c r="B15" s="53" t="s">
        <v>83</v>
      </c>
      <c r="C15" s="237">
        <f>C16</f>
        <v>730</v>
      </c>
      <c r="D15" s="237">
        <f>D16</f>
        <v>708</v>
      </c>
      <c r="E15" s="237">
        <f>E16</f>
        <v>22</v>
      </c>
      <c r="F15" s="237">
        <f>F16</f>
        <v>708</v>
      </c>
      <c r="G15" s="210"/>
      <c r="H15" s="237">
        <f>H16</f>
        <v>22</v>
      </c>
      <c r="I15" s="210"/>
      <c r="J15" s="235">
        <f aca="true" t="shared" si="3" ref="J15:J24">K15+L15</f>
        <v>0</v>
      </c>
      <c r="K15" s="236">
        <f aca="true" t="shared" si="4" ref="K15:K24">D15-F15+G15</f>
        <v>0</v>
      </c>
      <c r="L15" s="235">
        <f aca="true" t="shared" si="5" ref="L15:L24">E15-H15+I15</f>
        <v>0</v>
      </c>
      <c r="M15" s="50"/>
      <c r="N15" s="50"/>
    </row>
    <row r="16" spans="1:14" s="47" customFormat="1" ht="22.5" customHeight="1">
      <c r="A16" s="54"/>
      <c r="B16" s="45" t="s">
        <v>86</v>
      </c>
      <c r="C16" s="238">
        <f>SUM(C17:C24)</f>
        <v>730</v>
      </c>
      <c r="D16" s="238">
        <f>SUM(D17:D24)</f>
        <v>708</v>
      </c>
      <c r="E16" s="238">
        <f>SUM(E17:E24)</f>
        <v>22</v>
      </c>
      <c r="F16" s="238">
        <f>SUM(F17:F24)</f>
        <v>708</v>
      </c>
      <c r="G16" s="210"/>
      <c r="H16" s="238">
        <f>SUM(H17:H24)</f>
        <v>22</v>
      </c>
      <c r="I16" s="210"/>
      <c r="J16" s="235">
        <f t="shared" si="3"/>
        <v>0</v>
      </c>
      <c r="K16" s="236">
        <f t="shared" si="4"/>
        <v>0</v>
      </c>
      <c r="L16" s="235">
        <f t="shared" si="5"/>
        <v>0</v>
      </c>
      <c r="M16" s="50"/>
      <c r="N16" s="50"/>
    </row>
    <row r="17" spans="1:14" s="244" customFormat="1" ht="27">
      <c r="A17" s="58">
        <v>1</v>
      </c>
      <c r="B17" s="57" t="s">
        <v>70</v>
      </c>
      <c r="C17" s="243">
        <f aca="true" t="shared" si="6" ref="C17:C24">D17+E17</f>
        <v>104</v>
      </c>
      <c r="D17" s="243">
        <v>101</v>
      </c>
      <c r="E17" s="243">
        <v>3</v>
      </c>
      <c r="F17" s="243">
        <v>101</v>
      </c>
      <c r="G17" s="210"/>
      <c r="H17" s="243">
        <v>3</v>
      </c>
      <c r="I17" s="210"/>
      <c r="J17" s="235">
        <f t="shared" si="3"/>
        <v>0</v>
      </c>
      <c r="K17" s="236">
        <f t="shared" si="4"/>
        <v>0</v>
      </c>
      <c r="L17" s="235">
        <f t="shared" si="5"/>
        <v>0</v>
      </c>
      <c r="M17" s="50" t="s">
        <v>58</v>
      </c>
      <c r="N17" s="50"/>
    </row>
    <row r="18" spans="1:14" s="244" customFormat="1" ht="21.75" customHeight="1">
      <c r="A18" s="58">
        <v>2</v>
      </c>
      <c r="B18" s="57" t="s">
        <v>67</v>
      </c>
      <c r="C18" s="243">
        <f t="shared" si="6"/>
        <v>92</v>
      </c>
      <c r="D18" s="243">
        <v>89</v>
      </c>
      <c r="E18" s="243">
        <v>3</v>
      </c>
      <c r="F18" s="243">
        <v>89</v>
      </c>
      <c r="G18" s="210"/>
      <c r="H18" s="243">
        <v>3</v>
      </c>
      <c r="I18" s="210"/>
      <c r="J18" s="235">
        <f t="shared" si="3"/>
        <v>0</v>
      </c>
      <c r="K18" s="236">
        <f t="shared" si="4"/>
        <v>0</v>
      </c>
      <c r="L18" s="235">
        <f t="shared" si="5"/>
        <v>0</v>
      </c>
      <c r="M18" s="50" t="s">
        <v>59</v>
      </c>
      <c r="N18" s="50"/>
    </row>
    <row r="19" spans="1:14" s="244" customFormat="1" ht="27.75" customHeight="1">
      <c r="A19" s="239">
        <v>3</v>
      </c>
      <c r="B19" s="57" t="s">
        <v>69</v>
      </c>
      <c r="C19" s="243">
        <f t="shared" si="6"/>
        <v>121</v>
      </c>
      <c r="D19" s="243">
        <v>117</v>
      </c>
      <c r="E19" s="243">
        <v>4</v>
      </c>
      <c r="F19" s="243">
        <v>117</v>
      </c>
      <c r="G19" s="210"/>
      <c r="H19" s="243">
        <v>4</v>
      </c>
      <c r="I19" s="210"/>
      <c r="J19" s="235">
        <f t="shared" si="3"/>
        <v>0</v>
      </c>
      <c r="K19" s="236">
        <f t="shared" si="4"/>
        <v>0</v>
      </c>
      <c r="L19" s="235">
        <f t="shared" si="5"/>
        <v>0</v>
      </c>
      <c r="M19" s="50" t="s">
        <v>61</v>
      </c>
      <c r="N19" s="50"/>
    </row>
    <row r="20" spans="1:14" s="165" customFormat="1" ht="27">
      <c r="A20" s="58">
        <v>4</v>
      </c>
      <c r="B20" s="57" t="s">
        <v>71</v>
      </c>
      <c r="C20" s="243">
        <f t="shared" si="6"/>
        <v>78</v>
      </c>
      <c r="D20" s="243">
        <v>76</v>
      </c>
      <c r="E20" s="243">
        <v>2</v>
      </c>
      <c r="F20" s="243">
        <v>76</v>
      </c>
      <c r="G20" s="209"/>
      <c r="H20" s="243">
        <v>2</v>
      </c>
      <c r="I20" s="209"/>
      <c r="J20" s="235">
        <f t="shared" si="3"/>
        <v>0</v>
      </c>
      <c r="K20" s="236">
        <f t="shared" si="4"/>
        <v>0</v>
      </c>
      <c r="L20" s="235">
        <f t="shared" si="5"/>
        <v>0</v>
      </c>
      <c r="M20" s="50" t="s">
        <v>239</v>
      </c>
      <c r="N20" s="50"/>
    </row>
    <row r="21" spans="1:14" s="165" customFormat="1" ht="27">
      <c r="A21" s="245">
        <v>5</v>
      </c>
      <c r="B21" s="57" t="s">
        <v>68</v>
      </c>
      <c r="C21" s="243">
        <f t="shared" si="6"/>
        <v>110</v>
      </c>
      <c r="D21" s="243">
        <v>107</v>
      </c>
      <c r="E21" s="243">
        <v>3</v>
      </c>
      <c r="F21" s="243">
        <v>107</v>
      </c>
      <c r="G21" s="209"/>
      <c r="H21" s="243">
        <v>3</v>
      </c>
      <c r="I21" s="209"/>
      <c r="J21" s="235">
        <f t="shared" si="3"/>
        <v>0</v>
      </c>
      <c r="K21" s="236">
        <f t="shared" si="4"/>
        <v>0</v>
      </c>
      <c r="L21" s="235">
        <f t="shared" si="5"/>
        <v>0</v>
      </c>
      <c r="M21" s="50" t="s">
        <v>57</v>
      </c>
      <c r="N21" s="50"/>
    </row>
    <row r="22" spans="1:14" s="165" customFormat="1" ht="27">
      <c r="A22" s="58">
        <v>6</v>
      </c>
      <c r="B22" s="57" t="s">
        <v>66</v>
      </c>
      <c r="C22" s="243">
        <f t="shared" si="6"/>
        <v>89</v>
      </c>
      <c r="D22" s="243">
        <v>86</v>
      </c>
      <c r="E22" s="243">
        <v>3</v>
      </c>
      <c r="F22" s="243">
        <v>86</v>
      </c>
      <c r="G22" s="209"/>
      <c r="H22" s="243">
        <v>3</v>
      </c>
      <c r="I22" s="209"/>
      <c r="J22" s="235">
        <f t="shared" si="3"/>
        <v>0</v>
      </c>
      <c r="K22" s="236">
        <f t="shared" si="4"/>
        <v>0</v>
      </c>
      <c r="L22" s="235">
        <f t="shared" si="5"/>
        <v>0</v>
      </c>
      <c r="M22" s="50" t="s">
        <v>56</v>
      </c>
      <c r="N22" s="50"/>
    </row>
    <row r="23" spans="1:14" s="165" customFormat="1" ht="27">
      <c r="A23" s="58">
        <v>7</v>
      </c>
      <c r="B23" s="246" t="s">
        <v>65</v>
      </c>
      <c r="C23" s="243">
        <f t="shared" si="6"/>
        <v>72</v>
      </c>
      <c r="D23" s="243">
        <v>70</v>
      </c>
      <c r="E23" s="243">
        <v>2</v>
      </c>
      <c r="F23" s="243">
        <v>70</v>
      </c>
      <c r="G23" s="209"/>
      <c r="H23" s="243">
        <v>2</v>
      </c>
      <c r="I23" s="209"/>
      <c r="J23" s="235">
        <f t="shared" si="3"/>
        <v>0</v>
      </c>
      <c r="K23" s="236">
        <f t="shared" si="4"/>
        <v>0</v>
      </c>
      <c r="L23" s="235">
        <f t="shared" si="5"/>
        <v>0</v>
      </c>
      <c r="M23" s="50" t="s">
        <v>60</v>
      </c>
      <c r="N23" s="50"/>
    </row>
    <row r="24" spans="1:14" s="165" customFormat="1" ht="27">
      <c r="A24" s="58">
        <v>8</v>
      </c>
      <c r="B24" s="57" t="s">
        <v>64</v>
      </c>
      <c r="C24" s="243">
        <f t="shared" si="6"/>
        <v>64</v>
      </c>
      <c r="D24" s="243">
        <v>62</v>
      </c>
      <c r="E24" s="243">
        <v>2</v>
      </c>
      <c r="F24" s="243">
        <v>62</v>
      </c>
      <c r="G24" s="209"/>
      <c r="H24" s="243">
        <v>2</v>
      </c>
      <c r="I24" s="209"/>
      <c r="J24" s="235">
        <f t="shared" si="3"/>
        <v>0</v>
      </c>
      <c r="K24" s="236">
        <f t="shared" si="4"/>
        <v>0</v>
      </c>
      <c r="L24" s="235">
        <f t="shared" si="5"/>
        <v>0</v>
      </c>
      <c r="M24" s="50" t="s">
        <v>52</v>
      </c>
      <c r="N24" s="50"/>
    </row>
  </sheetData>
  <sheetProtection/>
  <mergeCells count="18">
    <mergeCell ref="A1:N1"/>
    <mergeCell ref="A2:N2"/>
    <mergeCell ref="A3:N3"/>
    <mergeCell ref="A6:A8"/>
    <mergeCell ref="B6:B8"/>
    <mergeCell ref="C6:E6"/>
    <mergeCell ref="F6:I6"/>
    <mergeCell ref="J6:L6"/>
    <mergeCell ref="N6:N8"/>
    <mergeCell ref="K7:L7"/>
    <mergeCell ref="M6:M8"/>
    <mergeCell ref="L5:N5"/>
    <mergeCell ref="C7:C8"/>
    <mergeCell ref="D7:D8"/>
    <mergeCell ref="E7:E8"/>
    <mergeCell ref="F7:G7"/>
    <mergeCell ref="H7:I7"/>
    <mergeCell ref="J7:J8"/>
  </mergeCells>
  <printOptions horizontalCentered="1"/>
  <pageMargins left="0.31496062992125984" right="0.31496062992125984" top="0.5118110236220472" bottom="0.3937007874015748" header="0.31496062992125984" footer="0.31496062992125984"/>
  <pageSetup fitToHeight="0" fitToWidth="1"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IV27"/>
  <sheetViews>
    <sheetView tabSelected="1" zoomScale="55" zoomScaleNormal="55" zoomScalePageLayoutView="0" workbookViewId="0" topLeftCell="A1">
      <selection activeCell="A3" sqref="A3:AH3"/>
    </sheetView>
  </sheetViews>
  <sheetFormatPr defaultColWidth="9.140625" defaultRowHeight="15"/>
  <cols>
    <col min="1" max="1" width="6.8515625" style="77" customWidth="1"/>
    <col min="2" max="2" width="45.28125" style="78" customWidth="1"/>
    <col min="3" max="3" width="17.00390625" style="79" customWidth="1"/>
    <col min="4" max="5" width="10.421875" style="13" customWidth="1"/>
    <col min="6" max="6" width="9.7109375" style="13" customWidth="1"/>
    <col min="7" max="7" width="10.7109375" style="80" customWidth="1"/>
    <col min="8" max="8" width="11.7109375" style="80" customWidth="1"/>
    <col min="9" max="9" width="11.28125" style="80" customWidth="1"/>
    <col min="10" max="12" width="11.28125" style="80" hidden="1" customWidth="1"/>
    <col min="13" max="15" width="10.28125" style="80" customWidth="1"/>
    <col min="16" max="18" width="9.8515625" style="80" customWidth="1"/>
    <col min="19" max="22" width="8.8515625" style="80" customWidth="1"/>
    <col min="23" max="26" width="9.8515625" style="80" customWidth="1"/>
    <col min="27" max="32" width="11.28125" style="80" customWidth="1"/>
    <col min="33" max="33" width="18.57421875" style="79" customWidth="1"/>
    <col min="34" max="34" width="12.00390625" style="160" customWidth="1"/>
    <col min="35" max="16384" width="8.8515625" style="13" customWidth="1"/>
  </cols>
  <sheetData>
    <row r="1" spans="1:2" ht="13.5">
      <c r="A1" s="310" t="s">
        <v>208</v>
      </c>
      <c r="B1" s="310"/>
    </row>
    <row r="2" spans="1:256" s="201" customFormat="1" ht="18">
      <c r="A2" s="263" t="s">
        <v>233</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row>
    <row r="3" spans="1:256" s="201" customFormat="1" ht="18">
      <c r="A3" s="286" t="s">
        <v>232</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row>
    <row r="4" spans="1:256" s="201" customFormat="1" ht="18">
      <c r="A4" s="229"/>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s="201" customFormat="1" ht="18">
      <c r="A5" s="175"/>
      <c r="B5" s="176"/>
      <c r="C5" s="175"/>
      <c r="D5" s="175"/>
      <c r="E5" s="175"/>
      <c r="F5" s="175"/>
      <c r="G5" s="184"/>
      <c r="H5" s="184"/>
      <c r="I5" s="175"/>
      <c r="J5" s="175"/>
      <c r="K5" s="175"/>
      <c r="L5" s="175"/>
      <c r="M5" s="175"/>
      <c r="N5" s="175"/>
      <c r="O5" s="175"/>
      <c r="P5" s="175"/>
      <c r="Q5" s="175"/>
      <c r="R5" s="175"/>
      <c r="S5" s="175"/>
      <c r="T5" s="175"/>
      <c r="U5" s="175"/>
      <c r="V5" s="175"/>
      <c r="W5" s="175"/>
      <c r="X5" s="175"/>
      <c r="Y5" s="175"/>
      <c r="Z5" s="175"/>
      <c r="AA5" s="175"/>
      <c r="AB5" s="175"/>
      <c r="AC5" s="175"/>
      <c r="AD5" s="175"/>
      <c r="AE5" s="175"/>
      <c r="AF5" s="175"/>
      <c r="AG5" s="287" t="s">
        <v>0</v>
      </c>
      <c r="AH5" s="287"/>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34" s="16" customFormat="1" ht="72" customHeight="1">
      <c r="A6" s="306" t="s">
        <v>10</v>
      </c>
      <c r="B6" s="307" t="s">
        <v>90</v>
      </c>
      <c r="C6" s="269" t="s">
        <v>173</v>
      </c>
      <c r="D6" s="270"/>
      <c r="E6" s="270"/>
      <c r="F6" s="271"/>
      <c r="G6" s="306" t="s">
        <v>63</v>
      </c>
      <c r="H6" s="306"/>
      <c r="I6" s="306"/>
      <c r="J6" s="269" t="s">
        <v>228</v>
      </c>
      <c r="K6" s="270"/>
      <c r="L6" s="271"/>
      <c r="M6" s="306" t="s">
        <v>236</v>
      </c>
      <c r="N6" s="306"/>
      <c r="O6" s="306"/>
      <c r="P6" s="306" t="s">
        <v>224</v>
      </c>
      <c r="Q6" s="306"/>
      <c r="R6" s="306"/>
      <c r="S6" s="269" t="s">
        <v>234</v>
      </c>
      <c r="T6" s="270"/>
      <c r="U6" s="270"/>
      <c r="V6" s="270"/>
      <c r="W6" s="270"/>
      <c r="X6" s="270"/>
      <c r="Y6" s="270"/>
      <c r="Z6" s="271"/>
      <c r="AA6" s="269" t="s">
        <v>229</v>
      </c>
      <c r="AB6" s="270"/>
      <c r="AC6" s="270"/>
      <c r="AD6" s="270"/>
      <c r="AE6" s="270"/>
      <c r="AF6" s="271"/>
      <c r="AG6" s="291" t="s">
        <v>73</v>
      </c>
      <c r="AH6" s="306" t="s">
        <v>12</v>
      </c>
    </row>
    <row r="7" spans="1:34" s="16" customFormat="1" ht="69" customHeight="1">
      <c r="A7" s="306"/>
      <c r="B7" s="308"/>
      <c r="C7" s="306" t="s">
        <v>175</v>
      </c>
      <c r="D7" s="269" t="s">
        <v>89</v>
      </c>
      <c r="E7" s="270"/>
      <c r="F7" s="271"/>
      <c r="G7" s="307" t="s">
        <v>15</v>
      </c>
      <c r="H7" s="299" t="s">
        <v>4</v>
      </c>
      <c r="I7" s="300"/>
      <c r="J7" s="307" t="s">
        <v>15</v>
      </c>
      <c r="K7" s="269" t="s">
        <v>4</v>
      </c>
      <c r="L7" s="271"/>
      <c r="M7" s="307" t="s">
        <v>15</v>
      </c>
      <c r="N7" s="299" t="s">
        <v>4</v>
      </c>
      <c r="O7" s="300"/>
      <c r="P7" s="307" t="s">
        <v>15</v>
      </c>
      <c r="Q7" s="299" t="s">
        <v>4</v>
      </c>
      <c r="R7" s="300"/>
      <c r="S7" s="299" t="s">
        <v>237</v>
      </c>
      <c r="T7" s="311"/>
      <c r="U7" s="311"/>
      <c r="V7" s="300"/>
      <c r="W7" s="299" t="s">
        <v>172</v>
      </c>
      <c r="X7" s="311"/>
      <c r="Y7" s="311"/>
      <c r="Z7" s="300"/>
      <c r="AA7" s="299" t="s">
        <v>237</v>
      </c>
      <c r="AB7" s="311"/>
      <c r="AC7" s="300"/>
      <c r="AD7" s="299" t="s">
        <v>172</v>
      </c>
      <c r="AE7" s="311"/>
      <c r="AF7" s="300"/>
      <c r="AG7" s="291"/>
      <c r="AH7" s="306"/>
    </row>
    <row r="8" spans="1:34" s="16" customFormat="1" ht="65.25" customHeight="1">
      <c r="A8" s="306"/>
      <c r="B8" s="308"/>
      <c r="C8" s="306"/>
      <c r="D8" s="301" t="s">
        <v>79</v>
      </c>
      <c r="E8" s="299" t="s">
        <v>4</v>
      </c>
      <c r="F8" s="300"/>
      <c r="G8" s="308"/>
      <c r="H8" s="303" t="s">
        <v>219</v>
      </c>
      <c r="I8" s="303" t="s">
        <v>220</v>
      </c>
      <c r="J8" s="308"/>
      <c r="K8" s="303" t="s">
        <v>219</v>
      </c>
      <c r="L8" s="303" t="s">
        <v>220</v>
      </c>
      <c r="M8" s="308"/>
      <c r="N8" s="303" t="s">
        <v>219</v>
      </c>
      <c r="O8" s="303" t="s">
        <v>220</v>
      </c>
      <c r="P8" s="308"/>
      <c r="Q8" s="303" t="s">
        <v>219</v>
      </c>
      <c r="R8" s="303" t="s">
        <v>220</v>
      </c>
      <c r="S8" s="304" t="s">
        <v>219</v>
      </c>
      <c r="T8" s="305"/>
      <c r="U8" s="304" t="s">
        <v>220</v>
      </c>
      <c r="V8" s="305"/>
      <c r="W8" s="304" t="s">
        <v>219</v>
      </c>
      <c r="X8" s="305"/>
      <c r="Y8" s="304" t="s">
        <v>220</v>
      </c>
      <c r="Z8" s="305"/>
      <c r="AA8" s="301" t="s">
        <v>79</v>
      </c>
      <c r="AB8" s="299" t="s">
        <v>4</v>
      </c>
      <c r="AC8" s="300"/>
      <c r="AD8" s="301" t="s">
        <v>79</v>
      </c>
      <c r="AE8" s="299" t="s">
        <v>4</v>
      </c>
      <c r="AF8" s="300"/>
      <c r="AG8" s="291"/>
      <c r="AH8" s="306"/>
    </row>
    <row r="9" spans="1:34" s="16" customFormat="1" ht="188.25" customHeight="1">
      <c r="A9" s="306"/>
      <c r="B9" s="309"/>
      <c r="C9" s="306"/>
      <c r="D9" s="302"/>
      <c r="E9" s="214" t="s">
        <v>219</v>
      </c>
      <c r="F9" s="214" t="s">
        <v>220</v>
      </c>
      <c r="G9" s="309"/>
      <c r="H9" s="303"/>
      <c r="I9" s="303"/>
      <c r="J9" s="309"/>
      <c r="K9" s="303"/>
      <c r="L9" s="303"/>
      <c r="M9" s="309"/>
      <c r="N9" s="303"/>
      <c r="O9" s="303"/>
      <c r="P9" s="309"/>
      <c r="Q9" s="303"/>
      <c r="R9" s="303"/>
      <c r="S9" s="169" t="s">
        <v>230</v>
      </c>
      <c r="T9" s="169" t="s">
        <v>231</v>
      </c>
      <c r="U9" s="169" t="s">
        <v>230</v>
      </c>
      <c r="V9" s="169" t="s">
        <v>231</v>
      </c>
      <c r="W9" s="169" t="s">
        <v>230</v>
      </c>
      <c r="X9" s="169" t="s">
        <v>231</v>
      </c>
      <c r="Y9" s="169" t="s">
        <v>230</v>
      </c>
      <c r="Z9" s="169" t="s">
        <v>231</v>
      </c>
      <c r="AA9" s="302"/>
      <c r="AB9" s="214" t="s">
        <v>219</v>
      </c>
      <c r="AC9" s="214" t="s">
        <v>220</v>
      </c>
      <c r="AD9" s="302"/>
      <c r="AE9" s="214" t="s">
        <v>219</v>
      </c>
      <c r="AF9" s="214" t="s">
        <v>220</v>
      </c>
      <c r="AG9" s="291"/>
      <c r="AH9" s="306"/>
    </row>
    <row r="10" spans="1:34" ht="18" customHeight="1">
      <c r="A10" s="38"/>
      <c r="B10" s="37" t="s">
        <v>77</v>
      </c>
      <c r="C10" s="38"/>
      <c r="D10" s="38"/>
      <c r="E10" s="38"/>
      <c r="F10" s="38"/>
      <c r="G10" s="39">
        <f>G11</f>
        <v>124460</v>
      </c>
      <c r="H10" s="39">
        <f aca="true" t="shared" si="0" ref="H10:W10">H11</f>
        <v>111820</v>
      </c>
      <c r="I10" s="39">
        <f t="shared" si="0"/>
        <v>12640</v>
      </c>
      <c r="J10" s="39"/>
      <c r="K10" s="39"/>
      <c r="L10" s="39"/>
      <c r="M10" s="39">
        <f t="shared" si="0"/>
        <v>8866</v>
      </c>
      <c r="N10" s="39">
        <f t="shared" si="0"/>
        <v>8404</v>
      </c>
      <c r="O10" s="39">
        <f t="shared" si="0"/>
        <v>462</v>
      </c>
      <c r="P10" s="39">
        <f t="shared" si="0"/>
        <v>39718</v>
      </c>
      <c r="Q10" s="39">
        <f t="shared" si="0"/>
        <v>37669</v>
      </c>
      <c r="R10" s="39">
        <f t="shared" si="0"/>
        <v>2049</v>
      </c>
      <c r="S10" s="39">
        <f t="shared" si="0"/>
        <v>8404</v>
      </c>
      <c r="T10" s="39">
        <f t="shared" si="0"/>
        <v>8404</v>
      </c>
      <c r="U10" s="39">
        <f t="shared" si="0"/>
        <v>462</v>
      </c>
      <c r="V10" s="39">
        <f t="shared" si="0"/>
        <v>462</v>
      </c>
      <c r="W10" s="39">
        <f t="shared" si="0"/>
        <v>6298</v>
      </c>
      <c r="X10" s="39">
        <f aca="true" t="shared" si="1" ref="X10:AF10">X11</f>
        <v>6298</v>
      </c>
      <c r="Y10" s="39">
        <f t="shared" si="1"/>
        <v>430</v>
      </c>
      <c r="Z10" s="39">
        <f t="shared" si="1"/>
        <v>430</v>
      </c>
      <c r="AA10" s="39">
        <f t="shared" si="1"/>
        <v>8866</v>
      </c>
      <c r="AB10" s="39">
        <f t="shared" si="1"/>
        <v>8404</v>
      </c>
      <c r="AC10" s="39">
        <f t="shared" si="1"/>
        <v>462</v>
      </c>
      <c r="AD10" s="39">
        <f t="shared" si="1"/>
        <v>37778</v>
      </c>
      <c r="AE10" s="39">
        <f t="shared" si="1"/>
        <v>35729</v>
      </c>
      <c r="AF10" s="39">
        <f t="shared" si="1"/>
        <v>2049</v>
      </c>
      <c r="AG10" s="40"/>
      <c r="AH10" s="38"/>
    </row>
    <row r="11" spans="1:35" ht="22.5" customHeight="1">
      <c r="A11" s="37"/>
      <c r="B11" s="37" t="s">
        <v>82</v>
      </c>
      <c r="C11" s="38"/>
      <c r="D11" s="38"/>
      <c r="E11" s="38"/>
      <c r="F11" s="38"/>
      <c r="G11" s="39">
        <f>G12+G14+G24+G26</f>
        <v>124460</v>
      </c>
      <c r="H11" s="39">
        <f>H12+H14+H24+H26</f>
        <v>111820</v>
      </c>
      <c r="I11" s="39">
        <f>I12+I14+I24+I26</f>
        <v>12640</v>
      </c>
      <c r="J11" s="39"/>
      <c r="K11" s="39"/>
      <c r="L11" s="39"/>
      <c r="M11" s="39">
        <f aca="true" t="shared" si="2" ref="M11:AF11">M12+M14+M24+M26</f>
        <v>8866</v>
      </c>
      <c r="N11" s="39">
        <f t="shared" si="2"/>
        <v>8404</v>
      </c>
      <c r="O11" s="39">
        <f t="shared" si="2"/>
        <v>462</v>
      </c>
      <c r="P11" s="39">
        <f t="shared" si="2"/>
        <v>39718</v>
      </c>
      <c r="Q11" s="39">
        <f t="shared" si="2"/>
        <v>37669</v>
      </c>
      <c r="R11" s="39">
        <f t="shared" si="2"/>
        <v>2049</v>
      </c>
      <c r="S11" s="39">
        <f t="shared" si="2"/>
        <v>8404</v>
      </c>
      <c r="T11" s="39">
        <f t="shared" si="2"/>
        <v>8404</v>
      </c>
      <c r="U11" s="39">
        <f t="shared" si="2"/>
        <v>462</v>
      </c>
      <c r="V11" s="39">
        <f t="shared" si="2"/>
        <v>462</v>
      </c>
      <c r="W11" s="39">
        <f t="shared" si="2"/>
        <v>6298</v>
      </c>
      <c r="X11" s="39">
        <f t="shared" si="2"/>
        <v>6298</v>
      </c>
      <c r="Y11" s="39">
        <f t="shared" si="2"/>
        <v>430</v>
      </c>
      <c r="Z11" s="39">
        <f t="shared" si="2"/>
        <v>430</v>
      </c>
      <c r="AA11" s="39">
        <f t="shared" si="2"/>
        <v>8866</v>
      </c>
      <c r="AB11" s="39">
        <f t="shared" si="2"/>
        <v>8404</v>
      </c>
      <c r="AC11" s="39">
        <f t="shared" si="2"/>
        <v>462</v>
      </c>
      <c r="AD11" s="39">
        <f t="shared" si="2"/>
        <v>37778</v>
      </c>
      <c r="AE11" s="39">
        <f t="shared" si="2"/>
        <v>35729</v>
      </c>
      <c r="AF11" s="39">
        <f t="shared" si="2"/>
        <v>2049</v>
      </c>
      <c r="AG11" s="40"/>
      <c r="AH11" s="38"/>
      <c r="AI11" s="81"/>
    </row>
    <row r="12" spans="1:256" ht="96" customHeight="1">
      <c r="A12" s="52" t="s">
        <v>17</v>
      </c>
      <c r="B12" s="53" t="s">
        <v>98</v>
      </c>
      <c r="C12" s="37"/>
      <c r="D12" s="37"/>
      <c r="E12" s="37"/>
      <c r="F12" s="37"/>
      <c r="G12" s="39">
        <f>H12+I12</f>
        <v>36058</v>
      </c>
      <c r="H12" s="39">
        <f>28733+5607</f>
        <v>34340</v>
      </c>
      <c r="I12" s="39">
        <f>1437+281</f>
        <v>1718</v>
      </c>
      <c r="J12" s="39"/>
      <c r="K12" s="39"/>
      <c r="L12" s="39"/>
      <c r="M12" s="39">
        <v>6490</v>
      </c>
      <c r="N12" s="39">
        <v>6181</v>
      </c>
      <c r="O12" s="39">
        <v>309</v>
      </c>
      <c r="P12" s="39">
        <f>Q12+R12</f>
        <v>8733</v>
      </c>
      <c r="Q12" s="39">
        <v>8286</v>
      </c>
      <c r="R12" s="39">
        <v>447</v>
      </c>
      <c r="S12" s="39">
        <f>S13</f>
        <v>6181</v>
      </c>
      <c r="T12" s="39">
        <f aca="true" t="shared" si="3" ref="T12:AF12">T13</f>
        <v>0</v>
      </c>
      <c r="U12" s="39">
        <f t="shared" si="3"/>
        <v>309</v>
      </c>
      <c r="V12" s="39">
        <f t="shared" si="3"/>
        <v>0</v>
      </c>
      <c r="W12" s="39">
        <f t="shared" si="3"/>
        <v>0</v>
      </c>
      <c r="X12" s="39">
        <f t="shared" si="3"/>
        <v>0</v>
      </c>
      <c r="Y12" s="39">
        <f t="shared" si="3"/>
        <v>0</v>
      </c>
      <c r="Z12" s="39">
        <f t="shared" si="3"/>
        <v>0</v>
      </c>
      <c r="AA12" s="39">
        <f t="shared" si="3"/>
        <v>0</v>
      </c>
      <c r="AB12" s="39">
        <f t="shared" si="3"/>
        <v>0</v>
      </c>
      <c r="AC12" s="39">
        <f t="shared" si="3"/>
        <v>0</v>
      </c>
      <c r="AD12" s="39">
        <f t="shared" si="3"/>
        <v>8733</v>
      </c>
      <c r="AE12" s="39">
        <f t="shared" si="3"/>
        <v>8286</v>
      </c>
      <c r="AF12" s="39">
        <f t="shared" si="3"/>
        <v>447</v>
      </c>
      <c r="AG12" s="179"/>
      <c r="AH12" s="179"/>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c r="IV12" s="47"/>
    </row>
    <row r="13" spans="1:34" ht="25.5" customHeight="1">
      <c r="A13" s="48">
        <v>1</v>
      </c>
      <c r="B13" s="49" t="s">
        <v>177</v>
      </c>
      <c r="C13" s="50"/>
      <c r="D13" s="50"/>
      <c r="E13" s="50"/>
      <c r="F13" s="50"/>
      <c r="G13" s="51"/>
      <c r="H13" s="51"/>
      <c r="I13" s="51"/>
      <c r="J13" s="51"/>
      <c r="K13" s="51"/>
      <c r="L13" s="51"/>
      <c r="M13" s="51">
        <v>6490</v>
      </c>
      <c r="N13" s="51">
        <v>6181</v>
      </c>
      <c r="O13" s="51">
        <v>309</v>
      </c>
      <c r="P13" s="51">
        <f>Q13+R13</f>
        <v>8733</v>
      </c>
      <c r="Q13" s="51">
        <v>8286</v>
      </c>
      <c r="R13" s="51">
        <v>447</v>
      </c>
      <c r="S13" s="51">
        <v>6181</v>
      </c>
      <c r="T13" s="51"/>
      <c r="U13" s="51">
        <v>309</v>
      </c>
      <c r="V13" s="51"/>
      <c r="W13" s="51"/>
      <c r="X13" s="51"/>
      <c r="Y13" s="51"/>
      <c r="Z13" s="51"/>
      <c r="AA13" s="51">
        <f>AB13+AC13</f>
        <v>0</v>
      </c>
      <c r="AB13" s="51">
        <f>N13-S13+T13</f>
        <v>0</v>
      </c>
      <c r="AC13" s="51">
        <f>O13-U13+V13</f>
        <v>0</v>
      </c>
      <c r="AD13" s="51">
        <f>AE13+AF13</f>
        <v>8733</v>
      </c>
      <c r="AE13" s="51">
        <f>Q13-W13+X13</f>
        <v>8286</v>
      </c>
      <c r="AF13" s="51">
        <f>R13-Y13+Z13</f>
        <v>447</v>
      </c>
      <c r="AG13" s="179"/>
      <c r="AH13" s="179"/>
    </row>
    <row r="14" spans="1:34" ht="73.5" customHeight="1">
      <c r="A14" s="37" t="s">
        <v>18</v>
      </c>
      <c r="B14" s="41" t="s">
        <v>99</v>
      </c>
      <c r="C14" s="164"/>
      <c r="D14" s="41"/>
      <c r="E14" s="41"/>
      <c r="F14" s="41"/>
      <c r="G14" s="42">
        <f>G15</f>
        <v>81797</v>
      </c>
      <c r="H14" s="42">
        <f aca="true" t="shared" si="4" ref="H14:R14">H15</f>
        <v>71189</v>
      </c>
      <c r="I14" s="42">
        <f t="shared" si="4"/>
        <v>10608</v>
      </c>
      <c r="J14" s="42">
        <f>J15</f>
        <v>21707</v>
      </c>
      <c r="K14" s="42">
        <f>K15</f>
        <v>19795</v>
      </c>
      <c r="L14" s="42">
        <f>L15</f>
        <v>1912</v>
      </c>
      <c r="M14" s="42">
        <f t="shared" si="4"/>
        <v>0</v>
      </c>
      <c r="N14" s="42">
        <f t="shared" si="4"/>
        <v>0</v>
      </c>
      <c r="O14" s="42">
        <f t="shared" si="4"/>
        <v>0</v>
      </c>
      <c r="P14" s="42">
        <f t="shared" si="4"/>
        <v>18248</v>
      </c>
      <c r="Q14" s="42">
        <f t="shared" si="4"/>
        <v>17298</v>
      </c>
      <c r="R14" s="42">
        <f t="shared" si="4"/>
        <v>950</v>
      </c>
      <c r="S14" s="42">
        <f aca="true" t="shared" si="5" ref="S14:AF14">S15</f>
        <v>0</v>
      </c>
      <c r="T14" s="42">
        <f t="shared" si="5"/>
        <v>8404</v>
      </c>
      <c r="U14" s="42">
        <f t="shared" si="5"/>
        <v>0</v>
      </c>
      <c r="V14" s="42">
        <f t="shared" si="5"/>
        <v>462</v>
      </c>
      <c r="W14" s="42">
        <f t="shared" si="5"/>
        <v>6298</v>
      </c>
      <c r="X14" s="42">
        <f t="shared" si="5"/>
        <v>6298</v>
      </c>
      <c r="Y14" s="42">
        <f t="shared" si="5"/>
        <v>430</v>
      </c>
      <c r="Z14" s="42">
        <f t="shared" si="5"/>
        <v>430</v>
      </c>
      <c r="AA14" s="42">
        <f t="shared" si="5"/>
        <v>8866</v>
      </c>
      <c r="AB14" s="42">
        <f t="shared" si="5"/>
        <v>8404</v>
      </c>
      <c r="AC14" s="42">
        <f t="shared" si="5"/>
        <v>462</v>
      </c>
      <c r="AD14" s="42">
        <f t="shared" si="5"/>
        <v>18248</v>
      </c>
      <c r="AE14" s="42">
        <f t="shared" si="5"/>
        <v>17298</v>
      </c>
      <c r="AF14" s="42">
        <f t="shared" si="5"/>
        <v>950</v>
      </c>
      <c r="AG14" s="43"/>
      <c r="AH14" s="41"/>
    </row>
    <row r="15" spans="1:256" ht="92.25" customHeight="1">
      <c r="A15" s="54"/>
      <c r="B15" s="45" t="s">
        <v>101</v>
      </c>
      <c r="C15" s="54"/>
      <c r="D15" s="46">
        <f aca="true" t="shared" si="6" ref="D15:AF15">SUM(D16:D23)</f>
        <v>81797</v>
      </c>
      <c r="E15" s="46">
        <f t="shared" si="6"/>
        <v>71189</v>
      </c>
      <c r="F15" s="46">
        <f t="shared" si="6"/>
        <v>10608</v>
      </c>
      <c r="G15" s="46">
        <f t="shared" si="6"/>
        <v>81797</v>
      </c>
      <c r="H15" s="46">
        <f t="shared" si="6"/>
        <v>71189</v>
      </c>
      <c r="I15" s="46">
        <f t="shared" si="6"/>
        <v>10608</v>
      </c>
      <c r="J15" s="46">
        <f t="shared" si="6"/>
        <v>21707</v>
      </c>
      <c r="K15" s="46">
        <f t="shared" si="6"/>
        <v>19795</v>
      </c>
      <c r="L15" s="46">
        <f t="shared" si="6"/>
        <v>1912</v>
      </c>
      <c r="M15" s="46">
        <f t="shared" si="6"/>
        <v>0</v>
      </c>
      <c r="N15" s="46">
        <f t="shared" si="6"/>
        <v>0</v>
      </c>
      <c r="O15" s="46">
        <f t="shared" si="6"/>
        <v>0</v>
      </c>
      <c r="P15" s="46">
        <f t="shared" si="6"/>
        <v>18248</v>
      </c>
      <c r="Q15" s="46">
        <f t="shared" si="6"/>
        <v>17298</v>
      </c>
      <c r="R15" s="46">
        <f t="shared" si="6"/>
        <v>950</v>
      </c>
      <c r="S15" s="46">
        <f t="shared" si="6"/>
        <v>0</v>
      </c>
      <c r="T15" s="46">
        <f t="shared" si="6"/>
        <v>8404</v>
      </c>
      <c r="U15" s="46">
        <f t="shared" si="6"/>
        <v>0</v>
      </c>
      <c r="V15" s="46">
        <f t="shared" si="6"/>
        <v>462</v>
      </c>
      <c r="W15" s="46">
        <f t="shared" si="6"/>
        <v>6298</v>
      </c>
      <c r="X15" s="46">
        <f t="shared" si="6"/>
        <v>6298</v>
      </c>
      <c r="Y15" s="46">
        <f t="shared" si="6"/>
        <v>430</v>
      </c>
      <c r="Z15" s="46">
        <f t="shared" si="6"/>
        <v>430</v>
      </c>
      <c r="AA15" s="46">
        <f t="shared" si="6"/>
        <v>8866</v>
      </c>
      <c r="AB15" s="46">
        <f t="shared" si="6"/>
        <v>8404</v>
      </c>
      <c r="AC15" s="46">
        <f t="shared" si="6"/>
        <v>462</v>
      </c>
      <c r="AD15" s="46">
        <f t="shared" si="6"/>
        <v>18248</v>
      </c>
      <c r="AE15" s="46">
        <f t="shared" si="6"/>
        <v>17298</v>
      </c>
      <c r="AF15" s="46">
        <f t="shared" si="6"/>
        <v>950</v>
      </c>
      <c r="AG15" s="40"/>
      <c r="AH15" s="1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row>
    <row r="16" spans="1:34" ht="38.25" customHeight="1">
      <c r="A16" s="56">
        <v>1</v>
      </c>
      <c r="B16" s="49" t="s">
        <v>102</v>
      </c>
      <c r="C16" s="58" t="s">
        <v>180</v>
      </c>
      <c r="D16" s="64">
        <v>14686</v>
      </c>
      <c r="E16" s="64">
        <v>12771</v>
      </c>
      <c r="F16" s="64">
        <v>1915</v>
      </c>
      <c r="G16" s="64">
        <v>14686</v>
      </c>
      <c r="H16" s="59">
        <v>12771</v>
      </c>
      <c r="I16" s="59">
        <v>1915</v>
      </c>
      <c r="J16" s="51">
        <v>7096</v>
      </c>
      <c r="K16" s="59">
        <v>6613</v>
      </c>
      <c r="L16" s="59">
        <v>483</v>
      </c>
      <c r="M16" s="51"/>
      <c r="N16" s="59"/>
      <c r="O16" s="59"/>
      <c r="P16" s="51">
        <f aca="true" t="shared" si="7" ref="P16:P23">Q16+R16</f>
        <v>3050</v>
      </c>
      <c r="Q16" s="59">
        <v>2900</v>
      </c>
      <c r="R16" s="59">
        <v>150</v>
      </c>
      <c r="S16" s="59"/>
      <c r="T16" s="59">
        <v>2630</v>
      </c>
      <c r="U16" s="59"/>
      <c r="V16" s="59">
        <v>150</v>
      </c>
      <c r="W16" s="59"/>
      <c r="X16" s="59"/>
      <c r="Y16" s="59"/>
      <c r="Z16" s="59"/>
      <c r="AA16" s="51">
        <f aca="true" t="shared" si="8" ref="AA16:AA23">AB16+AC16</f>
        <v>2780</v>
      </c>
      <c r="AB16" s="51">
        <f aca="true" t="shared" si="9" ref="AB16:AB23">N16-S16+T16</f>
        <v>2630</v>
      </c>
      <c r="AC16" s="51">
        <f aca="true" t="shared" si="10" ref="AC16:AC23">O16-U16+V16</f>
        <v>150</v>
      </c>
      <c r="AD16" s="51">
        <f aca="true" t="shared" si="11" ref="AD16:AD23">AE16+AF16</f>
        <v>3050</v>
      </c>
      <c r="AE16" s="51">
        <f aca="true" t="shared" si="12" ref="AE16:AE23">Q16-W16+X16</f>
        <v>2900</v>
      </c>
      <c r="AF16" s="51">
        <f aca="true" t="shared" si="13" ref="AF16:AF23">R16-Y16+Z16</f>
        <v>150</v>
      </c>
      <c r="AG16" s="58" t="s">
        <v>103</v>
      </c>
      <c r="AH16" s="58"/>
    </row>
    <row r="17" spans="1:34" ht="38.25" customHeight="1">
      <c r="A17" s="56">
        <v>2</v>
      </c>
      <c r="B17" s="65" t="s">
        <v>106</v>
      </c>
      <c r="C17" s="58" t="s">
        <v>182</v>
      </c>
      <c r="D17" s="59">
        <v>10506</v>
      </c>
      <c r="E17" s="59">
        <v>9136</v>
      </c>
      <c r="F17" s="59">
        <v>1370</v>
      </c>
      <c r="G17" s="64">
        <v>10506</v>
      </c>
      <c r="H17" s="59">
        <v>9136</v>
      </c>
      <c r="I17" s="59">
        <v>1370</v>
      </c>
      <c r="J17" s="51">
        <v>5022</v>
      </c>
      <c r="K17" s="59">
        <v>4588</v>
      </c>
      <c r="L17" s="59">
        <v>434</v>
      </c>
      <c r="M17" s="51"/>
      <c r="N17" s="59"/>
      <c r="O17" s="59"/>
      <c r="P17" s="51">
        <f t="shared" si="7"/>
        <v>2310</v>
      </c>
      <c r="Q17" s="59">
        <v>2200</v>
      </c>
      <c r="R17" s="59">
        <v>110</v>
      </c>
      <c r="S17" s="59"/>
      <c r="T17" s="59">
        <v>1660</v>
      </c>
      <c r="U17" s="59"/>
      <c r="V17" s="59">
        <v>100</v>
      </c>
      <c r="W17" s="59"/>
      <c r="X17" s="59"/>
      <c r="Y17" s="59"/>
      <c r="Z17" s="59"/>
      <c r="AA17" s="51">
        <f t="shared" si="8"/>
        <v>1760</v>
      </c>
      <c r="AB17" s="51">
        <f t="shared" si="9"/>
        <v>1660</v>
      </c>
      <c r="AC17" s="51">
        <f t="shared" si="10"/>
        <v>100</v>
      </c>
      <c r="AD17" s="51">
        <f t="shared" si="11"/>
        <v>2310</v>
      </c>
      <c r="AE17" s="51">
        <f t="shared" si="12"/>
        <v>2200</v>
      </c>
      <c r="AF17" s="51">
        <f t="shared" si="13"/>
        <v>110</v>
      </c>
      <c r="AG17" s="58" t="s">
        <v>103</v>
      </c>
      <c r="AH17" s="63"/>
    </row>
    <row r="18" spans="1:34" ht="38.25" customHeight="1">
      <c r="A18" s="56">
        <v>3</v>
      </c>
      <c r="B18" s="65" t="s">
        <v>108</v>
      </c>
      <c r="C18" s="58" t="s">
        <v>184</v>
      </c>
      <c r="D18" s="59">
        <v>7025</v>
      </c>
      <c r="E18" s="59">
        <v>6109</v>
      </c>
      <c r="F18" s="59">
        <v>916</v>
      </c>
      <c r="G18" s="64">
        <v>7025</v>
      </c>
      <c r="H18" s="59">
        <v>6109</v>
      </c>
      <c r="I18" s="59">
        <v>916</v>
      </c>
      <c r="J18" s="51">
        <v>3234</v>
      </c>
      <c r="K18" s="59">
        <v>2849</v>
      </c>
      <c r="L18" s="59">
        <v>385</v>
      </c>
      <c r="M18" s="51"/>
      <c r="N18" s="59"/>
      <c r="O18" s="59"/>
      <c r="P18" s="51">
        <f t="shared" si="7"/>
        <v>1895</v>
      </c>
      <c r="Q18" s="59">
        <v>1800</v>
      </c>
      <c r="R18" s="59">
        <v>95</v>
      </c>
      <c r="S18" s="59"/>
      <c r="T18" s="59">
        <v>620</v>
      </c>
      <c r="U18" s="59"/>
      <c r="V18" s="59">
        <v>30</v>
      </c>
      <c r="W18" s="59"/>
      <c r="X18" s="59"/>
      <c r="Y18" s="59"/>
      <c r="Z18" s="59"/>
      <c r="AA18" s="51">
        <f t="shared" si="8"/>
        <v>650</v>
      </c>
      <c r="AB18" s="51">
        <f t="shared" si="9"/>
        <v>620</v>
      </c>
      <c r="AC18" s="51">
        <f t="shared" si="10"/>
        <v>30</v>
      </c>
      <c r="AD18" s="51">
        <f t="shared" si="11"/>
        <v>1895</v>
      </c>
      <c r="AE18" s="51">
        <f t="shared" si="12"/>
        <v>1800</v>
      </c>
      <c r="AF18" s="51">
        <f t="shared" si="13"/>
        <v>95</v>
      </c>
      <c r="AG18" s="58" t="s">
        <v>103</v>
      </c>
      <c r="AH18" s="63"/>
    </row>
    <row r="19" spans="1:34" ht="38.25" customHeight="1">
      <c r="A19" s="56">
        <v>4</v>
      </c>
      <c r="B19" s="49" t="s">
        <v>109</v>
      </c>
      <c r="C19" s="58" t="s">
        <v>185</v>
      </c>
      <c r="D19" s="64">
        <v>5193</v>
      </c>
      <c r="E19" s="64">
        <v>4576</v>
      </c>
      <c r="F19" s="64">
        <v>617</v>
      </c>
      <c r="G19" s="64">
        <v>5193</v>
      </c>
      <c r="H19" s="59">
        <v>4576</v>
      </c>
      <c r="I19" s="59">
        <v>617</v>
      </c>
      <c r="J19" s="51">
        <v>2551</v>
      </c>
      <c r="K19" s="59">
        <v>2318</v>
      </c>
      <c r="L19" s="59">
        <v>233</v>
      </c>
      <c r="M19" s="51"/>
      <c r="N19" s="59"/>
      <c r="O19" s="59"/>
      <c r="P19" s="51">
        <f t="shared" si="7"/>
        <v>1265</v>
      </c>
      <c r="Q19" s="59">
        <v>1200</v>
      </c>
      <c r="R19" s="59">
        <v>65</v>
      </c>
      <c r="S19" s="59"/>
      <c r="T19" s="59">
        <v>625</v>
      </c>
      <c r="U19" s="59"/>
      <c r="V19" s="59">
        <v>35</v>
      </c>
      <c r="W19" s="59"/>
      <c r="X19" s="59"/>
      <c r="Y19" s="59"/>
      <c r="Z19" s="59"/>
      <c r="AA19" s="51">
        <f t="shared" si="8"/>
        <v>660</v>
      </c>
      <c r="AB19" s="51">
        <f t="shared" si="9"/>
        <v>625</v>
      </c>
      <c r="AC19" s="51">
        <f t="shared" si="10"/>
        <v>35</v>
      </c>
      <c r="AD19" s="51">
        <f t="shared" si="11"/>
        <v>1265</v>
      </c>
      <c r="AE19" s="51">
        <f t="shared" si="12"/>
        <v>1200</v>
      </c>
      <c r="AF19" s="51">
        <f t="shared" si="13"/>
        <v>65</v>
      </c>
      <c r="AG19" s="58" t="s">
        <v>103</v>
      </c>
      <c r="AH19" s="63"/>
    </row>
    <row r="20" spans="1:34" ht="38.25" customHeight="1">
      <c r="A20" s="56">
        <v>5</v>
      </c>
      <c r="B20" s="66" t="s">
        <v>110</v>
      </c>
      <c r="C20" s="58" t="s">
        <v>186</v>
      </c>
      <c r="D20" s="64">
        <v>8096</v>
      </c>
      <c r="E20" s="64">
        <v>7040</v>
      </c>
      <c r="F20" s="64">
        <v>1056</v>
      </c>
      <c r="G20" s="64">
        <v>8096</v>
      </c>
      <c r="H20" s="59">
        <v>7040</v>
      </c>
      <c r="I20" s="59">
        <v>1056</v>
      </c>
      <c r="J20" s="51">
        <v>3804</v>
      </c>
      <c r="K20" s="59">
        <v>3427</v>
      </c>
      <c r="L20" s="59">
        <v>377</v>
      </c>
      <c r="M20" s="51"/>
      <c r="N20" s="59"/>
      <c r="O20" s="59"/>
      <c r="P20" s="51">
        <f t="shared" si="7"/>
        <v>2000</v>
      </c>
      <c r="Q20" s="59">
        <v>1900</v>
      </c>
      <c r="R20" s="59">
        <v>100</v>
      </c>
      <c r="S20" s="59"/>
      <c r="T20" s="59">
        <v>990</v>
      </c>
      <c r="U20" s="59"/>
      <c r="V20" s="59">
        <v>60</v>
      </c>
      <c r="W20" s="59"/>
      <c r="X20" s="59"/>
      <c r="Y20" s="59"/>
      <c r="Z20" s="59"/>
      <c r="AA20" s="51">
        <f t="shared" si="8"/>
        <v>1050</v>
      </c>
      <c r="AB20" s="51">
        <f t="shared" si="9"/>
        <v>990</v>
      </c>
      <c r="AC20" s="51">
        <f t="shared" si="10"/>
        <v>60</v>
      </c>
      <c r="AD20" s="51">
        <f t="shared" si="11"/>
        <v>2000</v>
      </c>
      <c r="AE20" s="51">
        <f t="shared" si="12"/>
        <v>1900</v>
      </c>
      <c r="AF20" s="51">
        <f t="shared" si="13"/>
        <v>100</v>
      </c>
      <c r="AG20" s="58" t="s">
        <v>103</v>
      </c>
      <c r="AH20" s="63"/>
    </row>
    <row r="21" spans="1:35" ht="38.25" customHeight="1">
      <c r="A21" s="56">
        <v>6</v>
      </c>
      <c r="B21" s="49" t="s">
        <v>104</v>
      </c>
      <c r="C21" s="221" t="s">
        <v>225</v>
      </c>
      <c r="D21" s="222">
        <v>24240</v>
      </c>
      <c r="E21" s="222">
        <v>21078</v>
      </c>
      <c r="F21" s="222">
        <v>3162</v>
      </c>
      <c r="G21" s="222">
        <v>24240</v>
      </c>
      <c r="H21" s="222">
        <v>21078</v>
      </c>
      <c r="I21" s="222">
        <v>3162</v>
      </c>
      <c r="J21" s="59"/>
      <c r="K21" s="59"/>
      <c r="L21" s="59"/>
      <c r="M21" s="51">
        <v>0</v>
      </c>
      <c r="N21" s="59">
        <v>0</v>
      </c>
      <c r="O21" s="59">
        <v>0</v>
      </c>
      <c r="P21" s="51">
        <f t="shared" si="7"/>
        <v>500</v>
      </c>
      <c r="Q21" s="59">
        <v>500</v>
      </c>
      <c r="R21" s="59"/>
      <c r="S21" s="59"/>
      <c r="T21" s="59">
        <f>1879</f>
        <v>1879</v>
      </c>
      <c r="U21" s="59"/>
      <c r="V21" s="59">
        <v>87</v>
      </c>
      <c r="W21" s="59"/>
      <c r="X21" s="59">
        <v>3598</v>
      </c>
      <c r="Y21" s="59"/>
      <c r="Z21" s="59">
        <v>230</v>
      </c>
      <c r="AA21" s="51">
        <f t="shared" si="8"/>
        <v>1966</v>
      </c>
      <c r="AB21" s="51">
        <f t="shared" si="9"/>
        <v>1879</v>
      </c>
      <c r="AC21" s="51">
        <f t="shared" si="10"/>
        <v>87</v>
      </c>
      <c r="AD21" s="51">
        <f t="shared" si="11"/>
        <v>4328</v>
      </c>
      <c r="AE21" s="51">
        <f t="shared" si="12"/>
        <v>4098</v>
      </c>
      <c r="AF21" s="51">
        <f t="shared" si="13"/>
        <v>230</v>
      </c>
      <c r="AG21" s="58" t="s">
        <v>103</v>
      </c>
      <c r="AH21" s="38"/>
      <c r="AI21" s="81"/>
    </row>
    <row r="22" spans="1:34" ht="38.25" customHeight="1">
      <c r="A22" s="56">
        <v>7</v>
      </c>
      <c r="B22" s="65" t="s">
        <v>227</v>
      </c>
      <c r="C22" s="223" t="s">
        <v>226</v>
      </c>
      <c r="D22" s="224">
        <f>E22+F22</f>
        <v>12051</v>
      </c>
      <c r="E22" s="224">
        <v>10479</v>
      </c>
      <c r="F22" s="224">
        <v>1572</v>
      </c>
      <c r="G22" s="224">
        <f>H22+I22</f>
        <v>12051</v>
      </c>
      <c r="H22" s="224">
        <v>10479</v>
      </c>
      <c r="I22" s="224">
        <v>1572</v>
      </c>
      <c r="J22" s="59"/>
      <c r="K22" s="59"/>
      <c r="L22" s="59"/>
      <c r="M22" s="51">
        <v>0</v>
      </c>
      <c r="N22" s="59">
        <v>0</v>
      </c>
      <c r="O22" s="59">
        <v>0</v>
      </c>
      <c r="P22" s="51">
        <f t="shared" si="7"/>
        <v>500</v>
      </c>
      <c r="Q22" s="59">
        <v>500</v>
      </c>
      <c r="R22" s="59"/>
      <c r="S22" s="59"/>
      <c r="T22" s="59"/>
      <c r="U22" s="59"/>
      <c r="V22" s="59"/>
      <c r="W22" s="59"/>
      <c r="X22" s="59">
        <v>2700</v>
      </c>
      <c r="Y22" s="59"/>
      <c r="Z22" s="59">
        <v>200</v>
      </c>
      <c r="AA22" s="51">
        <f t="shared" si="8"/>
        <v>0</v>
      </c>
      <c r="AB22" s="51">
        <f t="shared" si="9"/>
        <v>0</v>
      </c>
      <c r="AC22" s="51">
        <f t="shared" si="10"/>
        <v>0</v>
      </c>
      <c r="AD22" s="51">
        <f t="shared" si="11"/>
        <v>3400</v>
      </c>
      <c r="AE22" s="51">
        <f t="shared" si="12"/>
        <v>3200</v>
      </c>
      <c r="AF22" s="51">
        <f t="shared" si="13"/>
        <v>200</v>
      </c>
      <c r="AG22" s="58" t="s">
        <v>103</v>
      </c>
      <c r="AH22" s="38"/>
    </row>
    <row r="23" spans="1:256" ht="14.25">
      <c r="A23" s="56">
        <v>8</v>
      </c>
      <c r="B23" s="49" t="s">
        <v>177</v>
      </c>
      <c r="C23" s="44"/>
      <c r="D23" s="44"/>
      <c r="E23" s="154"/>
      <c r="F23" s="154"/>
      <c r="G23" s="60"/>
      <c r="H23" s="60"/>
      <c r="I23" s="60"/>
      <c r="J23" s="60"/>
      <c r="K23" s="60"/>
      <c r="L23" s="60"/>
      <c r="M23" s="60"/>
      <c r="N23" s="60"/>
      <c r="O23" s="60"/>
      <c r="P23" s="62">
        <f t="shared" si="7"/>
        <v>6728</v>
      </c>
      <c r="Q23" s="62">
        <v>6298</v>
      </c>
      <c r="R23" s="62">
        <v>430</v>
      </c>
      <c r="S23" s="62"/>
      <c r="T23" s="62"/>
      <c r="U23" s="62"/>
      <c r="V23" s="62"/>
      <c r="W23" s="62">
        <v>6298</v>
      </c>
      <c r="X23" s="62"/>
      <c r="Y23" s="62">
        <v>430</v>
      </c>
      <c r="Z23" s="62"/>
      <c r="AA23" s="51">
        <f t="shared" si="8"/>
        <v>0</v>
      </c>
      <c r="AB23" s="51">
        <f t="shared" si="9"/>
        <v>0</v>
      </c>
      <c r="AC23" s="51">
        <f t="shared" si="10"/>
        <v>0</v>
      </c>
      <c r="AD23" s="51">
        <f t="shared" si="11"/>
        <v>0</v>
      </c>
      <c r="AE23" s="51">
        <f t="shared" si="12"/>
        <v>0</v>
      </c>
      <c r="AF23" s="51">
        <f t="shared" si="13"/>
        <v>0</v>
      </c>
      <c r="AG23" s="179"/>
      <c r="AH23" s="179"/>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c r="IV23" s="55"/>
    </row>
    <row r="24" spans="1:256" ht="78.75" customHeight="1">
      <c r="A24" s="67" t="s">
        <v>39</v>
      </c>
      <c r="B24" s="41" t="s">
        <v>113</v>
      </c>
      <c r="C24" s="173"/>
      <c r="D24" s="71"/>
      <c r="E24" s="71"/>
      <c r="F24" s="71"/>
      <c r="G24" s="68">
        <f>H24+I24</f>
        <v>0</v>
      </c>
      <c r="H24" s="68">
        <f>SUM(H25:H25)</f>
        <v>0</v>
      </c>
      <c r="I24" s="68">
        <f>SUM(I25:I25)</f>
        <v>0</v>
      </c>
      <c r="J24" s="68"/>
      <c r="K24" s="68"/>
      <c r="L24" s="68"/>
      <c r="M24" s="68">
        <f>SUM(M25:M25)</f>
        <v>1480</v>
      </c>
      <c r="N24" s="68">
        <f>SUM(N25:N25)</f>
        <v>1370</v>
      </c>
      <c r="O24" s="68">
        <f>SUM(O25:O25)</f>
        <v>110</v>
      </c>
      <c r="P24" s="68">
        <v>11148</v>
      </c>
      <c r="Q24" s="68">
        <v>10577</v>
      </c>
      <c r="R24" s="68">
        <v>571</v>
      </c>
      <c r="S24" s="68">
        <f aca="true" t="shared" si="14" ref="S24:AF24">SUM(S25:S25)</f>
        <v>1370</v>
      </c>
      <c r="T24" s="68">
        <f t="shared" si="14"/>
        <v>0</v>
      </c>
      <c r="U24" s="68">
        <f t="shared" si="14"/>
        <v>110</v>
      </c>
      <c r="V24" s="68">
        <f t="shared" si="14"/>
        <v>0</v>
      </c>
      <c r="W24" s="68">
        <f t="shared" si="14"/>
        <v>0</v>
      </c>
      <c r="X24" s="68">
        <f t="shared" si="14"/>
        <v>0</v>
      </c>
      <c r="Y24" s="68">
        <f t="shared" si="14"/>
        <v>0</v>
      </c>
      <c r="Z24" s="68">
        <f t="shared" si="14"/>
        <v>0</v>
      </c>
      <c r="AA24" s="68">
        <f t="shared" si="14"/>
        <v>0</v>
      </c>
      <c r="AB24" s="68">
        <f t="shared" si="14"/>
        <v>0</v>
      </c>
      <c r="AC24" s="68">
        <f t="shared" si="14"/>
        <v>0</v>
      </c>
      <c r="AD24" s="68">
        <f t="shared" si="14"/>
        <v>9208</v>
      </c>
      <c r="AE24" s="68">
        <f t="shared" si="14"/>
        <v>8637</v>
      </c>
      <c r="AF24" s="68">
        <f t="shared" si="14"/>
        <v>571</v>
      </c>
      <c r="AG24" s="72"/>
      <c r="AH24" s="15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c r="IV24" s="47"/>
    </row>
    <row r="25" spans="1:256" s="205" customFormat="1" ht="14.25">
      <c r="A25" s="56">
        <v>1</v>
      </c>
      <c r="B25" s="57" t="s">
        <v>177</v>
      </c>
      <c r="C25" s="173"/>
      <c r="D25" s="71"/>
      <c r="E25" s="71"/>
      <c r="F25" s="71"/>
      <c r="G25" s="68"/>
      <c r="H25" s="68"/>
      <c r="I25" s="68"/>
      <c r="J25" s="68"/>
      <c r="K25" s="68"/>
      <c r="L25" s="68"/>
      <c r="M25" s="59">
        <f>N25+O25</f>
        <v>1480</v>
      </c>
      <c r="N25" s="59">
        <v>1370</v>
      </c>
      <c r="O25" s="59">
        <f>69+41</f>
        <v>110</v>
      </c>
      <c r="P25" s="59">
        <v>9208</v>
      </c>
      <c r="Q25" s="59">
        <v>8637</v>
      </c>
      <c r="R25" s="59">
        <v>571</v>
      </c>
      <c r="S25" s="59">
        <v>1370</v>
      </c>
      <c r="T25" s="59"/>
      <c r="U25" s="59">
        <v>110</v>
      </c>
      <c r="V25" s="59"/>
      <c r="W25" s="59"/>
      <c r="X25" s="59"/>
      <c r="Y25" s="59"/>
      <c r="Z25" s="59"/>
      <c r="AA25" s="51">
        <f>AB25+AC25</f>
        <v>0</v>
      </c>
      <c r="AB25" s="51">
        <f>N25-S25+T25</f>
        <v>0</v>
      </c>
      <c r="AC25" s="51">
        <f>O25-U25+V25</f>
        <v>0</v>
      </c>
      <c r="AD25" s="51">
        <f>AE25+AF25</f>
        <v>9208</v>
      </c>
      <c r="AE25" s="51">
        <f>Q25-W25+X25</f>
        <v>8637</v>
      </c>
      <c r="AF25" s="51">
        <f>R25-Y25+Z25</f>
        <v>571</v>
      </c>
      <c r="AG25" s="179"/>
      <c r="AH25" s="179"/>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row>
    <row r="26" spans="1:34" ht="111.75" customHeight="1">
      <c r="A26" s="67" t="s">
        <v>55</v>
      </c>
      <c r="B26" s="41" t="s">
        <v>115</v>
      </c>
      <c r="C26" s="174"/>
      <c r="D26" s="74"/>
      <c r="E26" s="74"/>
      <c r="F26" s="74"/>
      <c r="G26" s="68">
        <f>H26+I26</f>
        <v>6605</v>
      </c>
      <c r="H26" s="68">
        <f>4742+1549</f>
        <v>6291</v>
      </c>
      <c r="I26" s="68">
        <f>237+77</f>
        <v>314</v>
      </c>
      <c r="J26" s="68"/>
      <c r="K26" s="68"/>
      <c r="L26" s="68"/>
      <c r="M26" s="68">
        <f>N26+O26</f>
        <v>896</v>
      </c>
      <c r="N26" s="68">
        <v>853</v>
      </c>
      <c r="O26" s="68">
        <v>43</v>
      </c>
      <c r="P26" s="42">
        <v>1589</v>
      </c>
      <c r="Q26" s="42">
        <v>1508</v>
      </c>
      <c r="R26" s="42">
        <v>81</v>
      </c>
      <c r="S26" s="42">
        <f>S27</f>
        <v>853</v>
      </c>
      <c r="T26" s="42">
        <f aca="true" t="shared" si="15" ref="T26:AF26">T27</f>
        <v>0</v>
      </c>
      <c r="U26" s="42">
        <f t="shared" si="15"/>
        <v>43</v>
      </c>
      <c r="V26" s="42">
        <f t="shared" si="15"/>
        <v>0</v>
      </c>
      <c r="W26" s="42">
        <f t="shared" si="15"/>
        <v>0</v>
      </c>
      <c r="X26" s="42">
        <f t="shared" si="15"/>
        <v>0</v>
      </c>
      <c r="Y26" s="42">
        <f t="shared" si="15"/>
        <v>0</v>
      </c>
      <c r="Z26" s="42">
        <f t="shared" si="15"/>
        <v>0</v>
      </c>
      <c r="AA26" s="42">
        <f t="shared" si="15"/>
        <v>0</v>
      </c>
      <c r="AB26" s="42">
        <f t="shared" si="15"/>
        <v>0</v>
      </c>
      <c r="AC26" s="42">
        <f t="shared" si="15"/>
        <v>0</v>
      </c>
      <c r="AD26" s="42">
        <f t="shared" si="15"/>
        <v>1589</v>
      </c>
      <c r="AE26" s="42">
        <f t="shared" si="15"/>
        <v>1508</v>
      </c>
      <c r="AF26" s="42">
        <f t="shared" si="15"/>
        <v>81</v>
      </c>
      <c r="AG26" s="179"/>
      <c r="AH26" s="179"/>
    </row>
    <row r="27" spans="1:34" ht="13.5">
      <c r="A27" s="56">
        <v>1</v>
      </c>
      <c r="B27" s="57" t="s">
        <v>177</v>
      </c>
      <c r="C27" s="174"/>
      <c r="D27" s="74"/>
      <c r="E27" s="74"/>
      <c r="F27" s="74"/>
      <c r="G27" s="225"/>
      <c r="H27" s="225"/>
      <c r="I27" s="225"/>
      <c r="J27" s="225"/>
      <c r="K27" s="225"/>
      <c r="L27" s="225"/>
      <c r="M27" s="59">
        <f>N27+O27</f>
        <v>896</v>
      </c>
      <c r="N27" s="59">
        <v>853</v>
      </c>
      <c r="O27" s="59">
        <v>43</v>
      </c>
      <c r="P27" s="64">
        <v>1589</v>
      </c>
      <c r="Q27" s="64">
        <v>1508</v>
      </c>
      <c r="R27" s="64">
        <v>81</v>
      </c>
      <c r="S27" s="64">
        <v>853</v>
      </c>
      <c r="T27" s="64"/>
      <c r="U27" s="64">
        <v>43</v>
      </c>
      <c r="V27" s="64"/>
      <c r="W27" s="64"/>
      <c r="X27" s="64"/>
      <c r="Y27" s="64"/>
      <c r="Z27" s="64"/>
      <c r="AA27" s="51">
        <f>AB27+AC27</f>
        <v>0</v>
      </c>
      <c r="AB27" s="51">
        <f>N27-S27+T27</f>
        <v>0</v>
      </c>
      <c r="AC27" s="51">
        <f>O27-U27+V27</f>
        <v>0</v>
      </c>
      <c r="AD27" s="51">
        <f>AE27+AF27</f>
        <v>1589</v>
      </c>
      <c r="AE27" s="51">
        <f>Q27-W27+X27</f>
        <v>1508</v>
      </c>
      <c r="AF27" s="51">
        <f>R27-Y27+Z27</f>
        <v>81</v>
      </c>
      <c r="AG27" s="174"/>
      <c r="AH27" s="226"/>
    </row>
  </sheetData>
  <sheetProtection/>
  <mergeCells count="47">
    <mergeCell ref="AE8:AF8"/>
    <mergeCell ref="AA6:AF6"/>
    <mergeCell ref="D8:D9"/>
    <mergeCell ref="E8:F8"/>
    <mergeCell ref="H8:H9"/>
    <mergeCell ref="I8:I9"/>
    <mergeCell ref="K8:K9"/>
    <mergeCell ref="L8:L9"/>
    <mergeCell ref="N8:N9"/>
    <mergeCell ref="O8:O9"/>
    <mergeCell ref="W8:X8"/>
    <mergeCell ref="AA7:AC7"/>
    <mergeCell ref="Q8:Q9"/>
    <mergeCell ref="R8:R9"/>
    <mergeCell ref="S8:T8"/>
    <mergeCell ref="U8:V8"/>
    <mergeCell ref="AD7:AF7"/>
    <mergeCell ref="Y8:Z8"/>
    <mergeCell ref="AA8:AA9"/>
    <mergeCell ref="AB8:AC8"/>
    <mergeCell ref="AD8:AD9"/>
    <mergeCell ref="S6:Z6"/>
    <mergeCell ref="S7:V7"/>
    <mergeCell ref="W7:Z7"/>
    <mergeCell ref="J6:L6"/>
    <mergeCell ref="J7:J9"/>
    <mergeCell ref="K7:L7"/>
    <mergeCell ref="AG6:AG9"/>
    <mergeCell ref="AH6:AH9"/>
    <mergeCell ref="C7:C9"/>
    <mergeCell ref="D7:F7"/>
    <mergeCell ref="G7:G9"/>
    <mergeCell ref="H7:I7"/>
    <mergeCell ref="M7:M9"/>
    <mergeCell ref="N7:O7"/>
    <mergeCell ref="P7:P9"/>
    <mergeCell ref="Q7:R7"/>
    <mergeCell ref="A1:B1"/>
    <mergeCell ref="A2:AH2"/>
    <mergeCell ref="A3:AH3"/>
    <mergeCell ref="AG5:AH5"/>
    <mergeCell ref="A6:A9"/>
    <mergeCell ref="B6:B9"/>
    <mergeCell ref="C6:F6"/>
    <mergeCell ref="G6:I6"/>
    <mergeCell ref="M6:O6"/>
    <mergeCell ref="P6:R6"/>
  </mergeCells>
  <printOptions horizontalCentered="1"/>
  <pageMargins left="0.31496062992125984" right="0.31496062992125984" top="0.52" bottom="0.33" header="0.3937007874015748" footer="0.23"/>
  <pageSetup fitToHeight="0" fitToWidth="1" horizontalDpi="600" verticalDpi="600" orientation="landscape" paperSize="9" scale="38" r:id="rId1"/>
</worksheet>
</file>

<file path=xl/worksheets/sheet8.xml><?xml version="1.0" encoding="utf-8"?>
<worksheet xmlns="http://schemas.openxmlformats.org/spreadsheetml/2006/main" xmlns:r="http://schemas.openxmlformats.org/officeDocument/2006/relationships">
  <dimension ref="C2:K13"/>
  <sheetViews>
    <sheetView zoomScalePageLayoutView="0" workbookViewId="0" topLeftCell="B1">
      <selection activeCell="G21" sqref="G21"/>
    </sheetView>
  </sheetViews>
  <sheetFormatPr defaultColWidth="9.140625" defaultRowHeight="15"/>
  <cols>
    <col min="6" max="6" width="11.7109375" style="0" customWidth="1"/>
    <col min="8" max="8" width="11.57421875" style="162" customWidth="1"/>
  </cols>
  <sheetData>
    <row r="2" spans="5:7" ht="14.25">
      <c r="E2">
        <v>768905</v>
      </c>
      <c r="F2">
        <v>614700</v>
      </c>
      <c r="G2">
        <f>E2-F2</f>
        <v>154205</v>
      </c>
    </row>
    <row r="3" spans="3:7" ht="14.25">
      <c r="C3">
        <f>SUM(C4:C13)</f>
        <v>93805</v>
      </c>
      <c r="D3" s="162">
        <f>SUM(D4:D13)</f>
        <v>5131</v>
      </c>
      <c r="G3">
        <f>F2-D3</f>
        <v>609569</v>
      </c>
    </row>
    <row r="4" spans="3:7" ht="14.25">
      <c r="C4">
        <v>2766</v>
      </c>
      <c r="D4">
        <v>86</v>
      </c>
      <c r="G4">
        <f>G2+D3</f>
        <v>159336</v>
      </c>
    </row>
    <row r="5" spans="3:4" ht="14.25">
      <c r="C5">
        <v>25936</v>
      </c>
      <c r="D5">
        <v>992</v>
      </c>
    </row>
    <row r="6" spans="3:11" ht="14.25">
      <c r="C6">
        <v>15009</v>
      </c>
      <c r="D6">
        <v>1160</v>
      </c>
      <c r="I6" s="162">
        <f>SUM(I7:I11)</f>
        <v>2850445</v>
      </c>
      <c r="J6">
        <f>SUM(J7:J11)</f>
        <v>2443304</v>
      </c>
      <c r="K6" s="162">
        <f>SUM(K7:K11)</f>
        <v>407141</v>
      </c>
    </row>
    <row r="7" spans="3:11" ht="15">
      <c r="C7">
        <v>8286</v>
      </c>
      <c r="D7">
        <v>447</v>
      </c>
      <c r="F7" s="87">
        <f>SUM(F8:F10)</f>
        <v>597098</v>
      </c>
      <c r="G7" s="87">
        <f>SUM(G8:G10)</f>
        <v>93805</v>
      </c>
      <c r="H7" s="87">
        <f>SUM(H8:H10)</f>
        <v>503293</v>
      </c>
      <c r="I7">
        <f>J7+K7</f>
        <v>768905</v>
      </c>
      <c r="J7">
        <v>609569</v>
      </c>
      <c r="K7">
        <v>159336</v>
      </c>
    </row>
    <row r="8" spans="3:10" ht="15">
      <c r="C8">
        <v>5651</v>
      </c>
      <c r="D8">
        <v>313</v>
      </c>
      <c r="F8" s="86">
        <v>105463</v>
      </c>
      <c r="G8">
        <v>2766</v>
      </c>
      <c r="H8" s="161">
        <f>F8-G8</f>
        <v>102697</v>
      </c>
      <c r="I8" s="162">
        <f>J8+K8</f>
        <v>1124500</v>
      </c>
      <c r="J8">
        <v>1124500</v>
      </c>
    </row>
    <row r="9" spans="3:11" ht="15">
      <c r="C9">
        <v>737</v>
      </c>
      <c r="D9">
        <v>40</v>
      </c>
      <c r="F9" s="86">
        <v>395135</v>
      </c>
      <c r="G9">
        <f>SUM(C5:C13)</f>
        <v>91039</v>
      </c>
      <c r="H9" s="161">
        <f>F9-G9</f>
        <v>304096</v>
      </c>
      <c r="I9" s="162">
        <f>J9+K9</f>
        <v>597098</v>
      </c>
      <c r="J9">
        <v>503293</v>
      </c>
      <c r="K9">
        <v>93805</v>
      </c>
    </row>
    <row r="10" spans="3:10" ht="15">
      <c r="C10">
        <v>6298</v>
      </c>
      <c r="D10">
        <v>430</v>
      </c>
      <c r="F10" s="86">
        <v>96500</v>
      </c>
      <c r="H10" s="161">
        <f>F10-G10</f>
        <v>96500</v>
      </c>
      <c r="I10" s="162">
        <f>J10+K10</f>
        <v>205942</v>
      </c>
      <c r="J10">
        <v>205942</v>
      </c>
    </row>
    <row r="11" spans="3:11" ht="14.25">
      <c r="C11">
        <v>17037</v>
      </c>
      <c r="D11">
        <v>1011</v>
      </c>
      <c r="I11" s="162">
        <f>J11+K11</f>
        <v>154000</v>
      </c>
      <c r="K11">
        <v>154000</v>
      </c>
    </row>
    <row r="12" spans="3:4" ht="14.25">
      <c r="C12">
        <v>10577</v>
      </c>
      <c r="D12">
        <v>571</v>
      </c>
    </row>
    <row r="13" spans="3:4" ht="14.25">
      <c r="C13">
        <v>1508</v>
      </c>
      <c r="D13">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ismail - [2010]</cp:lastModifiedBy>
  <cp:lastPrinted>2023-07-17T10:26:29Z</cp:lastPrinted>
  <dcterms:created xsi:type="dcterms:W3CDTF">2011-09-23T07:23:18Z</dcterms:created>
  <dcterms:modified xsi:type="dcterms:W3CDTF">2023-07-17T10:26:42Z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DDYPFUVZ5X6F-6-5615</vt:lpwstr>
  </property>
  <property fmtid="{D5CDD505-2E9C-101B-9397-08002B2CF9AE}" pid="4" name="_dlc_DocIdItemGu">
    <vt:lpwstr>de81801d-8dea-4e15-aae3-f4d9f5218582</vt:lpwstr>
  </property>
  <property fmtid="{D5CDD505-2E9C-101B-9397-08002B2CF9AE}" pid="5" name="_dlc_DocIdU">
    <vt:lpwstr>https://dbdc.backan.gov.vn/_layouts/15/DocIdRedir.aspx?ID=DDYPFUVZ5X6F-6-5615, DDYPFUVZ5X6F-6-5615</vt:lpwstr>
  </property>
  <property fmtid="{D5CDD505-2E9C-101B-9397-08002B2CF9AE}" pid="6" name="MaTinB">
    <vt:lpwstr>aa0c2b3588ca7bb0</vt:lpwstr>
  </property>
</Properties>
</file>