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 windowWidth="20340" windowHeight="7950" tabRatio="927" firstSheet="9" activeTab="9"/>
  </bookViews>
  <sheets>
    <sheet name="B1-TH DA" sheetId="1" state="hidden" r:id="rId1"/>
    <sheet name="PL 1" sheetId="36" state="hidden" r:id="rId2"/>
    <sheet name="PL 2" sheetId="33" state="hidden" r:id="rId3"/>
    <sheet name="PL 2 (sửa)" sheetId="40" state="hidden" r:id="rId4"/>
    <sheet name="PL 3" sheetId="35" state="hidden" r:id="rId5"/>
    <sheet name="PL4" sheetId="34" state="hidden" r:id="rId6"/>
    <sheet name="PL 5" sheetId="37" state="hidden" r:id="rId7"/>
    <sheet name="PL 6" sheetId="38" state="hidden" r:id="rId8"/>
    <sheet name="PL7a DTTS" sheetId="29" state="hidden" r:id="rId9"/>
    <sheet name="PL01-DBDT" sheetId="27" r:id="rId10"/>
    <sheet name="PL 8A GNBV" sheetId="30" state="hidden" r:id="rId11"/>
    <sheet name="PL02-GN" sheetId="28" r:id="rId12"/>
    <sheet name="PL 9a NTM" sheetId="31" state="hidden" r:id="rId13"/>
    <sheet name="PL03-NTM" sheetId="32" r:id="rId14"/>
    <sheet name="PL 10" sheetId="39" state="hidden" r:id="rId15"/>
    <sheet name="B3-DA1" sheetId="2" state="hidden" r:id="rId16"/>
    <sheet name="B4-TDA1,DA3" sheetId="3" state="hidden" r:id="rId17"/>
    <sheet name="B5-TDA2,DA3" sheetId="5" state="hidden" r:id="rId18"/>
    <sheet name="B6-DA4" sheetId="6" state="hidden" r:id="rId19"/>
    <sheet name="B7-TDA1,DA5" sheetId="7" state="hidden" r:id="rId20"/>
    <sheet name="B7-TDA2,DA5" sheetId="8" state="hidden" r:id="rId21"/>
    <sheet name="B8-TDA3,DA5" sheetId="9" state="hidden" r:id="rId22"/>
    <sheet name="B9-TDA4,DA5" sheetId="24" state="hidden" r:id="rId23"/>
    <sheet name="B10-DA6" sheetId="10" state="hidden" r:id="rId24"/>
    <sheet name="B11-DA7" sheetId="11" state="hidden" r:id="rId25"/>
    <sheet name="B12-DA8" sheetId="12" state="hidden" r:id="rId26"/>
    <sheet name="B13-TDA1,DA9" sheetId="25" state="hidden" r:id="rId27"/>
    <sheet name="B14-TDA2,DA9" sheetId="13" state="hidden" r:id="rId28"/>
    <sheet name="B15-TDA1,DA10" sheetId="14" state="hidden" r:id="rId29"/>
    <sheet name="B16-TDA2,DA10" sheetId="15" state="hidden" r:id="rId30"/>
    <sheet name="B17-TDA3,DA10" sheetId="26" state="hidden" r:id="rId31"/>
  </sheets>
  <externalReferences>
    <externalReference r:id="rId32"/>
    <externalReference r:id="rId33"/>
    <externalReference r:id="rId34"/>
  </externalReferences>
  <definedNames>
    <definedName name="_xlnm.Print_Area" localSheetId="23">'B10-DA6'!$A:$N</definedName>
    <definedName name="_xlnm.Print_Area" localSheetId="24">'B11-DA7'!$A:$L</definedName>
    <definedName name="_xlnm.Print_Area" localSheetId="26">'B13-TDA1,DA9'!$A:$L</definedName>
    <definedName name="_xlnm.Print_Area" localSheetId="28">'B15-TDA1,DA10'!$A$1:$O$15</definedName>
    <definedName name="_xlnm.Print_Titles" localSheetId="23">'B10-DA6'!$4:$4</definedName>
    <definedName name="_xlnm.Print_Titles" localSheetId="0">'B1-TH DA'!$6:$8</definedName>
    <definedName name="_xlnm.Print_Titles" localSheetId="15">'B3-DA1'!$6:$6</definedName>
    <definedName name="_xlnm.Print_Titles" localSheetId="16">'B4-TDA1,DA3'!$5:$5</definedName>
    <definedName name="_xlnm.Print_Titles" localSheetId="18">'B6-DA4'!$4:$4</definedName>
    <definedName name="_xlnm.Print_Titles" localSheetId="2">'PL 2'!$5:$5</definedName>
    <definedName name="_xlnm.Print_Titles" localSheetId="3">'PL 2 (sửa)'!$5:$5</definedName>
    <definedName name="_xlnm.Print_Titles" localSheetId="9">'PL01-DBDT'!$A:$B</definedName>
    <definedName name="_xlnm.Print_Titles" localSheetId="11">'PL02-GN'!$A:$B</definedName>
    <definedName name="_xlnm.Print_Titles" localSheetId="8">'PL7a DTTS'!$4:$7</definedName>
  </definedNames>
  <calcPr calcId="162913"/>
</workbook>
</file>

<file path=xl/calcChain.xml><?xml version="1.0" encoding="utf-8"?>
<calcChain xmlns="http://schemas.openxmlformats.org/spreadsheetml/2006/main">
  <c r="AA37" i="27" l="1"/>
  <c r="A2" i="40" l="1"/>
  <c r="D466" i="40"/>
  <c r="D465" i="40" s="1"/>
  <c r="D464" i="40"/>
  <c r="D462" i="40" s="1"/>
  <c r="D435" i="40"/>
  <c r="D432" i="40"/>
  <c r="D430" i="40"/>
  <c r="D427" i="40"/>
  <c r="D425" i="40"/>
  <c r="D422" i="40"/>
  <c r="D415" i="40"/>
  <c r="D413" i="40"/>
  <c r="D411" i="40" s="1"/>
  <c r="D408" i="40"/>
  <c r="D406" i="40" s="1"/>
  <c r="D407" i="40"/>
  <c r="D404" i="40"/>
  <c r="D403" i="40"/>
  <c r="D399" i="40"/>
  <c r="D398" i="40"/>
  <c r="D395" i="40" s="1"/>
  <c r="D386" i="40"/>
  <c r="D367" i="40"/>
  <c r="D362" i="40"/>
  <c r="D360" i="40"/>
  <c r="D353" i="40"/>
  <c r="D352" i="40" s="1"/>
  <c r="D345" i="40"/>
  <c r="D343" i="40"/>
  <c r="D335" i="40" s="1"/>
  <c r="D333" i="40"/>
  <c r="D330" i="40"/>
  <c r="D329" i="40"/>
  <c r="D326" i="40" s="1"/>
  <c r="D321" i="40"/>
  <c r="D316" i="40"/>
  <c r="D310" i="40"/>
  <c r="D304" i="40"/>
  <c r="D303" i="40"/>
  <c r="D299" i="40"/>
  <c r="D280" i="40"/>
  <c r="D278" i="40" s="1"/>
  <c r="D279" i="40"/>
  <c r="D270" i="40"/>
  <c r="D265" i="40"/>
  <c r="D256" i="40"/>
  <c r="D244" i="40"/>
  <c r="D242" i="40"/>
  <c r="D234" i="40"/>
  <c r="D218" i="40"/>
  <c r="D208" i="40"/>
  <c r="D205" i="40"/>
  <c r="D180" i="40"/>
  <c r="D176" i="40"/>
  <c r="D140" i="40"/>
  <c r="D124" i="40"/>
  <c r="D123" i="40"/>
  <c r="D105" i="40"/>
  <c r="D89" i="40"/>
  <c r="D86" i="40"/>
  <c r="D85" i="40"/>
  <c r="D84" i="40" s="1"/>
  <c r="D80" i="40"/>
  <c r="D79" i="40"/>
  <c r="D73" i="40"/>
  <c r="D71" i="40"/>
  <c r="D70" i="40"/>
  <c r="D61" i="40"/>
  <c r="D42" i="40"/>
  <c r="D37" i="40"/>
  <c r="D25" i="40"/>
  <c r="D20" i="40"/>
  <c r="D18" i="40"/>
  <c r="D17" i="40"/>
  <c r="D15" i="40"/>
  <c r="D14" i="40"/>
  <c r="D6" i="40"/>
  <c r="D69" i="40" l="1"/>
  <c r="D297" i="40"/>
  <c r="D122" i="40"/>
  <c r="D241" i="40"/>
  <c r="D78" i="40"/>
  <c r="D13" i="40"/>
  <c r="D206" i="40"/>
  <c r="A2" i="39"/>
  <c r="U6" i="39"/>
  <c r="C13" i="39"/>
  <c r="Z13" i="39"/>
  <c r="Y13" i="39"/>
  <c r="W13" i="39"/>
  <c r="V13" i="39"/>
  <c r="T13" i="39"/>
  <c r="Q13" i="39"/>
  <c r="N13" i="39"/>
  <c r="M13" i="39"/>
  <c r="I13" i="39"/>
  <c r="H13" i="39"/>
  <c r="G13" i="39"/>
  <c r="AA12" i="39"/>
  <c r="X12" i="39"/>
  <c r="S12" i="39"/>
  <c r="U12" i="39" s="1"/>
  <c r="P12" i="39"/>
  <c r="R12" i="39" s="1"/>
  <c r="O12" i="39"/>
  <c r="K12" i="39"/>
  <c r="L12" i="39" s="1"/>
  <c r="AA11" i="39"/>
  <c r="X11" i="39"/>
  <c r="S11" i="39"/>
  <c r="U11" i="39" s="1"/>
  <c r="P11" i="39"/>
  <c r="R11" i="39" s="1"/>
  <c r="O11" i="39"/>
  <c r="K11" i="39"/>
  <c r="L11" i="39" s="1"/>
  <c r="E11" i="39" s="1"/>
  <c r="AA10" i="39"/>
  <c r="X10" i="39"/>
  <c r="S10" i="39"/>
  <c r="U10" i="39" s="1"/>
  <c r="P10" i="39"/>
  <c r="R10" i="39" s="1"/>
  <c r="O10" i="39"/>
  <c r="L10" i="39"/>
  <c r="AA9" i="39"/>
  <c r="X9" i="39"/>
  <c r="S9" i="39"/>
  <c r="U9" i="39" s="1"/>
  <c r="P9" i="39"/>
  <c r="R9" i="39" s="1"/>
  <c r="O9" i="39"/>
  <c r="K9" i="39"/>
  <c r="K13" i="39" s="1"/>
  <c r="AA8" i="39"/>
  <c r="X8" i="39"/>
  <c r="S8" i="39"/>
  <c r="U8" i="39" s="1"/>
  <c r="P8" i="39"/>
  <c r="R8" i="39" s="1"/>
  <c r="O8" i="39"/>
  <c r="L8" i="39"/>
  <c r="AA7" i="39"/>
  <c r="X7" i="39"/>
  <c r="S7" i="39"/>
  <c r="U7" i="39" s="1"/>
  <c r="P7" i="39"/>
  <c r="R7" i="39" s="1"/>
  <c r="O7" i="39"/>
  <c r="L7" i="39"/>
  <c r="AA6" i="39"/>
  <c r="X6" i="39"/>
  <c r="S6" i="39"/>
  <c r="P6" i="39"/>
  <c r="R6" i="39" s="1"/>
  <c r="O6" i="39"/>
  <c r="L6" i="39"/>
  <c r="L5" i="39"/>
  <c r="O5" i="39" s="1"/>
  <c r="F11" i="39" l="1"/>
  <c r="D11" i="39" s="1"/>
  <c r="F6" i="39"/>
  <c r="O13" i="39"/>
  <c r="X13" i="39"/>
  <c r="AB15" i="39" s="1"/>
  <c r="F12" i="39"/>
  <c r="AA13" i="39"/>
  <c r="AB16" i="39" s="1"/>
  <c r="F9" i="39"/>
  <c r="S13" i="39"/>
  <c r="F10" i="39"/>
  <c r="E10" i="39"/>
  <c r="R13" i="39"/>
  <c r="U13" i="39"/>
  <c r="E8" i="39"/>
  <c r="E6" i="39"/>
  <c r="E12" i="39"/>
  <c r="X5" i="39"/>
  <c r="AA5" i="39" s="1"/>
  <c r="R5" i="39"/>
  <c r="U5" i="39" s="1"/>
  <c r="E7" i="39"/>
  <c r="F7" i="39"/>
  <c r="F8" i="39"/>
  <c r="L9" i="39"/>
  <c r="E9" i="39" s="1"/>
  <c r="D9" i="39" s="1"/>
  <c r="D8" i="39" l="1"/>
  <c r="D12" i="39"/>
  <c r="D10" i="39"/>
  <c r="AB17" i="39"/>
  <c r="AB19" i="39" s="1"/>
  <c r="AB20" i="39" s="1"/>
  <c r="AB21" i="39" s="1"/>
  <c r="D7" i="39"/>
  <c r="F13" i="39"/>
  <c r="L13" i="39"/>
  <c r="E13" i="39"/>
  <c r="D6" i="39"/>
  <c r="D13" i="39" l="1"/>
  <c r="P2" i="27" l="1"/>
  <c r="AC2" i="27" s="1"/>
  <c r="AP2" i="27" s="1"/>
  <c r="D91" i="38" l="1"/>
  <c r="D88" i="38"/>
  <c r="D86" i="38"/>
  <c r="D84" i="38"/>
  <c r="D81" i="38"/>
  <c r="D79" i="38"/>
  <c r="D76" i="38"/>
  <c r="D73" i="38"/>
  <c r="D71" i="38"/>
  <c r="D69" i="38"/>
  <c r="D66" i="38"/>
  <c r="D64" i="38"/>
  <c r="D61" i="38"/>
  <c r="D48" i="38"/>
  <c r="D45" i="38"/>
  <c r="D42" i="38"/>
  <c r="D39" i="38"/>
  <c r="D37" i="38"/>
  <c r="D35" i="38"/>
  <c r="D33" i="38"/>
  <c r="D25" i="38"/>
  <c r="D23" i="38"/>
  <c r="D21" i="38"/>
  <c r="D19" i="38"/>
  <c r="D14" i="38"/>
  <c r="D11" i="38"/>
  <c r="D9" i="38"/>
  <c r="D21" i="37"/>
  <c r="D19" i="37"/>
  <c r="D18" i="37"/>
  <c r="D17" i="37"/>
  <c r="D16" i="37"/>
  <c r="D15" i="37"/>
  <c r="D14" i="37"/>
  <c r="D13" i="37"/>
  <c r="D12" i="37"/>
  <c r="D11" i="37"/>
  <c r="D10" i="37"/>
  <c r="D9" i="37"/>
  <c r="D8" i="37"/>
  <c r="D7" i="37"/>
  <c r="C6" i="37"/>
  <c r="C5" i="37" s="1"/>
  <c r="D6" i="37" l="1"/>
  <c r="D5" i="37" s="1"/>
  <c r="D41" i="38"/>
  <c r="D8" i="38"/>
  <c r="D7" i="38" l="1"/>
  <c r="A2" i="35"/>
  <c r="D15" i="35"/>
  <c r="C15" i="35"/>
  <c r="D6" i="35"/>
  <c r="D5" i="35" s="1"/>
  <c r="C6" i="35"/>
  <c r="C5" i="35" s="1"/>
  <c r="A3" i="34" l="1"/>
  <c r="A2" i="37" s="1"/>
  <c r="A2" i="38" s="1"/>
  <c r="A2" i="29" s="1"/>
  <c r="F22" i="34"/>
  <c r="E22" i="34" s="1"/>
  <c r="L21" i="34"/>
  <c r="I21" i="34"/>
  <c r="H21" i="34"/>
  <c r="F21" i="34"/>
  <c r="E21" i="34" s="1"/>
  <c r="E20" i="34"/>
  <c r="F19" i="34"/>
  <c r="E19" i="34" s="1"/>
  <c r="E18" i="34"/>
  <c r="E17" i="34"/>
  <c r="M16" i="34"/>
  <c r="E16" i="34"/>
  <c r="E15" i="34"/>
  <c r="E14" i="34"/>
  <c r="E13" i="34"/>
  <c r="E12" i="34"/>
  <c r="E11" i="34"/>
  <c r="N10" i="34"/>
  <c r="M10" i="34"/>
  <c r="L10" i="34"/>
  <c r="L7" i="34" s="1"/>
  <c r="K10" i="34"/>
  <c r="J10" i="34"/>
  <c r="I10" i="34"/>
  <c r="I7" i="34" s="1"/>
  <c r="H10" i="34"/>
  <c r="H7" i="34" s="1"/>
  <c r="G10" i="34"/>
  <c r="G7" i="34" s="1"/>
  <c r="F10" i="34"/>
  <c r="N8" i="34"/>
  <c r="M8" i="34"/>
  <c r="L8" i="34"/>
  <c r="K8" i="34"/>
  <c r="J8" i="34"/>
  <c r="I8" i="34"/>
  <c r="H8" i="34"/>
  <c r="G8" i="34"/>
  <c r="G9" i="34" s="1"/>
  <c r="F8" i="34"/>
  <c r="N7" i="34"/>
  <c r="M7" i="34" l="1"/>
  <c r="M9" i="34"/>
  <c r="L9" i="34"/>
  <c r="N9" i="34"/>
  <c r="E8" i="34"/>
  <c r="F7" i="34"/>
  <c r="J9" i="34"/>
  <c r="H9" i="34"/>
  <c r="K9" i="34"/>
  <c r="I9" i="34"/>
  <c r="F9" i="34"/>
  <c r="J7" i="34"/>
  <c r="K7" i="34"/>
  <c r="E10" i="34"/>
  <c r="D579" i="33"/>
  <c r="D578" i="33"/>
  <c r="D577" i="33"/>
  <c r="D575" i="33" s="1"/>
  <c r="D548" i="33"/>
  <c r="D545" i="33"/>
  <c r="D543" i="33"/>
  <c r="D540" i="33"/>
  <c r="D538" i="33"/>
  <c r="D528" i="33"/>
  <c r="D523" i="33"/>
  <c r="D521" i="33"/>
  <c r="D515" i="33" s="1"/>
  <c r="D513" i="33"/>
  <c r="D506" i="33"/>
  <c r="D501" i="33"/>
  <c r="D492" i="33"/>
  <c r="D473" i="33"/>
  <c r="D464" i="33"/>
  <c r="D452" i="33"/>
  <c r="D445" i="33"/>
  <c r="D441" i="33"/>
  <c r="D433" i="33" s="1"/>
  <c r="D431" i="33"/>
  <c r="D428" i="33"/>
  <c r="D422" i="33"/>
  <c r="D415" i="33"/>
  <c r="D410" i="33"/>
  <c r="D404" i="33"/>
  <c r="D398" i="33"/>
  <c r="D389" i="33"/>
  <c r="D367" i="33"/>
  <c r="D324" i="33"/>
  <c r="D317" i="33"/>
  <c r="D280" i="33"/>
  <c r="D278" i="33" s="1"/>
  <c r="D241" i="33"/>
  <c r="D209" i="33"/>
  <c r="D206" i="33"/>
  <c r="D181" i="33"/>
  <c r="D164" i="33"/>
  <c r="D148" i="33"/>
  <c r="D124" i="33"/>
  <c r="D111" i="33"/>
  <c r="D99" i="33"/>
  <c r="D87" i="33"/>
  <c r="D68" i="33"/>
  <c r="D60" i="33"/>
  <c r="D42" i="33"/>
  <c r="D14" i="33"/>
  <c r="D13" i="33" s="1"/>
  <c r="D6" i="33"/>
  <c r="D201" i="33" l="1"/>
  <c r="E7" i="34"/>
  <c r="E9" i="34"/>
  <c r="AL34" i="32"/>
  <c r="AK34" i="32"/>
  <c r="AJ34" i="32" s="1"/>
  <c r="AI34" i="32"/>
  <c r="AH34" i="32"/>
  <c r="AD34" i="32"/>
  <c r="AB34" i="32"/>
  <c r="AA34" i="32" s="1"/>
  <c r="X34" i="32"/>
  <c r="W34" i="32"/>
  <c r="V34" i="32"/>
  <c r="T34" i="32"/>
  <c r="S34" i="32"/>
  <c r="Q34" i="32"/>
  <c r="Q26" i="32" s="1"/>
  <c r="P34" i="32"/>
  <c r="O34" i="32" s="1"/>
  <c r="N34" i="32"/>
  <c r="M34" i="32"/>
  <c r="I34" i="32"/>
  <c r="F34" i="32"/>
  <c r="AJ33" i="32"/>
  <c r="AI33" i="32"/>
  <c r="AH33" i="32"/>
  <c r="AD33" i="32"/>
  <c r="AC33" i="32"/>
  <c r="AB33" i="32"/>
  <c r="X33" i="32"/>
  <c r="W33" i="32"/>
  <c r="V33" i="32"/>
  <c r="T33" i="32"/>
  <c r="S33" i="32"/>
  <c r="O33" i="32"/>
  <c r="N33" i="32"/>
  <c r="M33" i="32"/>
  <c r="I33" i="32"/>
  <c r="F33" i="32"/>
  <c r="AJ32" i="32"/>
  <c r="AI32" i="32"/>
  <c r="AH32" i="32"/>
  <c r="AD32" i="32"/>
  <c r="AC32" i="32"/>
  <c r="AB32" i="32"/>
  <c r="X32" i="32"/>
  <c r="U32" i="32"/>
  <c r="O32" i="32"/>
  <c r="N32" i="32"/>
  <c r="M32" i="32"/>
  <c r="I32" i="32"/>
  <c r="F32" i="32"/>
  <c r="AL31" i="32"/>
  <c r="AK31" i="32"/>
  <c r="AI31" i="32"/>
  <c r="AH31" i="32"/>
  <c r="AG31" i="32" s="1"/>
  <c r="AD31" i="32"/>
  <c r="AC31" i="32"/>
  <c r="AB31" i="32"/>
  <c r="X31" i="32"/>
  <c r="W31" i="32"/>
  <c r="V31" i="32"/>
  <c r="T31" i="32"/>
  <c r="S31" i="32"/>
  <c r="O31" i="32"/>
  <c r="N31" i="32"/>
  <c r="M31" i="32"/>
  <c r="K31" i="32"/>
  <c r="J31" i="32"/>
  <c r="F31" i="32"/>
  <c r="AL30" i="32"/>
  <c r="AK30" i="32"/>
  <c r="AJ30" i="32" s="1"/>
  <c r="AI30" i="32"/>
  <c r="AH30" i="32"/>
  <c r="AD30" i="32"/>
  <c r="AC30" i="32"/>
  <c r="AB30" i="32"/>
  <c r="X30" i="32"/>
  <c r="W30" i="32"/>
  <c r="V30" i="32"/>
  <c r="T30" i="32"/>
  <c r="S30" i="32"/>
  <c r="O30" i="32"/>
  <c r="N30" i="32"/>
  <c r="M30" i="32"/>
  <c r="I30" i="32"/>
  <c r="F30" i="32"/>
  <c r="AL29" i="32"/>
  <c r="AK29" i="32"/>
  <c r="AI29" i="32"/>
  <c r="AH29" i="32"/>
  <c r="AD29" i="32"/>
  <c r="AC29" i="32"/>
  <c r="AB29" i="32"/>
  <c r="X29" i="32"/>
  <c r="W29" i="32"/>
  <c r="V29" i="32"/>
  <c r="T29" i="32"/>
  <c r="S29" i="32"/>
  <c r="O29" i="32"/>
  <c r="N29" i="32"/>
  <c r="M29" i="32"/>
  <c r="I29" i="32"/>
  <c r="F29" i="32"/>
  <c r="AJ28" i="32"/>
  <c r="AI28" i="32"/>
  <c r="AH28" i="32"/>
  <c r="AD28" i="32"/>
  <c r="AC28" i="32"/>
  <c r="AB28" i="32"/>
  <c r="X28" i="32"/>
  <c r="W28" i="32"/>
  <c r="V28" i="32"/>
  <c r="R28" i="32"/>
  <c r="O28" i="32"/>
  <c r="N28" i="32"/>
  <c r="M28" i="32"/>
  <c r="K28" i="32"/>
  <c r="J28" i="32"/>
  <c r="F28" i="32"/>
  <c r="AL27" i="32"/>
  <c r="AK27" i="32"/>
  <c r="AI27" i="32"/>
  <c r="AH27" i="32"/>
  <c r="AD27" i="32"/>
  <c r="AC27" i="32"/>
  <c r="AB27" i="32"/>
  <c r="X27" i="32"/>
  <c r="W27" i="32"/>
  <c r="V27" i="32"/>
  <c r="R27" i="32"/>
  <c r="O27" i="32"/>
  <c r="N27" i="32"/>
  <c r="M27" i="32"/>
  <c r="K27" i="32"/>
  <c r="J27" i="32"/>
  <c r="F27" i="32"/>
  <c r="AF26" i="32"/>
  <c r="AE26" i="32"/>
  <c r="Z26" i="32"/>
  <c r="Y26" i="32"/>
  <c r="H26" i="32"/>
  <c r="G26" i="32"/>
  <c r="AG25" i="32"/>
  <c r="AA25" i="32"/>
  <c r="X25" i="32"/>
  <c r="U25" i="32"/>
  <c r="R25" i="32"/>
  <c r="O25" i="32"/>
  <c r="N25" i="32"/>
  <c r="E25" i="32" s="1"/>
  <c r="M25" i="32"/>
  <c r="D25" i="32" s="1"/>
  <c r="I25" i="32"/>
  <c r="AG24" i="32"/>
  <c r="AF24" i="32"/>
  <c r="E24" i="32" s="1"/>
  <c r="AE24" i="32"/>
  <c r="AE12" i="32" s="1"/>
  <c r="AE11" i="32" s="1"/>
  <c r="AC23" i="32"/>
  <c r="E23" i="32" s="1"/>
  <c r="AB23" i="32"/>
  <c r="D23" i="32" s="1"/>
  <c r="AG22" i="32"/>
  <c r="AC22" i="32"/>
  <c r="AB22" i="32"/>
  <c r="X22" i="32"/>
  <c r="W22" i="32"/>
  <c r="V22" i="32"/>
  <c r="R22" i="32"/>
  <c r="O22" i="32"/>
  <c r="L22" i="32"/>
  <c r="I22" i="32"/>
  <c r="AG21" i="32"/>
  <c r="AC21" i="32"/>
  <c r="AB21" i="32"/>
  <c r="X21" i="32"/>
  <c r="U21" i="32"/>
  <c r="R21" i="32"/>
  <c r="O21" i="32"/>
  <c r="N21" i="32"/>
  <c r="M21" i="32"/>
  <c r="I21" i="32"/>
  <c r="AI20" i="32"/>
  <c r="E20" i="32" s="1"/>
  <c r="AH20" i="32"/>
  <c r="AG19" i="32"/>
  <c r="Z19" i="32"/>
  <c r="E19" i="32" s="1"/>
  <c r="Y19" i="32"/>
  <c r="D19" i="32" s="1"/>
  <c r="AG18" i="32"/>
  <c r="AA18" i="32"/>
  <c r="X18" i="32"/>
  <c r="U18" i="32"/>
  <c r="R18" i="32"/>
  <c r="O18" i="32"/>
  <c r="N18" i="32"/>
  <c r="E18" i="32" s="1"/>
  <c r="M18" i="32"/>
  <c r="L18" i="32" s="1"/>
  <c r="I18" i="32"/>
  <c r="AG17" i="32"/>
  <c r="AA17" i="32"/>
  <c r="Z17" i="32"/>
  <c r="Y17" i="32"/>
  <c r="U17" i="32"/>
  <c r="R17" i="32"/>
  <c r="O17" i="32"/>
  <c r="L17" i="32"/>
  <c r="I17" i="32"/>
  <c r="AI16" i="32"/>
  <c r="E16" i="32" s="1"/>
  <c r="AH16" i="32"/>
  <c r="D16" i="32" s="1"/>
  <c r="AA16" i="32"/>
  <c r="X16" i="32"/>
  <c r="U16" i="32"/>
  <c r="R16" i="32"/>
  <c r="O16" i="32"/>
  <c r="L16" i="32"/>
  <c r="I16" i="32"/>
  <c r="AA15" i="32"/>
  <c r="X15" i="32"/>
  <c r="U15" i="32"/>
  <c r="Q15" i="32"/>
  <c r="Q12" i="32" s="1"/>
  <c r="P15" i="32"/>
  <c r="P12" i="32" s="1"/>
  <c r="L15" i="32"/>
  <c r="I15" i="32"/>
  <c r="AJ14" i="32"/>
  <c r="AI14" i="32"/>
  <c r="AH14" i="32"/>
  <c r="AD14" i="32"/>
  <c r="AA14" i="32"/>
  <c r="Z14" i="32"/>
  <c r="Y14" i="32"/>
  <c r="W14" i="32"/>
  <c r="V14" i="32"/>
  <c r="U14" i="32" s="1"/>
  <c r="R14" i="32"/>
  <c r="O14" i="32"/>
  <c r="N14" i="32"/>
  <c r="M14" i="32"/>
  <c r="L14" i="32" s="1"/>
  <c r="K14" i="32"/>
  <c r="K12" i="32" s="1"/>
  <c r="J14" i="32"/>
  <c r="F14" i="32"/>
  <c r="AJ13" i="32"/>
  <c r="AI13" i="32"/>
  <c r="AH13" i="32"/>
  <c r="AG13" i="32" s="1"/>
  <c r="AD13" i="32"/>
  <c r="AA13" i="32"/>
  <c r="X13" i="32"/>
  <c r="U13" i="32"/>
  <c r="R13" i="32"/>
  <c r="O13" i="32"/>
  <c r="N13" i="32"/>
  <c r="M13" i="32"/>
  <c r="I13" i="32"/>
  <c r="F13" i="32"/>
  <c r="T12" i="32"/>
  <c r="S12" i="32"/>
  <c r="H12" i="32"/>
  <c r="G12" i="32"/>
  <c r="G11" i="32" s="1"/>
  <c r="H11" i="32"/>
  <c r="P18" i="31"/>
  <c r="J18" i="31"/>
  <c r="O18" i="31" s="1"/>
  <c r="G18" i="31"/>
  <c r="N18" i="31" s="1"/>
  <c r="C18" i="31"/>
  <c r="P17" i="31"/>
  <c r="J17" i="31"/>
  <c r="O17" i="31" s="1"/>
  <c r="G17" i="31"/>
  <c r="N17" i="31" s="1"/>
  <c r="C17" i="31"/>
  <c r="P16" i="31"/>
  <c r="J16" i="31"/>
  <c r="O16" i="31" s="1"/>
  <c r="G16" i="31"/>
  <c r="N16" i="31" s="1"/>
  <c r="C16" i="31"/>
  <c r="P15" i="31"/>
  <c r="J15" i="31"/>
  <c r="O15" i="31" s="1"/>
  <c r="G15" i="31"/>
  <c r="N15" i="31" s="1"/>
  <c r="C15" i="31"/>
  <c r="P14" i="31"/>
  <c r="J14" i="31"/>
  <c r="O14" i="31" s="1"/>
  <c r="G14" i="31"/>
  <c r="N14" i="31" s="1"/>
  <c r="C14" i="31"/>
  <c r="P13" i="31"/>
  <c r="J13" i="31"/>
  <c r="O13" i="31" s="1"/>
  <c r="G13" i="31"/>
  <c r="N13" i="31" s="1"/>
  <c r="C13" i="31"/>
  <c r="P12" i="31"/>
  <c r="J12" i="31"/>
  <c r="O12" i="31" s="1"/>
  <c r="G12" i="31"/>
  <c r="N12" i="31" s="1"/>
  <c r="F12" i="31"/>
  <c r="C12" i="31"/>
  <c r="M12" i="31" s="1"/>
  <c r="P11" i="31"/>
  <c r="J11" i="31"/>
  <c r="O11" i="31" s="1"/>
  <c r="G11" i="31"/>
  <c r="N11" i="31" s="1"/>
  <c r="C11" i="31"/>
  <c r="S10" i="31"/>
  <c r="R10" i="31"/>
  <c r="Q10" i="31"/>
  <c r="L10" i="31"/>
  <c r="K10" i="31"/>
  <c r="I10" i="31"/>
  <c r="H10" i="31"/>
  <c r="E10" i="31"/>
  <c r="D10" i="31"/>
  <c r="L16" i="30"/>
  <c r="K16" i="30"/>
  <c r="J16" i="30"/>
  <c r="I16" i="30"/>
  <c r="L15" i="30"/>
  <c r="K15" i="30"/>
  <c r="J15" i="30"/>
  <c r="I15" i="30"/>
  <c r="I14" i="30" s="1"/>
  <c r="I13" i="30" s="1"/>
  <c r="N14" i="30"/>
  <c r="N13" i="30" s="1"/>
  <c r="M14" i="30"/>
  <c r="M13" i="30" s="1"/>
  <c r="H14" i="30"/>
  <c r="H13" i="30" s="1"/>
  <c r="G14" i="30"/>
  <c r="G13" i="30" s="1"/>
  <c r="F14" i="30"/>
  <c r="E14" i="30"/>
  <c r="E13" i="30" s="1"/>
  <c r="D14" i="30"/>
  <c r="D13" i="30" s="1"/>
  <c r="C14" i="30"/>
  <c r="C13" i="30" s="1"/>
  <c r="F13" i="30"/>
  <c r="L12" i="30"/>
  <c r="H12" i="30"/>
  <c r="G12" i="30"/>
  <c r="J12" i="30" s="1"/>
  <c r="E12" i="30"/>
  <c r="C12" i="30" s="1"/>
  <c r="L11" i="30"/>
  <c r="L10" i="30" s="1"/>
  <c r="K11" i="30"/>
  <c r="K10" i="30" s="1"/>
  <c r="J11" i="30"/>
  <c r="J10" i="30" s="1"/>
  <c r="J9" i="30" s="1"/>
  <c r="J8" i="30" s="1"/>
  <c r="F11" i="30"/>
  <c r="F10" i="30" s="1"/>
  <c r="C11" i="30"/>
  <c r="C10" i="30" s="1"/>
  <c r="P10" i="30"/>
  <c r="N10" i="30"/>
  <c r="M10" i="30"/>
  <c r="H10" i="30"/>
  <c r="G10" i="30"/>
  <c r="G9" i="30" s="1"/>
  <c r="G8" i="30" s="1"/>
  <c r="E10" i="30"/>
  <c r="D10" i="30"/>
  <c r="D9" i="30" s="1"/>
  <c r="D8" i="30" s="1"/>
  <c r="N9" i="30"/>
  <c r="N8" i="30" s="1"/>
  <c r="M9" i="30"/>
  <c r="M8" i="30" s="1"/>
  <c r="Q95" i="29"/>
  <c r="P95" i="29"/>
  <c r="O95" i="29"/>
  <c r="K95" i="29"/>
  <c r="H95" i="29"/>
  <c r="Q94" i="29"/>
  <c r="P94" i="29"/>
  <c r="O94" i="29"/>
  <c r="K94" i="29"/>
  <c r="H94" i="29"/>
  <c r="Q93" i="29"/>
  <c r="P93" i="29"/>
  <c r="O93" i="29"/>
  <c r="K93" i="29"/>
  <c r="H93" i="29"/>
  <c r="N93" i="29" s="1"/>
  <c r="Q92" i="29"/>
  <c r="P92" i="29"/>
  <c r="O92" i="29"/>
  <c r="K92" i="29"/>
  <c r="H92" i="29"/>
  <c r="N92" i="29" s="1"/>
  <c r="Q91" i="29"/>
  <c r="P91" i="29"/>
  <c r="O91" i="29"/>
  <c r="K91" i="29"/>
  <c r="H91" i="29"/>
  <c r="Q90" i="29"/>
  <c r="P90" i="29"/>
  <c r="O90" i="29"/>
  <c r="K90" i="29"/>
  <c r="H90" i="29"/>
  <c r="N90" i="29" s="1"/>
  <c r="Q89" i="29"/>
  <c r="P89" i="29"/>
  <c r="O89" i="29"/>
  <c r="K89" i="29"/>
  <c r="H89" i="29"/>
  <c r="R88" i="29"/>
  <c r="M88" i="29"/>
  <c r="L88" i="29"/>
  <c r="J88" i="29"/>
  <c r="I88" i="29"/>
  <c r="Q87" i="29"/>
  <c r="P87" i="29"/>
  <c r="O87" i="29"/>
  <c r="K87" i="29"/>
  <c r="H87" i="29"/>
  <c r="Q86" i="29"/>
  <c r="P86" i="29"/>
  <c r="O86" i="29"/>
  <c r="K86" i="29"/>
  <c r="H86" i="29"/>
  <c r="Q85" i="29"/>
  <c r="P85" i="29"/>
  <c r="O85" i="29"/>
  <c r="K85" i="29"/>
  <c r="H85" i="29"/>
  <c r="N85" i="29" s="1"/>
  <c r="Q84" i="29"/>
  <c r="P84" i="29"/>
  <c r="O84" i="29"/>
  <c r="K84" i="29"/>
  <c r="H84" i="29"/>
  <c r="Q83" i="29"/>
  <c r="P83" i="29"/>
  <c r="O83" i="29"/>
  <c r="K83" i="29"/>
  <c r="H83" i="29"/>
  <c r="Q82" i="29"/>
  <c r="P82" i="29"/>
  <c r="O82" i="29"/>
  <c r="K82" i="29"/>
  <c r="H82" i="29"/>
  <c r="N82" i="29" s="1"/>
  <c r="Q81" i="29"/>
  <c r="P81" i="29"/>
  <c r="O81" i="29"/>
  <c r="K81" i="29"/>
  <c r="H81" i="29"/>
  <c r="Q80" i="29"/>
  <c r="P80" i="29"/>
  <c r="O80" i="29"/>
  <c r="K80" i="29"/>
  <c r="H80" i="29"/>
  <c r="S79" i="29"/>
  <c r="S78" i="29" s="1"/>
  <c r="R79" i="29"/>
  <c r="R78" i="29" s="1"/>
  <c r="M79" i="29"/>
  <c r="M78" i="29" s="1"/>
  <c r="L79" i="29"/>
  <c r="L78" i="29" s="1"/>
  <c r="J79" i="29"/>
  <c r="J78" i="29" s="1"/>
  <c r="I79" i="29"/>
  <c r="I78" i="29" s="1"/>
  <c r="Y77" i="29"/>
  <c r="X77" i="29"/>
  <c r="Q77" i="29"/>
  <c r="P77" i="29"/>
  <c r="O77" i="29"/>
  <c r="K77" i="29"/>
  <c r="H77" i="29"/>
  <c r="Y76" i="29"/>
  <c r="X76" i="29"/>
  <c r="Q76" i="29"/>
  <c r="P76" i="29"/>
  <c r="O76" i="29"/>
  <c r="K76" i="29"/>
  <c r="H76" i="29"/>
  <c r="N76" i="29" s="1"/>
  <c r="Y75" i="29"/>
  <c r="X75" i="29"/>
  <c r="Q75" i="29"/>
  <c r="P75" i="29"/>
  <c r="O75" i="29"/>
  <c r="K75" i="29"/>
  <c r="H75" i="29"/>
  <c r="Y74" i="29"/>
  <c r="X74" i="29"/>
  <c r="Q74" i="29"/>
  <c r="P74" i="29"/>
  <c r="O74" i="29"/>
  <c r="K74" i="29"/>
  <c r="H74" i="29"/>
  <c r="N74" i="29" s="1"/>
  <c r="Y73" i="29"/>
  <c r="X73" i="29"/>
  <c r="Q73" i="29"/>
  <c r="P73" i="29"/>
  <c r="O73" i="29"/>
  <c r="K73" i="29"/>
  <c r="H73" i="29"/>
  <c r="Y72" i="29"/>
  <c r="X72" i="29"/>
  <c r="Q72" i="29"/>
  <c r="P72" i="29"/>
  <c r="O72" i="29"/>
  <c r="K72" i="29"/>
  <c r="H72" i="29"/>
  <c r="Y71" i="29"/>
  <c r="X71" i="29"/>
  <c r="Q71" i="29"/>
  <c r="P71" i="29"/>
  <c r="O71" i="29"/>
  <c r="K71" i="29"/>
  <c r="H71" i="29"/>
  <c r="N71" i="29" s="1"/>
  <c r="S70" i="29"/>
  <c r="S69" i="29" s="1"/>
  <c r="R70" i="29"/>
  <c r="R69" i="29" s="1"/>
  <c r="M70" i="29"/>
  <c r="M69" i="29" s="1"/>
  <c r="M68" i="29" s="1"/>
  <c r="L70" i="29"/>
  <c r="L69" i="29" s="1"/>
  <c r="J70" i="29"/>
  <c r="J69" i="29" s="1"/>
  <c r="I70" i="29"/>
  <c r="I69" i="29"/>
  <c r="Q67" i="29"/>
  <c r="Q66" i="29" s="1"/>
  <c r="P67" i="29"/>
  <c r="P66" i="29" s="1"/>
  <c r="O67" i="29"/>
  <c r="O66" i="29" s="1"/>
  <c r="K67" i="29"/>
  <c r="H67" i="29"/>
  <c r="H66" i="29" s="1"/>
  <c r="S66" i="29"/>
  <c r="S88" i="29" s="1"/>
  <c r="R66" i="29"/>
  <c r="M66" i="29"/>
  <c r="L66" i="29"/>
  <c r="J66" i="29"/>
  <c r="I66" i="29"/>
  <c r="Q65" i="29"/>
  <c r="Q64" i="29" s="1"/>
  <c r="P65" i="29"/>
  <c r="P64" i="29" s="1"/>
  <c r="L65" i="29"/>
  <c r="K65" i="29" s="1"/>
  <c r="H65" i="29"/>
  <c r="H64" i="29" s="1"/>
  <c r="E65" i="29"/>
  <c r="S64" i="29"/>
  <c r="R64" i="29"/>
  <c r="M64" i="29"/>
  <c r="J64" i="29"/>
  <c r="I64" i="29"/>
  <c r="Q63" i="29"/>
  <c r="P63" i="29"/>
  <c r="O63" i="29"/>
  <c r="H63" i="29"/>
  <c r="N63" i="29" s="1"/>
  <c r="Q62" i="29"/>
  <c r="P62" i="29"/>
  <c r="O62" i="29"/>
  <c r="H62" i="29"/>
  <c r="N62" i="29" s="1"/>
  <c r="Q61" i="29"/>
  <c r="P61" i="29"/>
  <c r="O61" i="29"/>
  <c r="H61" i="29"/>
  <c r="N61" i="29" s="1"/>
  <c r="Q60" i="29"/>
  <c r="P60" i="29"/>
  <c r="O60" i="29"/>
  <c r="H60" i="29"/>
  <c r="N60" i="29" s="1"/>
  <c r="S59" i="29"/>
  <c r="R59" i="29"/>
  <c r="M59" i="29"/>
  <c r="L59" i="29"/>
  <c r="K59" i="29"/>
  <c r="J59" i="29"/>
  <c r="I59" i="29"/>
  <c r="Q58" i="29"/>
  <c r="P58" i="29"/>
  <c r="O58" i="29"/>
  <c r="H58" i="29"/>
  <c r="N58" i="29" s="1"/>
  <c r="Q56" i="29"/>
  <c r="P56" i="29"/>
  <c r="O56" i="29"/>
  <c r="H56" i="29"/>
  <c r="N56" i="29" s="1"/>
  <c r="S55" i="29"/>
  <c r="R55" i="29"/>
  <c r="M55" i="29"/>
  <c r="L55" i="29"/>
  <c r="K55" i="29"/>
  <c r="J55" i="29"/>
  <c r="I55" i="29"/>
  <c r="P54" i="29"/>
  <c r="O54" i="29"/>
  <c r="N54" i="29"/>
  <c r="Q53" i="29"/>
  <c r="P53" i="29"/>
  <c r="O53" i="29"/>
  <c r="N53" i="29"/>
  <c r="Q52" i="29"/>
  <c r="P52" i="29"/>
  <c r="O52" i="29"/>
  <c r="N52" i="29"/>
  <c r="Q51" i="29"/>
  <c r="P51" i="29"/>
  <c r="O51" i="29"/>
  <c r="N51" i="29"/>
  <c r="Q50" i="29"/>
  <c r="P50" i="29"/>
  <c r="O50" i="29"/>
  <c r="N50" i="29"/>
  <c r="Q49" i="29"/>
  <c r="P49" i="29"/>
  <c r="O49" i="29"/>
  <c r="N49" i="29"/>
  <c r="Q48" i="29"/>
  <c r="P48" i="29"/>
  <c r="O48" i="29"/>
  <c r="N48" i="29"/>
  <c r="Q47" i="29"/>
  <c r="P47" i="29"/>
  <c r="O47" i="29"/>
  <c r="N47" i="29"/>
  <c r="G47" i="29"/>
  <c r="G35" i="29" s="1"/>
  <c r="Q46" i="29"/>
  <c r="P46" i="29"/>
  <c r="O46" i="29"/>
  <c r="N46" i="29"/>
  <c r="Q45" i="29"/>
  <c r="P45" i="29"/>
  <c r="O45" i="29"/>
  <c r="N45" i="29"/>
  <c r="Q44" i="29"/>
  <c r="P44" i="29"/>
  <c r="O44" i="29"/>
  <c r="N44" i="29"/>
  <c r="Q43" i="29"/>
  <c r="P43" i="29"/>
  <c r="O43" i="29"/>
  <c r="N43" i="29"/>
  <c r="Q41" i="29"/>
  <c r="P41" i="29"/>
  <c r="O41" i="29"/>
  <c r="N41" i="29"/>
  <c r="Q40" i="29"/>
  <c r="P40" i="29"/>
  <c r="O40" i="29"/>
  <c r="N40" i="29"/>
  <c r="R39" i="29"/>
  <c r="Q39" i="29" s="1"/>
  <c r="P39" i="29"/>
  <c r="O39" i="29"/>
  <c r="N39" i="29"/>
  <c r="Q37" i="29"/>
  <c r="P37" i="29"/>
  <c r="O37" i="29"/>
  <c r="N37" i="29"/>
  <c r="S35" i="29"/>
  <c r="M35" i="29"/>
  <c r="L35" i="29"/>
  <c r="K35" i="29"/>
  <c r="J35" i="29"/>
  <c r="I35" i="29"/>
  <c r="H35" i="29"/>
  <c r="F35" i="29"/>
  <c r="E35" i="29"/>
  <c r="Q34" i="29"/>
  <c r="Q32" i="29" s="1"/>
  <c r="P34" i="29"/>
  <c r="P32" i="29" s="1"/>
  <c r="O34" i="29"/>
  <c r="O32" i="29" s="1"/>
  <c r="H34" i="29"/>
  <c r="N34" i="29" s="1"/>
  <c r="N32" i="29" s="1"/>
  <c r="S32" i="29"/>
  <c r="R32" i="29"/>
  <c r="M32" i="29"/>
  <c r="L32" i="29"/>
  <c r="K32" i="29"/>
  <c r="J32" i="29"/>
  <c r="I32" i="29"/>
  <c r="H32" i="29"/>
  <c r="Q31" i="29"/>
  <c r="J31" i="29"/>
  <c r="P31" i="29" s="1"/>
  <c r="I31" i="29"/>
  <c r="O31" i="29" s="1"/>
  <c r="Q30" i="29"/>
  <c r="P30" i="29"/>
  <c r="O30" i="29"/>
  <c r="H30" i="29"/>
  <c r="N30" i="29" s="1"/>
  <c r="Q28" i="29"/>
  <c r="P28" i="29"/>
  <c r="O28" i="29"/>
  <c r="H28" i="29"/>
  <c r="N28" i="29" s="1"/>
  <c r="S27" i="29"/>
  <c r="R27" i="29"/>
  <c r="M27" i="29"/>
  <c r="L27" i="29"/>
  <c r="K27" i="29"/>
  <c r="Q25" i="29"/>
  <c r="Q23" i="29" s="1"/>
  <c r="P25" i="29"/>
  <c r="P23" i="29" s="1"/>
  <c r="O25" i="29"/>
  <c r="O23" i="29" s="1"/>
  <c r="H25" i="29"/>
  <c r="H23" i="29" s="1"/>
  <c r="S23" i="29"/>
  <c r="R23" i="29"/>
  <c r="M23" i="29"/>
  <c r="L23" i="29"/>
  <c r="K23" i="29"/>
  <c r="J23" i="29"/>
  <c r="I23" i="29"/>
  <c r="Q22" i="29"/>
  <c r="P22" i="29"/>
  <c r="O22" i="29"/>
  <c r="H22" i="29"/>
  <c r="N22" i="29" s="1"/>
  <c r="Q21" i="29"/>
  <c r="P21" i="29"/>
  <c r="O21" i="29"/>
  <c r="H21" i="29"/>
  <c r="N21" i="29" s="1"/>
  <c r="Q20" i="29"/>
  <c r="Q19" i="29"/>
  <c r="P19" i="29"/>
  <c r="O19" i="29"/>
  <c r="H19" i="29"/>
  <c r="N19" i="29" s="1"/>
  <c r="Q18" i="29"/>
  <c r="P18" i="29"/>
  <c r="O18" i="29"/>
  <c r="H18" i="29"/>
  <c r="N18" i="29" s="1"/>
  <c r="Q17" i="29"/>
  <c r="P17" i="29"/>
  <c r="O17" i="29"/>
  <c r="H17" i="29"/>
  <c r="N17" i="29" s="1"/>
  <c r="Q16" i="29"/>
  <c r="P16" i="29"/>
  <c r="O16" i="29"/>
  <c r="H16" i="29"/>
  <c r="N16" i="29" s="1"/>
  <c r="S15" i="29"/>
  <c r="R15" i="29"/>
  <c r="M15" i="29"/>
  <c r="L15" i="29"/>
  <c r="K15" i="29"/>
  <c r="J15" i="29"/>
  <c r="I15" i="29"/>
  <c r="P14" i="29"/>
  <c r="O14" i="29"/>
  <c r="H14" i="29"/>
  <c r="N14" i="29" s="1"/>
  <c r="Q12" i="29"/>
  <c r="Q11" i="29" s="1"/>
  <c r="Q10" i="29" s="1"/>
  <c r="P12" i="29"/>
  <c r="O12" i="29"/>
  <c r="H12" i="29"/>
  <c r="N12" i="29" s="1"/>
  <c r="S11" i="29"/>
  <c r="S10" i="29" s="1"/>
  <c r="R11" i="29"/>
  <c r="R10" i="29" s="1"/>
  <c r="M11" i="29"/>
  <c r="M10" i="29" s="1"/>
  <c r="L11" i="29"/>
  <c r="L10" i="29" s="1"/>
  <c r="K11" i="29"/>
  <c r="K10" i="29" s="1"/>
  <c r="J11" i="29"/>
  <c r="J10" i="29" s="1"/>
  <c r="I11" i="29"/>
  <c r="I10" i="29" s="1"/>
  <c r="X26" i="32" l="1"/>
  <c r="P59" i="29"/>
  <c r="L9" i="30"/>
  <c r="L8" i="30" s="1"/>
  <c r="L21" i="32"/>
  <c r="N67" i="29"/>
  <c r="N66" i="29" s="1"/>
  <c r="P15" i="29"/>
  <c r="O35" i="29"/>
  <c r="E22" i="32"/>
  <c r="L14" i="30"/>
  <c r="L13" i="30" s="1"/>
  <c r="L64" i="29"/>
  <c r="N7" i="30"/>
  <c r="Q15" i="29"/>
  <c r="R68" i="29"/>
  <c r="H9" i="30"/>
  <c r="H8" i="30" s="1"/>
  <c r="H7" i="30" s="1"/>
  <c r="R12" i="32"/>
  <c r="F12" i="32"/>
  <c r="U29" i="32"/>
  <c r="P11" i="29"/>
  <c r="P10" i="29" s="1"/>
  <c r="J14" i="30"/>
  <c r="J13" i="30" s="1"/>
  <c r="J7" i="30" s="1"/>
  <c r="F18" i="31"/>
  <c r="M18" i="31" s="1"/>
  <c r="I27" i="32"/>
  <c r="P55" i="29"/>
  <c r="F15" i="31"/>
  <c r="M15" i="31" s="1"/>
  <c r="H70" i="29"/>
  <c r="H69" i="29" s="1"/>
  <c r="N77" i="29"/>
  <c r="P10" i="31"/>
  <c r="F17" i="31"/>
  <c r="M17" i="31" s="1"/>
  <c r="O26" i="32"/>
  <c r="I27" i="29"/>
  <c r="I26" i="29" s="1"/>
  <c r="O70" i="29"/>
  <c r="O69" i="29" s="1"/>
  <c r="D7" i="30"/>
  <c r="AF12" i="32"/>
  <c r="AF11" i="32" s="1"/>
  <c r="F26" i="32"/>
  <c r="H55" i="29"/>
  <c r="Q27" i="29"/>
  <c r="Q55" i="29"/>
  <c r="J68" i="29"/>
  <c r="P70" i="29"/>
  <c r="P69" i="29" s="1"/>
  <c r="Q70" i="29"/>
  <c r="Q69" i="29" s="1"/>
  <c r="O88" i="29"/>
  <c r="K14" i="30"/>
  <c r="K13" i="30" s="1"/>
  <c r="G10" i="31"/>
  <c r="C10" i="31"/>
  <c r="F14" i="31"/>
  <c r="M14" i="31" s="1"/>
  <c r="H59" i="29"/>
  <c r="L26" i="29"/>
  <c r="L9" i="29" s="1"/>
  <c r="L8" i="29" s="1"/>
  <c r="L68" i="29"/>
  <c r="N75" i="29"/>
  <c r="N81" i="29"/>
  <c r="N89" i="29"/>
  <c r="P88" i="29"/>
  <c r="M7" i="30"/>
  <c r="F11" i="31"/>
  <c r="M11" i="31" s="1"/>
  <c r="H15" i="29"/>
  <c r="K88" i="29"/>
  <c r="F16" i="31"/>
  <c r="M16" i="31" s="1"/>
  <c r="N25" i="29"/>
  <c r="N23" i="29" s="1"/>
  <c r="O59" i="29"/>
  <c r="N73" i="29"/>
  <c r="N86" i="29"/>
  <c r="N91" i="29"/>
  <c r="N94" i="29"/>
  <c r="F13" i="31"/>
  <c r="M13" i="31" s="1"/>
  <c r="Z12" i="32"/>
  <c r="Z11" i="32" s="1"/>
  <c r="D22" i="32"/>
  <c r="C22" i="32" s="1"/>
  <c r="D24" i="32"/>
  <c r="C24" i="32" s="1"/>
  <c r="AD26" i="32"/>
  <c r="L27" i="32"/>
  <c r="I14" i="32"/>
  <c r="I12" i="32" s="1"/>
  <c r="U27" i="32"/>
  <c r="E32" i="32"/>
  <c r="U31" i="32"/>
  <c r="AA32" i="32"/>
  <c r="AG28" i="32"/>
  <c r="R29" i="32"/>
  <c r="R33" i="32"/>
  <c r="AG33" i="32"/>
  <c r="P26" i="32"/>
  <c r="P11" i="32" s="1"/>
  <c r="AC12" i="32"/>
  <c r="X14" i="32"/>
  <c r="AJ27" i="32"/>
  <c r="D33" i="32"/>
  <c r="AA33" i="32"/>
  <c r="X17" i="32"/>
  <c r="C25" i="32"/>
  <c r="AG27" i="32"/>
  <c r="AA30" i="32"/>
  <c r="AH26" i="32"/>
  <c r="L31" i="32"/>
  <c r="AK11" i="32"/>
  <c r="W26" i="32"/>
  <c r="AL11" i="32"/>
  <c r="D21" i="32"/>
  <c r="I28" i="32"/>
  <c r="R34" i="32"/>
  <c r="AB12" i="32"/>
  <c r="D29" i="32"/>
  <c r="AA29" i="32"/>
  <c r="D28" i="32"/>
  <c r="AC26" i="32"/>
  <c r="U33" i="32"/>
  <c r="S26" i="29"/>
  <c r="S9" i="29" s="1"/>
  <c r="N35" i="29"/>
  <c r="G34" i="29"/>
  <c r="I68" i="29"/>
  <c r="H88" i="29"/>
  <c r="H68" i="29" s="1"/>
  <c r="P35" i="29"/>
  <c r="H11" i="29"/>
  <c r="H10" i="29" s="1"/>
  <c r="Q35" i="29"/>
  <c r="K66" i="29"/>
  <c r="N11" i="29"/>
  <c r="N10" i="29" s="1"/>
  <c r="K26" i="29"/>
  <c r="O55" i="29"/>
  <c r="N84" i="29"/>
  <c r="O11" i="29"/>
  <c r="O10" i="29" s="1"/>
  <c r="M26" i="29"/>
  <c r="M9" i="29" s="1"/>
  <c r="M8" i="29" s="1"/>
  <c r="N72" i="29"/>
  <c r="N87" i="29"/>
  <c r="O27" i="29"/>
  <c r="P27" i="29"/>
  <c r="P26" i="29" s="1"/>
  <c r="R35" i="29"/>
  <c r="R26" i="29" s="1"/>
  <c r="R9" i="29" s="1"/>
  <c r="R8" i="29" s="1"/>
  <c r="Q59" i="29"/>
  <c r="H79" i="29"/>
  <c r="H78" i="29" s="1"/>
  <c r="O79" i="29"/>
  <c r="O78" i="29" s="1"/>
  <c r="Q79" i="29"/>
  <c r="Q78" i="29" s="1"/>
  <c r="O15" i="29"/>
  <c r="F34" i="29"/>
  <c r="N55" i="29"/>
  <c r="K70" i="29"/>
  <c r="K69" i="29" s="1"/>
  <c r="K79" i="29"/>
  <c r="K78" i="29" s="1"/>
  <c r="P79" i="29"/>
  <c r="P78" i="29" s="1"/>
  <c r="N83" i="29"/>
  <c r="E34" i="32"/>
  <c r="D14" i="32"/>
  <c r="O15" i="32"/>
  <c r="O12" i="32" s="1"/>
  <c r="O11" i="32" s="1"/>
  <c r="E17" i="32"/>
  <c r="D30" i="32"/>
  <c r="R31" i="32"/>
  <c r="E21" i="32"/>
  <c r="M12" i="32"/>
  <c r="D17" i="32"/>
  <c r="AA22" i="32"/>
  <c r="L29" i="32"/>
  <c r="AG20" i="32"/>
  <c r="E30" i="32"/>
  <c r="L32" i="32"/>
  <c r="AG32" i="32"/>
  <c r="E28" i="32"/>
  <c r="L13" i="32"/>
  <c r="Q11" i="32"/>
  <c r="D18" i="32"/>
  <c r="C18" i="32" s="1"/>
  <c r="C23" i="32"/>
  <c r="AA27" i="32"/>
  <c r="U28" i="32"/>
  <c r="S26" i="32"/>
  <c r="S11" i="32" s="1"/>
  <c r="AG29" i="32"/>
  <c r="J26" i="32"/>
  <c r="AI26" i="32"/>
  <c r="AG34" i="32"/>
  <c r="C19" i="32"/>
  <c r="D34" i="32"/>
  <c r="E33" i="32"/>
  <c r="AG14" i="32"/>
  <c r="AA21" i="32"/>
  <c r="U22" i="32"/>
  <c r="U12" i="32" s="1"/>
  <c r="L25" i="32"/>
  <c r="R30" i="32"/>
  <c r="K26" i="32"/>
  <c r="K11" i="32" s="1"/>
  <c r="AJ31" i="32"/>
  <c r="E14" i="32"/>
  <c r="X19" i="32"/>
  <c r="AD24" i="32"/>
  <c r="AD12" i="32" s="1"/>
  <c r="D27" i="32"/>
  <c r="AA28" i="32"/>
  <c r="E29" i="32"/>
  <c r="C29" i="32" s="1"/>
  <c r="V26" i="32"/>
  <c r="D31" i="32"/>
  <c r="D32" i="32"/>
  <c r="C32" i="32" s="1"/>
  <c r="U34" i="32"/>
  <c r="C16" i="32"/>
  <c r="N12" i="32"/>
  <c r="V12" i="32"/>
  <c r="E13" i="32"/>
  <c r="AA23" i="32"/>
  <c r="T26" i="32"/>
  <c r="T11" i="32" s="1"/>
  <c r="AB26" i="32"/>
  <c r="AB11" i="32" s="1"/>
  <c r="U30" i="32"/>
  <c r="AG30" i="32"/>
  <c r="E31" i="32"/>
  <c r="AA31" i="32"/>
  <c r="AI12" i="32"/>
  <c r="AG16" i="32"/>
  <c r="W12" i="32"/>
  <c r="D15" i="32"/>
  <c r="M26" i="32"/>
  <c r="L28" i="32"/>
  <c r="AJ29" i="32"/>
  <c r="L30" i="32"/>
  <c r="E15" i="32"/>
  <c r="D20" i="32"/>
  <c r="C20" i="32" s="1"/>
  <c r="N26" i="32"/>
  <c r="E27" i="32"/>
  <c r="I31" i="32"/>
  <c r="L33" i="32"/>
  <c r="L34" i="32"/>
  <c r="D13" i="32"/>
  <c r="Y12" i="32"/>
  <c r="Y11" i="32" s="1"/>
  <c r="J12" i="32"/>
  <c r="AH12" i="32"/>
  <c r="N10" i="31"/>
  <c r="O10" i="31"/>
  <c r="J10" i="31"/>
  <c r="C9" i="30"/>
  <c r="C8" i="30" s="1"/>
  <c r="C7" i="30" s="1"/>
  <c r="G7" i="30"/>
  <c r="F12" i="30"/>
  <c r="I12" i="30" s="1"/>
  <c r="I11" i="30"/>
  <c r="I10" i="30" s="1"/>
  <c r="K12" i="30"/>
  <c r="K9" i="30" s="1"/>
  <c r="K8" i="30" s="1"/>
  <c r="E9" i="30"/>
  <c r="E8" i="30" s="1"/>
  <c r="E7" i="30" s="1"/>
  <c r="K64" i="29"/>
  <c r="N65" i="29"/>
  <c r="N64" i="29" s="1"/>
  <c r="I9" i="29"/>
  <c r="I8" i="29" s="1"/>
  <c r="Q88" i="29"/>
  <c r="N15" i="29"/>
  <c r="P9" i="29"/>
  <c r="N59" i="29"/>
  <c r="P68" i="29"/>
  <c r="S68" i="29"/>
  <c r="H31" i="29"/>
  <c r="O65" i="29"/>
  <c r="O64" i="29" s="1"/>
  <c r="N95" i="29"/>
  <c r="N88" i="29" s="1"/>
  <c r="J27" i="29"/>
  <c r="J26" i="29" s="1"/>
  <c r="J9" i="29" s="1"/>
  <c r="N80" i="29"/>
  <c r="N70" i="29" l="1"/>
  <c r="N69" i="29" s="1"/>
  <c r="M11" i="32"/>
  <c r="Q26" i="29"/>
  <c r="L7" i="30"/>
  <c r="O26" i="29"/>
  <c r="O9" i="29" s="1"/>
  <c r="O8" i="29" s="1"/>
  <c r="F11" i="32"/>
  <c r="AD11" i="32"/>
  <c r="O68" i="29"/>
  <c r="M10" i="31"/>
  <c r="Q9" i="29"/>
  <c r="J8" i="29"/>
  <c r="C28" i="32"/>
  <c r="K7" i="30"/>
  <c r="C15" i="32"/>
  <c r="Q68" i="29"/>
  <c r="K9" i="29"/>
  <c r="C33" i="32"/>
  <c r="I26" i="32"/>
  <c r="I11" i="32" s="1"/>
  <c r="F10" i="31"/>
  <c r="C14" i="32"/>
  <c r="C21" i="32"/>
  <c r="AC11" i="32"/>
  <c r="W11" i="32"/>
  <c r="AA12" i="32"/>
  <c r="AG26" i="32"/>
  <c r="U26" i="32"/>
  <c r="U11" i="32" s="1"/>
  <c r="E26" i="32"/>
  <c r="AH11" i="32"/>
  <c r="X12" i="32"/>
  <c r="X11" i="32" s="1"/>
  <c r="L12" i="32"/>
  <c r="AA26" i="32"/>
  <c r="AG12" i="32"/>
  <c r="C34" i="32"/>
  <c r="R26" i="32"/>
  <c r="R11" i="32" s="1"/>
  <c r="C30" i="32"/>
  <c r="AJ11" i="32"/>
  <c r="C31" i="32"/>
  <c r="N79" i="29"/>
  <c r="N78" i="29" s="1"/>
  <c r="N68" i="29" s="1"/>
  <c r="K68" i="29"/>
  <c r="C27" i="32"/>
  <c r="D26" i="32"/>
  <c r="AI11" i="32"/>
  <c r="C17" i="32"/>
  <c r="J11" i="32"/>
  <c r="V11" i="32"/>
  <c r="N11" i="32"/>
  <c r="L26" i="32"/>
  <c r="C13" i="32"/>
  <c r="D12" i="32"/>
  <c r="E12" i="32"/>
  <c r="I9" i="30"/>
  <c r="I8" i="30" s="1"/>
  <c r="I7" i="30" s="1"/>
  <c r="F9" i="30"/>
  <c r="F8" i="30" s="1"/>
  <c r="F7" i="30" s="1"/>
  <c r="N31" i="29"/>
  <c r="N27" i="29" s="1"/>
  <c r="N26" i="29" s="1"/>
  <c r="N9" i="29" s="1"/>
  <c r="N8" i="29" s="1"/>
  <c r="H27" i="29"/>
  <c r="H26" i="29" s="1"/>
  <c r="H9" i="29" s="1"/>
  <c r="H8" i="29" s="1"/>
  <c r="S8" i="29"/>
  <c r="P8" i="29"/>
  <c r="E11" i="32" l="1"/>
  <c r="K8" i="29"/>
  <c r="AA11" i="32"/>
  <c r="Q8" i="29"/>
  <c r="AG11" i="32"/>
  <c r="L11" i="32"/>
  <c r="C26" i="32"/>
  <c r="D11" i="32"/>
  <c r="C12" i="32"/>
  <c r="AT30" i="28"/>
  <c r="AS30" i="28"/>
  <c r="AL30" i="28"/>
  <c r="AK30" i="28"/>
  <c r="AJ30" i="28"/>
  <c r="AI30" i="28" s="1"/>
  <c r="AF30" i="28"/>
  <c r="AE30" i="28"/>
  <c r="AD30" i="28"/>
  <c r="AB30" i="28"/>
  <c r="AA30" i="28"/>
  <c r="Q30" i="28"/>
  <c r="P30" i="28"/>
  <c r="N30" i="28"/>
  <c r="M30" i="28"/>
  <c r="K30" i="28"/>
  <c r="J30" i="28"/>
  <c r="F30" i="28"/>
  <c r="AT29" i="28"/>
  <c r="AS29" i="28"/>
  <c r="AL29" i="28"/>
  <c r="AK29" i="28"/>
  <c r="AJ29" i="28"/>
  <c r="AF29" i="28"/>
  <c r="AE29" i="28"/>
  <c r="AD29" i="28"/>
  <c r="AB29" i="28"/>
  <c r="AA29" i="28"/>
  <c r="Q29" i="28"/>
  <c r="P29" i="28"/>
  <c r="N29" i="28"/>
  <c r="M29" i="28"/>
  <c r="K29" i="28"/>
  <c r="J29" i="28"/>
  <c r="F29" i="28"/>
  <c r="AT28" i="28"/>
  <c r="AS28" i="28"/>
  <c r="AL28" i="28"/>
  <c r="AK28" i="28"/>
  <c r="AJ28" i="28"/>
  <c r="AF28" i="28"/>
  <c r="AE28" i="28"/>
  <c r="AD28" i="28"/>
  <c r="AB28" i="28"/>
  <c r="AA28" i="28"/>
  <c r="Q28" i="28"/>
  <c r="P28" i="28"/>
  <c r="N28" i="28"/>
  <c r="M28" i="28"/>
  <c r="K28" i="28"/>
  <c r="J28" i="28"/>
  <c r="F28" i="28"/>
  <c r="AT27" i="28"/>
  <c r="AS27" i="28"/>
  <c r="AL27" i="28"/>
  <c r="AK27" i="28"/>
  <c r="AJ27" i="28"/>
  <c r="AF27" i="28"/>
  <c r="AE27" i="28"/>
  <c r="AD27" i="28"/>
  <c r="AB27" i="28"/>
  <c r="AA27" i="28"/>
  <c r="Q27" i="28"/>
  <c r="P27" i="28"/>
  <c r="N27" i="28"/>
  <c r="M27" i="28"/>
  <c r="K27" i="28"/>
  <c r="J27" i="28"/>
  <c r="F27" i="28"/>
  <c r="AT26" i="28"/>
  <c r="AS26" i="28"/>
  <c r="AK26" i="28"/>
  <c r="AJ26" i="28"/>
  <c r="AH26" i="28"/>
  <c r="AG26" i="28"/>
  <c r="AF26" i="28" s="1"/>
  <c r="AE26" i="28"/>
  <c r="AD26" i="28"/>
  <c r="AB26" i="28"/>
  <c r="AA26" i="28"/>
  <c r="Q26" i="28"/>
  <c r="P26" i="28"/>
  <c r="N26" i="28"/>
  <c r="M26" i="28"/>
  <c r="L26" i="28" s="1"/>
  <c r="K26" i="28"/>
  <c r="J26" i="28"/>
  <c r="H26" i="28"/>
  <c r="G26" i="28"/>
  <c r="AT25" i="28"/>
  <c r="AS25" i="28"/>
  <c r="AL25" i="28"/>
  <c r="AK25" i="28"/>
  <c r="AJ25" i="28"/>
  <c r="AF25" i="28"/>
  <c r="AE25" i="28"/>
  <c r="AD25" i="28"/>
  <c r="AB25" i="28"/>
  <c r="AA25" i="28"/>
  <c r="Q25" i="28"/>
  <c r="P25" i="28"/>
  <c r="N25" i="28"/>
  <c r="M25" i="28"/>
  <c r="K25" i="28"/>
  <c r="J25" i="28"/>
  <c r="F25" i="28"/>
  <c r="AT24" i="28"/>
  <c r="AS24" i="28"/>
  <c r="AK24" i="28"/>
  <c r="AJ24" i="28"/>
  <c r="AH24" i="28"/>
  <c r="AH22" i="28" s="1"/>
  <c r="AG24" i="28"/>
  <c r="AE24" i="28"/>
  <c r="AD24" i="28"/>
  <c r="AB24" i="28"/>
  <c r="AA24" i="28"/>
  <c r="Q24" i="28"/>
  <c r="P24" i="28"/>
  <c r="N24" i="28"/>
  <c r="M24" i="28"/>
  <c r="K24" i="28"/>
  <c r="J24" i="28"/>
  <c r="H24" i="28"/>
  <c r="G24" i="28"/>
  <c r="AT23" i="28"/>
  <c r="AS23" i="28"/>
  <c r="AL23" i="28"/>
  <c r="AK23" i="28"/>
  <c r="AJ23" i="28"/>
  <c r="AF23" i="28"/>
  <c r="AE23" i="28"/>
  <c r="W23" i="28" s="1"/>
  <c r="AD23" i="28"/>
  <c r="Z23" i="28"/>
  <c r="Q23" i="28"/>
  <c r="P23" i="28"/>
  <c r="N23" i="28"/>
  <c r="M23" i="28"/>
  <c r="K23" i="28"/>
  <c r="J23" i="28"/>
  <c r="F23" i="28"/>
  <c r="Y22" i="28"/>
  <c r="X22" i="28"/>
  <c r="BD21" i="28"/>
  <c r="BA21" i="28"/>
  <c r="AZ21" i="28"/>
  <c r="AY21" i="28"/>
  <c r="AU21" i="28"/>
  <c r="AT21" i="28"/>
  <c r="E21" i="28" s="1"/>
  <c r="AS21" i="28"/>
  <c r="AP21" i="28" s="1"/>
  <c r="AL21" i="28"/>
  <c r="AF21" i="28"/>
  <c r="AC21" i="28"/>
  <c r="Z21" i="28"/>
  <c r="W21" i="28"/>
  <c r="V21" i="28"/>
  <c r="R21" i="28"/>
  <c r="O21" i="28"/>
  <c r="L21" i="28"/>
  <c r="I21" i="28"/>
  <c r="F21" i="28"/>
  <c r="BD20" i="28"/>
  <c r="BA20" i="28"/>
  <c r="AZ20" i="28"/>
  <c r="AY20" i="28"/>
  <c r="AU20" i="28"/>
  <c r="AT20" i="28"/>
  <c r="AQ20" i="28" s="1"/>
  <c r="AS20" i="28"/>
  <c r="AL20" i="28"/>
  <c r="AF20" i="28"/>
  <c r="AC20" i="28"/>
  <c r="Z20" i="28"/>
  <c r="W20" i="28"/>
  <c r="V20" i="28"/>
  <c r="R20" i="28"/>
  <c r="O20" i="28"/>
  <c r="L20" i="28"/>
  <c r="I20" i="28"/>
  <c r="F20" i="28"/>
  <c r="BD19" i="28"/>
  <c r="BA19" i="28"/>
  <c r="AZ19" i="28"/>
  <c r="AY19" i="28"/>
  <c r="AU19" i="28"/>
  <c r="AR19" i="28"/>
  <c r="AQ19" i="28"/>
  <c r="AP19" i="28"/>
  <c r="AO19" i="28" s="1"/>
  <c r="AL19" i="28"/>
  <c r="AI19" i="28"/>
  <c r="AF19" i="28"/>
  <c r="AC19" i="28"/>
  <c r="AB19" i="28"/>
  <c r="E19" i="28" s="1"/>
  <c r="AA19" i="28"/>
  <c r="V19" i="28" s="1"/>
  <c r="O19" i="28"/>
  <c r="L19" i="28"/>
  <c r="I19" i="28"/>
  <c r="F19" i="28"/>
  <c r="BD18" i="28"/>
  <c r="BA18" i="28"/>
  <c r="AZ18" i="28"/>
  <c r="AY18" i="28"/>
  <c r="AW18" i="28"/>
  <c r="E18" i="28" s="1"/>
  <c r="AV18" i="28"/>
  <c r="D18" i="28" s="1"/>
  <c r="AR18" i="28"/>
  <c r="AL18" i="28"/>
  <c r="AF18" i="28"/>
  <c r="AC18" i="28"/>
  <c r="Z18" i="28"/>
  <c r="W18" i="28"/>
  <c r="V18" i="28"/>
  <c r="R18" i="28"/>
  <c r="O18" i="28"/>
  <c r="L18" i="28"/>
  <c r="I18" i="28"/>
  <c r="F18" i="28"/>
  <c r="BF17" i="28"/>
  <c r="BE17" i="28"/>
  <c r="BC17" i="28"/>
  <c r="BB17" i="28"/>
  <c r="AU17" i="28"/>
  <c r="AR17" i="28"/>
  <c r="AQ17" i="28"/>
  <c r="AP17" i="28"/>
  <c r="AL17" i="28"/>
  <c r="AF17" i="28"/>
  <c r="AC17" i="28"/>
  <c r="Z17" i="28"/>
  <c r="W17" i="28"/>
  <c r="V17" i="28"/>
  <c r="R17" i="28"/>
  <c r="O17" i="28"/>
  <c r="L17" i="28"/>
  <c r="I17" i="28"/>
  <c r="F17" i="28"/>
  <c r="BD16" i="28"/>
  <c r="BC16" i="28"/>
  <c r="AZ16" i="28" s="1"/>
  <c r="BB16" i="28"/>
  <c r="AU16" i="28"/>
  <c r="AR16" i="28"/>
  <c r="AQ16" i="28"/>
  <c r="AP16" i="28"/>
  <c r="AL16" i="28"/>
  <c r="AF16" i="28"/>
  <c r="AC16" i="28"/>
  <c r="Z16" i="28"/>
  <c r="W16" i="28"/>
  <c r="V16" i="28"/>
  <c r="U16" i="28" s="1"/>
  <c r="R16" i="28"/>
  <c r="O16" i="28"/>
  <c r="L16" i="28"/>
  <c r="I16" i="28"/>
  <c r="F16" i="28"/>
  <c r="BF15" i="28"/>
  <c r="BE15" i="28"/>
  <c r="BC15" i="28"/>
  <c r="BB15" i="28"/>
  <c r="AU15" i="28"/>
  <c r="AR15" i="28"/>
  <c r="AQ15" i="28"/>
  <c r="AP15" i="28"/>
  <c r="AL15" i="28"/>
  <c r="AF15" i="28"/>
  <c r="AC15" i="28"/>
  <c r="Q15" i="28"/>
  <c r="Q12" i="28" s="1"/>
  <c r="P15" i="28"/>
  <c r="P12" i="28" s="1"/>
  <c r="L15" i="28"/>
  <c r="I15" i="28"/>
  <c r="F15" i="28"/>
  <c r="BF14" i="28"/>
  <c r="BE14" i="28"/>
  <c r="BC14" i="28"/>
  <c r="BB14" i="28"/>
  <c r="AU14" i="28"/>
  <c r="AT14" i="28"/>
  <c r="AQ14" i="28" s="1"/>
  <c r="AS14" i="28"/>
  <c r="AP14" i="28" s="1"/>
  <c r="AL14" i="28"/>
  <c r="AF14" i="28"/>
  <c r="AC14" i="28"/>
  <c r="Z14" i="28"/>
  <c r="W14" i="28"/>
  <c r="V14" i="28"/>
  <c r="U14" i="28" s="1"/>
  <c r="R14" i="28"/>
  <c r="O14" i="28"/>
  <c r="L14" i="28"/>
  <c r="I14" i="28"/>
  <c r="F14" i="28"/>
  <c r="BF13" i="28"/>
  <c r="BE13" i="28"/>
  <c r="BD13" i="28" s="1"/>
  <c r="BC13" i="28"/>
  <c r="BB13" i="28"/>
  <c r="AW13" i="28"/>
  <c r="AQ13" i="28" s="1"/>
  <c r="AV13" i="28"/>
  <c r="AP13" i="28" s="1"/>
  <c r="AR13" i="28"/>
  <c r="AL13" i="28"/>
  <c r="AK13" i="28"/>
  <c r="AK12" i="28" s="1"/>
  <c r="AJ13" i="28"/>
  <c r="AJ12" i="28" s="1"/>
  <c r="AH13" i="28"/>
  <c r="AH12" i="28" s="1"/>
  <c r="AG13" i="28"/>
  <c r="AC13" i="28"/>
  <c r="Z13" i="28"/>
  <c r="W13" i="28"/>
  <c r="V13" i="28"/>
  <c r="O13" i="28"/>
  <c r="N13" i="28"/>
  <c r="N12" i="28" s="1"/>
  <c r="M13" i="28"/>
  <c r="M12" i="28" s="1"/>
  <c r="K13" i="28"/>
  <c r="J13" i="28"/>
  <c r="F13" i="28"/>
  <c r="AN12" i="28"/>
  <c r="AM12" i="28"/>
  <c r="AE12" i="28"/>
  <c r="AD12" i="28"/>
  <c r="AB12" i="28"/>
  <c r="Y12" i="28"/>
  <c r="X12" i="28"/>
  <c r="X11" i="28" s="1"/>
  <c r="H12" i="28"/>
  <c r="G12" i="28"/>
  <c r="AX21" i="28" l="1"/>
  <c r="AO15" i="28"/>
  <c r="C11" i="32"/>
  <c r="U18" i="28"/>
  <c r="AL12" i="28"/>
  <c r="AO17" i="28"/>
  <c r="U20" i="28"/>
  <c r="W25" i="28"/>
  <c r="AQ25" i="28"/>
  <c r="AC25" i="28"/>
  <c r="I26" i="28"/>
  <c r="S13" i="28"/>
  <c r="V27" i="28"/>
  <c r="S27" i="28" s="1"/>
  <c r="AC26" i="28"/>
  <c r="L13" i="28"/>
  <c r="L28" i="28"/>
  <c r="AY13" i="28"/>
  <c r="L30" i="28"/>
  <c r="AI29" i="28"/>
  <c r="AP29" i="28"/>
  <c r="AC23" i="28"/>
  <c r="H22" i="28"/>
  <c r="AN22" i="28"/>
  <c r="AN11" i="28" s="1"/>
  <c r="F26" i="28"/>
  <c r="Z26" i="28"/>
  <c r="Z28" i="28"/>
  <c r="AP28" i="28"/>
  <c r="W29" i="28"/>
  <c r="Y11" i="28"/>
  <c r="I13" i="28"/>
  <c r="I12" i="28" s="1"/>
  <c r="AM22" i="28"/>
  <c r="AM11" i="28" s="1"/>
  <c r="AK22" i="28"/>
  <c r="AI26" i="28"/>
  <c r="AC24" i="28"/>
  <c r="AC29" i="28"/>
  <c r="I30" i="28"/>
  <c r="AZ14" i="28"/>
  <c r="AZ15" i="28"/>
  <c r="BD14" i="28"/>
  <c r="BD15" i="28"/>
  <c r="O24" i="28"/>
  <c r="AI27" i="28"/>
  <c r="BA16" i="28"/>
  <c r="V29" i="28"/>
  <c r="S29" i="28" s="1"/>
  <c r="V30" i="28"/>
  <c r="AP30" i="28"/>
  <c r="H11" i="28"/>
  <c r="AV12" i="28"/>
  <c r="AC28" i="28"/>
  <c r="P22" i="28"/>
  <c r="P11" i="28" s="1"/>
  <c r="BE22" i="28"/>
  <c r="AH11" i="28"/>
  <c r="D23" i="28"/>
  <c r="BC12" i="28"/>
  <c r="AY17" i="28"/>
  <c r="AZ17" i="28"/>
  <c r="E20" i="28"/>
  <c r="L23" i="28"/>
  <c r="AW22" i="28"/>
  <c r="T25" i="28"/>
  <c r="E26" i="28"/>
  <c r="I29" i="28"/>
  <c r="AC30" i="28"/>
  <c r="AY14" i="28"/>
  <c r="W19" i="28"/>
  <c r="T19" i="28" s="1"/>
  <c r="AJ22" i="28"/>
  <c r="AJ11" i="28" s="1"/>
  <c r="AQ24" i="28"/>
  <c r="W27" i="28"/>
  <c r="T27" i="28" s="1"/>
  <c r="O23" i="28"/>
  <c r="AF24" i="28"/>
  <c r="AF22" i="28" s="1"/>
  <c r="AC27" i="28"/>
  <c r="I28" i="28"/>
  <c r="AU13" i="28"/>
  <c r="AR20" i="28"/>
  <c r="Q22" i="28"/>
  <c r="Q11" i="28" s="1"/>
  <c r="AR23" i="28"/>
  <c r="L25" i="28"/>
  <c r="AI28" i="28"/>
  <c r="D13" i="28"/>
  <c r="Z19" i="28"/>
  <c r="Z12" i="28" s="1"/>
  <c r="W26" i="28"/>
  <c r="T26" i="28" s="1"/>
  <c r="D27" i="28"/>
  <c r="AR30" i="28"/>
  <c r="BA14" i="28"/>
  <c r="O15" i="28"/>
  <c r="O12" i="28" s="1"/>
  <c r="BF22" i="28"/>
  <c r="AP26" i="28"/>
  <c r="E27" i="28"/>
  <c r="F12" i="28"/>
  <c r="AC12" i="28"/>
  <c r="AQ23" i="28"/>
  <c r="D24" i="28"/>
  <c r="BA15" i="28"/>
  <c r="BA17" i="28"/>
  <c r="AX19" i="28"/>
  <c r="U21" i="28"/>
  <c r="AA22" i="28"/>
  <c r="V24" i="28"/>
  <c r="S24" i="28" s="1"/>
  <c r="AL24" i="28"/>
  <c r="AT12" i="28"/>
  <c r="BA13" i="28"/>
  <c r="AB22" i="28"/>
  <c r="AB11" i="28" s="1"/>
  <c r="T23" i="28"/>
  <c r="AV22" i="28"/>
  <c r="AO13" i="28"/>
  <c r="E17" i="28"/>
  <c r="AP20" i="28"/>
  <c r="AO20" i="28" s="1"/>
  <c r="U13" i="28"/>
  <c r="BF12" i="28"/>
  <c r="AX18" i="28"/>
  <c r="AI23" i="28"/>
  <c r="I25" i="28"/>
  <c r="Z29" i="28"/>
  <c r="C18" i="28"/>
  <c r="K22" i="28"/>
  <c r="AS22" i="28"/>
  <c r="BE12" i="28"/>
  <c r="AO14" i="28"/>
  <c r="E15" i="28"/>
  <c r="AQ18" i="28"/>
  <c r="AE22" i="28"/>
  <c r="AE11" i="28" s="1"/>
  <c r="O25" i="28"/>
  <c r="AI25" i="28"/>
  <c r="AR26" i="28"/>
  <c r="Z27" i="28"/>
  <c r="D30" i="28"/>
  <c r="F24" i="28"/>
  <c r="AW12" i="28"/>
  <c r="D14" i="28"/>
  <c r="D17" i="28"/>
  <c r="AX20" i="28"/>
  <c r="V23" i="28"/>
  <c r="U23" i="28" s="1"/>
  <c r="L24" i="28"/>
  <c r="Z24" i="28"/>
  <c r="Z25" i="28"/>
  <c r="I27" i="28"/>
  <c r="O28" i="28"/>
  <c r="T29" i="28"/>
  <c r="E23" i="28"/>
  <c r="L12" i="28"/>
  <c r="T13" i="28"/>
  <c r="T12" i="28" s="1"/>
  <c r="AZ13" i="28"/>
  <c r="E14" i="28"/>
  <c r="D15" i="28"/>
  <c r="AO16" i="28"/>
  <c r="AU18" i="28"/>
  <c r="AU12" i="28" s="1"/>
  <c r="AR21" i="28"/>
  <c r="M22" i="28"/>
  <c r="M11" i="28" s="1"/>
  <c r="J22" i="28"/>
  <c r="AP23" i="28"/>
  <c r="E24" i="28"/>
  <c r="AR24" i="28"/>
  <c r="AR25" i="28"/>
  <c r="O26" i="28"/>
  <c r="E29" i="28"/>
  <c r="O30" i="28"/>
  <c r="AR27" i="28"/>
  <c r="L29" i="28"/>
  <c r="AR29" i="28"/>
  <c r="L27" i="28"/>
  <c r="V28" i="28"/>
  <c r="S28" i="28" s="1"/>
  <c r="Z30" i="28"/>
  <c r="AL26" i="28"/>
  <c r="AP27" i="28"/>
  <c r="W28" i="28"/>
  <c r="T28" i="28" s="1"/>
  <c r="O29" i="28"/>
  <c r="AI24" i="28"/>
  <c r="O27" i="28"/>
  <c r="E28" i="28"/>
  <c r="E30" i="28"/>
  <c r="W30" i="28"/>
  <c r="T30" i="28" s="1"/>
  <c r="AK11" i="28"/>
  <c r="E13" i="28"/>
  <c r="C13" i="28" s="1"/>
  <c r="BB12" i="28"/>
  <c r="AF13" i="28"/>
  <c r="AF12" i="28" s="1"/>
  <c r="AR14" i="28"/>
  <c r="AY15" i="28"/>
  <c r="AX15" i="28" s="1"/>
  <c r="U17" i="28"/>
  <c r="BD17" i="28"/>
  <c r="AP18" i="28"/>
  <c r="I24" i="28"/>
  <c r="W24" i="28"/>
  <c r="T24" i="28" s="1"/>
  <c r="AR28" i="28"/>
  <c r="S30" i="28"/>
  <c r="V12" i="28"/>
  <c r="U19" i="28"/>
  <c r="S19" i="28"/>
  <c r="AQ26" i="28"/>
  <c r="AQ27" i="28"/>
  <c r="AQ28" i="28"/>
  <c r="AQ29" i="28"/>
  <c r="AQ30" i="28"/>
  <c r="D20" i="28"/>
  <c r="N22" i="28"/>
  <c r="N11" i="28" s="1"/>
  <c r="AD22" i="28"/>
  <c r="AD11" i="28" s="1"/>
  <c r="AT22" i="28"/>
  <c r="BB22" i="28"/>
  <c r="AP24" i="28"/>
  <c r="AP25" i="28"/>
  <c r="AO25" i="28" s="1"/>
  <c r="D28" i="28"/>
  <c r="D29" i="28"/>
  <c r="AG12" i="28"/>
  <c r="AI13" i="28"/>
  <c r="AI12" i="28" s="1"/>
  <c r="G22" i="28"/>
  <c r="G11" i="28" s="1"/>
  <c r="BC22" i="28"/>
  <c r="BC11" i="28" s="1"/>
  <c r="I23" i="28"/>
  <c r="J12" i="28"/>
  <c r="D19" i="28"/>
  <c r="C19" i="28" s="1"/>
  <c r="D25" i="28"/>
  <c r="V25" i="28"/>
  <c r="D26" i="28"/>
  <c r="D16" i="28"/>
  <c r="E16" i="28"/>
  <c r="K12" i="28"/>
  <c r="AA12" i="28"/>
  <c r="AY16" i="28"/>
  <c r="AX16" i="28" s="1"/>
  <c r="D21" i="28"/>
  <c r="C21" i="28" s="1"/>
  <c r="AQ21" i="28"/>
  <c r="AO21" i="28" s="1"/>
  <c r="AG22" i="28"/>
  <c r="E25" i="28"/>
  <c r="V26" i="28"/>
  <c r="AS12" i="28"/>
  <c r="G11" i="27"/>
  <c r="H11" i="27"/>
  <c r="K11" i="27"/>
  <c r="L11" i="27"/>
  <c r="N11" i="27"/>
  <c r="Q11" i="27"/>
  <c r="R11" i="27"/>
  <c r="U11" i="27"/>
  <c r="X11" i="27"/>
  <c r="AA11" i="27"/>
  <c r="AB11" i="27"/>
  <c r="AD11" i="27"/>
  <c r="AE11" i="27"/>
  <c r="AG11" i="27"/>
  <c r="AH11" i="27"/>
  <c r="AJ11" i="27"/>
  <c r="AK11" i="27"/>
  <c r="BO11" i="27" s="1"/>
  <c r="AN11" i="27"/>
  <c r="AO11" i="27"/>
  <c r="AQ11" i="27"/>
  <c r="AR11" i="27"/>
  <c r="AU11" i="27"/>
  <c r="AX11" i="27"/>
  <c r="AY11" i="27"/>
  <c r="BA11" i="27"/>
  <c r="BC38" i="27"/>
  <c r="BD38" i="27"/>
  <c r="BE38" i="27"/>
  <c r="BF38" i="27"/>
  <c r="BG38" i="27"/>
  <c r="BH38" i="27"/>
  <c r="BI38" i="27"/>
  <c r="BJ38" i="27"/>
  <c r="BK38" i="27"/>
  <c r="BL38" i="27"/>
  <c r="BC39" i="27"/>
  <c r="BD39" i="27"/>
  <c r="BE39" i="27"/>
  <c r="BF39" i="27"/>
  <c r="BG39" i="27"/>
  <c r="BH39" i="27"/>
  <c r="BI39" i="27"/>
  <c r="BJ39" i="27"/>
  <c r="BK39" i="27"/>
  <c r="BL39" i="27"/>
  <c r="BC40" i="27"/>
  <c r="BD40" i="27"/>
  <c r="BE40" i="27"/>
  <c r="BF40" i="27"/>
  <c r="BG40" i="27"/>
  <c r="BH40" i="27"/>
  <c r="BI40" i="27"/>
  <c r="BJ40" i="27"/>
  <c r="BK40" i="27"/>
  <c r="BL40" i="27"/>
  <c r="BC41" i="27"/>
  <c r="BD41" i="27"/>
  <c r="BE41" i="27"/>
  <c r="BF41" i="27"/>
  <c r="BG41" i="27"/>
  <c r="BH41" i="27"/>
  <c r="BI41" i="27"/>
  <c r="BJ41" i="27"/>
  <c r="BK41" i="27"/>
  <c r="BL41" i="27"/>
  <c r="AZ42" i="27"/>
  <c r="BC42" i="27"/>
  <c r="BD42" i="27"/>
  <c r="BE42" i="27"/>
  <c r="BF42" i="27"/>
  <c r="BG42" i="27"/>
  <c r="BH42" i="27"/>
  <c r="BI42" i="27"/>
  <c r="BJ42" i="27"/>
  <c r="BK42" i="27"/>
  <c r="BL42" i="27"/>
  <c r="AZ43" i="27"/>
  <c r="BC43" i="27"/>
  <c r="BD43" i="27"/>
  <c r="BE43" i="27"/>
  <c r="BF43" i="27"/>
  <c r="BG43" i="27"/>
  <c r="BH43" i="27"/>
  <c r="BI43" i="27"/>
  <c r="BJ43" i="27"/>
  <c r="BK43" i="27"/>
  <c r="BL43" i="27"/>
  <c r="BN44" i="27"/>
  <c r="BC44" i="27"/>
  <c r="BD44" i="27"/>
  <c r="BE44" i="27"/>
  <c r="BF44" i="27"/>
  <c r="BG44" i="27"/>
  <c r="BH44" i="27"/>
  <c r="BI44" i="27"/>
  <c r="BJ44" i="27"/>
  <c r="BK44" i="27"/>
  <c r="BL44" i="27"/>
  <c r="BC45" i="27"/>
  <c r="BD45" i="27"/>
  <c r="BE45" i="27"/>
  <c r="BF45" i="27"/>
  <c r="BG45" i="27"/>
  <c r="BH45" i="27"/>
  <c r="BI45" i="27"/>
  <c r="BJ45" i="27"/>
  <c r="BK45" i="27"/>
  <c r="BL45" i="27"/>
  <c r="BC34" i="27"/>
  <c r="BD34" i="27"/>
  <c r="BE34" i="27"/>
  <c r="BF34" i="27"/>
  <c r="BG34" i="27"/>
  <c r="BH34" i="27"/>
  <c r="BI34" i="27"/>
  <c r="BJ34" i="27"/>
  <c r="BK34" i="27"/>
  <c r="BL34" i="27"/>
  <c r="BC35" i="27"/>
  <c r="BD35" i="27"/>
  <c r="BE35" i="27"/>
  <c r="BF35" i="27"/>
  <c r="BG35" i="27"/>
  <c r="BH35" i="27"/>
  <c r="BI35" i="27"/>
  <c r="BJ35" i="27"/>
  <c r="BK35" i="27"/>
  <c r="BL35" i="27"/>
  <c r="D14" i="27"/>
  <c r="BN36" i="27"/>
  <c r="BO36" i="27"/>
  <c r="BL36" i="27"/>
  <c r="BK36" i="27"/>
  <c r="BI36" i="27"/>
  <c r="BH36" i="27"/>
  <c r="BG36" i="27"/>
  <c r="BF36" i="27"/>
  <c r="BE36" i="27"/>
  <c r="BD36" i="27"/>
  <c r="BC36" i="27"/>
  <c r="AZ36" i="27"/>
  <c r="AW36" i="27"/>
  <c r="AT36" i="27"/>
  <c r="AP36" i="27"/>
  <c r="AM36" i="27"/>
  <c r="AI36" i="27"/>
  <c r="AF36" i="27"/>
  <c r="AC36" i="27"/>
  <c r="Z36" i="27"/>
  <c r="W36" i="27"/>
  <c r="T36" i="27"/>
  <c r="P36" i="27"/>
  <c r="M36" i="27"/>
  <c r="F36" i="27"/>
  <c r="E36" i="27"/>
  <c r="D36" i="27"/>
  <c r="J13" i="27"/>
  <c r="M13" i="27"/>
  <c r="P13" i="27"/>
  <c r="T13" i="27"/>
  <c r="W13" i="27"/>
  <c r="Z13" i="27"/>
  <c r="AC13" i="27"/>
  <c r="AF13" i="27"/>
  <c r="AI13" i="27"/>
  <c r="AM13" i="27"/>
  <c r="AP13" i="27"/>
  <c r="AT13" i="27"/>
  <c r="AW13" i="27"/>
  <c r="J14" i="27"/>
  <c r="P14" i="27"/>
  <c r="T14" i="27"/>
  <c r="W14" i="27"/>
  <c r="Z14" i="27"/>
  <c r="AC14" i="27"/>
  <c r="AF14" i="27"/>
  <c r="AI14" i="27"/>
  <c r="AM14" i="27"/>
  <c r="AP14" i="27"/>
  <c r="AT14" i="27"/>
  <c r="AW14" i="27"/>
  <c r="J15" i="27"/>
  <c r="I15" i="27" s="1"/>
  <c r="M15" i="27"/>
  <c r="P15" i="27"/>
  <c r="W15" i="27"/>
  <c r="Z15" i="27"/>
  <c r="AC15" i="27"/>
  <c r="AF15" i="27"/>
  <c r="AI15" i="27"/>
  <c r="AM15" i="27"/>
  <c r="AP15" i="27"/>
  <c r="AT15" i="27"/>
  <c r="AW15" i="27"/>
  <c r="J16" i="27"/>
  <c r="M16" i="27"/>
  <c r="P16" i="27"/>
  <c r="T16" i="27"/>
  <c r="W16" i="27"/>
  <c r="Z16" i="27"/>
  <c r="AC16" i="27"/>
  <c r="AF16" i="27"/>
  <c r="AI16" i="27"/>
  <c r="AM16" i="27"/>
  <c r="AP16" i="27"/>
  <c r="AT16" i="27"/>
  <c r="AW16" i="27"/>
  <c r="J17" i="27"/>
  <c r="M17" i="27"/>
  <c r="P17" i="27"/>
  <c r="T17" i="27"/>
  <c r="Z17" i="27"/>
  <c r="AC17" i="27"/>
  <c r="AF17" i="27"/>
  <c r="AI17" i="27"/>
  <c r="AM17" i="27"/>
  <c r="AP17" i="27"/>
  <c r="AT17" i="27"/>
  <c r="AW17" i="27"/>
  <c r="J18" i="27"/>
  <c r="M18" i="27"/>
  <c r="P18" i="27"/>
  <c r="T18" i="27"/>
  <c r="W18" i="27"/>
  <c r="Z18" i="27"/>
  <c r="AC18" i="27"/>
  <c r="AF18" i="27"/>
  <c r="AI18" i="27"/>
  <c r="AM18" i="27"/>
  <c r="AP18" i="27"/>
  <c r="AT18" i="27"/>
  <c r="AW18" i="27"/>
  <c r="J19" i="27"/>
  <c r="M19" i="27"/>
  <c r="P19" i="27"/>
  <c r="T19" i="27"/>
  <c r="W19" i="27"/>
  <c r="Z19" i="27"/>
  <c r="AC19" i="27"/>
  <c r="AF19" i="27"/>
  <c r="AI19" i="27"/>
  <c r="AM19" i="27"/>
  <c r="AP19" i="27"/>
  <c r="AT19" i="27"/>
  <c r="AW19" i="27"/>
  <c r="J20" i="27"/>
  <c r="M20" i="27"/>
  <c r="P20" i="27"/>
  <c r="T20" i="27"/>
  <c r="W20" i="27"/>
  <c r="Z20" i="27"/>
  <c r="AC20" i="27"/>
  <c r="AF20" i="27"/>
  <c r="AI20" i="27"/>
  <c r="AM20" i="27"/>
  <c r="AL20" i="27" s="1"/>
  <c r="AP20" i="27"/>
  <c r="AT20" i="27"/>
  <c r="AW20" i="27"/>
  <c r="J21" i="27"/>
  <c r="M21" i="27"/>
  <c r="P21" i="27"/>
  <c r="T21" i="27"/>
  <c r="W21" i="27"/>
  <c r="Z21" i="27"/>
  <c r="AC21" i="27"/>
  <c r="AF21" i="27"/>
  <c r="AI21" i="27"/>
  <c r="AM21" i="27"/>
  <c r="AP21" i="27"/>
  <c r="AT21" i="27"/>
  <c r="AW21" i="27"/>
  <c r="J22" i="27"/>
  <c r="M22" i="27"/>
  <c r="P22" i="27"/>
  <c r="T22" i="27"/>
  <c r="W22" i="27"/>
  <c r="Z22" i="27"/>
  <c r="AC22" i="27"/>
  <c r="AF22" i="27"/>
  <c r="AI22" i="27"/>
  <c r="AM22" i="27"/>
  <c r="AP22" i="27"/>
  <c r="AT22" i="27"/>
  <c r="AW22" i="27"/>
  <c r="J23" i="27"/>
  <c r="M23" i="27"/>
  <c r="P23" i="27"/>
  <c r="T23" i="27"/>
  <c r="W23" i="27"/>
  <c r="Z23" i="27"/>
  <c r="AC23" i="27"/>
  <c r="AF23" i="27"/>
  <c r="AI23" i="27"/>
  <c r="AM23" i="27"/>
  <c r="AP23" i="27"/>
  <c r="AT23" i="27"/>
  <c r="AW23" i="27"/>
  <c r="J24" i="27"/>
  <c r="M24" i="27"/>
  <c r="P24" i="27"/>
  <c r="T24" i="27"/>
  <c r="W24" i="27"/>
  <c r="Z24" i="27"/>
  <c r="AC24" i="27"/>
  <c r="AF24" i="27"/>
  <c r="AI24" i="27"/>
  <c r="AM24" i="27"/>
  <c r="AP24" i="27"/>
  <c r="AT24" i="27"/>
  <c r="AW24" i="27"/>
  <c r="J25" i="27"/>
  <c r="M25" i="27"/>
  <c r="P25" i="27"/>
  <c r="T25" i="27"/>
  <c r="W25" i="27"/>
  <c r="Z25" i="27"/>
  <c r="AC25" i="27"/>
  <c r="AF25" i="27"/>
  <c r="AI25" i="27"/>
  <c r="AM25" i="27"/>
  <c r="AP25" i="27"/>
  <c r="AT25" i="27"/>
  <c r="AW25" i="27"/>
  <c r="J26" i="27"/>
  <c r="M26" i="27"/>
  <c r="P26" i="27"/>
  <c r="T26" i="27"/>
  <c r="W26" i="27"/>
  <c r="Z26" i="27"/>
  <c r="AC26" i="27"/>
  <c r="AF26" i="27"/>
  <c r="AI26" i="27"/>
  <c r="AM26" i="27"/>
  <c r="AL26" i="27" s="1"/>
  <c r="AP26" i="27"/>
  <c r="AT26" i="27"/>
  <c r="AW26" i="27"/>
  <c r="J27" i="27"/>
  <c r="I27" i="27" s="1"/>
  <c r="M27" i="27"/>
  <c r="P27" i="27"/>
  <c r="T27" i="27"/>
  <c r="W27" i="27"/>
  <c r="Z27" i="27"/>
  <c r="AC27" i="27"/>
  <c r="AF27" i="27"/>
  <c r="AI27" i="27"/>
  <c r="AM27" i="27"/>
  <c r="AP27" i="27"/>
  <c r="AT27" i="27"/>
  <c r="AW27" i="27"/>
  <c r="J28" i="27"/>
  <c r="M28" i="27"/>
  <c r="P28" i="27"/>
  <c r="T28" i="27"/>
  <c r="W28" i="27"/>
  <c r="Z28" i="27"/>
  <c r="AC28" i="27"/>
  <c r="AF28" i="27"/>
  <c r="AI28" i="27"/>
  <c r="AM28" i="27"/>
  <c r="AP28" i="27"/>
  <c r="AT28" i="27"/>
  <c r="AW28" i="27"/>
  <c r="J29" i="27"/>
  <c r="M29" i="27"/>
  <c r="P29" i="27"/>
  <c r="T29" i="27"/>
  <c r="W29" i="27"/>
  <c r="Z29" i="27"/>
  <c r="AC29" i="27"/>
  <c r="AF29" i="27"/>
  <c r="AI29" i="27"/>
  <c r="AM29" i="27"/>
  <c r="AP29" i="27"/>
  <c r="AT29" i="27"/>
  <c r="AW29" i="27"/>
  <c r="J30" i="27"/>
  <c r="M30" i="27"/>
  <c r="P30" i="27"/>
  <c r="T30" i="27"/>
  <c r="W30" i="27"/>
  <c r="Z30" i="27"/>
  <c r="AC30" i="27"/>
  <c r="AF30" i="27"/>
  <c r="AI30" i="27"/>
  <c r="AM30" i="27"/>
  <c r="AP30" i="27"/>
  <c r="AT30" i="27"/>
  <c r="AW30" i="27"/>
  <c r="J31" i="27"/>
  <c r="M31" i="27"/>
  <c r="P31" i="27"/>
  <c r="T31" i="27"/>
  <c r="W31" i="27"/>
  <c r="Z31" i="27"/>
  <c r="AC31" i="27"/>
  <c r="AF31" i="27"/>
  <c r="AI31" i="27"/>
  <c r="AM31" i="27"/>
  <c r="AP31" i="27"/>
  <c r="AW31" i="27"/>
  <c r="J32" i="27"/>
  <c r="M32" i="27"/>
  <c r="P32" i="27"/>
  <c r="T32" i="27"/>
  <c r="W32" i="27"/>
  <c r="Z32" i="27"/>
  <c r="AC32" i="27"/>
  <c r="AF32" i="27"/>
  <c r="AI32" i="27"/>
  <c r="AM32" i="27"/>
  <c r="AP32" i="27"/>
  <c r="AT32" i="27"/>
  <c r="AW32" i="27"/>
  <c r="J33" i="27"/>
  <c r="M33" i="27"/>
  <c r="P33" i="27"/>
  <c r="T33" i="27"/>
  <c r="W33" i="27"/>
  <c r="Z33" i="27"/>
  <c r="AC33" i="27"/>
  <c r="AF33" i="27"/>
  <c r="AI33" i="27"/>
  <c r="AM33" i="27"/>
  <c r="AP33" i="27"/>
  <c r="AT33" i="27"/>
  <c r="AW33" i="27"/>
  <c r="J34" i="27"/>
  <c r="M34" i="27"/>
  <c r="P34" i="27"/>
  <c r="T34" i="27"/>
  <c r="W34" i="27"/>
  <c r="Z34" i="27"/>
  <c r="AC34" i="27"/>
  <c r="AF34" i="27"/>
  <c r="AI34" i="27"/>
  <c r="AM34" i="27"/>
  <c r="AP34" i="27"/>
  <c r="AT34" i="27"/>
  <c r="AW34" i="27"/>
  <c r="J35" i="27"/>
  <c r="M35" i="27"/>
  <c r="P35" i="27"/>
  <c r="T35" i="27"/>
  <c r="W35" i="27"/>
  <c r="Z35" i="27"/>
  <c r="AC35" i="27"/>
  <c r="AF35" i="27"/>
  <c r="AI35" i="27"/>
  <c r="AM35" i="27"/>
  <c r="AP35" i="27"/>
  <c r="AT35" i="27"/>
  <c r="AW35" i="27"/>
  <c r="J38" i="27"/>
  <c r="M38" i="27"/>
  <c r="P38" i="27"/>
  <c r="Z38" i="27"/>
  <c r="AC38" i="27"/>
  <c r="AF38" i="27"/>
  <c r="AI38" i="27"/>
  <c r="AM38" i="27"/>
  <c r="AP38" i="27"/>
  <c r="AW38" i="27"/>
  <c r="AZ38" i="27"/>
  <c r="J39" i="27"/>
  <c r="M39" i="27"/>
  <c r="P39" i="27"/>
  <c r="Z39" i="27"/>
  <c r="AC39" i="27"/>
  <c r="AF39" i="27"/>
  <c r="AI39" i="27"/>
  <c r="AM39" i="27"/>
  <c r="AP39" i="27"/>
  <c r="AW39" i="27"/>
  <c r="J40" i="27"/>
  <c r="M40" i="27"/>
  <c r="P40" i="27"/>
  <c r="Z40" i="27"/>
  <c r="AC40" i="27"/>
  <c r="AF40" i="27"/>
  <c r="AI40" i="27"/>
  <c r="AM40" i="27"/>
  <c r="AP40" i="27"/>
  <c r="AW40" i="27"/>
  <c r="AZ40" i="27"/>
  <c r="J41" i="27"/>
  <c r="M41" i="27"/>
  <c r="P41" i="27"/>
  <c r="Z41" i="27"/>
  <c r="AC41" i="27"/>
  <c r="AF41" i="27"/>
  <c r="AI41" i="27"/>
  <c r="AM41" i="27"/>
  <c r="AW41" i="27"/>
  <c r="AZ41" i="27"/>
  <c r="J42" i="27"/>
  <c r="M42" i="27"/>
  <c r="P42" i="27"/>
  <c r="Z42" i="27"/>
  <c r="AC42" i="27"/>
  <c r="AF42" i="27"/>
  <c r="AI42" i="27"/>
  <c r="AM42" i="27"/>
  <c r="AP42" i="27"/>
  <c r="AW42" i="27"/>
  <c r="J43" i="27"/>
  <c r="M43" i="27"/>
  <c r="P43" i="27"/>
  <c r="Z43" i="27"/>
  <c r="AC43" i="27"/>
  <c r="AF43" i="27"/>
  <c r="AI43" i="27"/>
  <c r="AM43" i="27"/>
  <c r="AP43" i="27"/>
  <c r="AW43" i="27"/>
  <c r="J44" i="27"/>
  <c r="M44" i="27"/>
  <c r="P44" i="27"/>
  <c r="Z44" i="27"/>
  <c r="AF44" i="27"/>
  <c r="AI44" i="27"/>
  <c r="AM44" i="27"/>
  <c r="AP44" i="27"/>
  <c r="AW44" i="27"/>
  <c r="AZ44" i="27"/>
  <c r="J45" i="27"/>
  <c r="M45" i="27"/>
  <c r="P45" i="27"/>
  <c r="Z45" i="27"/>
  <c r="AC45" i="27"/>
  <c r="AF45" i="27"/>
  <c r="AI45" i="27"/>
  <c r="AM45" i="27"/>
  <c r="AP45" i="27"/>
  <c r="AW45" i="27"/>
  <c r="AW12" i="27"/>
  <c r="AP12" i="27"/>
  <c r="AM12" i="27"/>
  <c r="AI12" i="27"/>
  <c r="AF12" i="27"/>
  <c r="AC12" i="27"/>
  <c r="Z12" i="27"/>
  <c r="W12" i="27"/>
  <c r="T12" i="27"/>
  <c r="P12" i="27"/>
  <c r="M12" i="27"/>
  <c r="J12" i="27"/>
  <c r="F13" i="27"/>
  <c r="F14" i="27"/>
  <c r="F15" i="27"/>
  <c r="F16" i="27"/>
  <c r="F17" i="27"/>
  <c r="F18" i="27"/>
  <c r="F19" i="27"/>
  <c r="F20" i="27"/>
  <c r="F21" i="27"/>
  <c r="F22" i="27"/>
  <c r="F23" i="27"/>
  <c r="F24" i="27"/>
  <c r="F25" i="27"/>
  <c r="F26" i="27"/>
  <c r="F27" i="27"/>
  <c r="F28" i="27"/>
  <c r="F29" i="27"/>
  <c r="F30" i="27"/>
  <c r="F31" i="27"/>
  <c r="F32" i="27"/>
  <c r="F33" i="27"/>
  <c r="F34" i="27"/>
  <c r="F35" i="27"/>
  <c r="F38" i="27"/>
  <c r="F39" i="27"/>
  <c r="F40" i="27"/>
  <c r="F41" i="27"/>
  <c r="F42" i="27"/>
  <c r="F43" i="27"/>
  <c r="F44" i="27"/>
  <c r="F45" i="27"/>
  <c r="F12" i="27"/>
  <c r="D13" i="27"/>
  <c r="D15" i="27"/>
  <c r="D16" i="27"/>
  <c r="D17" i="27"/>
  <c r="D18" i="27"/>
  <c r="D19" i="27"/>
  <c r="D20" i="27"/>
  <c r="D21" i="27"/>
  <c r="D22" i="27"/>
  <c r="D23" i="27"/>
  <c r="D24" i="27"/>
  <c r="D25" i="27"/>
  <c r="D26" i="27"/>
  <c r="D27" i="27"/>
  <c r="D28" i="27"/>
  <c r="D29" i="27"/>
  <c r="D30" i="27"/>
  <c r="D31" i="27"/>
  <c r="D32" i="27"/>
  <c r="D33" i="27"/>
  <c r="D34" i="27"/>
  <c r="D35" i="27"/>
  <c r="D39" i="27"/>
  <c r="D40" i="27"/>
  <c r="D41" i="27"/>
  <c r="D42" i="27"/>
  <c r="D43" i="27"/>
  <c r="D44" i="27"/>
  <c r="D45" i="27"/>
  <c r="D12" i="27"/>
  <c r="BO35" i="27"/>
  <c r="BO34" i="27"/>
  <c r="BO45" i="27"/>
  <c r="BN45" i="27"/>
  <c r="BO44" i="27"/>
  <c r="BO43" i="27"/>
  <c r="BN43" i="27"/>
  <c r="BO42" i="27"/>
  <c r="BO41" i="27"/>
  <c r="BN41" i="27"/>
  <c r="BO40" i="27"/>
  <c r="BN40" i="27"/>
  <c r="BO39" i="27"/>
  <c r="BO38" i="27"/>
  <c r="BN38" i="27"/>
  <c r="BO33" i="27"/>
  <c r="BL33" i="27"/>
  <c r="BK33" i="27"/>
  <c r="BI33" i="27"/>
  <c r="BH33" i="27"/>
  <c r="BG33" i="27"/>
  <c r="BF33" i="27"/>
  <c r="BE33" i="27"/>
  <c r="BD33" i="27"/>
  <c r="BC33" i="27"/>
  <c r="BO32" i="27"/>
  <c r="BL32" i="27"/>
  <c r="BK32" i="27"/>
  <c r="BI32" i="27"/>
  <c r="BH32" i="27"/>
  <c r="BG32" i="27"/>
  <c r="BF32" i="27"/>
  <c r="BE32" i="27"/>
  <c r="BD32" i="27"/>
  <c r="BC32" i="27"/>
  <c r="BO31" i="27"/>
  <c r="BL31" i="27"/>
  <c r="BK31" i="27"/>
  <c r="BI31" i="27"/>
  <c r="BG31" i="27"/>
  <c r="BF31" i="27"/>
  <c r="BE31" i="27"/>
  <c r="BD31" i="27"/>
  <c r="BC31" i="27"/>
  <c r="BO30" i="27"/>
  <c r="BL30" i="27"/>
  <c r="BK30" i="27"/>
  <c r="BI30" i="27"/>
  <c r="BH30" i="27"/>
  <c r="BG30" i="27"/>
  <c r="BF30" i="27"/>
  <c r="BE30" i="27"/>
  <c r="BD30" i="27"/>
  <c r="BC30" i="27"/>
  <c r="BO29" i="27"/>
  <c r="BL29" i="27"/>
  <c r="BK29" i="27"/>
  <c r="BI29" i="27"/>
  <c r="BH29" i="27"/>
  <c r="BG29" i="27"/>
  <c r="BF29" i="27"/>
  <c r="BE29" i="27"/>
  <c r="BD29" i="27"/>
  <c r="BC29" i="27"/>
  <c r="BO28" i="27"/>
  <c r="BL28" i="27"/>
  <c r="BK28" i="27"/>
  <c r="BI28" i="27"/>
  <c r="BH28" i="27"/>
  <c r="BG28" i="27"/>
  <c r="BF28" i="27"/>
  <c r="BE28" i="27"/>
  <c r="BD28" i="27"/>
  <c r="BC28" i="27"/>
  <c r="BO27" i="27"/>
  <c r="BL27" i="27"/>
  <c r="BK27" i="27"/>
  <c r="BI27" i="27"/>
  <c r="BH27" i="27"/>
  <c r="BG27" i="27"/>
  <c r="BF27" i="27"/>
  <c r="BE27" i="27"/>
  <c r="BD27" i="27"/>
  <c r="BC27" i="27"/>
  <c r="BO26" i="27"/>
  <c r="BL26" i="27"/>
  <c r="BK26" i="27"/>
  <c r="BI26" i="27"/>
  <c r="BH26" i="27"/>
  <c r="BG26" i="27"/>
  <c r="BF26" i="27"/>
  <c r="BE26" i="27"/>
  <c r="BD26" i="27"/>
  <c r="BC26" i="27"/>
  <c r="BO25" i="27"/>
  <c r="BL25" i="27"/>
  <c r="BK25" i="27"/>
  <c r="BI25" i="27"/>
  <c r="BH25" i="27"/>
  <c r="BG25" i="27"/>
  <c r="BF25" i="27"/>
  <c r="BE25" i="27"/>
  <c r="BD25" i="27"/>
  <c r="BC25" i="27"/>
  <c r="BO24" i="27"/>
  <c r="BL24" i="27"/>
  <c r="BK24" i="27"/>
  <c r="BI24" i="27"/>
  <c r="BH24" i="27"/>
  <c r="BG24" i="27"/>
  <c r="BF24" i="27"/>
  <c r="BE24" i="27"/>
  <c r="BD24" i="27"/>
  <c r="BC24" i="27"/>
  <c r="BO23" i="27"/>
  <c r="BL23" i="27"/>
  <c r="BK23" i="27"/>
  <c r="BI23" i="27"/>
  <c r="BH23" i="27"/>
  <c r="BG23" i="27"/>
  <c r="BF23" i="27"/>
  <c r="BE23" i="27"/>
  <c r="BD23" i="27"/>
  <c r="BC23" i="27"/>
  <c r="BO22" i="27"/>
  <c r="BL22" i="27"/>
  <c r="BK22" i="27"/>
  <c r="BI22" i="27"/>
  <c r="BH22" i="27"/>
  <c r="BG22" i="27"/>
  <c r="BF22" i="27"/>
  <c r="BE22" i="27"/>
  <c r="BD22" i="27"/>
  <c r="BC22" i="27"/>
  <c r="BO21" i="27"/>
  <c r="BL21" i="27"/>
  <c r="BK21" i="27"/>
  <c r="BI21" i="27"/>
  <c r="BH21" i="27"/>
  <c r="BG21" i="27"/>
  <c r="BF21" i="27"/>
  <c r="BE21" i="27"/>
  <c r="BD21" i="27"/>
  <c r="BC21" i="27"/>
  <c r="BO20" i="27"/>
  <c r="BL20" i="27"/>
  <c r="BK20" i="27"/>
  <c r="BI20" i="27"/>
  <c r="BH20" i="27"/>
  <c r="BG20" i="27"/>
  <c r="BF20" i="27"/>
  <c r="BE20" i="27"/>
  <c r="BD20" i="27"/>
  <c r="BC20" i="27"/>
  <c r="BO19" i="27"/>
  <c r="BL19" i="27"/>
  <c r="BK19" i="27"/>
  <c r="BI19" i="27"/>
  <c r="BH19" i="27"/>
  <c r="BG19" i="27"/>
  <c r="BF19" i="27"/>
  <c r="BE19" i="27"/>
  <c r="BD19" i="27"/>
  <c r="BC19" i="27"/>
  <c r="BO18" i="27"/>
  <c r="BL18" i="27"/>
  <c r="BK18" i="27"/>
  <c r="BI18" i="27"/>
  <c r="BH18" i="27"/>
  <c r="BG18" i="27"/>
  <c r="BF18" i="27"/>
  <c r="BE18" i="27"/>
  <c r="BD18" i="27"/>
  <c r="BC18" i="27"/>
  <c r="BO17" i="27"/>
  <c r="BL17" i="27"/>
  <c r="BK17" i="27"/>
  <c r="BI17" i="27"/>
  <c r="BH17" i="27"/>
  <c r="BG17" i="27"/>
  <c r="BF17" i="27"/>
  <c r="BE17" i="27"/>
  <c r="BC17" i="27"/>
  <c r="BO16" i="27"/>
  <c r="BL16" i="27"/>
  <c r="BK16" i="27"/>
  <c r="BI16" i="27"/>
  <c r="BH16" i="27"/>
  <c r="BG16" i="27"/>
  <c r="BF16" i="27"/>
  <c r="BE16" i="27"/>
  <c r="BD16" i="27"/>
  <c r="BC16" i="27"/>
  <c r="BO15" i="27"/>
  <c r="BL15" i="27"/>
  <c r="BK15" i="27"/>
  <c r="BI15" i="27"/>
  <c r="BH15" i="27"/>
  <c r="BG15" i="27"/>
  <c r="BF15" i="27"/>
  <c r="BE15" i="27"/>
  <c r="BC15" i="27"/>
  <c r="BO14" i="27"/>
  <c r="BL14" i="27"/>
  <c r="BK14" i="27"/>
  <c r="BI14" i="27"/>
  <c r="BH14" i="27"/>
  <c r="BG14" i="27"/>
  <c r="BD14" i="27"/>
  <c r="BC14" i="27"/>
  <c r="BO13" i="27"/>
  <c r="BL13" i="27"/>
  <c r="BK13" i="27"/>
  <c r="BI13" i="27"/>
  <c r="BH13" i="27"/>
  <c r="BG13" i="27"/>
  <c r="BF13" i="27"/>
  <c r="BE13" i="27"/>
  <c r="BD13" i="27"/>
  <c r="BC13" i="27"/>
  <c r="BO12" i="27"/>
  <c r="BL12" i="27"/>
  <c r="BK12" i="27"/>
  <c r="BI12" i="27"/>
  <c r="BG12" i="27"/>
  <c r="BF12" i="27"/>
  <c r="BE12" i="27"/>
  <c r="BD12" i="27"/>
  <c r="BC12" i="27"/>
  <c r="AL16" i="27" l="1"/>
  <c r="S23" i="28"/>
  <c r="I34" i="27"/>
  <c r="AX14" i="28"/>
  <c r="R19" i="28"/>
  <c r="C24" i="28"/>
  <c r="AO29" i="28"/>
  <c r="AF11" i="27"/>
  <c r="AV11" i="28"/>
  <c r="I28" i="27"/>
  <c r="F22" i="28"/>
  <c r="F11" i="28" s="1"/>
  <c r="AX17" i="28"/>
  <c r="C27" i="28"/>
  <c r="C17" i="28"/>
  <c r="AA11" i="28"/>
  <c r="AW11" i="28"/>
  <c r="AO24" i="28"/>
  <c r="AO30" i="28"/>
  <c r="BD12" i="28"/>
  <c r="AC22" i="28"/>
  <c r="AC11" i="28" s="1"/>
  <c r="BB11" i="28"/>
  <c r="AT11" i="28"/>
  <c r="AO28" i="28"/>
  <c r="BE11" i="28"/>
  <c r="U29" i="28"/>
  <c r="C20" i="28"/>
  <c r="AO27" i="28"/>
  <c r="C15" i="28"/>
  <c r="AZ12" i="28"/>
  <c r="AO26" i="28"/>
  <c r="BA12" i="28"/>
  <c r="AO18" i="28"/>
  <c r="AO12" i="28" s="1"/>
  <c r="L22" i="28"/>
  <c r="L11" i="28" s="1"/>
  <c r="BF11" i="28"/>
  <c r="U27" i="28"/>
  <c r="R27" i="28"/>
  <c r="C23" i="28"/>
  <c r="AL22" i="28"/>
  <c r="AL11" i="28" s="1"/>
  <c r="W12" i="28"/>
  <c r="AU22" i="28"/>
  <c r="AU11" i="28" s="1"/>
  <c r="Z22" i="28"/>
  <c r="Z11" i="28" s="1"/>
  <c r="AI22" i="28"/>
  <c r="AI11" i="28" s="1"/>
  <c r="W22" i="28"/>
  <c r="AP12" i="28"/>
  <c r="AO23" i="28"/>
  <c r="K11" i="28"/>
  <c r="C29" i="28"/>
  <c r="AX13" i="28"/>
  <c r="O22" i="28"/>
  <c r="O11" i="28" s="1"/>
  <c r="E12" i="28"/>
  <c r="J11" i="28"/>
  <c r="AR12" i="28"/>
  <c r="C26" i="28"/>
  <c r="T22" i="28"/>
  <c r="T11" i="28" s="1"/>
  <c r="C30" i="28"/>
  <c r="R13" i="28"/>
  <c r="AR22" i="28"/>
  <c r="AF11" i="28"/>
  <c r="BA22" i="28"/>
  <c r="V22" i="28"/>
  <c r="V11" i="28" s="1"/>
  <c r="BD22" i="28"/>
  <c r="U30" i="28"/>
  <c r="U12" i="28"/>
  <c r="R30" i="28"/>
  <c r="AP22" i="28"/>
  <c r="R28" i="28"/>
  <c r="E22" i="28"/>
  <c r="AZ22" i="28"/>
  <c r="R29" i="28"/>
  <c r="R24" i="28"/>
  <c r="S12" i="28"/>
  <c r="R12" i="28"/>
  <c r="C14" i="28"/>
  <c r="C16" i="28"/>
  <c r="C28" i="28"/>
  <c r="U28" i="28"/>
  <c r="I22" i="28"/>
  <c r="I11" i="28" s="1"/>
  <c r="U24" i="28"/>
  <c r="AS11" i="28"/>
  <c r="D22" i="28"/>
  <c r="AQ22" i="28"/>
  <c r="AY12" i="28"/>
  <c r="AQ12" i="28"/>
  <c r="U26" i="28"/>
  <c r="S26" i="28"/>
  <c r="R26" i="28" s="1"/>
  <c r="U25" i="28"/>
  <c r="S25" i="28"/>
  <c r="R25" i="28" s="1"/>
  <c r="C25" i="28"/>
  <c r="R23" i="28"/>
  <c r="D12" i="28"/>
  <c r="AY22" i="28"/>
  <c r="AG11" i="28"/>
  <c r="AP11" i="27"/>
  <c r="P11" i="27"/>
  <c r="AW11" i="27"/>
  <c r="AL28" i="27"/>
  <c r="S23" i="27"/>
  <c r="F11" i="27"/>
  <c r="Z11" i="27"/>
  <c r="I41" i="27"/>
  <c r="I23" i="27"/>
  <c r="I20" i="27"/>
  <c r="AI11" i="27"/>
  <c r="AL32" i="27"/>
  <c r="AC11" i="27"/>
  <c r="I18" i="27"/>
  <c r="AM11" i="27"/>
  <c r="AL35" i="27"/>
  <c r="I24" i="27"/>
  <c r="AL36" i="27"/>
  <c r="AS36" i="27"/>
  <c r="AL31" i="27"/>
  <c r="AL24" i="27"/>
  <c r="S30" i="27"/>
  <c r="S13" i="27"/>
  <c r="S25" i="27"/>
  <c r="S36" i="27"/>
  <c r="S34" i="27"/>
  <c r="S22" i="27"/>
  <c r="D11" i="27"/>
  <c r="I32" i="27"/>
  <c r="I19" i="27"/>
  <c r="I25" i="27"/>
  <c r="I12" i="27"/>
  <c r="I35" i="27"/>
  <c r="BN42" i="27"/>
  <c r="AZ45" i="27"/>
  <c r="AZ39" i="27"/>
  <c r="BN39" i="27"/>
  <c r="I16" i="27"/>
  <c r="AO10" i="27"/>
  <c r="AB10" i="27"/>
  <c r="I44" i="27"/>
  <c r="I21" i="27"/>
  <c r="AL17" i="27"/>
  <c r="BA10" i="27"/>
  <c r="AN10" i="27"/>
  <c r="F37" i="27"/>
  <c r="AY10" i="27"/>
  <c r="I30" i="27"/>
  <c r="AL22" i="27"/>
  <c r="M37" i="27"/>
  <c r="S28" i="27"/>
  <c r="AL15" i="27"/>
  <c r="AH10" i="27"/>
  <c r="BJ36" i="27"/>
  <c r="I45" i="27"/>
  <c r="AG10" i="27"/>
  <c r="AF37" i="27"/>
  <c r="S21" i="27"/>
  <c r="AL13" i="27"/>
  <c r="AW37" i="27"/>
  <c r="AX10" i="27"/>
  <c r="AU10" i="27"/>
  <c r="AR10" i="27"/>
  <c r="AL45" i="27"/>
  <c r="AL44" i="27"/>
  <c r="AP41" i="27"/>
  <c r="AL41" i="27" s="1"/>
  <c r="AL40" i="27"/>
  <c r="AQ10" i="27"/>
  <c r="AK10" i="27"/>
  <c r="BO37" i="27"/>
  <c r="AJ10" i="27"/>
  <c r="AI37" i="27"/>
  <c r="AC44" i="27"/>
  <c r="AC37" i="27" s="1"/>
  <c r="AE10" i="27"/>
  <c r="AD10" i="27"/>
  <c r="Z37" i="27"/>
  <c r="Z10" i="27" s="1"/>
  <c r="AA10" i="27"/>
  <c r="X10" i="27"/>
  <c r="U10" i="27"/>
  <c r="P37" i="27"/>
  <c r="R10" i="27"/>
  <c r="Q10" i="27"/>
  <c r="BE14" i="27"/>
  <c r="N10" i="27"/>
  <c r="BN37" i="27"/>
  <c r="L10" i="27"/>
  <c r="K10" i="27"/>
  <c r="J37" i="27"/>
  <c r="C36" i="27"/>
  <c r="J36" i="27"/>
  <c r="I36" i="27" s="1"/>
  <c r="G10" i="27"/>
  <c r="D38" i="27"/>
  <c r="D37" i="27" s="1"/>
  <c r="I43" i="27"/>
  <c r="I42" i="27"/>
  <c r="I33" i="27"/>
  <c r="S29" i="27"/>
  <c r="S27" i="27"/>
  <c r="AL14" i="27"/>
  <c r="I13" i="27"/>
  <c r="AM37" i="27"/>
  <c r="AM10" i="27" s="1"/>
  <c r="AL27" i="27"/>
  <c r="I26" i="27"/>
  <c r="S19" i="27"/>
  <c r="AL39" i="27"/>
  <c r="AL38" i="27"/>
  <c r="S31" i="27"/>
  <c r="AL30" i="27"/>
  <c r="AL29" i="27"/>
  <c r="S20" i="27"/>
  <c r="AL18" i="27"/>
  <c r="I17" i="27"/>
  <c r="I39" i="27"/>
  <c r="I38" i="27"/>
  <c r="S33" i="27"/>
  <c r="S32" i="27"/>
  <c r="I29" i="27"/>
  <c r="AL21" i="27"/>
  <c r="AL19" i="27"/>
  <c r="S14" i="27"/>
  <c r="I40" i="27"/>
  <c r="I31" i="27"/>
  <c r="S26" i="27"/>
  <c r="S24" i="27"/>
  <c r="H10" i="27"/>
  <c r="AL43" i="27"/>
  <c r="AL42" i="27"/>
  <c r="S35" i="27"/>
  <c r="AL34" i="27"/>
  <c r="AL33" i="27"/>
  <c r="AL25" i="27"/>
  <c r="AL23" i="27"/>
  <c r="I22" i="27"/>
  <c r="S18" i="27"/>
  <c r="S16" i="27"/>
  <c r="AL12" i="27"/>
  <c r="S12" i="27"/>
  <c r="AX12" i="28" l="1"/>
  <c r="AF10" i="27"/>
  <c r="BO10" i="27"/>
  <c r="AC10" i="27"/>
  <c r="P10" i="27"/>
  <c r="BD11" i="28"/>
  <c r="AZ11" i="28"/>
  <c r="BA11" i="28"/>
  <c r="AO22" i="28"/>
  <c r="AO11" i="28" s="1"/>
  <c r="E11" i="28"/>
  <c r="AP11" i="28"/>
  <c r="AR11" i="28"/>
  <c r="D11" i="28"/>
  <c r="C12" i="28"/>
  <c r="W11" i="28"/>
  <c r="C22" i="28"/>
  <c r="AX22" i="28"/>
  <c r="AX11" i="28" s="1"/>
  <c r="U22" i="28"/>
  <c r="U11" i="28" s="1"/>
  <c r="R22" i="28"/>
  <c r="R11" i="28" s="1"/>
  <c r="S22" i="28"/>
  <c r="S11" i="28" s="1"/>
  <c r="AQ11" i="28"/>
  <c r="AY11" i="28"/>
  <c r="AZ37" i="27"/>
  <c r="AL11" i="27"/>
  <c r="J11" i="27"/>
  <c r="J10" i="27" s="1"/>
  <c r="AP37" i="27"/>
  <c r="AP10" i="27" s="1"/>
  <c r="AI10" i="27"/>
  <c r="AW10" i="27"/>
  <c r="F10" i="27"/>
  <c r="D10" i="27"/>
  <c r="I37" i="27"/>
  <c r="AL37" i="27"/>
  <c r="E33" i="1"/>
  <c r="H33" i="1" s="1"/>
  <c r="E32" i="1"/>
  <c r="E30" i="1"/>
  <c r="H30" i="1" s="1"/>
  <c r="E29" i="1"/>
  <c r="H29" i="1" s="1"/>
  <c r="E27" i="1"/>
  <c r="H27" i="1" s="1"/>
  <c r="E26" i="1"/>
  <c r="H26" i="1" s="1"/>
  <c r="E25" i="1"/>
  <c r="H25" i="1" s="1"/>
  <c r="E24" i="1"/>
  <c r="H24" i="1" s="1"/>
  <c r="E23" i="1"/>
  <c r="H23" i="1" s="1"/>
  <c r="E21" i="1"/>
  <c r="E19" i="1"/>
  <c r="E18" i="1" s="1"/>
  <c r="AL10" i="27" l="1"/>
  <c r="E20" i="1"/>
  <c r="H28" i="1"/>
  <c r="H19" i="1"/>
  <c r="H18" i="1" s="1"/>
  <c r="E28" i="1"/>
  <c r="C11" i="28"/>
  <c r="H32" i="1"/>
  <c r="H21" i="1"/>
  <c r="H20" i="1" s="1"/>
  <c r="E8" i="5"/>
  <c r="E17" i="1" s="1"/>
  <c r="K17" i="1" s="1"/>
  <c r="E7" i="5"/>
  <c r="G7" i="5" s="1"/>
  <c r="F14" i="1"/>
  <c r="I14" i="1" s="1"/>
  <c r="E14" i="1"/>
  <c r="D14" i="1" s="1"/>
  <c r="K22" i="1"/>
  <c r="L22" i="1"/>
  <c r="K23" i="1"/>
  <c r="K24" i="1"/>
  <c r="K25" i="1"/>
  <c r="K26" i="1"/>
  <c r="K27" i="1"/>
  <c r="K29" i="1"/>
  <c r="K30" i="1"/>
  <c r="K32" i="1"/>
  <c r="K33" i="1"/>
  <c r="G17" i="1"/>
  <c r="G22" i="1"/>
  <c r="D22" i="1"/>
  <c r="J22" i="1" l="1"/>
  <c r="K19" i="1"/>
  <c r="K18" i="1" s="1"/>
  <c r="K21" i="1"/>
  <c r="K20" i="1"/>
  <c r="G8" i="5"/>
  <c r="F17" i="1" s="1"/>
  <c r="D17" i="1" s="1"/>
  <c r="K28" i="1"/>
  <c r="H14" i="1"/>
  <c r="G14" i="1" s="1"/>
  <c r="F16" i="1"/>
  <c r="O11" i="27"/>
  <c r="O10" i="27" s="1"/>
  <c r="BF14" i="27"/>
  <c r="M14" i="27"/>
  <c r="C7" i="5"/>
  <c r="L14" i="1"/>
  <c r="L17" i="1" l="1"/>
  <c r="J17" i="1" s="1"/>
  <c r="K14" i="1"/>
  <c r="I14" i="27"/>
  <c r="I11" i="27" s="1"/>
  <c r="I10" i="27" s="1"/>
  <c r="M11" i="27"/>
  <c r="M10" i="27" s="1"/>
  <c r="F15" i="1"/>
  <c r="F13" i="1" s="1"/>
  <c r="I16" i="1"/>
  <c r="J14" i="1"/>
  <c r="L16" i="1" l="1"/>
  <c r="L15" i="1" s="1"/>
  <c r="L13" i="1" s="1"/>
  <c r="I15" i="1"/>
  <c r="I13" i="1" s="1"/>
  <c r="G6" i="25"/>
  <c r="F29" i="1" s="1"/>
  <c r="G6" i="11"/>
  <c r="F26" i="1" s="1"/>
  <c r="I29" i="1" l="1"/>
  <c r="L29" i="1" s="1"/>
  <c r="D29" i="1"/>
  <c r="I26" i="1"/>
  <c r="G26" i="1" s="1"/>
  <c r="D26" i="1"/>
  <c r="L26" i="1"/>
  <c r="J26" i="1" s="1"/>
  <c r="D18" i="26"/>
  <c r="E33" i="26"/>
  <c r="G33" i="26" s="1"/>
  <c r="C33" i="26" s="1"/>
  <c r="E20" i="26"/>
  <c r="D55" i="26" s="1"/>
  <c r="E21" i="26"/>
  <c r="D56" i="26" s="1"/>
  <c r="E22" i="26"/>
  <c r="G22" i="26" s="1"/>
  <c r="C22" i="26" s="1"/>
  <c r="E23" i="26"/>
  <c r="D58" i="26" s="1"/>
  <c r="E24" i="26"/>
  <c r="D59" i="26" s="1"/>
  <c r="E25" i="26"/>
  <c r="G25" i="26" s="1"/>
  <c r="E60" i="26" s="1"/>
  <c r="E26" i="26"/>
  <c r="G26" i="26" s="1"/>
  <c r="C26" i="26" s="1"/>
  <c r="E27" i="26"/>
  <c r="D62" i="26" s="1"/>
  <c r="E28" i="26"/>
  <c r="D63" i="26" s="1"/>
  <c r="E29" i="26"/>
  <c r="D64" i="26" s="1"/>
  <c r="E30" i="26"/>
  <c r="G30" i="26" s="1"/>
  <c r="C30" i="26" s="1"/>
  <c r="E31" i="26"/>
  <c r="D66" i="26" s="1"/>
  <c r="E32" i="26"/>
  <c r="D67" i="26" s="1"/>
  <c r="E34" i="26"/>
  <c r="D69" i="26" s="1"/>
  <c r="E35" i="26"/>
  <c r="D70" i="26" s="1"/>
  <c r="E36" i="26"/>
  <c r="D71" i="26" s="1"/>
  <c r="E37" i="26"/>
  <c r="D72" i="26" s="1"/>
  <c r="E38" i="26"/>
  <c r="D73" i="26" s="1"/>
  <c r="E39" i="26"/>
  <c r="D74" i="26" s="1"/>
  <c r="E40" i="26"/>
  <c r="D75" i="26" s="1"/>
  <c r="E41" i="26"/>
  <c r="D76" i="26" s="1"/>
  <c r="E42" i="26"/>
  <c r="D77" i="26" s="1"/>
  <c r="E19" i="26"/>
  <c r="D54" i="26" s="1"/>
  <c r="P10" i="26"/>
  <c r="N10" i="26"/>
  <c r="O10" i="26"/>
  <c r="Q10" i="26"/>
  <c r="R10" i="26"/>
  <c r="S10" i="26"/>
  <c r="T10" i="26"/>
  <c r="N11" i="26"/>
  <c r="O11" i="26"/>
  <c r="P11" i="26"/>
  <c r="Q11" i="26"/>
  <c r="R11" i="26"/>
  <c r="S11" i="26"/>
  <c r="T11" i="26"/>
  <c r="N12" i="26"/>
  <c r="O12" i="26"/>
  <c r="P12" i="26"/>
  <c r="Q12" i="26"/>
  <c r="R12" i="26"/>
  <c r="S12" i="26"/>
  <c r="T12" i="26"/>
  <c r="M12" i="26"/>
  <c r="M11" i="26"/>
  <c r="M10" i="26"/>
  <c r="E13" i="15"/>
  <c r="F13" i="15"/>
  <c r="G13" i="15"/>
  <c r="H13" i="15"/>
  <c r="I13" i="15"/>
  <c r="J13" i="15"/>
  <c r="K13" i="15"/>
  <c r="L13" i="15"/>
  <c r="M13" i="15"/>
  <c r="N13" i="15"/>
  <c r="D14" i="15"/>
  <c r="D13" i="15" s="1"/>
  <c r="F33" i="1" s="1"/>
  <c r="F12" i="15"/>
  <c r="F16" i="15" s="1"/>
  <c r="F15" i="15" s="1"/>
  <c r="E12" i="15"/>
  <c r="J10" i="15"/>
  <c r="H9" i="15"/>
  <c r="I9" i="15"/>
  <c r="J9" i="15"/>
  <c r="J8" i="15" s="1"/>
  <c r="K9" i="15"/>
  <c r="L9" i="15"/>
  <c r="M9" i="15"/>
  <c r="N9" i="15"/>
  <c r="H10" i="15"/>
  <c r="I10" i="15"/>
  <c r="K10" i="15"/>
  <c r="L10" i="15"/>
  <c r="M10" i="15"/>
  <c r="N10" i="15"/>
  <c r="N8" i="15" s="1"/>
  <c r="G10" i="15"/>
  <c r="G9" i="15"/>
  <c r="D7" i="15"/>
  <c r="D6" i="15"/>
  <c r="H18" i="14"/>
  <c r="I17" i="14"/>
  <c r="I18" i="14" s="1"/>
  <c r="F10" i="14"/>
  <c r="F12" i="14" s="1"/>
  <c r="F11" i="14" s="1"/>
  <c r="E10" i="14"/>
  <c r="E12" i="14" s="1"/>
  <c r="E14" i="14" s="1"/>
  <c r="E13" i="14" s="1"/>
  <c r="D6" i="14"/>
  <c r="H8" i="14"/>
  <c r="I8" i="14"/>
  <c r="J8" i="14"/>
  <c r="K8" i="14"/>
  <c r="L8" i="14"/>
  <c r="M8" i="14"/>
  <c r="N8" i="14"/>
  <c r="G8" i="14"/>
  <c r="F18" i="13"/>
  <c r="F20" i="13" s="1"/>
  <c r="E18" i="13"/>
  <c r="E20" i="13" s="1"/>
  <c r="E19" i="13" s="1"/>
  <c r="H12" i="13"/>
  <c r="I12" i="13"/>
  <c r="J12" i="13"/>
  <c r="K12" i="13"/>
  <c r="L12" i="13"/>
  <c r="M12" i="13"/>
  <c r="N12" i="13"/>
  <c r="H13" i="13"/>
  <c r="I13" i="13"/>
  <c r="J13" i="13"/>
  <c r="K13" i="13"/>
  <c r="L13" i="13"/>
  <c r="N13" i="13"/>
  <c r="H14" i="13"/>
  <c r="I14" i="13"/>
  <c r="J14" i="13"/>
  <c r="L14" i="13"/>
  <c r="N14" i="13"/>
  <c r="H15" i="13"/>
  <c r="I15" i="13"/>
  <c r="J15" i="13"/>
  <c r="L15" i="13"/>
  <c r="N15" i="13"/>
  <c r="H16" i="13"/>
  <c r="I16" i="13"/>
  <c r="J16" i="13"/>
  <c r="K16" i="13"/>
  <c r="L16" i="13"/>
  <c r="M16" i="13"/>
  <c r="N16" i="13"/>
  <c r="G16" i="13"/>
  <c r="G15" i="13"/>
  <c r="G14" i="13"/>
  <c r="G13" i="13"/>
  <c r="G12" i="13"/>
  <c r="D10" i="13"/>
  <c r="D6" i="13"/>
  <c r="G7" i="25"/>
  <c r="E7" i="25"/>
  <c r="D7" i="12"/>
  <c r="I10" i="12"/>
  <c r="I9" i="12"/>
  <c r="I8" i="12" s="1"/>
  <c r="H9" i="12"/>
  <c r="K9" i="12"/>
  <c r="L9" i="12"/>
  <c r="M9" i="12"/>
  <c r="G10" i="12"/>
  <c r="H10" i="12"/>
  <c r="J10" i="12"/>
  <c r="K10" i="12"/>
  <c r="L10" i="12"/>
  <c r="M10" i="12"/>
  <c r="F10" i="12"/>
  <c r="F9" i="12"/>
  <c r="F8" i="12" s="1"/>
  <c r="E7" i="11"/>
  <c r="C6" i="11"/>
  <c r="C7" i="11" s="1"/>
  <c r="E34" i="10"/>
  <c r="E36" i="10" s="1"/>
  <c r="E38" i="10" s="1"/>
  <c r="F25" i="10"/>
  <c r="D11" i="10"/>
  <c r="D7" i="10"/>
  <c r="F26" i="10"/>
  <c r="D26" i="10" s="1"/>
  <c r="F27" i="10"/>
  <c r="D27" i="10" s="1"/>
  <c r="F28" i="10"/>
  <c r="D28" i="10" s="1"/>
  <c r="F29" i="10"/>
  <c r="D29" i="10" s="1"/>
  <c r="F30" i="10"/>
  <c r="D30" i="10" s="1"/>
  <c r="F31" i="10"/>
  <c r="D31" i="10" s="1"/>
  <c r="F32" i="10"/>
  <c r="D32" i="10" s="1"/>
  <c r="H21" i="10"/>
  <c r="I21" i="10"/>
  <c r="J21" i="10"/>
  <c r="K21" i="10"/>
  <c r="L21" i="10"/>
  <c r="M21" i="10"/>
  <c r="N21" i="10"/>
  <c r="H22" i="10"/>
  <c r="I22" i="10"/>
  <c r="J22" i="10"/>
  <c r="K22" i="10"/>
  <c r="L22" i="10"/>
  <c r="M22" i="10"/>
  <c r="N22" i="10"/>
  <c r="H23" i="10"/>
  <c r="I23" i="10"/>
  <c r="J23" i="10"/>
  <c r="K23" i="10"/>
  <c r="L23" i="10"/>
  <c r="M23" i="10"/>
  <c r="N23" i="10"/>
  <c r="G22" i="10"/>
  <c r="G23" i="10"/>
  <c r="G21" i="10"/>
  <c r="D8" i="10"/>
  <c r="D9" i="10"/>
  <c r="D12" i="10"/>
  <c r="D13" i="10"/>
  <c r="D14" i="10"/>
  <c r="D15" i="10"/>
  <c r="D16" i="10"/>
  <c r="D17" i="10"/>
  <c r="D18" i="10"/>
  <c r="G8" i="15" l="1"/>
  <c r="D65" i="26"/>
  <c r="F14" i="14"/>
  <c r="F13" i="14" s="1"/>
  <c r="H8" i="15"/>
  <c r="F17" i="13"/>
  <c r="E33" i="10"/>
  <c r="G11" i="13"/>
  <c r="I8" i="15"/>
  <c r="K8" i="15"/>
  <c r="E9" i="14"/>
  <c r="D9" i="15"/>
  <c r="E22" i="13"/>
  <c r="E21" i="13" s="1"/>
  <c r="F9" i="14"/>
  <c r="F22" i="13"/>
  <c r="F21" i="13" s="1"/>
  <c r="F19" i="13"/>
  <c r="E37" i="10"/>
  <c r="J29" i="1"/>
  <c r="J11" i="13"/>
  <c r="I11" i="13"/>
  <c r="M8" i="15"/>
  <c r="D57" i="26"/>
  <c r="F24" i="10"/>
  <c r="J20" i="10"/>
  <c r="J19" i="10" s="1"/>
  <c r="H11" i="13"/>
  <c r="L8" i="15"/>
  <c r="E11" i="15"/>
  <c r="E16" i="15"/>
  <c r="E35" i="10"/>
  <c r="F11" i="15"/>
  <c r="I33" i="1"/>
  <c r="G33" i="1" s="1"/>
  <c r="D33" i="1"/>
  <c r="D16" i="13"/>
  <c r="E68" i="26"/>
  <c r="D61" i="26"/>
  <c r="D68" i="26"/>
  <c r="N20" i="10"/>
  <c r="N19" i="10" s="1"/>
  <c r="D10" i="12"/>
  <c r="N11" i="13"/>
  <c r="L11" i="13"/>
  <c r="E17" i="13"/>
  <c r="E11" i="14"/>
  <c r="D60" i="26"/>
  <c r="C60" i="26" s="1"/>
  <c r="G29" i="1"/>
  <c r="BJ26" i="27"/>
  <c r="BN26" i="27"/>
  <c r="E26" i="27"/>
  <c r="C26" i="27" s="1"/>
  <c r="AZ26" i="27"/>
  <c r="AS26" i="27" s="1"/>
  <c r="BN18" i="27"/>
  <c r="BJ18" i="27"/>
  <c r="AZ18" i="27"/>
  <c r="AS18" i="27" s="1"/>
  <c r="E18" i="27"/>
  <c r="C18" i="27" s="1"/>
  <c r="E65" i="26"/>
  <c r="E61" i="26"/>
  <c r="E57" i="26"/>
  <c r="AT40" i="27"/>
  <c r="AS40" i="27" s="1"/>
  <c r="AT39" i="27"/>
  <c r="AS39" i="27" s="1"/>
  <c r="AT38" i="27"/>
  <c r="AT45" i="27"/>
  <c r="AS45" i="27" s="1"/>
  <c r="BH31" i="27"/>
  <c r="AT31" i="27"/>
  <c r="AT44" i="27"/>
  <c r="AS44" i="27" s="1"/>
  <c r="AT43" i="27"/>
  <c r="AS43" i="27" s="1"/>
  <c r="AT42" i="27"/>
  <c r="AS42" i="27" s="1"/>
  <c r="AT41" i="27"/>
  <c r="AS41" i="27" s="1"/>
  <c r="AV11" i="27"/>
  <c r="AV10" i="27" s="1"/>
  <c r="BH12" i="27"/>
  <c r="AT12" i="27"/>
  <c r="G7" i="11"/>
  <c r="P9" i="26"/>
  <c r="G41" i="26"/>
  <c r="C25" i="26"/>
  <c r="E18" i="26"/>
  <c r="C46" i="26" s="1"/>
  <c r="G40" i="26"/>
  <c r="G32" i="26"/>
  <c r="G24" i="26"/>
  <c r="G39" i="26"/>
  <c r="G31" i="26"/>
  <c r="G23" i="26"/>
  <c r="G38" i="26"/>
  <c r="G21" i="26"/>
  <c r="G37" i="26"/>
  <c r="G29" i="26"/>
  <c r="G36" i="26"/>
  <c r="G28" i="26"/>
  <c r="G20" i="26"/>
  <c r="G19" i="26"/>
  <c r="E54" i="26" s="1"/>
  <c r="G35" i="26"/>
  <c r="G27" i="26"/>
  <c r="G42" i="26"/>
  <c r="G34" i="26"/>
  <c r="Q9" i="26"/>
  <c r="O9" i="26"/>
  <c r="L10" i="26"/>
  <c r="L11" i="26"/>
  <c r="L12" i="26"/>
  <c r="T9" i="26"/>
  <c r="S9" i="26"/>
  <c r="N9" i="26"/>
  <c r="R9" i="26"/>
  <c r="M9" i="26"/>
  <c r="D10" i="15"/>
  <c r="D8" i="14"/>
  <c r="I10" i="14" s="1"/>
  <c r="D12" i="13"/>
  <c r="C6" i="25"/>
  <c r="C7" i="25" s="1"/>
  <c r="M8" i="12"/>
  <c r="K8" i="12"/>
  <c r="H8" i="12"/>
  <c r="L8" i="12"/>
  <c r="G20" i="10"/>
  <c r="G19" i="10" s="1"/>
  <c r="F19" i="10"/>
  <c r="I20" i="10"/>
  <c r="I19" i="10" s="1"/>
  <c r="H20" i="10"/>
  <c r="H19" i="10" s="1"/>
  <c r="D22" i="10"/>
  <c r="M20" i="10"/>
  <c r="M19" i="10" s="1"/>
  <c r="D23" i="10"/>
  <c r="L20" i="10"/>
  <c r="L19" i="10" s="1"/>
  <c r="K20" i="10"/>
  <c r="K19" i="10" s="1"/>
  <c r="D21" i="10"/>
  <c r="D25" i="10"/>
  <c r="D24" i="10" s="1"/>
  <c r="E12" i="24"/>
  <c r="E16" i="24" s="1"/>
  <c r="E15" i="24" s="1"/>
  <c r="L10" i="24"/>
  <c r="M10" i="24"/>
  <c r="I10" i="24"/>
  <c r="H10" i="24"/>
  <c r="M9" i="24"/>
  <c r="L9" i="24"/>
  <c r="L8" i="24" s="1"/>
  <c r="K9" i="24"/>
  <c r="K8" i="24" s="1"/>
  <c r="J9" i="24"/>
  <c r="J8" i="24" s="1"/>
  <c r="I9" i="24"/>
  <c r="H9" i="24"/>
  <c r="H8" i="24" s="1"/>
  <c r="G9" i="24"/>
  <c r="G10" i="24"/>
  <c r="J10" i="24"/>
  <c r="K10" i="24"/>
  <c r="F9" i="24"/>
  <c r="F8" i="24" s="1"/>
  <c r="F10" i="24"/>
  <c r="D7" i="24"/>
  <c r="D6" i="24"/>
  <c r="E10" i="9"/>
  <c r="E12" i="9" s="1"/>
  <c r="F8" i="9"/>
  <c r="M8" i="9"/>
  <c r="G8" i="9"/>
  <c r="H8" i="9"/>
  <c r="I8" i="9"/>
  <c r="J8" i="9"/>
  <c r="K8" i="9"/>
  <c r="L8" i="9"/>
  <c r="D6" i="9"/>
  <c r="E17" i="7"/>
  <c r="I26" i="7"/>
  <c r="J25" i="7"/>
  <c r="E15" i="7"/>
  <c r="F12" i="7"/>
  <c r="G12" i="7"/>
  <c r="H12" i="7"/>
  <c r="I12" i="7"/>
  <c r="J12" i="7"/>
  <c r="K12" i="7"/>
  <c r="L12" i="7"/>
  <c r="M12" i="7"/>
  <c r="N12" i="7"/>
  <c r="F13" i="7"/>
  <c r="G13" i="7"/>
  <c r="H13" i="7"/>
  <c r="I13" i="7"/>
  <c r="J13" i="7"/>
  <c r="K13" i="7"/>
  <c r="L13" i="7"/>
  <c r="M13" i="7"/>
  <c r="N13" i="7"/>
  <c r="F14" i="7"/>
  <c r="G14" i="7"/>
  <c r="H14" i="7"/>
  <c r="I14" i="7"/>
  <c r="J14" i="7"/>
  <c r="K14" i="7"/>
  <c r="L14" i="7"/>
  <c r="M14" i="7"/>
  <c r="N14" i="7"/>
  <c r="F15" i="7"/>
  <c r="G15" i="7"/>
  <c r="H15" i="7"/>
  <c r="I15" i="7"/>
  <c r="J15" i="7"/>
  <c r="K15" i="7"/>
  <c r="L15" i="7"/>
  <c r="M15" i="7"/>
  <c r="N15" i="7"/>
  <c r="E13" i="7"/>
  <c r="E14" i="7"/>
  <c r="E12" i="7"/>
  <c r="D8" i="7"/>
  <c r="D9" i="7"/>
  <c r="D10" i="7"/>
  <c r="D7" i="7"/>
  <c r="D8" i="15" l="1"/>
  <c r="G12" i="15" s="1"/>
  <c r="G16" i="15" s="1"/>
  <c r="G15" i="15" s="1"/>
  <c r="D53" i="26"/>
  <c r="K10" i="14"/>
  <c r="K12" i="14" s="1"/>
  <c r="I8" i="24"/>
  <c r="C68" i="26"/>
  <c r="E11" i="24"/>
  <c r="M10" i="14"/>
  <c r="M12" i="14" s="1"/>
  <c r="I12" i="14"/>
  <c r="I9" i="14"/>
  <c r="G11" i="15"/>
  <c r="L12" i="15"/>
  <c r="K9" i="14"/>
  <c r="E19" i="7"/>
  <c r="E18" i="7" s="1"/>
  <c r="M8" i="24"/>
  <c r="L10" i="14"/>
  <c r="M12" i="15"/>
  <c r="H10" i="14"/>
  <c r="G8" i="24"/>
  <c r="J10" i="14"/>
  <c r="E16" i="7"/>
  <c r="E15" i="15"/>
  <c r="J26" i="7"/>
  <c r="D10" i="24"/>
  <c r="N10" i="14"/>
  <c r="G10" i="14"/>
  <c r="L33" i="1"/>
  <c r="J33" i="1" s="1"/>
  <c r="K12" i="15"/>
  <c r="J12" i="15"/>
  <c r="C41" i="26"/>
  <c r="E76" i="26"/>
  <c r="C20" i="26"/>
  <c r="E55" i="26"/>
  <c r="C28" i="26"/>
  <c r="E63" i="26"/>
  <c r="C39" i="26"/>
  <c r="E74" i="26"/>
  <c r="C36" i="26"/>
  <c r="E71" i="26"/>
  <c r="C24" i="26"/>
  <c r="E59" i="26"/>
  <c r="C34" i="26"/>
  <c r="E69" i="26"/>
  <c r="C37" i="26"/>
  <c r="E72" i="26"/>
  <c r="C57" i="26"/>
  <c r="C40" i="26"/>
  <c r="E75" i="26"/>
  <c r="C27" i="26"/>
  <c r="E62" i="26"/>
  <c r="C21" i="26"/>
  <c r="E56" i="26"/>
  <c r="C61" i="26"/>
  <c r="C29" i="26"/>
  <c r="E64" i="26"/>
  <c r="C32" i="26"/>
  <c r="E67" i="26"/>
  <c r="C42" i="26"/>
  <c r="E77" i="26"/>
  <c r="C35" i="26"/>
  <c r="E70" i="26"/>
  <c r="C38" i="26"/>
  <c r="E73" i="26"/>
  <c r="C65" i="26"/>
  <c r="C23" i="26"/>
  <c r="E58" i="26"/>
  <c r="C31" i="26"/>
  <c r="E66" i="26"/>
  <c r="C54" i="26"/>
  <c r="AT37" i="27"/>
  <c r="AS38" i="27"/>
  <c r="AS37" i="27" s="1"/>
  <c r="AT11" i="27"/>
  <c r="G18" i="26"/>
  <c r="C19" i="26"/>
  <c r="L9" i="26"/>
  <c r="D46" i="26" s="1"/>
  <c r="E46" i="26" s="1"/>
  <c r="D20" i="10"/>
  <c r="D19" i="10" s="1"/>
  <c r="E14" i="9"/>
  <c r="E13" i="9" s="1"/>
  <c r="D12" i="7"/>
  <c r="D9" i="24"/>
  <c r="E9" i="9"/>
  <c r="E11" i="9"/>
  <c r="D8" i="9"/>
  <c r="D13" i="7"/>
  <c r="K11" i="7"/>
  <c r="N11" i="7"/>
  <c r="L11" i="7"/>
  <c r="E11" i="7"/>
  <c r="I11" i="7"/>
  <c r="J11" i="7"/>
  <c r="D15" i="7"/>
  <c r="H11" i="7"/>
  <c r="D14" i="7"/>
  <c r="F11" i="7"/>
  <c r="M11" i="7"/>
  <c r="G11" i="7"/>
  <c r="D6" i="6"/>
  <c r="F13" i="6"/>
  <c r="G13" i="6"/>
  <c r="H13" i="6"/>
  <c r="I13" i="6"/>
  <c r="J13" i="6"/>
  <c r="K13" i="6"/>
  <c r="L13" i="6"/>
  <c r="F14" i="6"/>
  <c r="G14" i="6"/>
  <c r="H14" i="6"/>
  <c r="I14" i="6"/>
  <c r="J14" i="6"/>
  <c r="K14" i="6"/>
  <c r="L14" i="6"/>
  <c r="F15" i="6"/>
  <c r="G15" i="6"/>
  <c r="H15" i="6"/>
  <c r="I15" i="6"/>
  <c r="J15" i="6"/>
  <c r="K15" i="6"/>
  <c r="L15" i="6"/>
  <c r="F16" i="6"/>
  <c r="G16" i="6"/>
  <c r="H16" i="6"/>
  <c r="I16" i="6"/>
  <c r="J16" i="6"/>
  <c r="K16" i="6"/>
  <c r="L16" i="6"/>
  <c r="F17" i="6"/>
  <c r="G17" i="6"/>
  <c r="H17" i="6"/>
  <c r="I17" i="6"/>
  <c r="J17" i="6"/>
  <c r="K17" i="6"/>
  <c r="L17" i="6"/>
  <c r="L18" i="6"/>
  <c r="E14" i="6"/>
  <c r="E15" i="6"/>
  <c r="E16" i="6"/>
  <c r="E17" i="6"/>
  <c r="E13" i="6"/>
  <c r="E16" i="1"/>
  <c r="E19" i="3"/>
  <c r="E15" i="3"/>
  <c r="F15" i="3"/>
  <c r="G15" i="3"/>
  <c r="H15" i="3"/>
  <c r="I15" i="3"/>
  <c r="J15" i="3"/>
  <c r="K15" i="3"/>
  <c r="L15" i="3"/>
  <c r="M15" i="3"/>
  <c r="E16" i="3"/>
  <c r="F16" i="3"/>
  <c r="G16" i="3"/>
  <c r="H16" i="3"/>
  <c r="I16" i="3"/>
  <c r="J16" i="3"/>
  <c r="K16" i="3"/>
  <c r="L16" i="3"/>
  <c r="M16" i="3"/>
  <c r="E17" i="3"/>
  <c r="F17" i="3"/>
  <c r="G17" i="3"/>
  <c r="H17" i="3"/>
  <c r="I17" i="3"/>
  <c r="J17" i="3"/>
  <c r="K17" i="3"/>
  <c r="L17" i="3"/>
  <c r="M17" i="3"/>
  <c r="E18" i="3"/>
  <c r="F18" i="3"/>
  <c r="G18" i="3"/>
  <c r="H18" i="3"/>
  <c r="I18" i="3"/>
  <c r="J18" i="3"/>
  <c r="K18" i="3"/>
  <c r="L18" i="3"/>
  <c r="M18" i="3"/>
  <c r="F19" i="3"/>
  <c r="G19" i="3"/>
  <c r="H19" i="3"/>
  <c r="I19" i="3"/>
  <c r="J19" i="3"/>
  <c r="K19" i="3"/>
  <c r="L19" i="3"/>
  <c r="M19" i="3"/>
  <c r="F14" i="3"/>
  <c r="G14" i="3"/>
  <c r="H14" i="3"/>
  <c r="I14" i="3"/>
  <c r="J14" i="3"/>
  <c r="K14" i="3"/>
  <c r="L14" i="3"/>
  <c r="M14" i="3"/>
  <c r="E14" i="3"/>
  <c r="D8" i="3"/>
  <c r="D9" i="3"/>
  <c r="D10" i="3"/>
  <c r="D11" i="3"/>
  <c r="D12" i="3"/>
  <c r="D7" i="3"/>
  <c r="A4" i="3"/>
  <c r="A4" i="5" s="1"/>
  <c r="H18" i="2"/>
  <c r="F15" i="2"/>
  <c r="F21" i="2" s="1"/>
  <c r="G15" i="2"/>
  <c r="G21" i="2" s="1"/>
  <c r="H15" i="2"/>
  <c r="H21" i="2" s="1"/>
  <c r="I15" i="2"/>
  <c r="I18" i="2" s="1"/>
  <c r="J15" i="2"/>
  <c r="J18" i="2" s="1"/>
  <c r="K15" i="2"/>
  <c r="K21" i="2" s="1"/>
  <c r="L15" i="2"/>
  <c r="L21" i="2" s="1"/>
  <c r="F16" i="2"/>
  <c r="F22" i="2" s="1"/>
  <c r="G16" i="2"/>
  <c r="G22" i="2" s="1"/>
  <c r="H16" i="2"/>
  <c r="H22" i="2" s="1"/>
  <c r="I16" i="2"/>
  <c r="I22" i="2" s="1"/>
  <c r="J16" i="2"/>
  <c r="J19" i="2" s="1"/>
  <c r="K16" i="2"/>
  <c r="K19" i="2" s="1"/>
  <c r="L16" i="2"/>
  <c r="L22" i="2" s="1"/>
  <c r="E16" i="2"/>
  <c r="E22" i="2" s="1"/>
  <c r="E15" i="2"/>
  <c r="D13" i="2"/>
  <c r="D12" i="2"/>
  <c r="D10" i="2"/>
  <c r="D9" i="2"/>
  <c r="N12" i="15" l="1"/>
  <c r="D12" i="15" s="1"/>
  <c r="I12" i="15"/>
  <c r="M9" i="14"/>
  <c r="H12" i="15"/>
  <c r="D8" i="24"/>
  <c r="E53" i="26"/>
  <c r="AT10" i="27"/>
  <c r="L46" i="26"/>
  <c r="D85" i="26" s="1"/>
  <c r="K46" i="26"/>
  <c r="D84" i="26" s="1"/>
  <c r="J46" i="26"/>
  <c r="D83" i="26" s="1"/>
  <c r="F46" i="26"/>
  <c r="D79" i="26" s="1"/>
  <c r="G46" i="26"/>
  <c r="D80" i="26" s="1"/>
  <c r="I46" i="26"/>
  <c r="D82" i="26" s="1"/>
  <c r="K34" i="10"/>
  <c r="J34" i="10"/>
  <c r="L34" i="10"/>
  <c r="M34" i="10"/>
  <c r="N34" i="10"/>
  <c r="I34" i="10"/>
  <c r="G34" i="10"/>
  <c r="H34" i="10"/>
  <c r="F34" i="10"/>
  <c r="N11" i="15"/>
  <c r="L16" i="15"/>
  <c r="L15" i="15" s="1"/>
  <c r="L11" i="15"/>
  <c r="A3" i="6"/>
  <c r="A3" i="7" s="1"/>
  <c r="A3" i="8" s="1"/>
  <c r="A3" i="24" s="1"/>
  <c r="A3" i="1"/>
  <c r="N12" i="14"/>
  <c r="N9" i="14"/>
  <c r="J12" i="14"/>
  <c r="J9" i="14"/>
  <c r="E21" i="7"/>
  <c r="E20" i="7" s="1"/>
  <c r="K11" i="14"/>
  <c r="K14" i="14"/>
  <c r="K13" i="14" s="1"/>
  <c r="G12" i="14"/>
  <c r="G9" i="14"/>
  <c r="I13" i="3"/>
  <c r="J16" i="15"/>
  <c r="J15" i="15" s="1"/>
  <c r="J11" i="15"/>
  <c r="I16" i="15"/>
  <c r="I15" i="15" s="1"/>
  <c r="I11" i="15"/>
  <c r="H12" i="14"/>
  <c r="H9" i="14"/>
  <c r="M11" i="14"/>
  <c r="M14" i="14"/>
  <c r="M13" i="14" s="1"/>
  <c r="D10" i="14"/>
  <c r="L12" i="14"/>
  <c r="L9" i="14"/>
  <c r="E15" i="1"/>
  <c r="E13" i="1" s="1"/>
  <c r="H16" i="1"/>
  <c r="F10" i="9"/>
  <c r="F12" i="9" s="1"/>
  <c r="K16" i="15"/>
  <c r="K15" i="15" s="1"/>
  <c r="K11" i="15"/>
  <c r="H16" i="15"/>
  <c r="H11" i="15"/>
  <c r="M16" i="15"/>
  <c r="M15" i="15" s="1"/>
  <c r="M11" i="15"/>
  <c r="I14" i="14"/>
  <c r="I13" i="14" s="1"/>
  <c r="I11" i="14"/>
  <c r="BD17" i="27"/>
  <c r="W17" i="27"/>
  <c r="Y11" i="27"/>
  <c r="C70" i="26"/>
  <c r="C58" i="26"/>
  <c r="C77" i="26"/>
  <c r="C56" i="26"/>
  <c r="C72" i="26"/>
  <c r="C74" i="26"/>
  <c r="C67" i="26"/>
  <c r="C62" i="26"/>
  <c r="C69" i="26"/>
  <c r="C63" i="26"/>
  <c r="AZ23" i="27"/>
  <c r="AS23" i="27" s="1"/>
  <c r="E23" i="27"/>
  <c r="C23" i="27" s="1"/>
  <c r="BJ23" i="27"/>
  <c r="BN23" i="27"/>
  <c r="C18" i="26"/>
  <c r="C73" i="26"/>
  <c r="C64" i="26"/>
  <c r="C75" i="26"/>
  <c r="C59" i="26"/>
  <c r="C55" i="26"/>
  <c r="C76" i="26"/>
  <c r="C66" i="26"/>
  <c r="C71" i="26"/>
  <c r="AZ19" i="27"/>
  <c r="AS19" i="27" s="1"/>
  <c r="BN19" i="27"/>
  <c r="E19" i="27"/>
  <c r="C19" i="27" s="1"/>
  <c r="BJ19" i="27"/>
  <c r="BJ15" i="27"/>
  <c r="AZ15" i="27"/>
  <c r="AS15" i="27" s="1"/>
  <c r="BN15" i="27"/>
  <c r="BB11" i="27"/>
  <c r="AZ12" i="27"/>
  <c r="BJ12" i="27"/>
  <c r="BN12" i="27"/>
  <c r="E12" i="27"/>
  <c r="C8" i="5"/>
  <c r="D16" i="1"/>
  <c r="D15" i="1" s="1"/>
  <c r="D13" i="1" s="1"/>
  <c r="H46" i="26"/>
  <c r="D81" i="26" s="1"/>
  <c r="M46" i="26"/>
  <c r="D86" i="26" s="1"/>
  <c r="K18" i="2"/>
  <c r="G9" i="5"/>
  <c r="D13" i="6"/>
  <c r="H20" i="2"/>
  <c r="E9" i="5"/>
  <c r="K12" i="24"/>
  <c r="L12" i="24"/>
  <c r="F12" i="24"/>
  <c r="L18" i="2"/>
  <c r="G10" i="9"/>
  <c r="G12" i="24"/>
  <c r="K10" i="9"/>
  <c r="K12" i="9" s="1"/>
  <c r="I10" i="9"/>
  <c r="I12" i="9" s="1"/>
  <c r="M10" i="9"/>
  <c r="M12" i="9" s="1"/>
  <c r="H10" i="9"/>
  <c r="H12" i="9" s="1"/>
  <c r="L10" i="9"/>
  <c r="L12" i="9" s="1"/>
  <c r="M12" i="24"/>
  <c r="F19" i="2"/>
  <c r="M13" i="3"/>
  <c r="J10" i="9"/>
  <c r="J12" i="9" s="1"/>
  <c r="J12" i="24"/>
  <c r="E13" i="24"/>
  <c r="D11" i="7"/>
  <c r="D17" i="6"/>
  <c r="D16" i="6"/>
  <c r="L12" i="6"/>
  <c r="D15" i="6"/>
  <c r="D14" i="6"/>
  <c r="E13" i="3"/>
  <c r="F13" i="3"/>
  <c r="L13" i="3"/>
  <c r="J13" i="3"/>
  <c r="H13" i="3"/>
  <c r="G13" i="3"/>
  <c r="K13" i="3"/>
  <c r="D16" i="3"/>
  <c r="D15" i="3"/>
  <c r="D19" i="3"/>
  <c r="D18" i="3"/>
  <c r="D17" i="3"/>
  <c r="D14" i="3"/>
  <c r="D15" i="2"/>
  <c r="E18" i="2"/>
  <c r="E21" i="2"/>
  <c r="E20" i="2" s="1"/>
  <c r="F20" i="2"/>
  <c r="L20" i="2"/>
  <c r="E19" i="2"/>
  <c r="K22" i="2"/>
  <c r="K20" i="2" s="1"/>
  <c r="L19" i="2"/>
  <c r="I19" i="2"/>
  <c r="J21" i="2"/>
  <c r="G20" i="2"/>
  <c r="H19" i="2"/>
  <c r="G18" i="2"/>
  <c r="J22" i="2"/>
  <c r="I21" i="2"/>
  <c r="I20" i="2" s="1"/>
  <c r="D16" i="2"/>
  <c r="G19" i="2"/>
  <c r="F18" i="2"/>
  <c r="N16" i="15" l="1"/>
  <c r="N15" i="15" s="1"/>
  <c r="I12" i="24"/>
  <c r="H12" i="24"/>
  <c r="A3" i="9"/>
  <c r="A3" i="10" s="1"/>
  <c r="A3" i="11" s="1"/>
  <c r="A3" i="12" s="1"/>
  <c r="A3" i="13" s="1"/>
  <c r="A3" i="14" s="1"/>
  <c r="F9" i="9"/>
  <c r="J36" i="10"/>
  <c r="J35" i="10" s="1"/>
  <c r="J33" i="10"/>
  <c r="F14" i="9"/>
  <c r="F13" i="9" s="1"/>
  <c r="N11" i="14"/>
  <c r="N14" i="14"/>
  <c r="N13" i="14" s="1"/>
  <c r="F33" i="10"/>
  <c r="D34" i="10"/>
  <c r="F36" i="10"/>
  <c r="F38" i="10" s="1"/>
  <c r="K36" i="10"/>
  <c r="K35" i="10" s="1"/>
  <c r="K33" i="10"/>
  <c r="A3" i="25"/>
  <c r="E86" i="26"/>
  <c r="C86" i="26" s="1"/>
  <c r="H15" i="1"/>
  <c r="H13" i="1" s="1"/>
  <c r="G16" i="1"/>
  <c r="G15" i="1" s="1"/>
  <c r="G13" i="1" s="1"/>
  <c r="H14" i="14"/>
  <c r="H13" i="14" s="1"/>
  <c r="H11" i="14"/>
  <c r="G36" i="10"/>
  <c r="G35" i="10" s="1"/>
  <c r="G33" i="10"/>
  <c r="G38" i="10"/>
  <c r="G37" i="10" s="1"/>
  <c r="E80" i="26"/>
  <c r="C80" i="26" s="1"/>
  <c r="G14" i="14"/>
  <c r="G11" i="14"/>
  <c r="D12" i="14"/>
  <c r="D11" i="14" s="1"/>
  <c r="F32" i="1" s="1"/>
  <c r="D10" i="9"/>
  <c r="G12" i="9"/>
  <c r="D22" i="2"/>
  <c r="E81" i="26"/>
  <c r="C81" i="26" s="1"/>
  <c r="I36" i="10"/>
  <c r="I35" i="10" s="1"/>
  <c r="I33" i="10"/>
  <c r="E79" i="26"/>
  <c r="C79" i="26" s="1"/>
  <c r="D78" i="26"/>
  <c r="D52" i="26" s="1"/>
  <c r="E34" i="1" s="1"/>
  <c r="D18" i="2"/>
  <c r="N33" i="10"/>
  <c r="N36" i="10"/>
  <c r="N35" i="10" s="1"/>
  <c r="E83" i="26"/>
  <c r="C83" i="26" s="1"/>
  <c r="E82" i="26"/>
  <c r="C82" i="26" s="1"/>
  <c r="K16" i="1"/>
  <c r="L14" i="14"/>
  <c r="L13" i="14" s="1"/>
  <c r="L11" i="14"/>
  <c r="M33" i="10"/>
  <c r="M36" i="10"/>
  <c r="M35" i="10" s="1"/>
  <c r="E84" i="26"/>
  <c r="C84" i="26" s="1"/>
  <c r="H36" i="10"/>
  <c r="H35" i="10" s="1"/>
  <c r="H33" i="10"/>
  <c r="C53" i="26"/>
  <c r="H15" i="15"/>
  <c r="D16" i="15"/>
  <c r="D15" i="15" s="1"/>
  <c r="J14" i="14"/>
  <c r="J13" i="14" s="1"/>
  <c r="J11" i="14"/>
  <c r="L33" i="10"/>
  <c r="L36" i="10"/>
  <c r="L35" i="10" s="1"/>
  <c r="E85" i="26"/>
  <c r="C85" i="26" s="1"/>
  <c r="W11" i="27"/>
  <c r="S17" i="27"/>
  <c r="BJ24" i="27"/>
  <c r="BN24" i="27"/>
  <c r="E24" i="27"/>
  <c r="C24" i="27" s="1"/>
  <c r="AZ24" i="27"/>
  <c r="AS24" i="27" s="1"/>
  <c r="E33" i="27"/>
  <c r="C33" i="27" s="1"/>
  <c r="BN33" i="27"/>
  <c r="BJ33" i="27"/>
  <c r="AZ33" i="27"/>
  <c r="AS33" i="27" s="1"/>
  <c r="BJ20" i="27"/>
  <c r="BN20" i="27"/>
  <c r="E20" i="27"/>
  <c r="C20" i="27" s="1"/>
  <c r="AZ20" i="27"/>
  <c r="AS20" i="27" s="1"/>
  <c r="BN14" i="27"/>
  <c r="AZ14" i="27"/>
  <c r="AS14" i="27" s="1"/>
  <c r="BJ14" i="27"/>
  <c r="E14" i="27"/>
  <c r="C14" i="27" s="1"/>
  <c r="BN34" i="27"/>
  <c r="AZ34" i="27"/>
  <c r="AS34" i="27" s="1"/>
  <c r="E34" i="27"/>
  <c r="C34" i="27" s="1"/>
  <c r="BJ22" i="27"/>
  <c r="BN22" i="27"/>
  <c r="E22" i="27"/>
  <c r="C22" i="27" s="1"/>
  <c r="AZ22" i="27"/>
  <c r="AS22" i="27" s="1"/>
  <c r="BN25" i="27"/>
  <c r="AZ25" i="27"/>
  <c r="AS25" i="27" s="1"/>
  <c r="E25" i="27"/>
  <c r="C25" i="27" s="1"/>
  <c r="BJ25" i="27"/>
  <c r="AZ35" i="27"/>
  <c r="AS35" i="27" s="1"/>
  <c r="BN35" i="27"/>
  <c r="E35" i="27"/>
  <c r="C35" i="27" s="1"/>
  <c r="BN13" i="27"/>
  <c r="AZ13" i="27"/>
  <c r="AS13" i="27" s="1"/>
  <c r="BJ13" i="27"/>
  <c r="E13" i="27"/>
  <c r="C13" i="27" s="1"/>
  <c r="AZ31" i="27"/>
  <c r="AS31" i="27" s="1"/>
  <c r="BN31" i="27"/>
  <c r="BJ31" i="27"/>
  <c r="E31" i="27"/>
  <c r="C31" i="27" s="1"/>
  <c r="BN21" i="27"/>
  <c r="E21" i="27"/>
  <c r="C21" i="27" s="1"/>
  <c r="AZ21" i="27"/>
  <c r="AS21" i="27" s="1"/>
  <c r="BJ21" i="27"/>
  <c r="BJ32" i="27"/>
  <c r="E32" i="27"/>
  <c r="C32" i="27" s="1"/>
  <c r="BN32" i="27"/>
  <c r="AZ32" i="27"/>
  <c r="AS32" i="27" s="1"/>
  <c r="BJ16" i="27"/>
  <c r="BN16" i="27"/>
  <c r="E16" i="27"/>
  <c r="C16" i="27" s="1"/>
  <c r="AZ16" i="27"/>
  <c r="AS16" i="27" s="1"/>
  <c r="BN29" i="27"/>
  <c r="AZ29" i="27"/>
  <c r="AS29" i="27" s="1"/>
  <c r="E29" i="27"/>
  <c r="C29" i="27" s="1"/>
  <c r="BJ29" i="27"/>
  <c r="BN17" i="27"/>
  <c r="E17" i="27"/>
  <c r="C17" i="27" s="1"/>
  <c r="AZ17" i="27"/>
  <c r="AS17" i="27" s="1"/>
  <c r="BJ17" i="27"/>
  <c r="AZ27" i="27"/>
  <c r="AS27" i="27" s="1"/>
  <c r="BN27" i="27"/>
  <c r="E27" i="27"/>
  <c r="C27" i="27" s="1"/>
  <c r="BJ27" i="27"/>
  <c r="E30" i="27"/>
  <c r="C30" i="27" s="1"/>
  <c r="AZ30" i="27"/>
  <c r="AS30" i="27" s="1"/>
  <c r="BJ30" i="27"/>
  <c r="BN30" i="27"/>
  <c r="BJ28" i="27"/>
  <c r="BN28" i="27"/>
  <c r="E28" i="27"/>
  <c r="C28" i="27" s="1"/>
  <c r="AZ28" i="27"/>
  <c r="AS28" i="27" s="1"/>
  <c r="BB10" i="27"/>
  <c r="BN10" i="27" s="1"/>
  <c r="BN11" i="27"/>
  <c r="AS12" i="27"/>
  <c r="C12" i="27"/>
  <c r="C9" i="5"/>
  <c r="H9" i="9"/>
  <c r="H14" i="9"/>
  <c r="H13" i="9" s="1"/>
  <c r="J9" i="9"/>
  <c r="M9" i="9"/>
  <c r="K16" i="24"/>
  <c r="K15" i="24" s="1"/>
  <c r="K11" i="24"/>
  <c r="I9" i="9"/>
  <c r="K9" i="9"/>
  <c r="K11" i="9"/>
  <c r="W43" i="27" s="1"/>
  <c r="G16" i="24"/>
  <c r="G15" i="24" s="1"/>
  <c r="G11" i="24"/>
  <c r="G11" i="9"/>
  <c r="W39" i="27" s="1"/>
  <c r="G9" i="9"/>
  <c r="G14" i="9"/>
  <c r="J16" i="24"/>
  <c r="J15" i="24" s="1"/>
  <c r="J11" i="24"/>
  <c r="M16" i="24"/>
  <c r="M15" i="24" s="1"/>
  <c r="M11" i="24"/>
  <c r="F11" i="9"/>
  <c r="L16" i="24"/>
  <c r="L15" i="24" s="1"/>
  <c r="L11" i="24"/>
  <c r="D19" i="2"/>
  <c r="J17" i="7"/>
  <c r="J19" i="7" s="1"/>
  <c r="L17" i="7"/>
  <c r="L19" i="7" s="1"/>
  <c r="M17" i="7"/>
  <c r="M19" i="7" s="1"/>
  <c r="N17" i="7"/>
  <c r="N19" i="7" s="1"/>
  <c r="I17" i="7"/>
  <c r="I19" i="7" s="1"/>
  <c r="H17" i="7"/>
  <c r="H19" i="7" s="1"/>
  <c r="F17" i="7"/>
  <c r="F19" i="7" s="1"/>
  <c r="G17" i="7"/>
  <c r="G19" i="7" s="1"/>
  <c r="K17" i="7"/>
  <c r="K19" i="7" s="1"/>
  <c r="L9" i="9"/>
  <c r="L11" i="9"/>
  <c r="W44" i="27" s="1"/>
  <c r="F16" i="24"/>
  <c r="F11" i="24"/>
  <c r="D12" i="24"/>
  <c r="H13" i="24"/>
  <c r="I13" i="24"/>
  <c r="J13" i="24"/>
  <c r="K13" i="24"/>
  <c r="L13" i="24"/>
  <c r="G13" i="24"/>
  <c r="M13" i="24"/>
  <c r="D13" i="3"/>
  <c r="D21" i="2"/>
  <c r="J20" i="2"/>
  <c r="H16" i="24" l="1"/>
  <c r="H15" i="24" s="1"/>
  <c r="H11" i="24"/>
  <c r="I16" i="24"/>
  <c r="I15" i="24" s="1"/>
  <c r="I11" i="24"/>
  <c r="H38" i="10"/>
  <c r="H37" i="10" s="1"/>
  <c r="E78" i="26"/>
  <c r="E52" i="26" s="1"/>
  <c r="F34" i="1" s="1"/>
  <c r="I34" i="1" s="1"/>
  <c r="L34" i="1" s="1"/>
  <c r="C78" i="26"/>
  <c r="C52" i="26" s="1"/>
  <c r="F37" i="10"/>
  <c r="H34" i="1"/>
  <c r="K34" i="1" s="1"/>
  <c r="E31" i="1"/>
  <c r="I38" i="10"/>
  <c r="I37" i="10" s="1"/>
  <c r="I32" i="1"/>
  <c r="D32" i="1"/>
  <c r="M38" i="10"/>
  <c r="M37" i="10" s="1"/>
  <c r="D20" i="2"/>
  <c r="E24" i="2" s="1"/>
  <c r="E27" i="2" s="1"/>
  <c r="N38" i="10"/>
  <c r="N37" i="10" s="1"/>
  <c r="G13" i="14"/>
  <c r="D14" i="14"/>
  <c r="D13" i="14" s="1"/>
  <c r="K38" i="10"/>
  <c r="K37" i="10" s="1"/>
  <c r="J38" i="10"/>
  <c r="J37" i="10" s="1"/>
  <c r="F35" i="10"/>
  <c r="D36" i="10"/>
  <c r="D35" i="10" s="1"/>
  <c r="F25" i="1" s="1"/>
  <c r="A3" i="15"/>
  <c r="A3" i="26"/>
  <c r="L38" i="10"/>
  <c r="L37" i="10" s="1"/>
  <c r="J16" i="1"/>
  <c r="J15" i="1" s="1"/>
  <c r="J13" i="1" s="1"/>
  <c r="K15" i="1"/>
  <c r="K13" i="1" s="1"/>
  <c r="W38" i="27"/>
  <c r="AS11" i="27"/>
  <c r="AS10" i="27" s="1"/>
  <c r="AZ11" i="27"/>
  <c r="AZ10" i="27" s="1"/>
  <c r="L14" i="9"/>
  <c r="L13" i="9" s="1"/>
  <c r="M18" i="7"/>
  <c r="M16" i="7"/>
  <c r="M21" i="7"/>
  <c r="M20" i="7" s="1"/>
  <c r="J16" i="7"/>
  <c r="K14" i="9"/>
  <c r="K13" i="9" s="1"/>
  <c r="J14" i="9"/>
  <c r="J13" i="9" s="1"/>
  <c r="J11" i="9"/>
  <c r="W42" i="27" s="1"/>
  <c r="M14" i="9"/>
  <c r="M13" i="9" s="1"/>
  <c r="M11" i="9"/>
  <c r="W45" i="27" s="1"/>
  <c r="G16" i="7"/>
  <c r="G18" i="7"/>
  <c r="G21" i="7"/>
  <c r="G20" i="7" s="1"/>
  <c r="L16" i="7"/>
  <c r="F16" i="7"/>
  <c r="F21" i="7"/>
  <c r="D17" i="7"/>
  <c r="G13" i="9"/>
  <c r="I14" i="9"/>
  <c r="I13" i="9" s="1"/>
  <c r="I11" i="9"/>
  <c r="W41" i="27" s="1"/>
  <c r="H16" i="7"/>
  <c r="H11" i="9"/>
  <c r="W40" i="27" s="1"/>
  <c r="N16" i="7"/>
  <c r="K18" i="7"/>
  <c r="K16" i="7"/>
  <c r="K21" i="7"/>
  <c r="K20" i="7" s="1"/>
  <c r="F15" i="24"/>
  <c r="D16" i="24"/>
  <c r="D15" i="24" s="1"/>
  <c r="I16" i="7"/>
  <c r="I18" i="7"/>
  <c r="D12" i="9"/>
  <c r="D11" i="9" s="1"/>
  <c r="F23" i="1" s="1"/>
  <c r="F13" i="24"/>
  <c r="D14" i="24"/>
  <c r="D13" i="24" s="1"/>
  <c r="F24" i="1" s="1"/>
  <c r="M22" i="3"/>
  <c r="I21" i="3"/>
  <c r="L22" i="3"/>
  <c r="J21" i="3"/>
  <c r="K22" i="3"/>
  <c r="K21" i="3"/>
  <c r="J22" i="3"/>
  <c r="L21" i="3"/>
  <c r="I22" i="3"/>
  <c r="M21" i="3"/>
  <c r="M25" i="3" s="1"/>
  <c r="M24" i="3" s="1"/>
  <c r="E21" i="3"/>
  <c r="H22" i="3"/>
  <c r="F21" i="3"/>
  <c r="G22" i="3"/>
  <c r="G21" i="3"/>
  <c r="F22" i="3"/>
  <c r="H21" i="3"/>
  <c r="F31" i="1" l="1"/>
  <c r="D34" i="1"/>
  <c r="I24" i="2"/>
  <c r="F24" i="2"/>
  <c r="J24" i="2"/>
  <c r="J27" i="2" s="1"/>
  <c r="G25" i="2"/>
  <c r="G28" i="2" s="1"/>
  <c r="G31" i="2" s="1"/>
  <c r="I25" i="1"/>
  <c r="G25" i="1" s="1"/>
  <c r="D25" i="1"/>
  <c r="L25" i="1"/>
  <c r="J25" i="1" s="1"/>
  <c r="D31" i="1"/>
  <c r="F25" i="2"/>
  <c r="K31" i="1"/>
  <c r="J34" i="1"/>
  <c r="H24" i="2"/>
  <c r="I25" i="2"/>
  <c r="E25" i="2"/>
  <c r="E28" i="2" s="1"/>
  <c r="E31" i="2" s="1"/>
  <c r="E30" i="2"/>
  <c r="H31" i="1"/>
  <c r="G34" i="1"/>
  <c r="J25" i="2"/>
  <c r="G24" i="2"/>
  <c r="G27" i="2" s="1"/>
  <c r="G30" i="2" s="1"/>
  <c r="D38" i="10"/>
  <c r="D37" i="10" s="1"/>
  <c r="K24" i="2"/>
  <c r="K27" i="2" s="1"/>
  <c r="L24" i="2"/>
  <c r="L30" i="2" s="1"/>
  <c r="L25" i="2"/>
  <c r="L28" i="2" s="1"/>
  <c r="L31" i="2" s="1"/>
  <c r="K25" i="2"/>
  <c r="H25" i="2"/>
  <c r="I24" i="1"/>
  <c r="G24" i="1" s="1"/>
  <c r="D24" i="1"/>
  <c r="L32" i="1"/>
  <c r="G32" i="1"/>
  <c r="I31" i="1"/>
  <c r="W37" i="27"/>
  <c r="W10" i="27" s="1"/>
  <c r="Y10" i="27"/>
  <c r="I23" i="1"/>
  <c r="G23" i="1" s="1"/>
  <c r="D23" i="1"/>
  <c r="T38" i="27"/>
  <c r="E38" i="27"/>
  <c r="T44" i="27"/>
  <c r="S44" i="27" s="1"/>
  <c r="E44" i="27"/>
  <c r="C44" i="27" s="1"/>
  <c r="T42" i="27"/>
  <c r="S42" i="27" s="1"/>
  <c r="E42" i="27"/>
  <c r="C42" i="27" s="1"/>
  <c r="T40" i="27"/>
  <c r="S40" i="27" s="1"/>
  <c r="E40" i="27"/>
  <c r="C40" i="27" s="1"/>
  <c r="I28" i="2"/>
  <c r="I31" i="2" s="1"/>
  <c r="E20" i="3"/>
  <c r="E25" i="3"/>
  <c r="L21" i="7"/>
  <c r="L20" i="7" s="1"/>
  <c r="L18" i="7"/>
  <c r="H20" i="3"/>
  <c r="H25" i="3"/>
  <c r="H24" i="3" s="1"/>
  <c r="H21" i="7"/>
  <c r="H20" i="7" s="1"/>
  <c r="H18" i="7"/>
  <c r="J20" i="3"/>
  <c r="J25" i="3"/>
  <c r="J24" i="3" s="1"/>
  <c r="J21" i="7"/>
  <c r="J20" i="7" s="1"/>
  <c r="J18" i="7"/>
  <c r="H28" i="2"/>
  <c r="H31" i="2" s="1"/>
  <c r="L20" i="3"/>
  <c r="L25" i="3"/>
  <c r="L24" i="3" s="1"/>
  <c r="L27" i="2"/>
  <c r="D14" i="9"/>
  <c r="D13" i="9" s="1"/>
  <c r="I27" i="2"/>
  <c r="F27" i="2"/>
  <c r="F30" i="2" s="1"/>
  <c r="G20" i="3"/>
  <c r="G25" i="3"/>
  <c r="G24" i="3" s="1"/>
  <c r="F20" i="7"/>
  <c r="H27" i="2"/>
  <c r="K20" i="3"/>
  <c r="K25" i="3"/>
  <c r="K24" i="3" s="1"/>
  <c r="F28" i="2"/>
  <c r="F31" i="2" s="1"/>
  <c r="I20" i="3"/>
  <c r="I25" i="3"/>
  <c r="I24" i="3" s="1"/>
  <c r="F20" i="3"/>
  <c r="F25" i="3"/>
  <c r="F24" i="3" s="1"/>
  <c r="I21" i="7"/>
  <c r="I20" i="7" s="1"/>
  <c r="N21" i="7"/>
  <c r="N20" i="7" s="1"/>
  <c r="N18" i="7"/>
  <c r="F18" i="7"/>
  <c r="D19" i="7"/>
  <c r="D18" i="7" s="1"/>
  <c r="F21" i="1" s="1"/>
  <c r="D21" i="3"/>
  <c r="M20" i="3"/>
  <c r="D23" i="3"/>
  <c r="E22" i="3"/>
  <c r="H26" i="2" l="1"/>
  <c r="K30" i="2"/>
  <c r="H30" i="2"/>
  <c r="D24" i="2"/>
  <c r="E11" i="1" s="1"/>
  <c r="H11" i="1" s="1"/>
  <c r="K11" i="1" s="1"/>
  <c r="I26" i="2"/>
  <c r="E29" i="2"/>
  <c r="D25" i="2"/>
  <c r="E12" i="1" s="1"/>
  <c r="K28" i="2"/>
  <c r="K31" i="2" s="1"/>
  <c r="K29" i="2" s="1"/>
  <c r="H12" i="1"/>
  <c r="K12" i="1" s="1"/>
  <c r="G29" i="2"/>
  <c r="G31" i="1"/>
  <c r="J32" i="1"/>
  <c r="J31" i="1" s="1"/>
  <c r="L31" i="1"/>
  <c r="J28" i="2"/>
  <c r="J26" i="2" s="1"/>
  <c r="L24" i="1"/>
  <c r="J24" i="1" s="1"/>
  <c r="L23" i="1"/>
  <c r="J23" i="1" s="1"/>
  <c r="T43" i="27"/>
  <c r="S43" i="27" s="1"/>
  <c r="E43" i="27"/>
  <c r="C43" i="27" s="1"/>
  <c r="T39" i="27"/>
  <c r="S39" i="27" s="1"/>
  <c r="E39" i="27"/>
  <c r="C39" i="27" s="1"/>
  <c r="T15" i="27"/>
  <c r="BD15" i="27"/>
  <c r="V11" i="27"/>
  <c r="V10" i="27" s="1"/>
  <c r="E15" i="27"/>
  <c r="T45" i="27"/>
  <c r="S45" i="27" s="1"/>
  <c r="E45" i="27"/>
  <c r="C45" i="27" s="1"/>
  <c r="S38" i="27"/>
  <c r="C38" i="27"/>
  <c r="T41" i="27"/>
  <c r="S41" i="27" s="1"/>
  <c r="E41" i="27"/>
  <c r="C41" i="27" s="1"/>
  <c r="F20" i="1"/>
  <c r="I21" i="1"/>
  <c r="L21" i="1" s="1"/>
  <c r="D21" i="1"/>
  <c r="D20" i="1" s="1"/>
  <c r="F29" i="2"/>
  <c r="L29" i="2"/>
  <c r="J30" i="2"/>
  <c r="L26" i="2"/>
  <c r="G26" i="2"/>
  <c r="H29" i="2"/>
  <c r="I30" i="2"/>
  <c r="I29" i="2" s="1"/>
  <c r="F26" i="2"/>
  <c r="D27" i="2"/>
  <c r="F11" i="1" s="1"/>
  <c r="E24" i="3"/>
  <c r="D25" i="3"/>
  <c r="D24" i="3" s="1"/>
  <c r="E26" i="2"/>
  <c r="D21" i="7"/>
  <c r="D20" i="7" s="1"/>
  <c r="D9" i="8"/>
  <c r="J8" i="8"/>
  <c r="F8" i="8"/>
  <c r="M9" i="13"/>
  <c r="M15" i="13" s="1"/>
  <c r="K9" i="13"/>
  <c r="M8" i="13"/>
  <c r="M14" i="13" s="1"/>
  <c r="K8" i="13"/>
  <c r="M7" i="13"/>
  <c r="J6" i="12"/>
  <c r="J9" i="12" s="1"/>
  <c r="J8" i="12" s="1"/>
  <c r="G6" i="12"/>
  <c r="M8" i="8"/>
  <c r="L8" i="8"/>
  <c r="K8" i="8"/>
  <c r="I8" i="8"/>
  <c r="H8" i="8"/>
  <c r="G8" i="8"/>
  <c r="D6" i="8"/>
  <c r="K11" i="6"/>
  <c r="K18" i="6" s="1"/>
  <c r="K12" i="6" s="1"/>
  <c r="J11" i="6"/>
  <c r="J18" i="6" s="1"/>
  <c r="J12" i="6" s="1"/>
  <c r="I11" i="6"/>
  <c r="I18" i="6" s="1"/>
  <c r="I12" i="6" s="1"/>
  <c r="H11" i="6"/>
  <c r="H18" i="6" s="1"/>
  <c r="H12" i="6" s="1"/>
  <c r="G11" i="6"/>
  <c r="G18" i="6" s="1"/>
  <c r="G12" i="6" s="1"/>
  <c r="F11" i="6"/>
  <c r="F18" i="6" s="1"/>
  <c r="F12" i="6" s="1"/>
  <c r="E11" i="6"/>
  <c r="E18" i="6" s="1"/>
  <c r="D10" i="6"/>
  <c r="D9" i="6"/>
  <c r="D8" i="6"/>
  <c r="D7" i="6"/>
  <c r="E10" i="1" l="1"/>
  <c r="E9" i="1" s="1"/>
  <c r="D28" i="2"/>
  <c r="F12" i="1" s="1"/>
  <c r="I12" i="1" s="1"/>
  <c r="L12" i="1" s="1"/>
  <c r="J12" i="1"/>
  <c r="J31" i="2"/>
  <c r="D31" i="2" s="1"/>
  <c r="K26" i="2"/>
  <c r="K10" i="1"/>
  <c r="K9" i="1" s="1"/>
  <c r="D6" i="12"/>
  <c r="G9" i="12"/>
  <c r="F10" i="1"/>
  <c r="I11" i="1"/>
  <c r="H10" i="1"/>
  <c r="H9" i="1" s="1"/>
  <c r="D11" i="1"/>
  <c r="D12" i="1"/>
  <c r="D8" i="8"/>
  <c r="G12" i="1"/>
  <c r="E37" i="27"/>
  <c r="C37" i="27"/>
  <c r="T11" i="27"/>
  <c r="S15" i="27"/>
  <c r="S11" i="27" s="1"/>
  <c r="T37" i="27"/>
  <c r="S37" i="27"/>
  <c r="C15" i="27"/>
  <c r="C11" i="27" s="1"/>
  <c r="E11" i="27"/>
  <c r="L20" i="1"/>
  <c r="J21" i="1"/>
  <c r="J20" i="1" s="1"/>
  <c r="I20" i="1"/>
  <c r="G21" i="1"/>
  <c r="G20" i="1" s="1"/>
  <c r="K14" i="13"/>
  <c r="D8" i="13"/>
  <c r="D9" i="13"/>
  <c r="K15" i="13"/>
  <c r="D15" i="13" s="1"/>
  <c r="M13" i="13"/>
  <c r="D7" i="13"/>
  <c r="D11" i="6"/>
  <c r="D26" i="2"/>
  <c r="D30" i="2"/>
  <c r="D29" i="2" s="1"/>
  <c r="D18" i="6"/>
  <c r="D12" i="6" s="1"/>
  <c r="E12" i="6"/>
  <c r="I23" i="2"/>
  <c r="H23" i="2"/>
  <c r="F23" i="2"/>
  <c r="L23" i="2"/>
  <c r="C10" i="27" l="1"/>
  <c r="D10" i="1"/>
  <c r="J29" i="2"/>
  <c r="E10" i="27"/>
  <c r="L11" i="1"/>
  <c r="I10" i="1"/>
  <c r="G8" i="12"/>
  <c r="D9" i="12"/>
  <c r="D8" i="12" s="1"/>
  <c r="G11" i="1"/>
  <c r="G10" i="1" s="1"/>
  <c r="S10" i="27"/>
  <c r="T10" i="27"/>
  <c r="D14" i="13"/>
  <c r="K11" i="13"/>
  <c r="D13" i="13"/>
  <c r="M11" i="13"/>
  <c r="H20" i="6"/>
  <c r="L20" i="6"/>
  <c r="E20" i="6"/>
  <c r="J20" i="6"/>
  <c r="I20" i="6"/>
  <c r="F20" i="6"/>
  <c r="G20" i="6"/>
  <c r="K20" i="6"/>
  <c r="J23" i="2"/>
  <c r="E23" i="2"/>
  <c r="G23" i="2"/>
  <c r="K23" i="2"/>
  <c r="L10" i="1" l="1"/>
  <c r="J11" i="1"/>
  <c r="J10" i="1" s="1"/>
  <c r="D11" i="13"/>
  <c r="H19" i="6"/>
  <c r="H22" i="6"/>
  <c r="H21" i="6" s="1"/>
  <c r="K19" i="6"/>
  <c r="K22" i="6"/>
  <c r="K21" i="6" s="1"/>
  <c r="G19" i="6"/>
  <c r="G22" i="6"/>
  <c r="G21" i="6" s="1"/>
  <c r="F19" i="6"/>
  <c r="F22" i="6"/>
  <c r="F21" i="6" s="1"/>
  <c r="I19" i="6"/>
  <c r="I22" i="6"/>
  <c r="I21" i="6" s="1"/>
  <c r="J19" i="6"/>
  <c r="J22" i="6"/>
  <c r="J21" i="6" s="1"/>
  <c r="E22" i="6"/>
  <c r="L19" i="6"/>
  <c r="L22" i="6"/>
  <c r="L21" i="6" s="1"/>
  <c r="E19" i="6"/>
  <c r="D20" i="6"/>
  <c r="N18" i="13" l="1"/>
  <c r="G18" i="13"/>
  <c r="J18" i="13"/>
  <c r="H18" i="13"/>
  <c r="I18" i="13"/>
  <c r="M18" i="13"/>
  <c r="L18" i="13"/>
  <c r="K18" i="13"/>
  <c r="E21" i="6"/>
  <c r="D22" i="6"/>
  <c r="D21" i="6" s="1"/>
  <c r="F19" i="1" s="1"/>
  <c r="J24" i="6"/>
  <c r="J23" i="6" s="1"/>
  <c r="F24" i="6"/>
  <c r="F23" i="6" s="1"/>
  <c r="K24" i="6"/>
  <c r="K23" i="6" s="1"/>
  <c r="E24" i="6"/>
  <c r="G24" i="6"/>
  <c r="G23" i="6" s="1"/>
  <c r="I24" i="6"/>
  <c r="I23" i="6" s="1"/>
  <c r="H24" i="6"/>
  <c r="H23" i="6" s="1"/>
  <c r="L24" i="6"/>
  <c r="L23" i="6" s="1"/>
  <c r="M20" i="13" l="1"/>
  <c r="M19" i="13" s="1"/>
  <c r="M17" i="13"/>
  <c r="L20" i="13"/>
  <c r="L19" i="13" s="1"/>
  <c r="L17" i="13"/>
  <c r="I20" i="13"/>
  <c r="I19" i="13" s="1"/>
  <c r="I17" i="13"/>
  <c r="H20" i="13"/>
  <c r="H19" i="13" s="1"/>
  <c r="H17" i="13"/>
  <c r="K20" i="13"/>
  <c r="K19" i="13" s="1"/>
  <c r="K22" i="13"/>
  <c r="K21" i="13" s="1"/>
  <c r="K17" i="13"/>
  <c r="F18" i="1"/>
  <c r="I19" i="1"/>
  <c r="L19" i="1" s="1"/>
  <c r="D19" i="1"/>
  <c r="D18" i="1" s="1"/>
  <c r="J20" i="13"/>
  <c r="J19" i="13" s="1"/>
  <c r="J17" i="13"/>
  <c r="G17" i="13"/>
  <c r="G20" i="13"/>
  <c r="G22" i="13" s="1"/>
  <c r="D18" i="13"/>
  <c r="N17" i="13"/>
  <c r="N20" i="13"/>
  <c r="N19" i="13" s="1"/>
  <c r="E23" i="6"/>
  <c r="D24" i="6"/>
  <c r="D23" i="6" s="1"/>
  <c r="J22" i="13" l="1"/>
  <c r="J21" i="13" s="1"/>
  <c r="L22" i="13"/>
  <c r="L21" i="13" s="1"/>
  <c r="G21" i="13"/>
  <c r="N22" i="13"/>
  <c r="N21" i="13" s="1"/>
  <c r="L18" i="1"/>
  <c r="J19" i="1"/>
  <c r="J18" i="1" s="1"/>
  <c r="H22" i="13"/>
  <c r="H21" i="13" s="1"/>
  <c r="I22" i="13"/>
  <c r="I21" i="13" s="1"/>
  <c r="M22" i="13"/>
  <c r="M21" i="13" s="1"/>
  <c r="G19" i="13"/>
  <c r="D20" i="13"/>
  <c r="D19" i="13" s="1"/>
  <c r="F30" i="1" s="1"/>
  <c r="I18" i="1"/>
  <c r="G19" i="1"/>
  <c r="G18" i="1" s="1"/>
  <c r="E12" i="12"/>
  <c r="I30" i="1" l="1"/>
  <c r="L30" i="1"/>
  <c r="D30" i="1"/>
  <c r="D28" i="1" s="1"/>
  <c r="F28" i="1"/>
  <c r="D22" i="13"/>
  <c r="D21" i="13" s="1"/>
  <c r="E14" i="12"/>
  <c r="E11" i="12"/>
  <c r="K12" i="12" s="1"/>
  <c r="L12" i="12" l="1"/>
  <c r="J12" i="12"/>
  <c r="M12" i="12"/>
  <c r="M14" i="12" s="1"/>
  <c r="M13" i="12" s="1"/>
  <c r="J30" i="1"/>
  <c r="J28" i="1" s="1"/>
  <c r="L28" i="1"/>
  <c r="G30" i="1"/>
  <c r="G28" i="1" s="1"/>
  <c r="I28" i="1"/>
  <c r="L14" i="12"/>
  <c r="L13" i="12" s="1"/>
  <c r="L11" i="12"/>
  <c r="J11" i="12"/>
  <c r="J14" i="12"/>
  <c r="J13" i="12" s="1"/>
  <c r="H12" i="12"/>
  <c r="I12" i="12"/>
  <c r="F12" i="12"/>
  <c r="G12" i="12"/>
  <c r="E13" i="12"/>
  <c r="E16" i="12"/>
  <c r="L16" i="12" l="1"/>
  <c r="L15" i="12" s="1"/>
  <c r="M11" i="12"/>
  <c r="M16" i="12"/>
  <c r="M15" i="12" s="1"/>
  <c r="H11" i="12"/>
  <c r="H14" i="12"/>
  <c r="H13" i="12" s="1"/>
  <c r="J16" i="12"/>
  <c r="J15" i="12" s="1"/>
  <c r="G14" i="12"/>
  <c r="G13" i="12" s="1"/>
  <c r="G11" i="12"/>
  <c r="K14" i="12"/>
  <c r="K13" i="12" s="1"/>
  <c r="K11" i="12"/>
  <c r="I11" i="12"/>
  <c r="I14" i="12"/>
  <c r="I13" i="12" s="1"/>
  <c r="E15" i="12"/>
  <c r="F14" i="12"/>
  <c r="F16" i="12" s="1"/>
  <c r="F15" i="12" s="1"/>
  <c r="F11" i="12"/>
  <c r="D12" i="12"/>
  <c r="K16" i="12" l="1"/>
  <c r="K15" i="12" s="1"/>
  <c r="I16" i="12"/>
  <c r="I15" i="12" s="1"/>
  <c r="H16" i="12"/>
  <c r="H15" i="12" s="1"/>
  <c r="G16" i="12"/>
  <c r="F13" i="12"/>
  <c r="D14" i="12"/>
  <c r="D13" i="12" s="1"/>
  <c r="F27" i="1" s="1"/>
  <c r="I27" i="1" l="1"/>
  <c r="D27" i="1"/>
  <c r="D9" i="1" s="1"/>
  <c r="L27" i="1"/>
  <c r="F9" i="1"/>
  <c r="G15" i="12"/>
  <c r="D16" i="12"/>
  <c r="D15" i="12" s="1"/>
  <c r="J27" i="1" l="1"/>
  <c r="J9" i="1" s="1"/>
  <c r="L9" i="1"/>
  <c r="G27" i="1"/>
  <c r="G9" i="1" s="1"/>
  <c r="I9" i="1"/>
</calcChain>
</file>

<file path=xl/comments1.xml><?xml version="1.0" encoding="utf-8"?>
<comments xmlns="http://schemas.openxmlformats.org/spreadsheetml/2006/main">
  <authors>
    <author>HP</author>
  </authors>
  <commentList>
    <comment ref="D180" authorId="0">
      <text>
        <r>
          <rPr>
            <b/>
            <sz val="9"/>
            <color indexed="81"/>
            <rFont val="Tahoma"/>
            <family val="2"/>
          </rPr>
          <t>HP:</t>
        </r>
        <r>
          <rPr>
            <sz val="9"/>
            <color indexed="81"/>
            <rFont val="Tahoma"/>
            <family val="2"/>
          </rPr>
          <t xml:space="preserve">
bao gồm bảo trì kho lưu trữ và duy trì web và vận hành hệ thống máy  chủ</t>
        </r>
      </text>
    </comment>
  </commentList>
</comments>
</file>

<file path=xl/comments2.xml><?xml version="1.0" encoding="utf-8"?>
<comments xmlns="http://schemas.openxmlformats.org/spreadsheetml/2006/main">
  <authors>
    <author>PC</author>
  </authors>
  <commentList>
    <comment ref="D7" authorId="0">
      <text>
        <r>
          <rPr>
            <sz val="9"/>
            <color indexed="81"/>
            <rFont val="Tahoma"/>
            <family val="2"/>
          </rPr>
          <t xml:space="preserve">Đã trừ diện tích rừng đặc dụng. Vì DT rừng đac dung năm 2023 thực hiện theo chương trình PTLNBV
</t>
        </r>
      </text>
    </comment>
  </commentList>
</comments>
</file>

<file path=xl/sharedStrings.xml><?xml version="1.0" encoding="utf-8"?>
<sst xmlns="http://schemas.openxmlformats.org/spreadsheetml/2006/main" count="2963" uniqueCount="1292">
  <si>
    <t>Đơn vị tính: Triệu đồng</t>
  </si>
  <si>
    <t>STT</t>
  </si>
  <si>
    <t>Dự án/ Tiểu dự án</t>
  </si>
  <si>
    <t>Ghi chú</t>
  </si>
  <si>
    <t>A</t>
  </si>
  <si>
    <t>B</t>
  </si>
  <si>
    <t>TỔNG SỐ</t>
  </si>
  <si>
    <t>Dự án 1: Giải quyết tình trạng thiếu đất ở, nhà ở, đất sản xuất, nước sinh hoạt</t>
  </si>
  <si>
    <t>-</t>
  </si>
  <si>
    <t>Nội dung số 03: Hỗ trợ chuyển đổi nghề</t>
  </si>
  <si>
    <t xml:space="preserve"> -</t>
  </si>
  <si>
    <t>Nội dung số 04: Hỗ trợ nước sinh hoạt phân tán</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</si>
  <si>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</si>
  <si>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</si>
  <si>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</si>
  <si>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 xml:space="preserve"> Hỗ trợ phát triển trồng vùng dược liệu quý</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</si>
  <si>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</si>
  <si>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</si>
  <si>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</si>
  <si>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</si>
  <si>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</si>
  <si>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</si>
  <si>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</si>
  <si>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</si>
  <si>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</si>
  <si>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</si>
  <si>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</si>
  <si>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</si>
  <si>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</si>
  <si>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</si>
  <si>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Tiểu dự án 3: Kiểm tra, giám sát, đánh giá, đào tạo, tập huấn tổ chức thực hiện Chương trình</t>
  </si>
  <si>
    <t>II</t>
  </si>
  <si>
    <t>+</t>
  </si>
  <si>
    <t>Tổng số</t>
  </si>
  <si>
    <t>TỔNG</t>
  </si>
  <si>
    <t>Nội dung</t>
  </si>
  <si>
    <t>Đơn vị</t>
  </si>
  <si>
    <t>Tổng</t>
  </si>
  <si>
    <t>Huyện Chợ Mới</t>
  </si>
  <si>
    <t>Huyện Chợ Đồn</t>
  </si>
  <si>
    <t>Huyện Ngân Sơn</t>
  </si>
  <si>
    <t>Huyện Bạch Thông</t>
  </si>
  <si>
    <t>Huyện Na Rì</t>
  </si>
  <si>
    <t>Huyện Pác Nặm</t>
  </si>
  <si>
    <t>Huyện Ba Bể</t>
  </si>
  <si>
    <t>Thành phố Bắc Kạn</t>
  </si>
  <si>
    <t>I</t>
  </si>
  <si>
    <t>Tiêu chí</t>
  </si>
  <si>
    <t>Nhu cầu số hộ được hỗ trợ chuyển đổi nghề</t>
  </si>
  <si>
    <t>Hộ</t>
  </si>
  <si>
    <t xml:space="preserve">Nhu cầu số hộ được hỗ trợ nước sinh hoạt phân tán </t>
  </si>
  <si>
    <t xml:space="preserve"> Số điểm</t>
  </si>
  <si>
    <t>Điểm số hộ được hỗ trợ chuyển đổi nghề</t>
  </si>
  <si>
    <t xml:space="preserve">Điểm số hộ được hỗ trợ nước sinh hoạt phân tán </t>
  </si>
  <si>
    <t>III</t>
  </si>
  <si>
    <t>Triệu đồng</t>
  </si>
  <si>
    <t>IV</t>
  </si>
  <si>
    <t>V</t>
  </si>
  <si>
    <t>DỰ ÁN 1: Giải quyết tình trạng thiếu đất ở, nhà ở, đất sản xuất, nước sinh hoạt</t>
  </si>
  <si>
    <t>NỘI DUNG: Hỗ trợ chuyển đổi nghề, hỗ trợ nước sinh hoạt phân tán</t>
  </si>
  <si>
    <t>TIỂU DỰ ÁN 1: Phát triển kinh tế nông, lâm nghiệp bền vững gắn với bảo vệ rừng và nâng cao thu nhập cho người dân</t>
  </si>
  <si>
    <t>DỰ ÁN 3: Phát triển sản xuất nông, lâm nghiệp bền vững, phát huy tiềm năng, thế mạnh của các vùng miền để sản xuất hàng hóa theo chuỗi giá trị</t>
  </si>
  <si>
    <t>Mỗi ha được hỗ trợ bảo vệ rừng quy hoạch rừng phòng hộ và rừng sản xuất là rừng tự nhiên đã giao cho cộng đồng, hộ gia đình</t>
  </si>
  <si>
    <t>Mỗi ha rừng được hỗ trợ khoanh nuôi tái sinh có trồng rừng bổ sung</t>
  </si>
  <si>
    <t>Mỗi ha rừng được hỗ trợ trồng rừng sản xuất, khai thác kinh tế dưới tán rừng và phát triển lâm sản ngoài gỗ</t>
  </si>
  <si>
    <t>Mỗi ha rừng được hỗ trợ trồng rừng phòng hộ</t>
  </si>
  <si>
    <t xml:space="preserve">Mỗi tấn gạo trợ cấp trồng rừng cho hộ nghèo tham gia trồng rừng sản xuất, phát triển lâm sản ngoài gỗ, rừng phòng hộ </t>
  </si>
  <si>
    <t>TỔNG CỘNG</t>
  </si>
  <si>
    <t>TIỂU DỰ ÁN 2: Hỗ trợ phát triển sản xuất theo chuỗi giá trị, vùng trồng dược liệu quý, thúc đẩy khởi sự kinh doanh, khởi nghiệp và thu hút đầu tư vùng đồng bào dân tộc thiểu số và miền núi</t>
  </si>
  <si>
    <t>Mỗi xã ĐBKK (xã khu vực III)</t>
  </si>
  <si>
    <t>Xã</t>
  </si>
  <si>
    <r>
      <t xml:space="preserve">Xã ATK thuộc khu vực II, I </t>
    </r>
    <r>
      <rPr>
        <i/>
        <sz val="14"/>
        <color indexed="8"/>
        <rFont val="Times New Roman"/>
        <family val="1"/>
      </rPr>
      <t>(xã chưa được cấp có thẩm quyền công nhận đạt chuẩn NTM, hoàn thành mục tiêu Chương trình 135)</t>
    </r>
  </si>
  <si>
    <r>
      <t>Mỗi thôn ĐBKK không thuộc xã</t>
    </r>
    <r>
      <rPr>
        <b/>
        <sz val="14"/>
        <color indexed="8"/>
        <rFont val="Times New Roman"/>
        <family val="1"/>
      </rPr>
      <t xml:space="preserve"> </t>
    </r>
    <r>
      <rPr>
        <sz val="14"/>
        <color indexed="8"/>
        <rFont val="Times New Roman"/>
        <family val="1"/>
      </rPr>
      <t>khu vực III (Số</t>
    </r>
    <r>
      <rPr>
        <b/>
        <sz val="14"/>
        <color indexed="8"/>
        <rFont val="Times New Roman"/>
        <family val="1"/>
      </rPr>
      <t xml:space="preserve"> </t>
    </r>
    <r>
      <rPr>
        <i/>
        <sz val="14"/>
        <color indexed="8"/>
        <rFont val="Times New Roman"/>
        <family val="1"/>
      </rPr>
      <t>thôn ĐBKK được tính điểm phân bổ vốn không quá 04 thôn/xã ngoài khu vực III)</t>
    </r>
  </si>
  <si>
    <t>Thôn</t>
  </si>
  <si>
    <t>Hỗ trợ trang thiết bị cho mỗi trạm y tế cải tạo</t>
  </si>
  <si>
    <t>Trạm</t>
  </si>
  <si>
    <t>Xã ĐBKK đồng thời là xã ATK</t>
  </si>
  <si>
    <t>Tổng tỷ lệ hộ nghèo của xã ĐBKK</t>
  </si>
  <si>
    <t>%</t>
  </si>
  <si>
    <t>Số điểm</t>
  </si>
  <si>
    <t xml:space="preserve">Sở Giáo dục và Đào tạo </t>
  </si>
  <si>
    <t>Số người học xóa mù chữ</t>
  </si>
  <si>
    <t>Người</t>
  </si>
  <si>
    <t>Số lớp học xóa mù chữ</t>
  </si>
  <si>
    <t>Lớp</t>
  </si>
  <si>
    <t>Bộ</t>
  </si>
  <si>
    <t>Trường</t>
  </si>
  <si>
    <t>DỰ ÁN 5: Phát triển giáo dục đào tạo nâng cao chất lượng nguồn nhân lực
TIỂU DỰ ÁN 1: Đổi mới hoạt động, củng cố phát triển các trường phổ thông dân tộc nội trú (PTDTNT), trường phổ thông dân tộc bán trú (PTDTBT), trường Phổ thông có học sinh bán trú (trường phổ thông có HSBT) và xóa mù chữ cho người dân vùng đồng bào DTTS</t>
  </si>
  <si>
    <t>Mỗi đơn vị (trường) mua sắm trang thiết bị</t>
  </si>
  <si>
    <t>Sở Nội vụ</t>
  </si>
  <si>
    <t>Số xã vùng đồng bào dân tộc thiểu số</t>
  </si>
  <si>
    <t>DỰ ÁN 5: Phát triển giáo dục đào tạo nâng cao chất lượng nguồn nhân lực
TIỂU DỰ ÁN 2: Bồi dưỡng kiến thức dân tộc; đào tạo dự bị đại học, đại học và sau đại học đáp ứng nhu cầu nhân lực cho vùng đồng bào DTTS</t>
  </si>
  <si>
    <t>Sở Lao động, Thương binh và Xã hội</t>
  </si>
  <si>
    <t>Số học viên được đào tạo nghề</t>
  </si>
  <si>
    <t>Học viên</t>
  </si>
  <si>
    <t>DỰ ÁN 5: Phát triển giáo dục đào tạo nâng cao chất lượng nguồn nhân lực
TIỂU DỰ ÁN 3: Phát triển giáo dục nghề nghiệp và giải quyết việc làm cho người lao động vùng dân tộc thiểu số và miền núi</t>
  </si>
  <si>
    <t>Dự kiến kinh phí ngân sách trung ương năm 2023 hỗ trợ theo điểm</t>
  </si>
  <si>
    <t>Nội dung tiêu chí tính điểm cho địa phương</t>
  </si>
  <si>
    <t>Số nghệ nhân nhân dân, nghệ nhân ưu tú người dân tộc thiểu số trong việc lưu truyền, phổ biến hình thức sinh hoạt văn hóa truyền thống và đào tạo, bồi dưỡng những người kế cận</t>
  </si>
  <si>
    <t>Nghệ nhân</t>
  </si>
  <si>
    <t xml:space="preserve">Số hoạt động thi đấu thể thao truyền thống các dân tộc thiểu số </t>
  </si>
  <si>
    <t>Hoạt động</t>
  </si>
  <si>
    <t>Số nhà văn hoá tại các thôn vùng đồng bào dân tộc thiểu số cần hỗ trợ trang thiết bị</t>
  </si>
  <si>
    <t>Nhà</t>
  </si>
  <si>
    <t>Nội dung tiêu chí tính điểm cho tỉnh</t>
  </si>
  <si>
    <t>Số lớp tập huấn, truyền dạy, câu lạc bộ (mỗi lớp tập huấn; mỗi câu lạc bộ sinh hoạt văn hoá dân gian…)</t>
  </si>
  <si>
    <t>Số đội văn nghệ truyền thống</t>
  </si>
  <si>
    <t>Đội</t>
  </si>
  <si>
    <t>Tổ chức Ngày hội, Giao lưu, Liên hoan về các loại hình văn hóa, nghệ thuật truyền thống của đồng bào dân tộc thiểu số</t>
  </si>
  <si>
    <t>Cuộc</t>
  </si>
  <si>
    <t>Số xã vùng đồng bào dân tộc thiểu số và miền núi xây dựng tủ sách cộng đồng</t>
  </si>
  <si>
    <t>Tổ chức bảo tồn các loại hình văn hoá phi vật thể (mỗi lễ hội; mỗi mô hình văn hoá truyền thống; mỗi dự án nghiên cứu, phục dựng, bảo tồn; mỗi làng văn hóa truyền thống; mỗi chương trình tuyên truyền, quảng bá văn hoá truyền thống văn hoá các dân tộc thiểu số…)</t>
  </si>
  <si>
    <t>Tổ chức</t>
  </si>
  <si>
    <t>Xây dựng nội dung, xuất bản mỗi ấn phẩm xuất bản sách, đĩa, đĩa phim tư liệu về văn hoá truyền thống đồng bào dân tộc thiểu số</t>
  </si>
  <si>
    <t>Số di tích quốc gia đặc biệt, di tích quốc gia có giá trị tiêu biểu của các dân tộc thiểu số cần hỗ trợ chống xuống cấp</t>
  </si>
  <si>
    <t>Di tích</t>
  </si>
  <si>
    <t>DỰ ÁN 6: Bảo tồn, phát huy giá trị văn hóa truyền thống tốt đẹp của các dân tộc thiểu số gắn với phát triển du lịch</t>
  </si>
  <si>
    <t>Sở Y tế</t>
  </si>
  <si>
    <t>Mỗi xã khu vực III</t>
  </si>
  <si>
    <t>Mỗi xã khu vực II</t>
  </si>
  <si>
    <t>Mỗi xã khu vực I</t>
  </si>
  <si>
    <t>Hội liên hiệp phụ nữ tỉnh</t>
  </si>
  <si>
    <t>Mỗi xã ĐBKK (xã khu vực III); Xã ATK thuộc khu vực II, I (xã chưa được cấp có thẩm quyền công nhận đạt chuẩn NTM, hoàn thành mục tiêu Chương trình 135)</t>
  </si>
  <si>
    <r>
      <t>Mỗi thôn ĐBKK không thuộc xã</t>
    </r>
    <r>
      <rPr>
        <b/>
        <sz val="12"/>
        <rFont val="Times New Roman"/>
        <family val="1"/>
      </rPr>
      <t xml:space="preserve"> </t>
    </r>
    <r>
      <rPr>
        <sz val="12"/>
        <rFont val="Times New Roman"/>
        <family val="1"/>
      </rPr>
      <t>khu vực III (Số</t>
    </r>
    <r>
      <rPr>
        <b/>
        <sz val="12"/>
        <rFont val="Times New Roman"/>
        <family val="1"/>
      </rPr>
      <t xml:space="preserve"> </t>
    </r>
    <r>
      <rPr>
        <i/>
        <sz val="12"/>
        <rFont val="Times New Roman"/>
        <family val="1"/>
      </rPr>
      <t>thôn ĐBKK được tính điểm phân bổ vốn không quá 04 thôn/xã ngoài khu vực III)</t>
    </r>
  </si>
  <si>
    <t>Tỷ lệ tảo hôn + Tỷ lệ hôn nhân cận huyết thống</t>
  </si>
  <si>
    <t>Số mô hình được thực hiện nhằm giảm thiểu tảo hôn và hôn nhân cận huyết</t>
  </si>
  <si>
    <t>Mô hình</t>
  </si>
  <si>
    <t>DỰ ÁN 9: Đầu tư phát triển nhóm dân tộc thiểu số rất ít người và nhóm dân tộc còn nhiều khó khăn
Tiểu Dự án 2: Giảm thiểu tình trạng tảo hôn và hôn nhân cận huyết thống trong vùng đồng bào dân tộc thiểu số và miền núi</t>
  </si>
  <si>
    <t>Điểm</t>
  </si>
  <si>
    <t>Ban Dân tộc</t>
  </si>
  <si>
    <t>Ban Dân tộc tỉnh</t>
  </si>
  <si>
    <t>Sở Tư pháp</t>
  </si>
  <si>
    <t>DỰ ÁN 10: Truyền thông, tuyên truyền, vận động trong vùng đồng bào dân tộc thiểu số và miền núi. Kiểm tra, giám sát đánh giá việc tổ chức thực hiện Chương trình
TIỂU DỰ ÁN 1: Biểu dương, tôn vinh điển hình tiên tiến, phát huy vai trò của người có uy tín; phổ biến, giáo dục pháp luật và tuyên truyền, vận động đồng bào;
truyền thông phục vụ tổ chức triển khai thực hiện Đề án Tổng thể và Chương trình mục tiêu quốc gia</t>
  </si>
  <si>
    <t>Mỗi xã ĐBKK thuộc vùng đồng bào dân tộc thiểu số</t>
  </si>
  <si>
    <t>DỰ ÁN 10: Truyền thông, tuyên truyền, vận động trong vùng đồng bào dân tộc thiểu số và miền núi. Kiểm tra, giám sát đánh giá việc tổ chức thực hiện Chương trình
TIỂU DỰ ÁN 2: Ứng dụng công nghệ thông tin hỗ trợ phát triển kinh tế - xã hội và đảm bảo an ninh trật tự vùng đồng bào dân tộc thiểu số và miền núi</t>
  </si>
  <si>
    <t>Liên minh HTX</t>
  </si>
  <si>
    <r>
      <t>Mỗi thôn ĐBKK không thuộc xã</t>
    </r>
    <r>
      <rPr>
        <b/>
        <sz val="12"/>
        <rFont val="Times New Roman"/>
        <family val="2"/>
      </rPr>
      <t xml:space="preserve"> </t>
    </r>
    <r>
      <rPr>
        <sz val="12"/>
        <rFont val="Times New Roman"/>
        <family val="2"/>
      </rPr>
      <t>khu vực III (Số</t>
    </r>
    <r>
      <rPr>
        <b/>
        <sz val="12"/>
        <rFont val="Times New Roman"/>
        <family val="2"/>
      </rPr>
      <t xml:space="preserve"> </t>
    </r>
    <r>
      <rPr>
        <i/>
        <sz val="12"/>
        <rFont val="Times New Roman"/>
        <family val="2"/>
      </rPr>
      <t>thôn ĐBKK được tính điểm phân bổ vốn không quá 04 thôn/xã ngoài khu vực III)</t>
    </r>
  </si>
  <si>
    <t>DỰ ÁN 10: Truyền thông, tuyên truyền, vận động trong vùng đồng bào dân tộc thiểu số và miền núi. Kiểm tra, giám sát đánh giá việc tổ chức thực hiện Chương trình
TIỂU DỰ ÁN 3: Kiểm tra, giám sát, đánh giá, đào tạo, tập huấn tổ chức thực hiện Chương trình</t>
  </si>
  <si>
    <t>Tiểu dự án 3: Phát triển giáo dục nghề nghiệp và giải quyết việc làm cho người lao động vùng dân tộc thiểu số và miền núi</t>
  </si>
  <si>
    <t>Nhu cầu số hộ giai đoạn 2021-2025</t>
  </si>
  <si>
    <t xml:space="preserve">Số hộ đã được phân bổ năm 2022 tại Quyết định số 1397/QĐ-UBND ngày 28/7/2022 của UBND tỉnh </t>
  </si>
  <si>
    <t>Số hộ còn lại chưa được phân bổ</t>
  </si>
  <si>
    <t>Tại Tiểu Dự án 2, có 02 nội dung:
+ Nội dung 1: Bồi dưỡng kiến thức dân tộc
+ Nội dung 2: Đào tạo dự bị đại học, đại học và sau đại học.
Theo dự thảo điều chỉnh, bổ sung Nghị quyết 02/2022/NQ-HĐND, giao cho Sở Giáo dục và Đào tạo 100% để thực hiện nội dung đào tạo đại học, sau đại học. Tuy nhiên chưa có căn cứ để giao cho sở Giáo dục và Đao tạo 100% nội dung 2 là theo số liệu rà soát hay theo hình thức nào.</t>
  </si>
  <si>
    <t>Sở Xây dựng</t>
  </si>
  <si>
    <t>Sở Giao thông vận tải</t>
  </si>
  <si>
    <r>
      <t>(</t>
    </r>
    <r>
      <rPr>
        <i/>
        <sz val="12"/>
        <rFont val="Times New Roman"/>
        <family val="1"/>
      </rPr>
      <t>Kèm theo Tờ trình số:          /TTr-UBND ngày          tháng 11 năm 2022 của UBND tỉnh</t>
    </r>
    <r>
      <rPr>
        <sz val="12"/>
        <rFont val="Times New Roman"/>
        <family val="1"/>
      </rPr>
      <t>)</t>
    </r>
  </si>
  <si>
    <t>Biểu 03</t>
  </si>
  <si>
    <t>Số hộ phân bổ năm 2023</t>
  </si>
  <si>
    <t>Kinh phí NSTW năm 2023 (Sự nghiệp kinh tế)</t>
  </si>
  <si>
    <t>Kinh phí đối ứng NSĐP năm 2023 (5%) (Sự nghiệp kinh tế)</t>
  </si>
  <si>
    <t>Tổng vốn phân bổ năm 2023 (III+IV)</t>
  </si>
  <si>
    <t>Kinh phí hỗ trợ chuyển đổi nghề</t>
  </si>
  <si>
    <t>Kinh phí hỗ trợ nước sinh hoạt phân tán</t>
  </si>
  <si>
    <t>Mỗi ha rừng được hỗ trợ khoán bảo vệ rừng đối với rừng đặc dụng, rừng phòng hộ và diện tích rừng tự nhiên do Công ty TNHH MTV Lâm nghiệp Bắc Kạn và UBND cấp xã trực tiếp quản lý</t>
  </si>
  <si>
    <t>Ha</t>
  </si>
  <si>
    <t>Tấn</t>
  </si>
  <si>
    <t>Công ty Lâm nghiệp Bắc Kạn</t>
  </si>
  <si>
    <t>Tiểu dự án 1: Phát triển kinh tế nông, lâm nghiệp gắn với bảo vệ rừng và nâng cao thu nhập cho người dân</t>
  </si>
  <si>
    <t>Kinh phí đối ứng NSĐP năm 2023 (không quy định)</t>
  </si>
  <si>
    <t>Biểu 04</t>
  </si>
  <si>
    <t>Vốn NSTW</t>
  </si>
  <si>
    <t>Vốn NSĐP đối ứng</t>
  </si>
  <si>
    <t>Tỷ lệ phân bổ (%)</t>
  </si>
  <si>
    <t>Số tiền (triệu đồng)</t>
  </si>
  <si>
    <t xml:space="preserve"> - Nguồn Trung ương phân bổ cho tiểu dự án 2 năm 2023 số tiền 67.431 triệu đồng, trong đó:
 + Hỗ trợ phát triển trồng vùng dược liệu quý, hỗ trợ phát triển sản xuất theo chuối giá trị, hỗ trợ phát triển sản xuất cộng đồng, khởi sự kinh doanh, thu hút đầu tư do Sở Nông nghiệp và Phát triển nông thôn thực hiện: 7.687 triệu đồng (11,4% x 67.431 trđ), đề xuất tỷ lệ phân bổ bằng tỷ lệ phân bổ của năm 2022.
 + Phát triển theo chuỗi giá trị, hỗ trợ phát triển cộng đồng, thúc đẩy khởi sự kinh doanh, khởi nghiệp và thu hút đầu tư vùng ĐBSTTS và MN: 59.744 triệu đồng. Nội dung này do UBND các huyện, thành phố thực hiện. Theo Nghị quyết số 02/2022/NQ-HĐND thì nội dung này sẽ phân bổ vốn theo dự án được cấp có thẩm quyền phê duyệt. Do đó, phần vốn của nội dung này sẽ phân bổ cho các địa phương sau khi có quyết định phê duyệt dự án của cấp có thẩm quyền.</t>
  </si>
  <si>
    <t>Biểu 05</t>
  </si>
  <si>
    <t>DỰ ÁN 4: Đầu tư cơ sở hạ tầng thiết yếu, phục vụ sản xuất, đời sống trong vùng đồng bào DTTS&amp;MN và các đơn vị sự nghiệp công của lĩnh vực dân tộc  
TIỂU DỰ ÁN 1: Đầu tư cơ sở hạ tầng thiết yếu, phục vụ sản xuất, đời sống trong vùng đồng bào DTTS&amp;MN</t>
  </si>
  <si>
    <t>Biểu 06</t>
  </si>
  <si>
    <t>Mỗi bộ tài liệu, sách giáo khoa, văn phòng phân phát cho người học</t>
  </si>
  <si>
    <t>Kinh phí NSTW năm 2023 (Sự nghiệp giáo dục, đào tạo và dạy nghề)</t>
  </si>
  <si>
    <t>Tiểu dự án 1</t>
  </si>
  <si>
    <t>Sở Giáo dục Đào tạo (Trường PTDT nội trú tỉnh)</t>
  </si>
  <si>
    <t>Biểu 07</t>
  </si>
  <si>
    <t>Biểu 08</t>
  </si>
  <si>
    <t>Tiểu dự án 3</t>
  </si>
  <si>
    <t>Biểu 09</t>
  </si>
  <si>
    <t>DỰ ÁN 5: Phát triển giáo dục đào tạo nâng cao chất lượng nguồn nhân lực
TIỂU DỰ ÁN 4: Đào tạo nâng cao năng lực cho cộng đồng và cán bộ triển khai Chương trình ở các cấp</t>
  </si>
  <si>
    <t>Mỗi xã ĐBKK (xã khu vực III), xã ATK thuộc khu vực II, I (xã chưa được cấp có thẩm quyền công nhận đạt chuẩn NTM, hoàn thành mục tiêu Chương trình 135)</t>
  </si>
  <si>
    <t>Mỗi thôn ĐBKK không thuộc xã khu vực III (số thôn ĐBKK được tính điểm phân bổ vốn không quá 4 thôn/xã ngoài khu vực III)</t>
  </si>
  <si>
    <t>Tiểu dự án 4</t>
  </si>
  <si>
    <t>Kinh phí đối ứng NSĐP năm 2023 (Không quy định)</t>
  </si>
  <si>
    <t>Biểu 10</t>
  </si>
  <si>
    <t>Sở Văn hóa, Thể thao và Du lịch</t>
  </si>
  <si>
    <t>Kinh phí NSTW năm 2023 (Sự nghiệp văn hóa thể thao)</t>
  </si>
  <si>
    <t>Dự án 6</t>
  </si>
  <si>
    <t>Tổ chức bảo tồn các loại hình văn hoá phi vật thể (mỗi lễ hội; mỗi mô hình văn hoá truyền thống; mỗi dự án nghiên cứu, phục dựng, bảo tồn; mỗi làng văn hóa truyền thống; mỗi chương trình tuyên truyền, quảng bá văn hoá truyền thống văn hoá các dân tộc thiểu số)</t>
  </si>
  <si>
    <t>Khảo sát, kiểm kê, sưu tầm, tư liệu hoá di sản văn hóa truyền thống của đồng bào dân tộc thiểu số cho vùng đồng bào DTTSMN</t>
  </si>
  <si>
    <t>Sở Văn hóa, Thể thao và Du lịch (theo định mức)</t>
  </si>
  <si>
    <t>Sở Văn hóa, Thể thao và Du lịch (Theo tiêu chí)</t>
  </si>
  <si>
    <t>Biểu 11</t>
  </si>
  <si>
    <t>DỰ ÁN 7: Chăm sóc sức khỏe nhân dân, nâng cao thể trạng, tầm vóc người dân tộc thiểu số; 
phòng chống suy dinh dưỡng trẻ em</t>
  </si>
  <si>
    <t>Phân bổ cho Sở Y tế (Sự nghiệp y tế)</t>
  </si>
  <si>
    <t>Biểu 12</t>
  </si>
  <si>
    <t>DỰ ÁN 8: Thực hiện bình đẳng giới và giải quyết những vấn đề cấp thiết đối với phụ nữ và trẻ em</t>
  </si>
  <si>
    <t>Dự án 8</t>
  </si>
  <si>
    <t>Kinh phí NSTW năm 2023 (Sự nghiệp bảo đảm xã hội)</t>
  </si>
  <si>
    <t>Biểu 13</t>
  </si>
  <si>
    <t>DỰ ÁN 9: Đầu tư phát triển nhóm dân tộc thiểu số rất ít người và nhóm dân tộc còn nhiều khó khăn
Tiểu Dự án 1: Đầu tư phát triển kinh tế - xã hội các dân tộc còn gặp nhiều khó khăn</t>
  </si>
  <si>
    <t>Số tiền 
(triệu đồng)</t>
  </si>
  <si>
    <t>Phân bổ vốn ủy thác cho Chi nhánh Ngân hàng Chính sách xã hội tỉnh (Sự nghiệp kinh tế)</t>
  </si>
  <si>
    <t>Biểu 14</t>
  </si>
  <si>
    <t>Tiểu dự án 2</t>
  </si>
  <si>
    <t>Biểu 15</t>
  </si>
  <si>
    <t>Biểu 16</t>
  </si>
  <si>
    <t>Sở Thông tin Truyền thông</t>
  </si>
  <si>
    <t>Số điểm theo Nghị quyết số 02/2022/NQ-HĐND</t>
  </si>
  <si>
    <t>Số lượng</t>
  </si>
  <si>
    <t>Số điểm (Xk,i = Điểm tương ứng từng tiêu chí x số lượng tiêu chí tại mỗi huyện)</t>
  </si>
  <si>
    <t>Chợ Mới</t>
  </si>
  <si>
    <t>Chợ Đồn</t>
  </si>
  <si>
    <t>Ngân Sơn</t>
  </si>
  <si>
    <t>Bạch Thông</t>
  </si>
  <si>
    <t>Na Rì</t>
  </si>
  <si>
    <t>Pác Nặm</t>
  </si>
  <si>
    <t>Ba Bể</t>
  </si>
  <si>
    <t xml:space="preserve">Thành phố </t>
  </si>
  <si>
    <t xml:space="preserve">TỔNG ĐIỂM </t>
  </si>
  <si>
    <t>II. Tính số vốn NSTW phân bổ cho từng địa phương, đơn vị tương ứng với từng tiểu dự án (Triệu đồng)</t>
  </si>
  <si>
    <t>NSTW</t>
  </si>
  <si>
    <t>Sở Thông tin và Truyền thông</t>
  </si>
  <si>
    <t>Sở Nông nghiệp và Phát triển Nông thôn</t>
  </si>
  <si>
    <t>Sở Giáo dục và Đào tạo</t>
  </si>
  <si>
    <t>Bộ Chỉ huy Quân sự tỉnh</t>
  </si>
  <si>
    <t>Sở Tài chính</t>
  </si>
  <si>
    <t>Ủy ban Mặt trận tổ quốc Việt Nam tỉnh</t>
  </si>
  <si>
    <t>Sở Kế hoạch và Đầu tư</t>
  </si>
  <si>
    <t>Sở Công thương</t>
  </si>
  <si>
    <t>Ngân hàng nhà nước Việt Nam</t>
  </si>
  <si>
    <t>Ngân hàng Chính sách xã hội tỉnh</t>
  </si>
  <si>
    <t>Công an tỉnh</t>
  </si>
  <si>
    <t>Liên minh Hợp tác xã</t>
  </si>
  <si>
    <t>Hội Nông dân tỉnh</t>
  </si>
  <si>
    <r>
      <t>2. Phân bổ cho các địa phương (</t>
    </r>
    <r>
      <rPr>
        <b/>
        <i/>
        <sz val="13"/>
        <rFont val="Times New Roman"/>
        <family val="1"/>
      </rPr>
      <t>phân bổ trên số còn lại sau khi đã phân bổ cho cơ quan, đơn vị cấp tỉnh</t>
    </r>
    <r>
      <rPr>
        <b/>
        <sz val="13"/>
        <rFont val="Times New Roman"/>
        <family val="1"/>
      </rPr>
      <t>)</t>
    </r>
  </si>
  <si>
    <t>Dự án/Tiểu dự án</t>
  </si>
  <si>
    <t>Tổng vốn còn lại sau khi phân bổ cho các cơ quan, đơn vị cấp tỉnh</t>
  </si>
  <si>
    <t xml:space="preserve">Tổng điểm </t>
  </si>
  <si>
    <t xml:space="preserve">Vốn định mức cho 1 điểm phân bổ </t>
  </si>
  <si>
    <t>Vốn phân bổ cho từng đơn vị, địa phương (Qi x Xk,i)</t>
  </si>
  <si>
    <t>Đơn vị/Huyện, Thành phố</t>
  </si>
  <si>
    <t>Sự nghiệp kinh tế</t>
  </si>
  <si>
    <t>Trong đó</t>
  </si>
  <si>
    <t>Cấp tỉnh</t>
  </si>
  <si>
    <t>Các huyện, thành phố</t>
  </si>
  <si>
    <t>Biểu 17</t>
  </si>
  <si>
    <t>I. Tính tổng điểm và số điểm tương ứng của tiểu dự án</t>
  </si>
  <si>
    <t>1. Vốn phân bổ cho các cơ quan cấp tỉnh</t>
  </si>
  <si>
    <t>Tỷ lệ (%)</t>
  </si>
  <si>
    <t>Số tiền</t>
  </si>
  <si>
    <t>Ban Dân vận Tỉnh ủy</t>
  </si>
  <si>
    <t>Sở Tài nguyên Môi trường</t>
  </si>
  <si>
    <t>III. Số vốn phân bổ từ nguồn Trung ương và vốn đối ứng NSĐP cho từng đơn vị, địa phương để thực hiện dự án 10</t>
  </si>
  <si>
    <t>Tổng vốn phân bổ năm 2023 cho dự án 10 từ nguồn sự nghiệp kinh tế</t>
  </si>
  <si>
    <t>Lĩnh vực chi ngân sách nhà nước</t>
  </si>
  <si>
    <t>Tổng dự toán giao năm 2023</t>
  </si>
  <si>
    <t>Vốn đối ứng NSĐP</t>
  </si>
  <si>
    <t>Số kinh phí phân bổ lần này</t>
  </si>
  <si>
    <t>Số kinh phí chưa phân bổ</t>
  </si>
  <si>
    <t>4=5+6</t>
  </si>
  <si>
    <t>7=8+9</t>
  </si>
  <si>
    <t>10=11+12=4-7</t>
  </si>
  <si>
    <t>11=5-8</t>
  </si>
  <si>
    <t>12=6-9</t>
  </si>
  <si>
    <t>BIỂU TỔNG HỢP KINH PHÍ SỰ NGHIỆP THỰC HIỆN CHƯƠNG TRÌNH MỤC TIÊU QUỐC GIA PHÁT TRIỂN KINH TẾ - XÃ HỘI VÙNG ĐỒNG BÀO DÂN TỘC THIỂU SỐ VÀ MIỀN NÚI NĂM 2023
TỔNG HỢP THEO DỰ ÁN, TIỂU DỰ ÁN, NỘI DUNG</t>
  </si>
  <si>
    <t>Biểu 01</t>
  </si>
  <si>
    <t>Kinh phí đối ứng NSĐP năm 2023 (5%) (Sự nghiệp văn hóa thể thao)</t>
  </si>
  <si>
    <t>Kinh phí đối ứng NSĐP năm 2023 (5%) (Sự nghiệp bảo đảm xã hội)</t>
  </si>
  <si>
    <t>Hỗ trợ phát triển sản xuất theo chuỗi giá trị, thúc đẩy khởi sự kinh doanh, khởi nghiệp và thu hút đầu tư vùng ĐBDTTS và MN</t>
  </si>
  <si>
    <t>Tiểu dự án 2: Ứng dụng công nghệ thông tin hỗ trợ phát triển kinh tế - xã hội và đảm bảo an ninh trật tự vùng ĐBDTTS và MN</t>
  </si>
  <si>
    <t>Sự nghiệp giáo dục, đào tạo và dạy nghề</t>
  </si>
  <si>
    <t>Sự nghiệp Văn hóa Thông tin</t>
  </si>
  <si>
    <t>Sự nghiệp y tế</t>
  </si>
  <si>
    <t>Sự nghiệp đảm bảo xã hội</t>
  </si>
  <si>
    <t>Đơn vị,/địa phương</t>
  </si>
  <si>
    <t>Dự án 1</t>
  </si>
  <si>
    <t>Dự án 3</t>
  </si>
  <si>
    <t>Dự án 4</t>
  </si>
  <si>
    <t>Dự án 5</t>
  </si>
  <si>
    <t>Dự án 7</t>
  </si>
  <si>
    <t>Dự án 9</t>
  </si>
  <si>
    <t>Dự án 10</t>
  </si>
  <si>
    <t>Tổng dự án 1</t>
  </si>
  <si>
    <t>Tổng dự án 3</t>
  </si>
  <si>
    <t>Sư nghiệp kinh tế</t>
  </si>
  <si>
    <t>Tổng dự án 5</t>
  </si>
  <si>
    <t xml:space="preserve"> Sự nghiệp Y tế</t>
  </si>
  <si>
    <t>Tổng dự án 8</t>
  </si>
  <si>
    <t xml:space="preserve"> Sự nghiệp bảo đảm xã hội</t>
  </si>
  <si>
    <t>Tổng dự án 10</t>
  </si>
  <si>
    <t>Sự nghiệp văn hóa thông tin</t>
  </si>
  <si>
    <t>Tổng dự án 4</t>
  </si>
  <si>
    <t>Tổng cộng</t>
  </si>
  <si>
    <t>Tổng dự án 6</t>
  </si>
  <si>
    <t>Tổng dự án 7</t>
  </si>
  <si>
    <t>Tổng dự án 9</t>
  </si>
  <si>
    <t>NSĐP đối ứng</t>
  </si>
  <si>
    <t>SNGD</t>
  </si>
  <si>
    <t>SNYT</t>
  </si>
  <si>
    <t>SNVH</t>
  </si>
  <si>
    <t>SNKT</t>
  </si>
  <si>
    <t>ĐBXH</t>
  </si>
  <si>
    <t>TW</t>
  </si>
  <si>
    <t>ĐP</t>
  </si>
  <si>
    <t>Tổng dự toán phân bổ cho các đơn vị/địa phương năm 2023</t>
  </si>
  <si>
    <t>Chi tiết theo Biểu 03</t>
  </si>
  <si>
    <t>Chi tiết theo Biểu 04</t>
  </si>
  <si>
    <t>Chi tiết theo Biểu 05</t>
  </si>
  <si>
    <t>Chi tiết theo Biểu 06</t>
  </si>
  <si>
    <t>Chi tiết theo Biểu 07</t>
  </si>
  <si>
    <t>Chi tiết theo Biểu 08</t>
  </si>
  <si>
    <t>Chi tiết theo Biểu 09</t>
  </si>
  <si>
    <t>Chi tiết theo Biểu 10</t>
  </si>
  <si>
    <t>Chi tiết theo Biểu 11</t>
  </si>
  <si>
    <t>Chi tiết theo Biểu 12</t>
  </si>
  <si>
    <t>Chi tiết theo Biểu 13</t>
  </si>
  <si>
    <t>Chi tiết theo Biểu 14</t>
  </si>
  <si>
    <t>Chi tiết theo Biểu 15</t>
  </si>
  <si>
    <t>Chi tiết theo Biểu 16</t>
  </si>
  <si>
    <t>Chi tiết theo Biểu 17</t>
  </si>
  <si>
    <t>Lý do chưa phân bổ theo thuyết minh gửi kèm</t>
  </si>
  <si>
    <t>Công ty TNHH MTV Lâm nghiệp Bắc Kạn</t>
  </si>
  <si>
    <t>Phân bổ cho các địa phương (Sự nghiệp kinh tế)</t>
  </si>
  <si>
    <t>Phân bổ theo tỷ lệ cho Sở Nông nghiệp và Phát triển Nông thôn (Sự nghiệp kinh tế)</t>
  </si>
  <si>
    <t>Kinh phí đối ứng NSĐP năm 2023 (5,73%) (Sự nghiệp văn hóa thể thao)</t>
  </si>
  <si>
    <t>Đối ứng NSĐP (5,73%)</t>
  </si>
  <si>
    <t>Kinh phí đối ứng NSĐP năm 2023 (7,5%) (Sự nghiệp giáo dục, đào tạo và dạy nghề)</t>
  </si>
  <si>
    <t>PHÂN BỔ NGUỒN VỐN SỰ NGHIỆP THỰC HIỆN CHƯƠNG TRÌNH MỤC TIÊU QUỐC GIA PHÁT TRIỂN KINH TẾ -  XÃ HỘI VÙNG ĐỒNG BÀO DÂN TỘC THIỂU SỐ VÀ MIỀN NÚI NĂM 2023</t>
  </si>
  <si>
    <t xml:space="preserve"> PHÂN BỔ VỐN SỰ NGHIỆP THUỘC CHƯƠNG TRÌNH MTQG GIẢM NGHÈO BỀN VỮNG NĂM 2022</t>
  </si>
  <si>
    <t>Đơn vị: Triệu đồng</t>
  </si>
  <si>
    <t>Tổng vốn Chương trình</t>
  </si>
  <si>
    <t>Chi tiết từng dự án thành phần</t>
  </si>
  <si>
    <t>Dự án 1: Hỗ trợ đầu tư phát triển hạ tầng kinh tế xã hội các huyện nghèo</t>
  </si>
  <si>
    <t>Dự án 2: Đa dạng hóa sinh kế, phát triển mô hình giảm nghèo</t>
  </si>
  <si>
    <t>Dự án 3: Hỗ trợ phát triển sản xuất, cải thiện dinh dưỡng</t>
  </si>
  <si>
    <t xml:space="preserve">Dự án 4: Phát triển giáo dục nghề nghiệp, việc làm bền vững </t>
  </si>
  <si>
    <t>Dự án 5: Hỗ trợ nhà ở cho hộ nghèo, hộ cận nghèo trên địa bàn huyện nghèo</t>
  </si>
  <si>
    <t>Dự án 6: Truyền thông và giảm nghèo về thông tin</t>
  </si>
  <si>
    <t>Dự án 7: Nâng cao năng lực và giám sát, đánh giá Chương trình</t>
  </si>
  <si>
    <t>Tiểu dự án 1: Hỗ trợ phát triển sản xuất trong lĩnh vực nông nghiệp</t>
  </si>
  <si>
    <t xml:space="preserve"> Tiểu dự án 2: Cải thiện dinh dưỡng</t>
  </si>
  <si>
    <t>Tổng cộng dự án 4</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</si>
  <si>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</si>
  <si>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</si>
  <si>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</si>
  <si>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Tổng cộng dự án 6</t>
  </si>
  <si>
    <t>Tiểu dự án 1: Giảm nghèo về thông tin</t>
  </si>
  <si>
    <t>Tiểu dự án 2: Truyền thông về giảm nghèo đa chiều</t>
  </si>
  <si>
    <t>Tổng cộng dự án 7</t>
  </si>
  <si>
    <t>Tiểu dự án 1: Nâng cao năng lực thực hiện Chương trình</t>
  </si>
  <si>
    <t>Tiểu dự án 2: Giám sát, đánh giá</t>
  </si>
  <si>
    <t>Nội dung sự nghiệp</t>
  </si>
  <si>
    <t>Trong đó:</t>
  </si>
  <si>
    <t>Phân bổ tối đa 20% tổng số vốn sự nghiệp của tiểu dự án cho các Sở, ban, ngành cấp tỉnh</t>
  </si>
  <si>
    <t>Hỗ trợ một số cơ sở giáo dục nghề nghiệp công lập trên địa bàn tỉnh</t>
  </si>
  <si>
    <t>Hỗ trợ đào tạo nghề cho người lao động thuộc hộ nghèo, hộ cận nghèo, hộ mới thoát nghèo; người có thu nhập thấp</t>
  </si>
  <si>
    <t>Lĩnh vực chi: Sự nghiệp kinh tế</t>
  </si>
  <si>
    <t>Lĩnh vực chi: Sự nghiệp y tế</t>
  </si>
  <si>
    <t>Lĩnh vực: Sự nghiệp giáo dục - đào tạo và dạy nghề</t>
  </si>
  <si>
    <t>Lĩnh vực: Sự nghiệp văn hóa - thông tin</t>
  </si>
  <si>
    <t xml:space="preserve">Tổng </t>
  </si>
  <si>
    <t>NSĐP</t>
  </si>
  <si>
    <t>I. Cấp tỉnh</t>
  </si>
  <si>
    <t>Sở Lao động- Thương binh và xã hội</t>
  </si>
  <si>
    <t xml:space="preserve">Sở Thông tin và Truyền thông </t>
  </si>
  <si>
    <t>Sở Nông nghiệp và phát triển nông thôn</t>
  </si>
  <si>
    <t>Ủy ban Mặt trận tổ quốc Việt Nam</t>
  </si>
  <si>
    <t>Trường Cao đẳng Bắc Kạn</t>
  </si>
  <si>
    <t>Báo Bắc Kạn</t>
  </si>
  <si>
    <t>Đài phát thanh và truyền hình</t>
  </si>
  <si>
    <t>II. Cấp huyện</t>
  </si>
  <si>
    <t>KẾ HOẠCH VỐN ĐẦU TƯ PHÁT TRIỂN THỰC HIỆN CHƯƠNG TRÌNH MỤC TIÊU QUỐC GIA PHÁT TRIỂN KINH TẾ XÃ HỘI VÙNG ĐỒNG BÀO DÂN TỘC THIỂU SỐ VÀ MIỀN NÚI NĂM 2023</t>
  </si>
  <si>
    <t>TT</t>
  </si>
  <si>
    <t>Tên dự án, công trình</t>
  </si>
  <si>
    <t>Dự kiến thời gian thực hiện</t>
  </si>
  <si>
    <t>QĐ đầu tư dự án</t>
  </si>
  <si>
    <t>Kế hoạch vốn giai đoạn 2021-2025</t>
  </si>
  <si>
    <t>KH vốn năm 2022</t>
  </si>
  <si>
    <t>KH vốn giai đoạn 2023-2025 còn lại</t>
  </si>
  <si>
    <t>Dự kiến KH vốn năm 2023</t>
  </si>
  <si>
    <t>Chủ đầu tư/Đơn vị thực hiện</t>
  </si>
  <si>
    <t>Số QĐ</t>
  </si>
  <si>
    <t>TMĐT</t>
  </si>
  <si>
    <t>Ngân sách TW</t>
  </si>
  <si>
    <t>Nguồn vốn tỉnh đối ứng</t>
  </si>
  <si>
    <t>TỈNH ĐIỀU HÀNH</t>
  </si>
  <si>
    <t>DỰ ÁN 1 - GIẢI QUYẾT TÌNH TRẠNG THIẾU ĐẤT Ở, NHÀ Ở, ĐẤT SẢN XUẤT, NƯỚC SINH HOẠT</t>
  </si>
  <si>
    <t>Nội dung 4: Hỗ trợ nước sinh hoạt</t>
  </si>
  <si>
    <t>Dự án Cấp nước sinh hoạt tập trung vùng đồng bào dân tộc thiểu số và miền núi tỉnh Bắc Kạn năm 2022</t>
  </si>
  <si>
    <t>2022-2023</t>
  </si>
  <si>
    <t>1394/QĐ-UBND ngày 27/7/2022; 6587/UBND-NNTNMT ngày 04/10/2022</t>
  </si>
  <si>
    <t>Ban QLDA ĐTXD CT NN&amp;PTNT</t>
  </si>
  <si>
    <t>Dự phòng chưa phân bổ</t>
  </si>
  <si>
    <t>Dự án Cấp nước sinh hoạt tập trung vùng đồng bào dân tộc thiểu số và miền núi tỉnh Bắc Kạn năm 2023 - 2025</t>
  </si>
  <si>
    <t>2023-2025</t>
  </si>
  <si>
    <t>Chỉ phân bổ chi tiết khi đủ điều kiện</t>
  </si>
  <si>
    <t>DỰ ÁN 2 - QUY HOẠCH, SẮP XẾP, BỐ TRÍ, ỔN ĐỊNH DÂN CƯ Ở NHỮNG NƠI CẦN THIẾT</t>
  </si>
  <si>
    <t>Dự án bố trí ổn định tập trung dân cư vùng thiên tai tại khu Pù Pèn, thôn Nà Chảo-Nà Tậu, xã Công Bằng, huyện Pác Nặm, tỉnh Bắc Kạn</t>
  </si>
  <si>
    <t>2054/QĐ-UBND ngày 24/10/2022</t>
  </si>
  <si>
    <t>Dự án bố trí ổn định tập trung dân cư vùng đặc biệt khó khăn thôn Đông Đăm, xã Hà Hiệu, huyện Ba Bể, tỉnh Bắc Kạn</t>
  </si>
  <si>
    <t xml:space="preserve"> Dự án: Bố trí, sắp xếp ổn định dân cư vùng đặc biệt khó khăn thôn Nà Hỏi, xã Phúc Lộc, huyện Ba Bể, tỉnh Bắc Kạn.</t>
  </si>
  <si>
    <t>Dự án Bố trí, ổn định dân cư tại chỗ các thôn thuộc xã Thượng Quan, huyện Ngân Sơn, tỉnh Bắc Kạn.</t>
  </si>
  <si>
    <t>2084/QĐ-UBND ngày 27/10/2022</t>
  </si>
  <si>
    <t xml:space="preserve">Dự án Bố trí ổn định dân cư tập trung dân cư thôn Khuổi Nộc, xã Lương Thượng, huyện Na Rì </t>
  </si>
  <si>
    <t>Chủ đầu tư đang đề nghị điều chỉnh danh mục nên không phân bổ kế hoạch vốn</t>
  </si>
  <si>
    <t>Dự án bố trí ổn định dân cư tập trung dân cư thôn Nà Bản - Cốc Slông, xã Xuân Lạc, huyện Chợ Đồn</t>
  </si>
  <si>
    <t>DỰ ÁN 3 - PHÁT TRIỂN SẢN XUẤT NÔNG, LÂM NGHIỆP BỀN VỮNG, PHÁT HUY TIỀM NĂNG THẾ MẠNH CÁC VÙNG MIỀN ĐỂ SẢN XUẤT HÀNG HÓA THEO CHUỖI GIÁ TRỊ</t>
  </si>
  <si>
    <t>Dự án phát triển dược liệu trên địa bàn tỉnh Bắc Kạn</t>
  </si>
  <si>
    <t>Sở Nông nghiệp và Phát triển nông thôn</t>
  </si>
  <si>
    <t xml:space="preserve"> DỰ ÁN 4 - ĐẦU TƯ CƠ SỞ HẠ TẦNG THIẾT YẾU, PHỤC VỤ SẢN XUẤT, ĐỜI SỐNG VÙNG ĐỒNG BÀO DTTS&amp;MN </t>
  </si>
  <si>
    <t>IV.1</t>
  </si>
  <si>
    <t>Nội dung số 02: Đầu tư xây dựng, cải tạo nâng cấp mạng lưới chợ vùng đồng bào dân tộc thiểu số và miền núi</t>
  </si>
  <si>
    <t xml:space="preserve">Đầu tư xây dựng cải tạo, nâng cấp mạng lưới chợ vùng đồng bào dân tộc thiểu số và miền núi năm 2022, chương trình MTQG phát triển KT – XH vùng đồng bào DTTS&amp;MN năm 2022 </t>
  </si>
  <si>
    <t>1962/QĐ-UBND ngày 13/10/2022; CV 7133/UBND-GTCNXD ngày 26/10/2022</t>
  </si>
  <si>
    <t>Ban QLDA ĐTXD tỉnh</t>
  </si>
  <si>
    <t xml:space="preserve">Đầu tư xây dựng cải tạo, nâng cấp mạng lưới chợ vùng đồng bào dân tộc thiểu số và miền núi chương trình MTQG phát triển KT – XH vùng đồng bào DTTS&amp;MN năm 2023-2025 </t>
  </si>
  <si>
    <t>Đầu tư xây dựng cải tạo, nâng cấp mạng lưới chợ vùng đồng bào dân tộc thiểu số và miền núi chương trình MTQG phát triển KT – XH vùng đồng bào DTTS&amp;MN năm 2024-2025</t>
  </si>
  <si>
    <t>IV.2</t>
  </si>
  <si>
    <t>Nội dung 3: Đầu tư xây dựng, nâng cấp, cải tạo, sửa chữa, bảo dưỡng, mua sắm trang thiết bị cho các trạm y tế xã bảo đảm đạt chuẩn</t>
  </si>
  <si>
    <t>Dự án đầu tư xây dựng, nâng cấp, cải tạo, sửa chữa, bảo dưỡng, mua sắm trang thiết bị cho các trạm y tế xã đảm bảo đạt chuẩn</t>
  </si>
  <si>
    <t>IV.3</t>
  </si>
  <si>
    <t>Nội dung 4: Đầu tư cứng hóa đường đến trung tâm xã chưa được cứng hóa; ưu tiên đầu tư đối với các xã chưa có đường từ trung tâm huyện đến trung tâm xã, đường liên xã (từ trung tâm xã đến trung tâm xã)</t>
  </si>
  <si>
    <t xml:space="preserve"> Chợ Mới</t>
  </si>
  <si>
    <t>Đường Nông Hạ - Khe Thỉ: ĐH.75</t>
  </si>
  <si>
    <t>2022-2024</t>
  </si>
  <si>
    <t>1873/QĐ-UBND ngày 06/10/2022</t>
  </si>
  <si>
    <t>Ban QLDA ĐTXD CTGT</t>
  </si>
  <si>
    <t>Đường Yên Cư - Cao Kỳ</t>
  </si>
  <si>
    <t>Đường liên xã Cao Sơn - Mỹ Thanh, huyện Bạch Thông</t>
  </si>
  <si>
    <t>1863/QĐ-UBND ngày 04/10/2022</t>
  </si>
  <si>
    <t>Đường liên xã Quang thuận huyện Bạch Thông - xã Mai Lạp Chợ Mới</t>
  </si>
  <si>
    <t>Đường Bình Trung-Trung Minh (Tuyên Quang)</t>
  </si>
  <si>
    <t>1845/QĐ-UBND ngày 30/9/2022 (CV 6502/UBND-GTCNXD ngày 3/10/2022)</t>
  </si>
  <si>
    <t>Na Rỳ</t>
  </si>
  <si>
    <t>Cải tạo, nâng cấp đường Quang Phong - Đổng Xá</t>
  </si>
  <si>
    <t>2005/QĐ-UBND ngày 19/10/2022</t>
  </si>
  <si>
    <t>UBND huyện Na Rì</t>
  </si>
  <si>
    <t xml:space="preserve">Đường từ trung tâm xã Cốc Đán, huyện Ngân Sơn đến xã Thành Công, huyện Nguyên Bình  </t>
  </si>
  <si>
    <t>1758/QĐ-UBND ngày 19/9/2022</t>
  </si>
  <si>
    <t>Đường liên thôn Phiêng Giản (xã Phúc Lộc) - Lủng Pjầu (Yến Dương)</t>
  </si>
  <si>
    <t>2199/QĐ-UBND ngày 14/11/2022</t>
  </si>
  <si>
    <t>Đường Nghiên Loan - Cổ Linh</t>
  </si>
  <si>
    <t>1619/QĐ-UBND ngày 26/8/2022</t>
  </si>
  <si>
    <t>DỰ ÁN 5: PHÁT TRIỂN GIÁO DỤC ĐÀO TẠO NÂNG CAO CHẤT LƯỢNG NGUỒN NHÂN LỰC</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</si>
  <si>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MTQG phát triển KT – XH vùng đồng bào DTTS&amp;MN năm 2022</t>
  </si>
  <si>
    <t>2034/QĐ-UBND ngày 21/10/2022</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</si>
  <si>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MTQG phát triển KT – XH vùng đồng bào DTTS&amp;MN năm 2023-2025</t>
  </si>
  <si>
    <t>VI</t>
  </si>
  <si>
    <t>DỰ ÁN 6: BẢO TỒN, PHÁT HUY GIÁ TRỊ VĂN HÓA TRUYỀN THỐNG TỐT ĐẸP CỦA CÁC DÂN TỘC THIỂU SỐ GẮN VỚI PHÁT TRIỂN DU LỊCH</t>
  </si>
  <si>
    <t>Hỗ trợ đầu tư xây dựng điểm đến du lịch tiêu biểu vùng đồng bào dân tộc thiểu số và miền núi</t>
  </si>
  <si>
    <t>Hỗ trợ đầu tư bảo tồn làng, bản, văn hóa truyền thống tiêu biểu của các dân tộc thiểu số</t>
  </si>
  <si>
    <t>Hỗ trợ tu bổ, tôn tạo di tích quốc gia đặc biệt, di tích quốc gia có giá trị tiêu biểu của các dân tộc thiểu số:</t>
  </si>
  <si>
    <t>Hỗ trợ đầu tư xây dựng thiết chế văn hóa, thể thao tại các thôn đồng bào dân tộc thiểu số và miền núi</t>
  </si>
  <si>
    <t>2022-2025</t>
  </si>
  <si>
    <t>Phân bổ chi tiết sau</t>
  </si>
  <si>
    <t>VII</t>
  </si>
  <si>
    <t>DỰ ÁN 7: CHĂM SÓC SỨC KHỎE NHÂN DÂN, NÂNG CAO THỂ TRẠNG, TẦM VÓC NGƯỜI DÂN TỘC THIỂU SỐ; PHÒNG CHỐNG SUY DINH DƯỠNG TRẺ EM</t>
  </si>
  <si>
    <t>Công trình: Trung tâm y tế huyện Ngân Sơn thuộc Dự án chăm sóc sức khỏe nhân dân, nâng cao thể trạng, tầm vóc người dân tộc thiểu số, phòng chống suy dinh dưỡng trẻ em -Chương trình mục tiêu Quốc gia, phát triển kinh tế -xã hội vùng đồng bào dân tộc thiểu số và miền núi năm 2022</t>
  </si>
  <si>
    <t>2035/QĐ-UBND ngày 21/10/2022</t>
  </si>
  <si>
    <t>VIII</t>
  </si>
  <si>
    <t>DỰ ÁN 10: TRUYỀN THÔNG, TUYÊN TRUYỀN, VẬN ĐỘNG TRONG VÙNG ĐỒNG BÀO DÂN TỘC THIỂU SỐ, KIỂM TRA GIÁM SÁT ĐÁNH GIÁ VIỆC TỔ CHỨC THỰC HIỆN CHƯƠNG TRÌNH</t>
  </si>
  <si>
    <t>Dự án ứng dụng công nghệ thông tin hỗ trợ phát triển kinh tế xã hội và đảm bảo an ninh trật tự vùng đồng bào dân tộc thiểu số và miền núi tỉnh Bắc Kạn</t>
  </si>
  <si>
    <t>PHÂN CẤP HUYỆN ĐIỀU HÀNH</t>
  </si>
  <si>
    <t>Nội dung 1, 2, 3: Hỗ trợ đất ở, nhà ở, đất sản xuất - phân cấp huyện điều hành</t>
  </si>
  <si>
    <t>UBND Huyện Chợ Mới</t>
  </si>
  <si>
    <t>DA 1 - CTDTTS</t>
  </si>
  <si>
    <t>UBND huyện Chợ Đồn</t>
  </si>
  <si>
    <t>UBND huyện Ngân Sơn</t>
  </si>
  <si>
    <t>UBND huyện Bạch Thông</t>
  </si>
  <si>
    <t>UBND huyện Pác Nặm</t>
  </si>
  <si>
    <t>UBND huyện Ba Bể</t>
  </si>
  <si>
    <t>Nội dung số 01: Đầu tư cơ sở hạ tầng thiết yếu cùng đồng bào dân tộc thiểu số và miền núi; ưu tiên đối với các xã ĐBKK, thôn ĐBKK</t>
  </si>
  <si>
    <t>DA 4 - CTDTTS</t>
  </si>
  <si>
    <t>UBND thành phố Bắc Kạn</t>
  </si>
  <si>
    <t>DA 10 - CTDTTS</t>
  </si>
  <si>
    <t>KẾ HOẠCH VỐN ĐẦU TƯ PHÁT TRIỂN THỰC HIỆN CHƯƠNG TRÌNH MỤC TIÊU QUỐC GIA GIẢM NGHÈO BỀN VỮNG NĂM 2023</t>
  </si>
  <si>
    <t>Tên công trình/đơn vị</t>
  </si>
  <si>
    <t>Dự toán vốn năm 2022</t>
  </si>
  <si>
    <t>Kế hoạch vốn giai đoạn 2023-2025 còn lại</t>
  </si>
  <si>
    <t>Kế hoạch vốn năm 2023</t>
  </si>
  <si>
    <t>I.1</t>
  </si>
  <si>
    <t>Tiểu dự án 1: Phát triển giáo dục nghề nghiệp vùng nghèo, vùng khó khăn - tỉnh điều hành</t>
  </si>
  <si>
    <t>Đầu tư xây dựng cơ sở vật chất và các công trình phụ trợ phục vụ đào tạo nhân lực chất lượng cao giai đoạn 2021 - 2025 và định hướng đến năm 2030 tại trường Cao đẳng Bắc Kạn - phân cấp huyện điều hành</t>
  </si>
  <si>
    <t>I.2</t>
  </si>
  <si>
    <t>Chưa phân bổ chi tiết</t>
  </si>
  <si>
    <t>Dự án 1: Hỗ trợ đầu tư phát triển hạ tầng kinh tế - xã hội các huyện nghèo</t>
  </si>
  <si>
    <t>KẾ HOẠCH VỐN ĐẦU TƯ PHÁT TRIỂN THỰC HIỆN CHƯƠNG TRÌNH MỤC TIÊU QUỐC GIA XÂY DỰNG NÔNG THÔN MỚI NĂM 2023</t>
  </si>
  <si>
    <t>ĐỊA PHƯƠNG</t>
  </si>
  <si>
    <t>Năm 2021 
(Chuyển sang thực hiện năm 2022)</t>
  </si>
  <si>
    <t>Năm 2022</t>
  </si>
  <si>
    <t>Đối ứng năm 2021 (chuyển sang thực hiện năm 2022)</t>
  </si>
  <si>
    <t>Đối ứng năm 2022</t>
  </si>
  <si>
    <t>TỔNG CỘNG 
(Nội dung thành phần số 2)</t>
  </si>
  <si>
    <t xml:space="preserve">PHÂN BỔ VỐN SỰ NGHIỆP THUỘC CHƯƠNG TRÌNH MỤC TIÊU QUỐC GIA XÂY DỰNG NÔNG THÔN MỚI NĂM 2023 </t>
  </si>
  <si>
    <t>ĐVT: Triệu đồng</t>
  </si>
  <si>
    <t>CHI TIẾT THEO CÁC NỘI DUNG ĐẶC THÙ</t>
  </si>
  <si>
    <t>I- NÂNG CAO HIỆU QUẢ QUẢN LÝ VÀ THỰC HIỆN XÂY DỰNG NÔNG THÔN MỚI THEO QUY HOẠCH</t>
  </si>
  <si>
    <t>II-  Phát triển hạ tầng kinh tế - xã hội, cơ bản đồng bộ, hiện đại, đảm bảo kết nối nông thôn - đô thị và kết nối các vùng miền</t>
  </si>
  <si>
    <t>III-  Tiếp tục thực hiện có hiệu quả cơ cấu lại ngành nông nghiệp, phát triển kinh tế nông thôn</t>
  </si>
  <si>
    <t>IV -Nâng cao chất lượng giáo dục, y tế và chăm sóc sức khỏe của người dân nông thôn</t>
  </si>
  <si>
    <t>V-  Nâng cao chất lượng đời sống văn hóa nông thôn; bảo tồn và phát huy các giá trị văn hóa truyền thống gắn với phát triển du lịch nông thôn</t>
  </si>
  <si>
    <t>VI- Nâng cao chất lượng môi trường; xây dựng cảnh quan nông thôn sáng - xanh - sạch - đẹp, an toàn; giữ gìn và khôi phục cảnh quan truyền thống nông thôn</t>
  </si>
  <si>
    <t>VII - Nâng cao chất lượng dịch vụ hành chính công, hoạt động của chính quyền cơ sở; thúc đấy chuyển đổi số trong nông thôn mới, ứng dụng công nghệ thông tin, công nghệ số, tăng cường khả năng tiếp cận pháp luật cho người dân …</t>
  </si>
  <si>
    <t>VIII -  Nâng cao chất lượng, phát huy vai trò của mặt trận tổ quốc Việt Nam và các tổ chức chính trị xã hội trong xây dựng nông thôn mới</t>
  </si>
  <si>
    <t>IX -Giữ vững quốc phòng an ninh và trật tự xã hội nông thôn</t>
  </si>
  <si>
    <t>X -  Tăng cường công tác giám sát, đánh giá thực hiện chương trình; Nâng cao năng lực, truyền thông xây dựng nông thôn mới; thực hiện phong trào thi đua cả nước chung sức xây dựng nông thôn mới</t>
  </si>
  <si>
    <t>XI - DUY TU, BẢO DƯỠNG, VẬN HÀNH CÁC CÔNG TRÌNH SAU ĐẦU TƯ TRÊN ĐỊA BÀN XÃ</t>
  </si>
  <si>
    <t>Văn phòng điều phối nông thôn mới tỉnh Bắc Kạn</t>
  </si>
  <si>
    <t>Sở Công Thương</t>
  </si>
  <si>
    <t>Hội Liên hiệp phụ nữ tỉnh</t>
  </si>
  <si>
    <t>Tỉnh đoàn</t>
  </si>
  <si>
    <t>Cấp huyện</t>
  </si>
  <si>
    <t>DỰ TOÁN CHI NGÂN SÁCH GIAO CHI TIẾT THEO NHIỆM VỤ CỦA CÁC SỞ, BAN, NGÀNH CẤP TỈNH NĂM 2023</t>
  </si>
  <si>
    <t>Đơn vị tính: triệu đồng</t>
  </si>
  <si>
    <t>Số ghi chú</t>
  </si>
  <si>
    <t>Nội dung nhiệm vụ</t>
  </si>
  <si>
    <t>Kinh phí</t>
  </si>
  <si>
    <t>Văn phòng Đoàn Đại biểu quốc hội và Hội Đồng nhân dân tỉnh</t>
  </si>
  <si>
    <t>Kinh phí hoạt động kỳ họp của HĐND tỉnh</t>
  </si>
  <si>
    <t>Kinh phí hoạt động của Thường trực HĐND tỉnh</t>
  </si>
  <si>
    <t>Kinh phí hoạt động của các Ban HĐND tỉnh</t>
  </si>
  <si>
    <t>Kinh phí hoạt động của tổ đại biểu, đại biểu HĐND tỉnh</t>
  </si>
  <si>
    <t>Kinh phí hoạt động của Đoàn đại biểu Quốc hội</t>
  </si>
  <si>
    <t>Văn phòng Ủy ban nhân dân tỉnh</t>
  </si>
  <si>
    <t>Tổ chức các cuộc họp trong tỉnh với các đơn vị, địa phương</t>
  </si>
  <si>
    <t>Xử lý công việc trên cơ sở hồ sơ tài liệu của cơ quan chủ đề án giải quyết công việc do văn phòng UBND tỉnh trình: chương trình, kế hoạch công tác và tình hình thực tế tại địa phương</t>
  </si>
  <si>
    <t>Họp làm việc với lãnh đạo các cơ quan chuyên môn, UBND huyện và các cơ quan liên quan để giải quyết công việc thường xuyên</t>
  </si>
  <si>
    <t>Trực tiếp giải quyết công việc tại địa phương, cơ sở (Chủ tịch, các Phó chủ tịch)</t>
  </si>
  <si>
    <t>Giữ mối quan hệ thường xuyên với Chính phủ, Thủ tướng Chính phủ, các cơ quan có liên quan của Trung ương, các đoàn đến thăm và làm việc với tỉnh</t>
  </si>
  <si>
    <t>Phối hợp chặt chẽ với Thường trực HĐND tỉnh trong việc chuẩn bị chương trình, nội dung làm việc của kỳ họp HĐND, các báo cáo, đề án trình HĐND</t>
  </si>
  <si>
    <t>Dự kiến các cuộc họp do Chính phủ, Bộ, Ngành triệu tập, mời dự</t>
  </si>
  <si>
    <t>Xăng xe phục vụ Thường trực UBND tỉnh thường xuyên đi kiểm tra, đôn đốc và tham dự các cuộc họp của UBND, các cuộc họp sơ kết, tổng kết của các sở ngành, các cơ quan đoàn thể, các huyện, thành phố</t>
  </si>
  <si>
    <t>Thăm hỏi động viên các gia đình chính sách, gia đình đặc biệt khó khăn trong các đợt công tác ở địa phương, nhất là vùng sâu, vùng xa, vùng đặc biệt khó khăn</t>
  </si>
  <si>
    <t>Sửa chữa thường xuyên xe ô tô và sửa chữa lớn một số xe ô tô</t>
  </si>
  <si>
    <t>Trực cơ quan theo quy định của Chính phủ</t>
  </si>
  <si>
    <t>Hỗ trợ tiền điện, tiền nước trụ sở</t>
  </si>
  <si>
    <t xml:space="preserve">Sửa chữa các trang thiết bị điều hòa, nhà cửa, máy phô tô, máy tính, máy in, đường điện, cấp thoát nước </t>
  </si>
  <si>
    <t xml:space="preserve">Chi phí bảo hiểm, phí đường bộ, phí kiểm định xe ô tô  </t>
  </si>
  <si>
    <t>Chi thuê mướn chăm sóc cây cảnh, cắt tỉa cây cổ thụ</t>
  </si>
  <si>
    <t xml:space="preserve">Ban tiếp Công dân </t>
  </si>
  <si>
    <t xml:space="preserve">Bộ phận Kiểm soát thủ tục hành chính tỉnh </t>
  </si>
  <si>
    <t xml:space="preserve">Kinh phí Trung tâm phục vụ hành chính công </t>
  </si>
  <si>
    <t>Phục vụ công tác văn thư lưu trữ</t>
  </si>
  <si>
    <t>Hội trường tỉnh Bắc Kạn</t>
  </si>
  <si>
    <t>Lắp rèm nhựa cho các phòng làm việc lãnh đạo phòng, và chuyên viên</t>
  </si>
  <si>
    <t xml:space="preserve">In ấn phát hành công báo </t>
  </si>
  <si>
    <t xml:space="preserve">Hoạt động cổng TTĐT tỉnh Bắc Kạn </t>
  </si>
  <si>
    <t>Mua sắm thiết bị chuyên dùng</t>
  </si>
  <si>
    <t xml:space="preserve">Bảo dưỡng điều hòa, cảnh quan và đèn điện chiếu sáng khu sân nhà khách </t>
  </si>
  <si>
    <t xml:space="preserve"> Kinh phí triển khai hệ thống Trung tâm điều hành thông minh (IOC) và Hệ thống thông tin báo cáo tỉnh Bắc Kạn</t>
  </si>
  <si>
    <t>Hợp nhất Cổng dịch vụ công với hệ thống thông tin một cửa điện tử của tỉnh để tạo lập hệ thống thông tin giải quyết TTHC</t>
  </si>
  <si>
    <t>Thuê phần mềm quản lý văn bản Ioffice</t>
  </si>
  <si>
    <t>Nhiệm vụ về cải cách hành chính</t>
  </si>
  <si>
    <t>Nhiệm vụ tổ chức các lớp tập huấn triển khai các Thông tư của Bộ, Ngành Trung ương hướng dẫn xây dựng vị trí việc làm cho công chức, viên chức</t>
  </si>
  <si>
    <t>Nhiệm vụ QLNN về công tác thanh niên</t>
  </si>
  <si>
    <t>Nhiệm vụ về công tác tôn giáo</t>
  </si>
  <si>
    <t>Mua sắm trang phục ngành thanh tra</t>
  </si>
  <si>
    <t>Nhiệm vụ thăm hỏi, thăm viếng cán bộ tỉnh</t>
  </si>
  <si>
    <t>Nhiệm vụ đầu mối kiểm soát TTHC</t>
  </si>
  <si>
    <t>Nhiệm vụ về công tác đào tạo, bồi dưỡng</t>
  </si>
  <si>
    <t>Hội nghị tổng kết công tác TĐKT năm 2022 của Cụm thi đua Sở Nội vụ 7 tỉnh Trung du và miền núi phía Bắc</t>
  </si>
  <si>
    <t xml:space="preserve"> Quỹ thi đua, khen thưởng</t>
  </si>
  <si>
    <t xml:space="preserve"> Quản lý nhà nước về văn thư, lưu trữ</t>
  </si>
  <si>
    <t>Hội nghị gặp mặt biểu dương điển hình tiên tiến 75 năm ngày truyền thống thi đua yêu nước (11/6/1948-11/6/2023)</t>
  </si>
  <si>
    <t>Nhiệm vụ phục vụ kho lưu trữ của Trung tâm Lưu trữ lịch sử tỉnh</t>
  </si>
  <si>
    <t>Hỗ trợ kinh phí mua sắm thay thế một số trang thiết bị làm việc và Hội trường</t>
  </si>
  <si>
    <t>Sửa chữa nhà làm việc 3 tầng</t>
  </si>
  <si>
    <t>Đề án sô hóa tài liệu lưu trữ tại Trung tâm lưu trữ lịch sử tỉnh Bắc Kạn giai đoạn 2020-2025</t>
  </si>
  <si>
    <t>Xây dựng Nền tảng dùng chung ngành Nội vụ</t>
  </si>
  <si>
    <t>Hoạt động của Ban chỉ đạo phát triển kinh tế tập thể tỉnh</t>
  </si>
  <si>
    <t>Mua sắm trang phục Thanh tra Sở</t>
  </si>
  <si>
    <t xml:space="preserve">Kinh phí Xúc tiến đầu tư </t>
  </si>
  <si>
    <t xml:space="preserve">Kinh phí sửa chữa mạng Lan </t>
  </si>
  <si>
    <t>Thực hiện ấn phẩm, video Bắc Kạn, tiềm năng, lợi thế và cơ hội hợp tác cùng phát triển</t>
  </si>
  <si>
    <t>Kinh phí thực hiện các nhiệm vụ, chương trình xúc tiến đầu tư năm 2023 (bao gồm cả Duy trì hoạt động trang wed xuctiendautu của tỉnh)</t>
  </si>
  <si>
    <t>Kinh phí hỗ trợ doanh nghiệp vừa và nhỏ</t>
  </si>
  <si>
    <t>Kinh phí  xây dựng hệ số điều chỉnh giá đất</t>
  </si>
  <si>
    <t>Kinh phí thuê thẩm định giá mua sắm tài sản, hàng hóa, dịch vụ của toàn tỉnh</t>
  </si>
  <si>
    <t>Kinh phí hội đồng thẩm định phương án giá đất cụ thể của tỉnh</t>
  </si>
  <si>
    <t>Kinh phí khảo sát xây dựng bảng giá tính thuế tài nguyên</t>
  </si>
  <si>
    <t>Kinh phí xác định tăng hệ số điều chỉnh giá đất làm cơ sở xác định giá khởi điểm đấu giá quyền sử dụng đất</t>
  </si>
  <si>
    <t>Kinh phí thuê tư vấn mua sắm tập trung</t>
  </si>
  <si>
    <t>Kinh phí kiểm tra, sắp xếp xử lý nhà đất trên địa bàn tỉnh</t>
  </si>
  <si>
    <t>Kinh phí kiểm tra, kiểm soát giá cả thị trường</t>
  </si>
  <si>
    <t xml:space="preserve">Kinh phí tập huấn nghiệp vụ chuyên môn của ngành </t>
  </si>
  <si>
    <t>Trích từ các khoản thu hồi qua công tác thanh tra</t>
  </si>
  <si>
    <t>Hỗ trợ kinh phí mua sắm tài sản cho đơn vị</t>
  </si>
  <si>
    <t>Kinh phí sửa chữa duy tu, bảo trì mạng LAN</t>
  </si>
  <si>
    <t>Phần mềm hệ thống thông tin tài chính chi trả các chính sách đảm bảo an sinh xã hội tỉnh Bắc Kạn</t>
  </si>
  <si>
    <t>Trang phục thanh tra</t>
  </si>
  <si>
    <t>Các nhiệm vụ đặc thù của UBND tỉnh ủy quyền</t>
  </si>
  <si>
    <t>Chi cho công tác xây dựng dự toán, quyết toán ngân sách, tổng hợp các chính sách an sinh xã hội, khóa sổ cuối năm</t>
  </si>
  <si>
    <t>Sửa chữa xe ô tô</t>
  </si>
  <si>
    <t>Công tác Quản lý xử lý vi phạm hành chính và theo dõi thi hành pháp luật</t>
  </si>
  <si>
    <t>Công tác xây dựng văn bản (NQ, QĐ của UBND tỉnh)</t>
  </si>
  <si>
    <t>Công tác xây dựng, kiểm tra văn bản QPPL</t>
  </si>
  <si>
    <t>Công tác phổ biến giáo dục pháp luật hoạt động của Hội đồng phổ biến giáo dục pháp luật</t>
  </si>
  <si>
    <t>Công tác hành chính tư pháp</t>
  </si>
  <si>
    <t>Công tác Bổ trợ tư pháp (bao gồm cả kinh phí hỗ trợ hoạt động luật sư)</t>
  </si>
  <si>
    <t>Công tác thanh tra</t>
  </si>
  <si>
    <t>Công tác Văn phòng</t>
  </si>
  <si>
    <t>Thuê trụ sở của Phòng Công chứng số 2, số 3</t>
  </si>
  <si>
    <t>Nhiệm vụ chuyển đổi số Triển khai hệ thống thông tin quản lý cơ sở dữ liệu vi phạm hành chính</t>
  </si>
  <si>
    <t>Các nhiệm vụ của Trung tâm trợ giúp pháp lý nhà nước</t>
  </si>
  <si>
    <t xml:space="preserve">Kinh phí thực hiện nhiệm vụ thu lệ phí </t>
  </si>
  <si>
    <t>Bảo dưỡng thiết bị cấp, đổi giấy phép lái xe</t>
  </si>
  <si>
    <t>Hoạt động thanh tra</t>
  </si>
  <si>
    <t>Kiểm tra tải trọng xe lưu động</t>
  </si>
  <si>
    <t>Công tác quản lý, bảo  trì các tuyến đường tỉnh- nguồn sự nghiệp kinh tế</t>
  </si>
  <si>
    <t>Công tác quản lý, bảo dưỡng thường xuyên tuyến đường thủy nội địa địa phương -nguồn sự nghiệp kinh tế</t>
  </si>
  <si>
    <t>Công tác quản lý, bảo dưỡng thường xuyên tuyến đường thủy nội địa địa phương- nguồn Trung ương bổ sung có mục tiêu</t>
  </si>
  <si>
    <t>Chi phí giải phòng mặt bằng các công trình</t>
  </si>
  <si>
    <t>Đảm bảo trật tự an toàn xã hội</t>
  </si>
  <si>
    <t>Xây dựng hệ thống kiểm soát nhận dạng phương tiện và triển khai hệ thống giám sát hành trình thông minh</t>
  </si>
  <si>
    <t>Kinh phí, sửa chữa bảo dưỡng nhà làm việc 3 tầng</t>
  </si>
  <si>
    <t>Chi phí hoạt động của Ban chỉ đạo cấp nước an toàn</t>
  </si>
  <si>
    <t>Chi phí kiểm tra giá liên ngành</t>
  </si>
  <si>
    <t>Kinh phí thẩm định dự án đầu tư xây dựng, thiết kế cơ sở</t>
  </si>
  <si>
    <t>Sát hạch cấp chứng chỉ hành nghề và kinh phí thực hiện cấp chứng chỉ</t>
  </si>
  <si>
    <t>Kinh phí đảm bảo hoạt động công tác thanh tra xử phạt vi phạm hành chính</t>
  </si>
  <si>
    <t xml:space="preserve">Chi phí xây dựng chỉ số giá </t>
  </si>
  <si>
    <t>Chi phí xây dựng đơn giá nhân công, giá ca máy và thiết bị thi công xây dựng xây dựng công trình</t>
  </si>
  <si>
    <t>Chi phí lập thiết kế mẫu, thiết kế điển hình và áp dụng các thiết kế sẵn có đối với các dự án đầu tư xây dựng thực hiện theo cơ chế đặc thù thuộc các Chương trình mục tiêu quốc gia trên địa bàn tỉnh Bắc Kạn</t>
  </si>
  <si>
    <t>Quản lý và sử dụng hệ thống thông tin về nhà ở và thị trường bất động sản</t>
  </si>
  <si>
    <t>Quản lý giám sát quy hoạch xây dựng và phát triển đô thị tỉnh Bắc Kạn</t>
  </si>
  <si>
    <t>Xây dựng hệ thống cơ sở dữ liệu chuyên ngành</t>
  </si>
  <si>
    <t>Ứng dụng khoa học công nghệ cho việc chuyển đổi số</t>
  </si>
  <si>
    <t>Duy trì các trang thông tin điện tử Sở Công Thương và sửa chữa nâng cấp.</t>
  </si>
  <si>
    <t xml:space="preserve"> Kinh phí thanh tra, kiểm tra liên ngành; </t>
  </si>
  <si>
    <t>Tổ chức Chương trình hưởng ứng chiến dịch "Giờ trái đất"</t>
  </si>
  <si>
    <t>Ban chỉ đạo bảo vệ an toàn công trình lưới điện cao áp theo Quyết định số 893/QĐ- UBND ngày 30/5/2018</t>
  </si>
  <si>
    <t>Tập huấn công tác đảm bảo an toàn trong hoạt động vật liệu nổ công nghiệp và tiền chất thuốc nổ trên địa bàn tỉnh</t>
  </si>
  <si>
    <t>Hội nhập kinh tế quốc tế</t>
  </si>
  <si>
    <t>Phát triển thương mại miền núi, vùng sâu, vùng xa giai đoạn 2021 - 2025</t>
  </si>
  <si>
    <t>Thực hiện cuộc vân động người Việt Nam ưu tiên dùng hàng Việt Nam</t>
  </si>
  <si>
    <t>Tổ chức các hoạt động triển khai tuần kễ thương hiệu Quốc gia chào mừng ngày thương hiệu Việt Nam (20/4)</t>
  </si>
  <si>
    <t xml:space="preserve">Đề án Đổi mới phương thức kinh doanh tiêu thụ nông sản </t>
  </si>
  <si>
    <t>Lĩnh vực Thương mại điện tử</t>
  </si>
  <si>
    <t>Tổ chức hoạt động bảo vệ quyền lợi người tiêu dùng</t>
  </si>
  <si>
    <t>Nhân rộng mô hình chợ đảm bảo an toàn thực phẩm</t>
  </si>
  <si>
    <t>Thực hiện kế hoạch Triển khai Quyết định số 1163/QĐ-TTg ngày 13/7/2021 của Thủ tướng Chính phủ phê duyệt Chiến lược “Phát triển thương mại trong nước giai đoạn đến năm 2030, tầm nhìn đến năm 2045”</t>
  </si>
  <si>
    <t>Tổ chức Hội nghị tuyên truyền, nâng cao nhận thức về bảo vệ môi trường cho các doanh nghiệp do ngành Công Thương quản lý</t>
  </si>
  <si>
    <t>Tổ chức các hoạt động giảm thiểu túi nilon khó phân hủy</t>
  </si>
  <si>
    <t>Chương trình sử dụng năng lượng tiết kiệm và hiệu quả năm 2023</t>
  </si>
  <si>
    <t>Lĩnh vực bán hàng đa cấp</t>
  </si>
  <si>
    <t>Chi chương trình Khuyến công</t>
  </si>
  <si>
    <t>Chi chương trình Xúc tiến thương mại</t>
  </si>
  <si>
    <t>Xây dựng Cơ sở dữ liệu ngành Công thương tỉnh Bắc Kạn</t>
  </si>
  <si>
    <t>Đẩy mạnh ứng dụng công nghệ thông tin và chuyển đổi số trong hoạt động xúc tiến thương mại trên địa bàn tỉnh</t>
  </si>
  <si>
    <t>Sở Văn hóa Thể thao và Du lịch</t>
  </si>
  <si>
    <t>Các hoạt động quản lý hành chính</t>
  </si>
  <si>
    <t>Các hoạt động về công tác gia đình và phòng chống bạo lực gia đình</t>
  </si>
  <si>
    <t>Các hoạt động văn hóa, tuyên truyền, triển lãm</t>
  </si>
  <si>
    <t>Các hoạt động nghệ thuật biểu diễn</t>
  </si>
  <si>
    <t>Triển khai thực hiện Đề án thư viện số</t>
  </si>
  <si>
    <t>Triển khai nhiệm vụ chuyển đổi số xây dựng cơ sở dữ liệu phục vụ phát triển du lịch</t>
  </si>
  <si>
    <t>Triển khai đề án "Ứng dụng công nghệ thông tin phục vụ du lịch thông minh tỉnh Bắc Kạn"</t>
  </si>
  <si>
    <t>Các hoạt động thư viện</t>
  </si>
  <si>
    <t>Các hoạt động bảo tồn, bảo tàng</t>
  </si>
  <si>
    <t xml:space="preserve">Thực hiện phong trào "Toàn dân đoàn kết xây dựng đời sống văn hoá" </t>
  </si>
  <si>
    <t>Các hoạt động văn hóa khác</t>
  </si>
  <si>
    <t xml:space="preserve">Thực hiện Đề án phát triển thể thao thành tích cao tỉnh Bắc Kạn </t>
  </si>
  <si>
    <t>Tổ chức giải thể thao cấp tỉnh (11 giải)</t>
  </si>
  <si>
    <t>Các hoạt động thể dục thể thao</t>
  </si>
  <si>
    <t>Các hoạt động phát triển du lịch</t>
  </si>
  <si>
    <t>Sở Lao động Thương binh và Xã hội</t>
  </si>
  <si>
    <t>Công tác người có công</t>
  </si>
  <si>
    <t xml:space="preserve">Công tác lao động việc làm </t>
  </si>
  <si>
    <t>Công tác dạy nghề</t>
  </si>
  <si>
    <t>Công tác bảo trợ xã hội và giảm nghèo</t>
  </si>
  <si>
    <t>Công tác bình đẳng giới vì sự tiến bộ của phụ nữ</t>
  </si>
  <si>
    <t>Công tác bảo vệ chăm sóc trẻ em</t>
  </si>
  <si>
    <t>Công tác phòng chống tệ nạn xã hội</t>
  </si>
  <si>
    <t>Công tác thanh tra ngành, trang phục thanh tra, kinh phí tiếp công dân</t>
  </si>
  <si>
    <t>Tổ chức tư vấn, giới thiệu việc làm; Thu thập, tổng hợp, lưu trữ thông tin thị trường lao động</t>
  </si>
  <si>
    <t>Cai nghiện ma túy</t>
  </si>
  <si>
    <t>Công tác điều dưỡng người có công</t>
  </si>
  <si>
    <t>Nuôi dưỡng đối tượng bảo trợ xã hội</t>
  </si>
  <si>
    <t xml:space="preserve">Bổ sung nuôi con nuôi </t>
  </si>
  <si>
    <t>Kinh phí Trung ương bổ sung có mục tiêu thực hiện Chương trình trợ giúp xã hội và phục hồi chức năng cho người tâm thần, trẻ em tự kỷ và người rối nhiễu tâm trí; chương trình công tác xã hội năm 2023</t>
  </si>
  <si>
    <t>Xây dựng và triển khai hệ thống “Quản lý Giáo dục nghề nghiệp – Đào tạo nghề”</t>
  </si>
  <si>
    <t>Xây dựng cơ sở dữ liệu dùng chung ngành Lao động, Thương binh và Xã hội giai đoạn 1</t>
  </si>
  <si>
    <t>Sở Khoa học và Công nghệ</t>
  </si>
  <si>
    <t>Mua sắm thay thế một số thiết bị Hội trường</t>
  </si>
  <si>
    <t>Hỗ trợ kinh phí mua sắm phần mềm kế toán</t>
  </si>
  <si>
    <t>Kiểm tra, đối chiếu khối lượng công việc của đề tài, dự án để phục vụ quyết toán</t>
  </si>
  <si>
    <t>Thực hiện Chương trình quốc gia hỗ trợ doanh nghiệp nâng cao năng suất và chất lượng sản phẩm, hàng hóa giai đoạn 2021-2030</t>
  </si>
  <si>
    <t>Thực hiện Đề án triển khai, áp dụng và quản lý hệ thống truy xuất nguồn gốc trên địa bàn tỉnh Bắc Kạn</t>
  </si>
  <si>
    <t>Thực hiện Đề án tăng cường, đổi mới hoạt động đo lường hỗ trợ doanh nghiệp Việt Nam nâng cao năng lực cạnh tranh và hội nhập quốc tế</t>
  </si>
  <si>
    <t>Kinh phí phục vụ công tác thanh tra sở</t>
  </si>
  <si>
    <t>Kinh phí thực hiện nhiệm vụ chuyển đổi số theo Quyết định số 1793/QĐ-UBND ngày 26/9/2022 của Ủy ban nhân dân tỉnh</t>
  </si>
  <si>
    <t>Kinh phí sửa chữa nhà làm việc 2 tầng</t>
  </si>
  <si>
    <t>Công tác quản lý khoa học công nghệ chuyên ngành</t>
  </si>
  <si>
    <t>Họp hội đồng KHCN; Họp tiểu ban của HĐ xác định nhiệm vụ khoa học và công nghệ; Họp hội đồng chuyên ngành duyệt dự án mới; Họp hội đồng nghiệm thu; Kiểm tra tiến độ, Hội thảo; Đánh giá giữa kỳ các đề tài dự án; Quản lý KHCN cấp huyện; Hoạt động giám sát của Hội đồng KHCN tỉnh đối với các nhiệm nhiệm vụ KHCN;  thông báo tuyển chọn nhiệm vụ năm 2023</t>
  </si>
  <si>
    <t>Kinh phí tổ thẩm định nội và kinh phí đề tài, dự án KH&amp;CN</t>
  </si>
  <si>
    <t>Đánh giá hiệu quả nhân rộng các đề tài dự án giai đoạn 2015-2022</t>
  </si>
  <si>
    <t>Công tác quản lý tiêu chuẩn đo lường chất lượng</t>
  </si>
  <si>
    <t>Nhiệm vụ khác của Trung tâm Ứng dụng KH-CN và Tiêu chuẩn đo lường chất lượng</t>
  </si>
  <si>
    <t>Đào tạo kỹ thuật viên kiểm định thiết bị đo lường mới được cấp</t>
  </si>
  <si>
    <t>Các đề tài, dự án chuyển tiếp và đề tài dự án mới</t>
  </si>
  <si>
    <t>Nguồn Trung ương bổ sung có mục tiêu thực hiện đề tài, dự án khoa học công nghệ</t>
  </si>
  <si>
    <t>Kinh phí thực hiện phòng, chống thiên tai- TKCN</t>
  </si>
  <si>
    <t>Tập huấn nâng cao năng lực quản lý và khai thác công trình thủy lợi</t>
  </si>
  <si>
    <t>Kinh phí khôi phục hồ sơ đối với các công trình không có hồ sơ thiết kế, hồ sơ quản lý đất đai và quản lý tài sản</t>
  </si>
  <si>
    <t>Thực hiện nhiệm vụ chuyển đổi số xây dựng CSDL quản lý hệ thống công trình thủy lợi tỉnh Bắc Kạn</t>
  </si>
  <si>
    <t>Các nhiệm vụ khác của Chi cục Thủy lợi</t>
  </si>
  <si>
    <t xml:space="preserve">Giám sát chất lượng sản phẩm nông lâm thủy sản năm 2023   </t>
  </si>
  <si>
    <t>Đào tạo giảng viên Quản lý dịch hại tổng hợp trên cây ăn quả (TOT-IPM trên cây ăn quả )</t>
  </si>
  <si>
    <t>Các nhiệm vụ khác của Chi cục Trồng trọt, Bảo vệ thực vật và QLCL</t>
  </si>
  <si>
    <t>Các nhiệm vụ của Chi cục Phát triển nông thôn</t>
  </si>
  <si>
    <t>Chương trình Bảo vệ vật nuôi</t>
  </si>
  <si>
    <t>Chương trình phòng, chống bệnh lở mồ, long móng</t>
  </si>
  <si>
    <t>Chương trình phòng, chống cúm gia cầm</t>
  </si>
  <si>
    <t>Chương trình phòng, chống bệnh dịch tả lợn Châu Phi</t>
  </si>
  <si>
    <t>Chương trình phòng, chống bệnh Thủy sản</t>
  </si>
  <si>
    <t>Các nhiệm vụ khác của Chi cục Chăn nuôi và Thú y</t>
  </si>
  <si>
    <t xml:space="preserve">Trực, chỉ đạo PCCCR các tháng mùa khô </t>
  </si>
  <si>
    <t>Mua trang phục ngành</t>
  </si>
  <si>
    <t>Chi thực hiện nhiệm vụ: Quản lý bảo vệ rừng đặc dụng theo QĐ24 và Thông tư 62</t>
  </si>
  <si>
    <t>Đầu tư cải tạo, nâng cấp phòng làm việc thành phòng hỏi cung, lấy lời khai tại cơ quan Kiểm lâm tỉnh Bắc Kạn: xây dựng 04 phòng tại các đơn vị gồm: VP Chi cục KL, Đội KLCĐ&amp;PCCCR số 2; Hạt Kiểm lâm huyện Chợ Đồn; Hạt KL huyện Na Rì</t>
  </si>
  <si>
    <t>Nhà làm việc Đội kiểm lâm cơ động và PCCC rừng số 2</t>
  </si>
  <si>
    <t>Nhà làm việc Trạm Quảng Bạch, thuộc hạt kiểm lâm Chợ Đồn</t>
  </si>
  <si>
    <t>Nhà làm việc Trạm Vũ Muộn thuộc BQL khu bảo tồn thiên nhiên Kim Hỷ</t>
  </si>
  <si>
    <t>Trạm Kiểm lâm Nà Dường thuộc BQL khu bảo tồn thiên nhiên Kim Hỷ</t>
  </si>
  <si>
    <t>Trạm Kiểm lâm Lủng Pảng thuộc BQL khu bảo tồn thiên nhiên Kim Hỷ</t>
  </si>
  <si>
    <t>Nhà làm việc Đội kiểm lâm cơ động và PCCC rừng số 1</t>
  </si>
  <si>
    <t>Các nhiệm vụ khác của Chi cục Kiểm lâm</t>
  </si>
  <si>
    <t xml:space="preserve">Mô hình luân canh lạc - Ngô ngọt theo hướng sản xuất hàng hóa gắn với liên kết tiêu thụ sản phẩm </t>
  </si>
  <si>
    <t>Mô hình thâm canh cây mơ trong thời kỳ kinh doanh gắn với liên kết tiêu thụ sản phẩm</t>
  </si>
  <si>
    <t>Mô hình chăn nuôi thâm canh, vỗ béo bò thịt (giống bò lai) gắn với liên kết tiêu thụ sản phẩm</t>
  </si>
  <si>
    <t>Mô hình nuôi cá nước lạnh gắn với liên kết tiêu thụ sản phẩm (cá tầm, cá hồi)</t>
  </si>
  <si>
    <t>Mô hình liên kết sản xuất và tiêu thụ sản phẩm cây dược liệu (cây khôi nhung tía)</t>
  </si>
  <si>
    <t>Các nhiệm vụ khác của Trung tâm Khuyến nông</t>
  </si>
  <si>
    <t>Các nhiệm vụ của Trung tâm nước sạch và VSMTNT</t>
  </si>
  <si>
    <t>Kinh phí thực hiện Nghị định số 35/2015/NĐ-CP</t>
  </si>
  <si>
    <t>Kinh phí đặt hàng, cung cấp sản phẩm dịch vụ công ích thủy lợi 2023 đối với Công ty TNHH MTV quản lý khai thác công trình thủy lợi</t>
  </si>
  <si>
    <t>Kinh phí thực hiện công tác bảo vệ môi trường trong nông nghiệp</t>
  </si>
  <si>
    <t>Sửa chữa lớn xe ô tô chủa Chi cục Kiểm lâm</t>
  </si>
  <si>
    <t>Thực hiện điều chỉnh quy hoạch 3 loại rừng tỉnh Bắc Kạn</t>
  </si>
  <si>
    <t>Các nhiệm vụ khác của ngành nông nghiệp</t>
  </si>
  <si>
    <t>Sở Tài nguyên và Môi trường</t>
  </si>
  <si>
    <t>Kinh phí phục vụ công tác thu lệ phí cấp phép hoạt động khai thác khoáng sản</t>
  </si>
  <si>
    <t>Công tác thanh tra pháp chế</t>
  </si>
  <si>
    <t>Hỗ trợ mua sắm trang thiết bị hội trường</t>
  </si>
  <si>
    <t>Một số nhiệm vụ khác</t>
  </si>
  <si>
    <t>Đăng ký đất đai cấp giấy CNQSD đất, quyền sở hữ nhà ở và tài sản khác gắn liền với đất cho hộ gia đình, cá nhân trên địa bàn tỉnh</t>
  </si>
  <si>
    <t>Đo đạc chỉnh lý bến động hồ sơ địa chính, chỉnh lý giấy CNQSD đất đối với các hộ dân đã tặng cho QSD đất để xây dựng các công trình công cộng trên địa bàn tỉnh từ năm 2020 trở về trước</t>
  </si>
  <si>
    <t>Số hóa tài liệu về tài nguyên và môi trường phục vụ công tác lưu trữ và quản lý nhà nước</t>
  </si>
  <si>
    <t>Nâng cấp hoàn thiện hạ tầng kỹ thuật trung tâm cơ sở dữ liệu Tài nguyên và Môi trường</t>
  </si>
  <si>
    <t>Duy trì hoạt động hệ thống cơ sở dữ liệu đất đai</t>
  </si>
  <si>
    <t>Duy trì hoạt động hệ thống cơ sở dữ liệu môi trường</t>
  </si>
  <si>
    <t>Duy trì trang website và vận hành hệ thống máy chủ</t>
  </si>
  <si>
    <t>Bảo trì kho lưu trữ</t>
  </si>
  <si>
    <t>Lập khoanh định khu vực cấm, tạm thời cấm hoạt động khoáng sản trên địa bàn tỉnh Bắc Kạn</t>
  </si>
  <si>
    <t>Điều tra đánh giá hiện trạng khai thác, sử dụng tài nguyên nước dưới đất trên địa bàn tỉnh BK</t>
  </si>
  <si>
    <t>XD CSDL thông tin địa chất và KS tỉnh Bắc Kạn</t>
  </si>
  <si>
    <t>Điều tra đánh giá hiện trạng khai thác, sử dụng tài nguyên nước mặt và XĐ dòng chảy tối thiểu trên sông, suối và hạ lưu các hồ chứa, đập dâng trên địa bàn tỉnh Bắc Kạn</t>
  </si>
  <si>
    <t>Đấu giá quyền khai thác khoáng sản</t>
  </si>
  <si>
    <t>Khảo sát đánh giá tiềm năng KS, dự tính quy mô TN đối với KS làm VLXD thông thường</t>
  </si>
  <si>
    <t>Xây dựng cơ sở dữ liệu đất đai huyện Bạch Thông, tỉnh Bắc Kạn (thuộc nhiệm vụ xây dựng cơ sở dữ liệu đất đai huyện Bạch Thông và huyện Chợ Mới)</t>
  </si>
  <si>
    <t>Xây dựng cơ sở dữ liệu đất đai huyện Ba Bể và Pác Nặm</t>
  </si>
  <si>
    <t>Lập đề cương dự toán nhiệm vụ: Xử lý tiếp biên dữ liệu không gian nền bản đồ tỷ lệ 1/1000 và 1/10000 của cơ sở dữ liệu đất đai huyện Ngân Sơn, tỉnh Bắc Kạn</t>
  </si>
  <si>
    <t>Lập kế hoạch SD đất kỳ đầu (2021-2025) tỉnh Bắc Kạn</t>
  </si>
  <si>
    <t>Định giá đất cụ thể</t>
  </si>
  <si>
    <t xml:space="preserve">Lập kế hoạch phát triển mạng lưới trạm khí tượng thủy văn chuyên dùng </t>
  </si>
  <si>
    <t>Bảo trì, chống mối mọt và côn trùng kho lưu trữ tại các chi nhánh VPĐK đất đai các huyện, thành phố</t>
  </si>
  <si>
    <t>Mua bổ sung 02 bộ máy vi tính phục vụ nhiệm vụ chuyển đổi số</t>
  </si>
  <si>
    <t>Dự án khắc phục ô nhiễm môi trường do tồn lưu hóa chất bảo vệ thực vật tại Chi nhánh Vật tư nông nghiệp Chợ Mới, huyện Chợ Mới, tỉnh Bắc Kạn</t>
  </si>
  <si>
    <t>Điều tra hiện trạng xả thải vào nguồn nước và đánh giá khả năng tiếp nhận nước thải, lập bản đồ khả năng tiếp nhận nước thải của các con sông chính trên địa bàn tỉnh Bắc Kạn</t>
  </si>
  <si>
    <t>Tuyên truyền nâng cao nhận thức cộng đồng về bảo tồn đa dạng sinh học trên địa bàn tỉnh Bắc Kạn</t>
  </si>
  <si>
    <t xml:space="preserve">Tổ chức các hoạt động hưởng ứng Ngày môi trường thế giới 05/6 </t>
  </si>
  <si>
    <t>Hỗ trợ kinh phí cho chương trình phối hợp tuyên truyền bảo vệ môi trường (Các tổ chức chính trị, xã hội, báo, đài và Sở Giáo dục và Đào tạo)</t>
  </si>
  <si>
    <t>Quan trắc môi trường tỉnh BK năm 2022</t>
  </si>
  <si>
    <t>Tập huấn tuyên truyền Luật bảo vệ môi trường năm 2020 và các văn bản hướng dẫn</t>
  </si>
  <si>
    <t>Kiểm tra, kiểm soát ô nhiễm môi trường; kiểm tra vận hành thử nghiệm công trình xử lý chất thải; kiểm tra, xác nhận công trình bảo vệ môi trường; xác nhận đăng ký kế hoạch bảo vệ môi trường</t>
  </si>
  <si>
    <t>Báo cáo công tác bảo vệ môi trường  tỉnh Bắc Kạn hàng năm</t>
  </si>
  <si>
    <t>Dự án khắc phục ô nhiễm môi trường do tồn lưu hóa chất bảo vệ thực vật tại kho thuốc bảo vệ thực vật tại Khu 2, xã Vân Tùng, huyện Ngân Sơn, tỉnh Bắc Kạn</t>
  </si>
  <si>
    <t>Mua sắm trang phục thanh tra và kinh phí tiếp dân</t>
  </si>
  <si>
    <t>Kinh phí cho y tế thôn bản</t>
  </si>
  <si>
    <t>Hoạt động kiểm tra giám sát của ngành</t>
  </si>
  <si>
    <t>Chi điều tra sự hài lòng của người bệnh</t>
  </si>
  <si>
    <t>Sửa chữa và bảo dưỡng thiết bị y tế, TS khác (hỗ trợ để sửa chữa bảo dưỡng tuyến huyện xã dự phòng)</t>
  </si>
  <si>
    <t>Kinh phí hiệu chuẩn thiết bị theo tiêu chuẩn ISO/IEC-17025 (lần/năm)</t>
  </si>
  <si>
    <t>Kinh phí mua hóa chất, dung môi, để thực hiện xét nghiệm (dự kiến 500 mẫu)</t>
  </si>
  <si>
    <t>Kinh phí mua mẫu để kiểm tra (dự kiến 500 mẫu)</t>
  </si>
  <si>
    <t>Kinh phí dụng cụ, vật tư tiêu hao; linh kiện phụ tùng máy móc TTB</t>
  </si>
  <si>
    <t xml:space="preserve">Mua sắm thiết bị, dụng cụ phục vụ công tác kiểm nghiệm </t>
  </si>
  <si>
    <t>Kinh phí thử nghiệm thành thao nội bộ và so sánh lĩnh vực: Dược, Hóa, Sinh (Trung tâm Kiểm nghiệm)</t>
  </si>
  <si>
    <t>Đánh giá lại ISO và GLP</t>
  </si>
  <si>
    <t>Bảo dưỡng phòng sạch (cả hệ thống) của Trung tâm Kiểm nghiệm</t>
  </si>
  <si>
    <t>Xử lý chất thải rắn của Trung tâm Kiểm nghiệm</t>
  </si>
  <si>
    <t>Bảo dưỡng hệ thống xử lý chất thải khí</t>
  </si>
  <si>
    <t>Xuất bản tạp chí y dược học+ truyền thông tuyến xã, bản tin y tế</t>
  </si>
  <si>
    <t>KP đấu thầu thuốc, vật tư, hóa chất.</t>
  </si>
  <si>
    <t xml:space="preserve">Kinh phí sửa chưa xe ô tô </t>
  </si>
  <si>
    <t>KP Phòng chống cháy nổ + bảo hiểm phòng chống cháy nổ</t>
  </si>
  <si>
    <t>Kinh phí duy trì phần mềm hồ sơ sức khoẻ toàn dân (108 xã phường thị trấn, 8 huyện thành phố, 01 BVĐK, 01 CDC, 01 SYT</t>
  </si>
  <si>
    <t>Kinh phi thực hiện CCHC (bao gồm cả trực tuyến)</t>
  </si>
  <si>
    <t>Hỗ trợ kinh phí vacxin dại cho người nghèo</t>
  </si>
  <si>
    <t>Hỗ trợ xăng xe cho Trung tâm Pháp y trong công tác khám nghiệm tử thi do chi hoạt động không đảm bảo đủ</t>
  </si>
  <si>
    <t>Kế hoạch đảm bảo kinh phí cho các hoạt động phòng chống HIV/AIDS</t>
  </si>
  <si>
    <t xml:space="preserve">Kinh phí phòng chống dịch Covid-19 </t>
  </si>
  <si>
    <t>Đề xuất mua máy Máy chạy thận nhân tạo và một số thiết bị khác</t>
  </si>
  <si>
    <t>Chi phí sửa chữa, bảo dưỡng thiết bị tài sản của BVĐK</t>
  </si>
  <si>
    <t>Đối ứng các dự án</t>
  </si>
  <si>
    <t>Duy trì các Chương trình theo Chương trình mục tiêu y tế dân số giai đoạn 2016-2020</t>
  </si>
  <si>
    <t>Chi đào tạo liên tục và đào tạo lại cán bộ</t>
  </si>
  <si>
    <t>Chi đạo tạo mới cho đôi ngũ y tế thôn bản</t>
  </si>
  <si>
    <t>Đào tạo cán bộ cho Bệnh viện đa khoa tỉnh</t>
  </si>
  <si>
    <t>Kinh phí hỗ trợ chính sách cho phụ nữ nghèo, dân tộc thiểu số sinh con đúng chế độ</t>
  </si>
  <si>
    <t>Kinh phí sửa chưữa Trung tâm Pháp y và Giám định y khoa</t>
  </si>
  <si>
    <t>Kinh phí sửa chữa Trung tâm Kiểm nghiệm, thuốc, Mỹ phẩm thực phẩm</t>
  </si>
  <si>
    <t>Thực hiện triển khai bệnh án điện tử tại Trung tâm Y tế huyện Bạch Thông</t>
  </si>
  <si>
    <t>Kinh phí xây dựng kho dữ liệu về y tế (data lake)</t>
  </si>
  <si>
    <t>Thực hiện triển khai thí điểm bệnh án điện tử tại Bệnh viện đa khoa tỉnh Bắc Kạn</t>
  </si>
  <si>
    <t>Kinh phí hoạt động thanh tra</t>
  </si>
  <si>
    <t>Hỗ trợ kinh phí chào mừng 20/11 và kỷ niệm các ngày lễ lớn</t>
  </si>
  <si>
    <t>Hội nghị (cán bộ công chức đầu năm, Sơ kết, tổng kết năm học, giao ban toàn ngành, Hội nghị của Bộ GD&amp;ĐT tổ chức tại tỉnh …)</t>
  </si>
  <si>
    <t>Sửa chữa lớn xe ô tô</t>
  </si>
  <si>
    <t>Sửa chữa, thay thế thiết bị, vật tư cho các cho các phòng làm việc, phòng họp (thiết bị máy văn phòng, âm thanh loa đài, thiết bị điện tử, bàn ghế...)</t>
  </si>
  <si>
    <t>Chính sách hỗ trợ học sinh và trường phổ thông ở xã, thôn đặc biệt khó khăn theo Nghị định số 116/2016/NĐ-CP ngày 16/7/2016 của Chính phủ</t>
  </si>
  <si>
    <t xml:space="preserve">Chế độ học bổng cho học sinh dân tộc nội trú theo Thông tư liên tịch số 109/2009/TTLT-BTC-BGDĐT ngày 29/5/2009 của Bộ Tài chính - Bộ Giáo dục và Đào tạo </t>
  </si>
  <si>
    <t>Chế độ khác cho học sinh dân tộc nội trú theo Thông tư liên tịch số 109/2009/TTLT-BTC-BGDĐT ngày 29/5/2009 của Bộ Tài chính - Bộ Giáo dục và Đào tạo</t>
  </si>
  <si>
    <t>Chính sách miễn, giảm học phí, hỗ trợ chi phí học tập theo Nghị định số 81/2021/NĐ-CP ngày 27/8/2021 của Chính phủ</t>
  </si>
  <si>
    <t>Khoán kinh phí sửa chữa, bảo dưỡng cơ sở vật chất, bổ sung mua sắm sửa chữa thiết bị của các đơn vị sự nghiệp trực thuộc Sở Giáo dục và Đào tạo.</t>
  </si>
  <si>
    <t>Chính sách giáo dục đối với người khuyết tật theo Thông tư liên tịch số 42/2013/TTLT-BGDĐT-BLĐTBXH-BTC ngày 31/12/2013 của Bộ trưởng Bộ Giáo dục và Đào tạo, Bộ trưởng Bộ Lao động - Thương binh và Xã hội, Bộ trưởng Bộ Tài chính</t>
  </si>
  <si>
    <t>Chế độ cho giáo viên dạy học sinh khuyết tật học hòa nhập</t>
  </si>
  <si>
    <t>Học bổng học sinh trường Chuyên theo Nghị quyết số 05/2014/NQ-HĐND ngày 29/4/2014 của HĐND tỉnh Bắc Kạn</t>
  </si>
  <si>
    <t>Hỗ trợ học sinh bán trú trên địa bàn tỉnh theo Nghị quyết số 54/2016/NQ-HĐND ngày 06/11/2016 của HĐND tỉnh Bắc Kạn</t>
  </si>
  <si>
    <t>Kinh phí tham quan học tập của nhà giáo, cán bộ quản lý giáo dục đang công tác tại các trường chuyên biệt đóng trên địa bàn có điều kiện kinh tế - xã hội đặc biệt khó khăn theo Nghị định số 61/2006/NĐ-CP ngày 20/6/2006 của Chính phủ</t>
  </si>
  <si>
    <t xml:space="preserve">Kinh phí vận chuyển gạo cho các trường học theo Nghị định số 116/2016/NĐ-CP ngày 18/7/2016 của Chính phủ </t>
  </si>
  <si>
    <t>Chính sách ưu tiên tuyển sinh và hỗ trợ học tập đối với trẻ mẫu giáo, học sinh dân tộc thiểu số rất ít người theo Nghị định số 57/2017/NĐ-CP ngày 09/5/2017 của Chính phủ</t>
  </si>
  <si>
    <t>Tiền thưởng cho học sinh theo Nghị quyết số 05/2014/NQ-HĐND ngày 29/4/2014 của HĐND tỉnh Bắc Kạn</t>
  </si>
  <si>
    <t>Kinh phí thực hiện chuyên môn bậc học mầm non</t>
  </si>
  <si>
    <t>Kinh phí thực hiện chuyên môn bậc học tiểu học</t>
  </si>
  <si>
    <t>Kinh phí thực hiện chuyên môn bậc học trung học cơ sở</t>
  </si>
  <si>
    <t>Kinh phí thực hiện chuyên môn bậc học trung học phổ thông - giáo dục thường xuyên</t>
  </si>
  <si>
    <t>Kinh phí thực hiện chuyên môn thực hiện quản lý chất lượng giáo dục</t>
  </si>
  <si>
    <t>Kinh phí thực hiện nhiệm vụ tổ chức đào tạo</t>
  </si>
  <si>
    <t>Kinh phí thi tốt nghiệp Trung học phổ thông quốc gia năm 2023</t>
  </si>
  <si>
    <t>Hội thi thể thao học sinh tỉnh Bắc Kạn năm học 2022 -2023</t>
  </si>
  <si>
    <t>Kinh phí hỗ trợ chuyên môn trường THPT Chuyên Bắc Kạn</t>
  </si>
  <si>
    <t>Kinh phí khoán hỗ trợ tiền điện nước cho Trung tâm Giáo dục trẻ em khuyết tật</t>
  </si>
  <si>
    <t>Khảo sát điều động giáo viên Trường THPT Chuyên Bắc Kạn; Tuyển dụng viên chức năm 2023</t>
  </si>
  <si>
    <t>Nâng trình độ chuẩn được đào tạo của giáo viên  mầm non, tiểu học, trung học cơ sở theo Nghị định số 71/2020/NĐ-CP ngày 30/6/2020 của Chính phủ quy định lộ trình thực hiện nâng trình độ chuẩn được đào tạo của giáo viên mầm non, tiểu học, trung học cơ sở</t>
  </si>
  <si>
    <t>Bồi dưỡng thường xuyên giáo viên, cán bộ quản lý cơ sở giáo dục để cập nhật kiến thức thường xuyên Theo Thông tư 19/2019/TT-BGDĐT ngày 12/11/2019 của Bộ trưởng Bộ Giáo dục và Đào tạo ban hành Quy chế bồi dưỡng thường xuyên giáo viên, cán bộ quản lý cơ sở giáo dục mầm non, cơ sở giáo dục phổ thông và giáo viên trung tâm giáo dục thường xuyên.</t>
  </si>
  <si>
    <t>Các nhiệm vụ về công tác học sinh sinh viên (Công tác phổ biến giáo dục pháp luật; phòng chống mại dâm, mua bán người,…bạo lực học đường, trẻ em, thanh niên...)</t>
  </si>
  <si>
    <t>Đề án đổi mới chương trình, sách giáo khoa giáo dục phổ thông.</t>
  </si>
  <si>
    <t xml:space="preserve">Đề án “Tăng cường chuẩn bị tiếng Việt cho trẻ em mầm non và học sinh tiểu học vùng dân tộc thiểu số giai đoạn 2016-2020, định hướng đến 2025”-Bồi dưỡng tiếng dân tộc thiểu số </t>
  </si>
  <si>
    <t xml:space="preserve">Đề án ngoại ngữ </t>
  </si>
  <si>
    <t>Chương trình Giáo dục lý tưởng cách mạng, đạo đức, lối sống, khơi dậy khát vọng cống hiến cho Thanh, Thiếu niên và Nhi đồng.</t>
  </si>
  <si>
    <t>Đề án "Xây dựng xã hội học tập giai đoạn 2021-2030"</t>
  </si>
  <si>
    <t>Đào tạo sinh viên sư phạm tương lai theo thông báo chỉ tiêu của Bộ Giáo dục và Đào tạo</t>
  </si>
  <si>
    <t>Bồi dưỡng nghiệp vụ tư vấn tâm lý học đường trong trường phổ thông</t>
  </si>
  <si>
    <t>Đo lường sự hài lòng của người dân</t>
  </si>
  <si>
    <t>Đề án tăng cường cơ sở vật chất (Mua thiết bị dạy học thực hiện chương trình GDPT năm 2018 cho các trường trực thuộc Sở GD-ĐT)</t>
  </si>
  <si>
    <t>Kinh phí thực hiện công tác Y tế học đường, giáo dục giới tính, sức khỏe học đường, tầm vóc Việt; Sức khỏe tâm thần cho trẻ em học sinh; Phòng chống thiên tai, giáo dục môi trường.</t>
  </si>
  <si>
    <t>Duy trì hệ thống quản lý chất lượng giáo dục</t>
  </si>
  <si>
    <t>Thuê hệ thống phần mềm tuyển sinh đầu cấp trực tuyến</t>
  </si>
  <si>
    <t xml:space="preserve">Kinh phí đào tạo, bồi dưỡng theo Nghị quyết số 16/2022/NQ-HĐND </t>
  </si>
  <si>
    <t>Xây dựng, hoàn thiện và chuẩn hóa CSDL ngành, số hóa các dữ liệu chuyên ngành giáo dục đào tạo.</t>
  </si>
  <si>
    <t>Thuê Hệ thống quản lý học tập, thi, kiểm tra đánh giá trực tuyến (LMS)</t>
  </si>
  <si>
    <t>Thuê dịch vụ thanh toán không dùng tiền mặt trong nhà trường</t>
  </si>
  <si>
    <t>Thuê nền tảng chung ngành Giáo dục và Đào tạo tỉnh Bắc Kạn</t>
  </si>
  <si>
    <t>Hoạt động thanh tra, hoạt động thanh tra liên ngành</t>
  </si>
  <si>
    <t>Mua sắm trang phục</t>
  </si>
  <si>
    <t xml:space="preserve">Hỗ trợ kinh phí mua phần mềm kế toán </t>
  </si>
  <si>
    <t>Hoạt động báo chí</t>
  </si>
  <si>
    <t>Hoạt động xuất bản</t>
  </si>
  <si>
    <t>Công tác thông tin đối ngoại</t>
  </si>
  <si>
    <t>Thông tin cơ sở, thông tin điện tử</t>
  </si>
  <si>
    <t>Hoạt động công nghệ thông tin</t>
  </si>
  <si>
    <t xml:space="preserve">Hoạt động bưu chính viễn thông </t>
  </si>
  <si>
    <t xml:space="preserve">Nhiệm vụ khác của Trung tâm Công nghệ thông tin </t>
  </si>
  <si>
    <t>Thuê dịch vụ đánh giá, giám sát an toàn thông tin Website của tỉnh (Giám sát ATTT theo quy định các website: Cổng thông tin điện tử tỉnh Bắc Kạn; Cổng thông tin HĐND tỉnh; website cải cách HCNN tỉnh bắc Kạn)</t>
  </si>
  <si>
    <t>Kế hoạch thuê dịch vụ CNTT phần mềm một cửa, một cửa liên thông và dịch vụ công mức độ cao</t>
  </si>
  <si>
    <t>Kế hoạch thuê dịch vụ CNTT phần mềm QLTT cán bộ, công chức, viên chức và lao động HĐ theo Nghị định 68/2000/NĐ-CP ngày 17/11/2000 của Chính phủ</t>
  </si>
  <si>
    <t xml:space="preserve">Xây dựng Kho quản lý dữ liệu điện tử </t>
  </si>
  <si>
    <t>Xây dựng hệ thống đảm bảo an toàn, an ninh thông tin (SOC)</t>
  </si>
  <si>
    <t>Xây dựng mạng diện rộng WAN của tỉnh</t>
  </si>
  <si>
    <t>Thuê dịch vụ CNTT đối với hệ thống điều khiển Hội nghị truyền hình trực tuyến tại điểm cầu cấp tỉnh thuộc dự án Nâng cấp mở rộng hệ thống HNTHTT đang sử dụng hiện nay đến cấp xã</t>
  </si>
  <si>
    <t>Xây dựng nền tảng bản đồ số (GIS) tỉnh Bắc Kạn</t>
  </si>
  <si>
    <t>Xây dựng hệ thống thông tin quản lý ngành thông tin và truyền thông giai đoạn 1</t>
  </si>
  <si>
    <t xml:space="preserve">Thuê dịch vụ CNTT hệ thống Wifi công cộng trên địa bàn tỉnh </t>
  </si>
  <si>
    <t>Xây dựng hệ thống quản lý, đánh giá chỉ số Chuyển đổi số (PDTI) của tỉnh</t>
  </si>
  <si>
    <t>Thanh tra tỉnh</t>
  </si>
  <si>
    <t>Kinh phí trang phục ngành thanh tra theo Thông tư liên tịch số 73/2015/TTLT-BTC-TTCP ngày 12/5/2015.</t>
  </si>
  <si>
    <t xml:space="preserve">Kinh phí tổ chức mở các lớp tập huấn </t>
  </si>
  <si>
    <t xml:space="preserve">Kinh phí tập huấn triển khai Luật Phòng chống tham nhũng </t>
  </si>
  <si>
    <t>Kinh phí thực hiện nhiệm vụ Ban chỉ đạo Phòng chống tham nhũng</t>
  </si>
  <si>
    <t>Kinh phí xác minh tài sản thu nhập</t>
  </si>
  <si>
    <t xml:space="preserve">Chi khen thưởng ngành </t>
  </si>
  <si>
    <t xml:space="preserve">Kinh phí tổ chức hoạt động khối thi đua nội chính </t>
  </si>
  <si>
    <t xml:space="preserve">Kinh phí được trích từ các khoản thu hồi phát hiện qua công tác thanh tra </t>
  </si>
  <si>
    <t>Đài Phát thanh - Truyền hình</t>
  </si>
  <si>
    <t>Mua sắm dịch vụ truyền dẫn phát và phát sóng quảng bá kênh Truyền hình Bắc Kạn trên vệ tinh VINASAT-1 chất lượng hình ảnh HD</t>
  </si>
  <si>
    <t>Hỗ trợ tiền điện</t>
  </si>
  <si>
    <t>Mua sắm dịch vụ truyền dẫn phát sóng quảng bá kênh Truyền hình Bắc Kạn chất lượng HD trên hạ tầng truyền hình số mặt đất tiêu chuẩn DVB-T2 của Đài Truyền hình Việt Nam (nội tỉnh)</t>
  </si>
  <si>
    <t>Kinh phí thực hiện nhiệm vụ chuyên môn của ngành (Quỹ nhuận bút, thù lao)</t>
  </si>
  <si>
    <t>Kinh phí sửa chữa, bảo dưỡng nhà trạm phát sóng cấp IV, cột anten tự đứng cao 100m</t>
  </si>
  <si>
    <t>Ban quản lý Vườn quốc gia Ba Bể</t>
  </si>
  <si>
    <t>Trang phục kiểm lâm và công cụ hỗ trợ</t>
  </si>
  <si>
    <t>Ngăn chặn tình trạng chặt phá rừng trái phép, phòng cháy chữa cháy rừng</t>
  </si>
  <si>
    <t>Quản lý, bảo vệ và phát triển cộng đồng dân cư vùng đệm các khu rừng đặc dụng</t>
  </si>
  <si>
    <t>Bảo dưỡng, bảo trì các tuyến đường được giao quản lý</t>
  </si>
  <si>
    <t>Thực hiện các nhiệm vụ khác</t>
  </si>
  <si>
    <t>Kinh phí chi học bổng chính sách nội trú Quyết định số 53/2015/QĐ-TTg ngày 20/10/2015 của Thủ tướng Chính phủ</t>
  </si>
  <si>
    <t>Chính sách hỗ trợ học sinh, sinh viên theo Nghị quyết số 02/2019/NQ-HĐND ngày 17/4/2019 của Hội đồng nhân dân tỉnh Bắc Kạn</t>
  </si>
  <si>
    <t>Kinh phí chi trợ cấp xã hội theo Quyết định số 1121/1997/QĐ-TTg ngày 23/12/1997 của Thủ tướng Chính phủ</t>
  </si>
  <si>
    <t>Kinh phí chi hỗ trợ sinh hoạt phí cho sinh viên sư phạm theo Nghị định số 116/2020/NĐ-CP ngày 25/9/2020 của Chính phủ</t>
  </si>
  <si>
    <t>Thực hiện chính sách đối với người có uy tín trong đồng bào DTTS (Vốn NSTW)</t>
  </si>
  <si>
    <t>Kiểm tra, thanh tra, tổng hợp công tác dân tộc; Đón tiếp, thăm hỏi đồng bào DTTS</t>
  </si>
  <si>
    <t>Nhiệm vụ chuyển đối số Xây dựng Hệ thống thông tin dữ liệu về công tác dân tộc tỉnh Bắc Kạn</t>
  </si>
  <si>
    <t>Đề án "Hỗ trợ hoạt động Bình đẳng giới vùng dân tộc thiểu số" theo Quyết định số 1898/QĐ-TTg</t>
  </si>
  <si>
    <t>Duy trì và áp dụng hệ thống quản lý chất lượng ISO; Chỉnh lý tài liệu</t>
  </si>
  <si>
    <t>Công tác PCCC và cứu hộ cứu nạn</t>
  </si>
  <si>
    <t>Ban Quản lý các Khu công nghiệp tỉnh</t>
  </si>
  <si>
    <t>Các hoạt động liên quan đến Xúc tiến đầu tư khu công nghiệp</t>
  </si>
  <si>
    <t>Chi trả nhuận bút, thù lao của Cổng thông tin điện tử năm 2023</t>
  </si>
  <si>
    <t>Tập huấn Phòng cháy, chữa cháy</t>
  </si>
  <si>
    <t xml:space="preserve">Kinh phí sửa chữa trụ sở </t>
  </si>
  <si>
    <t>Hỗ trợ kinh phí mua máy phô tocopy</t>
  </si>
  <si>
    <t>Ban An toàn giao thông</t>
  </si>
  <si>
    <t>Các hoạt động đảm bảo an toàn giao thông và sửa chữa, thay thế, cắm bổ sung biển tuyên truyền an toàn giao thông trên các tuyến Quốc lộ và đường tỉnh</t>
  </si>
  <si>
    <t xml:space="preserve">Văn phòng điều phối nông thôn mới </t>
  </si>
  <si>
    <t xml:space="preserve">Kinh phí quản lý và triển khai thực hiện Đề án OCOP </t>
  </si>
  <si>
    <t>Văn phòng Tỉnh ủy</t>
  </si>
  <si>
    <t>Hoạt động của Thường trực</t>
  </si>
  <si>
    <t>Hoạt động đối ngoại của Thường trực</t>
  </si>
  <si>
    <t>Nhiệm vụ khác của Văn phòng Tỉnh ủy</t>
  </si>
  <si>
    <t xml:space="preserve">Khám sức khỏe định kỳ cho các đối tượng BVSK </t>
  </si>
  <si>
    <t>Huy hiệu Đảng</t>
  </si>
  <si>
    <t>Kinh phí khen thưởng</t>
  </si>
  <si>
    <t>Chi các chế độ chính sách</t>
  </si>
  <si>
    <t>Các nhiệm vụ của các Ban thuộc khối Đảng</t>
  </si>
  <si>
    <t>Dự phòng ngân sách Đảng</t>
  </si>
  <si>
    <t>Trường Chính trị</t>
  </si>
  <si>
    <t xml:space="preserve">Kinh phí đào tạo lớp Trung cấp lý luận chính trị K.75, khóa 2022-2023, hệ không tập trung </t>
  </si>
  <si>
    <t>Hội thi giảng viên dạy giỏi toàn quốc</t>
  </si>
  <si>
    <t>Kinh phí Xuất bản bản tin “Thông tin lý luận và thực tiễn Trường Chính trị tỉnh Bắc Kạn”</t>
  </si>
  <si>
    <t>Kinh phí chi Nghiên cứu đề tài khoa học cấp cơ sở (cấp trường)</t>
  </si>
  <si>
    <t>Hỗ trợ tiền điện, nước phục vụ lớp học, nhà ký túc xá</t>
  </si>
  <si>
    <t xml:space="preserve"> Kinh phí dạy thêm giờ của giảng viên (vượt định mức giờ chuẩn )</t>
  </si>
  <si>
    <t>Lễ thắp nến tri ân nhân kỷ niệm 76 năm Ngày Thương binh - Liệt sỹ</t>
  </si>
  <si>
    <t>Hành trình thanh niên khởi nghiệp năm 2023</t>
  </si>
  <si>
    <t>Hoạt động Khu Di tích lịch sử Thanh niên xung phong Nà Tu</t>
  </si>
  <si>
    <t>Tiếp tục thực hiện mô hình giúp đỡ cán bộ đoàn, hội cơ sở</t>
  </si>
  <si>
    <t xml:space="preserve">Hỗ trợ tham gia các hoạt động do Trung ương Đoàn tổ chức </t>
  </si>
  <si>
    <t>Hỗ trợ hoạt động của Trung tâm thanh thiếu nhi (Tổ chức Đêm hội Trung thu cho thiếu nhi vùng sâu vùng xa)</t>
  </si>
  <si>
    <t xml:space="preserve">Liên hoan báo cáo viên, tìm hiểu Nghị quyết Đại hội Đoàn các cấp, Chủ nghĩa Mác - Lênin, tư tưởng Hồ Chí Minh </t>
  </si>
  <si>
    <t xml:space="preserve">Hội thi Nghi thức Đội - Chỉ huy Đội giỏi </t>
  </si>
  <si>
    <t>Liên hoan Đội tuyên truyền măng non về Luật trẻ em, phòng chống tai nạn thương tích, đuối nước, xâm hại trẻ em</t>
  </si>
  <si>
    <t xml:space="preserve">Tiếp tục nhân rộng mô hình chỉ đạo điểm thực hiện Nghị quyết Đại hội Đảng bộ tỉnh lần thứ XII gắn với NQ Đại hội của MTTQ, các đoàn thể: </t>
  </si>
  <si>
    <t>Lễ dâng hương các ngày Lễ lớn, tết Nguyên đán</t>
  </si>
  <si>
    <t>Hội Liên hiệp Phụ nữ tỉnh</t>
  </si>
  <si>
    <t>Duy trì chuyên mục "Phụ nữ và cuộc sống" phóng sự gương tập thể, cá nhân điển hình thực hiện tốt phong trào thi đua của Hội phát sóng hàng tháng trên Đài PTTH tỉnh; Xây dựng trang báo nhân dịp kỷ niệm 8/3; 20/10 đăng trên báo Bắc Kạn.</t>
  </si>
  <si>
    <t>Duy trì hoạt động đường dây nóng và góc tư vấn phòng chống bạo lực gia đình (Thông báo số 62/TB-BTV ngày 10/11/2016; Quyết định số 20/QĐ-BTV ngày 23/5/2017 về việc thành lập mạng lưới phòng chống bạo lực giới.</t>
  </si>
  <si>
    <t>Thực hiện mô hình giúp đỡ cán bộ Hội cơ sở năm 2022.</t>
  </si>
  <si>
    <t>Thực hiện Đề án 938 "Tuyên truyền, giáo dục, vận động, hỗ trợ phụ nữ tham gia giải quyết một số  vấn đề xã hội liên quan đến phụ nữ hiai đoạn 2017 - 2027".</t>
  </si>
  <si>
    <t>Thực hiện Đề án 939 "Hỗ trợ phụ nữ khởi nghiệp giai đoạn 2017 - 2025"</t>
  </si>
  <si>
    <t>Thực hiện Đề án 1893/QĐ-TTg ngày 31/8/2018 của Thủ tướng Chính phủ về bồi dưỡng cán bộ, công chức Hội LHPN các cấp và Chi hội trưởng phụ nữ giai đoạn 2019 - 2025 (Nguồn NSTW)</t>
  </si>
  <si>
    <t>Tham gia giao lưu dân vũ và thể dục thể thao toàn quốc tại tỉnh Bắc Giang</t>
  </si>
  <si>
    <t>Tổ chức giao lưu Chủ tịch Hội cơ sở tiêu biểu</t>
  </si>
  <si>
    <t>Ủy ban Mặt trận Tổ quốc tỉnh</t>
  </si>
  <si>
    <t>Thực hiện cuộc vận động "Toàn dân đoàn kết xây dựng Nông thôn mới, đô thị văn minh"</t>
  </si>
  <si>
    <t>Kinh phí hỗ trợ hoạt động của Ban vận động Quỹ "Vì người nghèo" tỉnh; Ban vận động Cứu trợ tỉnh; Hội đồng tư vấn</t>
  </si>
  <si>
    <t xml:space="preserve">Hỗ trợ hoạt động của Ban chỉ đạo Cuộc vận động "Người Việt nam ưu tiên dùng hàng Việt Nam" </t>
  </si>
  <si>
    <t>Duy trì cuốn bản tin công tác Mặt trận và các đoàn thể tỉnh</t>
  </si>
  <si>
    <t xml:space="preserve">Chuyên mục đại đoàn kết toàn dân tộc phát trên  Đài Phanh và Truyền hình tỉnh và Báo Bắc Kạn </t>
  </si>
  <si>
    <t xml:space="preserve">Thực hiện nhiệm vụ tiếp xúc cử tri ĐBQH và HĐND tỉnh  </t>
  </si>
  <si>
    <t>Kinh phí đón tiếp, thăm hỏi, chúc mừng theo NQ 39/2014/NQ-HĐND</t>
  </si>
  <si>
    <t xml:space="preserve">Tổ chức thăm hỏi tặng quà các điểm sinh hoạt tôn giáo và các chức sắc tôn giáo, người có uy tín trong đồng bào dân tộc, tôn giáo </t>
  </si>
  <si>
    <t>Kinh phí hỗ trợ sinh hoạt phí  phục vụ hoạt động cho UV Ủy ban MTTQ tỉnh</t>
  </si>
  <si>
    <t>Tổ chức thực hiện Đề án “Tăng cường vận động, đoàn kết các tôn giáo ở nước ta hiện nay”</t>
  </si>
  <si>
    <t>KP hoạt động kiêm nhiệm (Trưởng ban Dân vận Tỉnh ủy kiêm chủ tịch ủy ban Mặt trận Tổ quốc tỉnh)</t>
  </si>
  <si>
    <t xml:space="preserve">Chủ trì phối hợp với các đoàn thể giám sát tổ chức 3 cuộc giám sát </t>
  </si>
  <si>
    <t>Kinh phí  tiếp tục thực hiện giúp đỡ cán bộ cơ sở</t>
  </si>
  <si>
    <t>Tiếp tục xây dựng và nhân rộng mô hình điểm thực hiện Nghị quyết Đại hội Đảng bộ tỉnh lần thứ XII</t>
  </si>
  <si>
    <t>Kinh phí thực hiện Đề án "Nâng cao chất lượng hiệu quả, hoạt động của Ủy ban MTTQ Việt Nam các cấp và Ban công tác Mặt trận ở khu dân cư tỉnh Bắc Kạn</t>
  </si>
  <si>
    <t xml:space="preserve">Tổ chức các hội thảo phản biện xã hội về các dự thảo Luật, nghị quyết, đề án, kế hoạch... của Trung ương, tỉnh, sở, ngành </t>
  </si>
  <si>
    <t>Thi đua -khen thưởng trong hệ thống Mặt trận (thực hiện theo NĐ 91/CP)</t>
  </si>
  <si>
    <t>Phong trào "Đoàn kết sáng tạo"</t>
  </si>
  <si>
    <t>Phối hợp tuyên truyền trên Báo Bắc Kạn và Đài phát thanh và truyền hình tỉnh Bắc Kạn năm 2023</t>
  </si>
  <si>
    <t>Hoạt động của Ban chỉ đạo thực hiện Đề án 61 năm 2023</t>
  </si>
  <si>
    <t>Hội nghị đối thoại trực tuyến của Chủ tịch UBND tỉnh với nông dân; tiếp tục giúp đỡ cán bộ hội nông dân cơ sở còn hạn chế về năng lực</t>
  </si>
  <si>
    <t>Nâng cấp trang thông tin điện tử Hội Nông dân tỉnh Bắc Kạn</t>
  </si>
  <si>
    <t>Tổ chức Đại hội đại biểu Hội Nông dân tỉnh Bắc Kạn lần thứ IX nhiệm kỳ 2023 - 2028</t>
  </si>
  <si>
    <t>Tổ chức đưa đón đoàn đại biểu đi dự Đại hội đại biểu toàn quốc Hội Nông dân Việt Nam lần thứ VIII, nhiệm kỳ 2023-2028</t>
  </si>
  <si>
    <t>Tổ chức hoạt động giám sát theo Quyết định số 217-QĐ/TW ngày 12/12/2013 của Bộ Chính trị</t>
  </si>
  <si>
    <t>Tuyên truyền, vận động hội viên, nông dân sản xuất, kinh doanh nông sản thực phẩm chất lượng, an toàn vì sức khỏe cộng đồng, phát triển bền vững năm 2023</t>
  </si>
  <si>
    <t>Hội Cựu chiến binh tỉnh</t>
  </si>
  <si>
    <t>Tập huấn bồi dưỡng cho đội ngũ cán bộ Hội các cấp cơ sở trong toàn tỉnh sau Đại hội lần thứ VII, nhiệm kỳ 2022-2027</t>
  </si>
  <si>
    <t xml:space="preserve">XD chuyên mục: "Xứng danh Bộ đội Cụ Hồ" trên sóng truyền hình tỉnh </t>
  </si>
  <si>
    <t>Tổ chức Hội nghị đánh giá kết quả hoạt động của các HTX do cựu chiến binh làm chủ và học tập, trao đổi kinh nghiệm phát triển kinh tế trong cựu chiến binh ( tại tỉnh Hòa Bình, Sơn La)</t>
  </si>
  <si>
    <t>Tiếp tục thực hiện mô hình giúp đỡ cán bộ hội cơ sở</t>
  </si>
  <si>
    <t>Hội Chữ thập đỏ</t>
  </si>
  <si>
    <t>Kinh phí khoán thực hiện các nhiệm vụ</t>
  </si>
  <si>
    <t xml:space="preserve">Kinh phí kinh phí cho công tác tuyên truyền vận động hiến máu tình nguyện </t>
  </si>
  <si>
    <t>KP tham gia Hội trại thanh thiếu niên, tình nguyện viên Chữ thập đỏ toàn quốc lần thứ VI</t>
  </si>
  <si>
    <t>Thiết kế trang website tuyên truyền các hoạt động của Hội</t>
  </si>
  <si>
    <t>Chuyên mục Truyền hình nhân đạo</t>
  </si>
  <si>
    <t>Xuất bản Bản tin nhân đạo</t>
  </si>
  <si>
    <t>Hội Đông y</t>
  </si>
  <si>
    <t>Liên minh các Hợp tác xã</t>
  </si>
  <si>
    <t>Tổ chức hội nghị gặp mặt các Hợp tác xã hàng năm</t>
  </si>
  <si>
    <t>Hội nghị Ban chấp hành</t>
  </si>
  <si>
    <t>Tổ chức diễn đàn nhân ngày Hợp tác xã Việt Nam (11/4)</t>
  </si>
  <si>
    <t>Hội nghị giao ban cụm thi đua; diễn đàn kinh tế hợp tác; kết nối cung cầu và Triển khai các nghị quyết, cơ chế chính sách, của Trung ương và địa phương</t>
  </si>
  <si>
    <t>Tổ chức các lớp tuyên truyền kiến thức về hợp tác xã</t>
  </si>
  <si>
    <t>Hướng dẫn tư vấn trực tiếp, củng cố, khảo sát, điều tra, đánh giá phân loại các Hợp tác xã, liên hiệp Hợp tác xã</t>
  </si>
  <si>
    <t>Hỗ trợ Xúc tiến Thương mại</t>
  </si>
  <si>
    <t>Hội Văn học nghệ thuật</t>
  </si>
  <si>
    <t>Xuất bản Tạp chí Văn nghệ Ba Bể in</t>
  </si>
  <si>
    <t xml:space="preserve">Tạp chí Văn nghệ Ba Bể Online </t>
  </si>
  <si>
    <t>Đề án hỗ trợ sáng tạo tác phẩm VHNT (thực hiện theo QĐ 558/QĐ-TTg nguồn trung ương bổ sung có mục tiêu)</t>
  </si>
  <si>
    <t>Hội Nhà báo</t>
  </si>
  <si>
    <t xml:space="preserve">Kinh phí khoán thực hiện các nhiệm vụ </t>
  </si>
  <si>
    <t>Xuất bản Đặc san “Người làm báo Bắc Kạn”</t>
  </si>
  <si>
    <t>Hỗ trợ sáng tạo tác phẩm báo chí chất lượng cao (thực hiện theo QĐ 558/QĐ-TTg nguồn trung ương bổ sung có mục tiêu)</t>
  </si>
  <si>
    <t>Đăng cai tổ chức Hội thảo nghiệp vụ Hội Nhà báo các tỉnh Miền núi, Trung du phía Bắc và Thủ đô Hà Nội (tổ chức tại huyện Ba Bể)</t>
  </si>
  <si>
    <t>Hội Luật gia</t>
  </si>
  <si>
    <t>Hội Khuyến học tỉnh</t>
  </si>
  <si>
    <t>Xuất bản Bản tin Khuyến học</t>
  </si>
  <si>
    <t>Hội Cựu thanh niên xung phong</t>
  </si>
  <si>
    <t>Hội Bảo trợ người tàn tật và trẻ em mồ côi</t>
  </si>
  <si>
    <t>Đại hội nhiệm kỳ 2023-2028</t>
  </si>
  <si>
    <t>Hội Nạn nhân chất độc da cam</t>
  </si>
  <si>
    <t>Hội Người cao tuổi</t>
  </si>
  <si>
    <t>Hội nghị biểu dương NCT làm kinh tế giỏi cấp tỉnh</t>
  </si>
  <si>
    <t>Liên hiệp các Hội Khoa học và kỹ thuật</t>
  </si>
  <si>
    <t>Cuộc thi sáng tạo thanh thiếu niên nhi đồng tỉnh Bắc Kạn lần thứ 7 năm 2022</t>
  </si>
  <si>
    <t>Chi nhánh Ngân hàng chính sách xã hội  tỉnh Bắc Kạn</t>
  </si>
  <si>
    <t>Kinh phí ủy thác để cho hộ nghèo và các đối tượng chính sách khác trên địa bàn tỉnh vay</t>
  </si>
  <si>
    <t>Bảo hiểm xã hội tỉnh Bắc Kạn</t>
  </si>
  <si>
    <t>Mua thẻ BHYT cho các đối tượng chính sách</t>
  </si>
  <si>
    <t>Công ty TNHH MTV Lâm nghiệp BK</t>
  </si>
  <si>
    <t>Hỗ trợ về bảo hiểm theo Quyết định số 42/2012/QĐ-TTg ngày 08/10/2012 của Thủ tướng Chính phủ</t>
  </si>
  <si>
    <t>HTX Đồng Tiến</t>
  </si>
  <si>
    <t>HTX Toàn Dân</t>
  </si>
  <si>
    <t>HTX Mạc Sâm</t>
  </si>
  <si>
    <t>Hợp tác xã Đại Hà</t>
  </si>
  <si>
    <t>Hợp tác xã Dịch vụ nông nghiệp Hợp Giang</t>
  </si>
  <si>
    <t>Hợp tác xã Hương Ngàn</t>
  </si>
  <si>
    <t>Hợp tác xã Nước sạch và vệ sinh môi trường</t>
  </si>
  <si>
    <t>Hợp tác xã Hương Rừng</t>
  </si>
  <si>
    <t>Hợp tác xã Sản xuất và chế biến nông sản Đồng Tâm</t>
  </si>
  <si>
    <t>Hợp tác xã Minh Anh</t>
  </si>
  <si>
    <t>Hợp tác xã Nông nghiệp Tân Thành</t>
  </si>
  <si>
    <t>Hợp tác xã Mộc Lan Rừng</t>
  </si>
  <si>
    <t>Hợp tác xã Thắng Lợi</t>
  </si>
  <si>
    <t>Công ty Điện lực Bắc Kạn</t>
  </si>
  <si>
    <t>Phụ cấp dân quân tự vệ</t>
  </si>
  <si>
    <t>Viện Kiểm sát nhân dân tỉnh</t>
  </si>
  <si>
    <t>Tòa án nhân dân tỉnh Bắc Kạn</t>
  </si>
  <si>
    <t>Kinh phí hoạt động cho Đoàn Hội thẩm nhân dân hai cấp tỉnh Bắc Kạn: 60 triệu đồng; Kinh phí xét xử, xét xử lưu động, xét xử phiên tòa trực tuyến: 83,7 triệu đồng và phụ cấp dân quân tự vệ: 30,3 triệu đồng</t>
  </si>
  <si>
    <t>Viễn thông Bắc Kạn</t>
  </si>
  <si>
    <t>Liên Đoàn lao động tỉnh Bắc Kạn</t>
  </si>
  <si>
    <t>Hỗ trợ kinh phí tổ chức Đại Hội Công đoàn tỉnh Bắc Kạn lần thứ X, nhiệm kỳ 2023-2028: 250 triệu đồng; Hỗ trợ tổ chức đưa đón đoàn đại biểu dự Đại hội Đại biểu Công đoàn Việt Nam lần thứ XIII, nhiệm kỳ 2023-2028: 20 triệu đồng; Hỗ trợ kinh phí tổ chức Lễ phát động Tháng công nhân: 79 triệu đồng; Hỗ trợ kinh phí thực hiện phong trào "Toàn dân đoàn kết xây dựng đời sống văn hóa" giai đoạn 2021-2026 theo Quyết định số 2214/QĐ-TTg ngày 28/12/2021 của TTCP: 100 triệu đồng</t>
  </si>
  <si>
    <t>Bưu Điện tỉnh Bắc Kạn</t>
  </si>
  <si>
    <t>Cục Thi hành án dân sự tỉnh</t>
  </si>
  <si>
    <t>Kinh phí Ban Chỉ đạo thi hành án dân dự: 20 triệu đồng; Hỗ trợ công tác thi hành án dân sự: 30 triệu đồng</t>
  </si>
  <si>
    <t>Cục Quản lý thị trường tỉnh</t>
  </si>
  <si>
    <t>Kinh phí hoạt động của BCĐ 389 tỉnh: 61 triệu đồng; Kinh phí hoạt động của Đoàn kiểm tra liên ngành khoán ản của tỉnh: 59 triệu đồng</t>
  </si>
  <si>
    <t>Hỗ trợ kinh phí để thực hiện các nhiệm vụ chi an ninh, trật tự, an toàn xã hội</t>
  </si>
  <si>
    <t>Kinh phí hoạt động của Tiểu Ban an toàn, an ninh mạng tỉnh Bắc Kạn : 215 triệu đồng và 1 số nhiệm vụ khác 385 triệu đồng</t>
  </si>
  <si>
    <t>Bộ Chỉ huy quân sự tỉnh</t>
  </si>
  <si>
    <t>Hỗ trợ kinh phí để thực hiện các nhiệm vụ quốc phòng, quân sự thường xuyên ổn định của tỉnh</t>
  </si>
  <si>
    <t>Kinh phí khắc phục đường dây điện 35KV và TBA 160KVA của Trung đoàn 750</t>
  </si>
  <si>
    <t>Bảo đảm cho Hội thao quốc phòng trung đội dân quân cơ động cấp Bộ Quốc phòng</t>
  </si>
  <si>
    <t>Đảm bảo trang phục dân quân tự vệ</t>
  </si>
  <si>
    <t xml:space="preserve">Đảm bảo công tác xây dựng, huấn luyện lực lượng dự bị động viên </t>
  </si>
  <si>
    <t>Đảm bảo công tác huấn luyện đại đội pháo binh, phòng không Dân quân tự vệ</t>
  </si>
  <si>
    <t>Vốn chuẩn bị động viên</t>
  </si>
  <si>
    <t>Hỗ trợ kinh phí sửa xe ô tô (4 xe sửa thường xuyên, 01 xe sửa chữa lớn)</t>
  </si>
  <si>
    <t>ĐVT</t>
  </si>
  <si>
    <t>Tổng kinh phí theo nội dung hỗ trợ</t>
  </si>
  <si>
    <t>Phân theo đơn vị, địa phương</t>
  </si>
  <si>
    <t>1. Sở Nông nghiệp và PTNT</t>
  </si>
  <si>
    <t>2. Thành phố</t>
  </si>
  <si>
    <t>3. Bạch Thông</t>
  </si>
  <si>
    <t>4. Ngân Sơn</t>
  </si>
  <si>
    <t>5. Ba Bể</t>
  </si>
  <si>
    <t>6. Pác Nặm</t>
  </si>
  <si>
    <t>7. Chợ Đồn</t>
  </si>
  <si>
    <t>8. Na Rì</t>
  </si>
  <si>
    <t>9. Chợ Mới</t>
  </si>
  <si>
    <t>Tổng kinh phí theo đơn vị, địa phương</t>
  </si>
  <si>
    <t>Hỗ trợ cho người trồng lúa để áp dụng giống mới, tiến bộ kỹ thuật, công nghệ mới trong sản xuất lúa; hỗ trợ liên kết sản xuất, tiêu thụ sản phẩm</t>
  </si>
  <si>
    <t xml:space="preserve">Diện tích </t>
  </si>
  <si>
    <t xml:space="preserve">Đơn giá </t>
  </si>
  <si>
    <t>1.000đ</t>
  </si>
  <si>
    <t>Thành tiền</t>
  </si>
  <si>
    <t>Cải tạo nâng cao chất lượng đất chuyên trồng lúa nước và đất trồng lúa nước còn lại</t>
  </si>
  <si>
    <t>Khai hoang từ đất chưa sử dụng, phục hóa từ đất bị bỏ hóa</t>
  </si>
  <si>
    <t>Phân tích chất lượng hóa, lý tính đất</t>
  </si>
  <si>
    <t>Mẫu</t>
  </si>
  <si>
    <t>Đầu tư xây dựng, duy tu bảo dưỡng công trình thủy lợi</t>
  </si>
  <si>
    <t>Công trình</t>
  </si>
  <si>
    <t xml:space="preserve">PHÂN BỔ KINH PHÍ THỰC HIỆN CHÍNH SÁCH HỖ TRỢ QUẢN LÝ, SỬ DỤNG ĐẤT LÚA THEO NGHỊ ĐỊNH SỐ 35/2015/NĐ-CP CỦA CHÍNH PHỦ NĂM 2023 </t>
  </si>
  <si>
    <t>BIỂU PHÂN BỔ KINH PHÍ QUẢN LÝ, BẢO TRÌ ĐƯỜNG BỘ ĐỊA PHƯƠNG NĂM 2023</t>
  </si>
  <si>
    <t>Đơn vị tính: Triệu Đồng</t>
  </si>
  <si>
    <t>Danh mục công trình</t>
  </si>
  <si>
    <t>Kế hoạch thực hiện năm 2023</t>
  </si>
  <si>
    <t>Kinh phí phân bổ năm 2023</t>
  </si>
  <si>
    <t xml:space="preserve">B </t>
  </si>
  <si>
    <t>Sửa chữa hư hỏng nền, mặt đường và hệ thống thoát nước đoạn Km0+00 - Km6+700 ĐT.251</t>
  </si>
  <si>
    <t>Sửa chữa hư hỏng cục bộ nền, mặt đường và hệ thống thoát nước đoạn Km 50 + 00 - Km58+500 và Km60+00 -Km63+100 ĐT.256</t>
  </si>
  <si>
    <t>Sửa chữa hư hỏng cục bộ nền, mặt đường và hệ thống thoát nước đoạn Km 10+700 - Km15+400 ĐT.252B</t>
  </si>
  <si>
    <t>Kinh phí tổ chức thực hiện nhiệm vụ của Hội đồng xác định giá trị còn lại của tài sản gắn liền với đất đã thu hồi của Công ty Cổ phần SAHABAK tại huyện Chợ Mới,</t>
  </si>
  <si>
    <t>Kiểm tra hậu kiểm việc chấp hành các quy định của pháp luật về an toàn thực phẩm đối với các cơ sở sản xuất kinh doanh thực phẩm ngành công thương</t>
  </si>
  <si>
    <t>Kinh phií xây dựng hệ thống truy xuất nguồn gốc sản phẩm hàng hóa trên địa bàn tỉnh Bắc Kạn</t>
  </si>
  <si>
    <t>GHI CHÚ</t>
  </si>
  <si>
    <t>DỰ TOÁN CHI NSĐP NĂM 2023 TỈNH ĐIỀU HÀNH</t>
  </si>
  <si>
    <t>1. Chi sự nghiệp kinh tế: 7.665 triệu đồng</t>
  </si>
  <si>
    <t>2. Chi sự nghiệp giáo dục - đào tạo và dạy nghề: 204.274 triệu đồng.</t>
  </si>
  <si>
    <t>3. Kinh phí thực hiện cải cách tiền lương: 48.035 triệu đồng.</t>
  </si>
  <si>
    <t xml:space="preserve">          - Kinh phí thực hiện Chương trình giáo dục phổ thông năm 2018; kinh phí đào tạo cán bộ công chức theo kế hoạch của Tỉnh ủy (các lớp lý luận chính trị, quản lý nhà nước, các lớp bồi dưỡng chuyên môn nghiệp vụ).</t>
  </si>
  <si>
    <t xml:space="preserve">          - Các phát sinh khác thuộc lĩnh vực giáo dục - đào tạo và dạy nghề do ngân sách cấp tỉnh đảm nhiệm.</t>
  </si>
  <si>
    <t>BIỂU PHÂN BỔ KINH PHÍ BẢO DƯỠNG, SỬA CHỮA CÁC TRỤ SỞ NĂM 2023
 (nguồn sự nghiệp kinh tế )</t>
  </si>
  <si>
    <t>Tên công trình</t>
  </si>
  <si>
    <t>TMĐT dự kiến (đồng)</t>
  </si>
  <si>
    <t>Kinh phí phân bổ 80% TMĐT</t>
  </si>
  <si>
    <t>Tên chủ đầu tư</t>
  </si>
  <si>
    <t xml:space="preserve"> Tổng cộng</t>
  </si>
  <si>
    <t xml:space="preserve">Sở Nông nghiệp và PTNT </t>
  </si>
  <si>
    <t>Sở Nông nghiệp và PTNT (Chi cục Kiểm lâm tỉnh Bắc Kạn)</t>
  </si>
  <si>
    <t>1.1</t>
  </si>
  <si>
    <t>1.2</t>
  </si>
  <si>
    <t>1.3</t>
  </si>
  <si>
    <t>1.4</t>
  </si>
  <si>
    <t>1.5</t>
  </si>
  <si>
    <t>1.6</t>
  </si>
  <si>
    <t xml:space="preserve">Nhà làm việc 2 tầng </t>
  </si>
  <si>
    <t>Sở Y tế tỉnh Bắc Kạn</t>
  </si>
  <si>
    <t>3.1</t>
  </si>
  <si>
    <t>Trung tâm Pháp y và Giám định y khoa tỉnh Bắc Kạn</t>
  </si>
  <si>
    <t>3.2</t>
  </si>
  <si>
    <t>Trung tâm Kiểm nghiệm Thuốc - Mỹ phẩm - Thực phẩm</t>
  </si>
  <si>
    <t>4.1</t>
  </si>
  <si>
    <t>Nhà trạm phát sóng cấp IV</t>
  </si>
  <si>
    <t>4.2</t>
  </si>
  <si>
    <t>Cột Anten tự đứng cao 100m</t>
  </si>
  <si>
    <t>Nhà làm việc 3 tầng (xử lý chống thấm)</t>
  </si>
  <si>
    <t>Nhà làm việc 3 tầng</t>
  </si>
  <si>
    <t>KINH PHÍ NHIỆM VỤ, DỰ ÁN CHUYỂN ĐỔI SỐ NĂM 2023</t>
  </si>
  <si>
    <t>Nhiệm vụ</t>
  </si>
  <si>
    <t xml:space="preserve">Số kinh phí bố trí </t>
  </si>
  <si>
    <t>Nhiệm vụ chuyển tiếp</t>
  </si>
  <si>
    <t>Quản lý, giám sát quy hoạch, xây dựng và phát triển đô thị tỉnh Bắc Kạn (bao gồm thuê phần mềm nền tảng phục vụ hoạt động ứng dụng CNTT quản lý, phân tích dữ liệu giám sát vệ tinh)</t>
  </si>
  <si>
    <t>Xây dựng cơ sở dữ liệu ngành Công Thương tỉnh Bắc Kạn</t>
  </si>
  <si>
    <t>Thực hiện nhiệm vụ chuyển đổi số trong hoạt động xúc tiến thương mại trên địa bàn tỉnh</t>
  </si>
  <si>
    <t>Duy trì thuê hệ thống Quản lý chất lượng giáo dục</t>
  </si>
  <si>
    <t>Thuê Hệ thống phần mềm tuyển sinh đầu cấp trực tuyến</t>
  </si>
  <si>
    <t>Xây dựng "Hệ thống thông tin dữ liệu về công tác dân tộc"</t>
  </si>
  <si>
    <t>Triển khai hệ thống Trung tâm điều hành thông minh (IOC) và Hệ thống thông tin báo cáo tỉnh Bắc Kạn</t>
  </si>
  <si>
    <t>Triển khai Trung tâm giám sát và điều hành an toàn thông tin mạng (SOC)</t>
  </si>
  <si>
    <t>Hoạt động của Ban chỉ đạo chuyển đổi số tỉnh</t>
  </si>
  <si>
    <t>Xây dựng hệ thống quản lý CSDL Khoáng sản</t>
  </si>
  <si>
    <t>Xây dựng hệ thống thông tin và cơ sở dữ liệu quản lý khoa học và công nghệ tỉnh</t>
  </si>
  <si>
    <t>Ứng dụng công nghệ thông tin phục vụ du lịch thông minh tỉnh Bắc Kạn</t>
  </si>
  <si>
    <t>Nhiệm vụ mới</t>
  </si>
  <si>
    <t>Hợp nhất Cổng dịch vụ công với Hệ thống thông tin một cửa điện tử của tỉnh để tạo lập Hệ thống thông tin giải quyết TTHC</t>
  </si>
  <si>
    <t>Thuê phần mềm quản lý văn bàn Ioffice</t>
  </si>
  <si>
    <t>Xây dựng Nền tảng bản đồ số (GIS) tỉnh Bắc Kạn</t>
  </si>
  <si>
    <t>Kiểm tra, đánh giá an toàn thông tin</t>
  </si>
  <si>
    <t>Hoạt động diễn tập thực chiến</t>
  </si>
  <si>
    <t>Hội nghị tập huấn, hướng dẫn các nội dung chuyển đổi số cấp xã và nhân rộng tổ công nghệ số cộng đồng</t>
  </si>
  <si>
    <t>Đào tạo, tuyên truyền nâng cao nhận thức phổ cập kỹ năng và phát triển nguồn nhân lực chuyển đổi số theo Đề án đào tạo nguồn nhân lực (Đề án 146)</t>
  </si>
  <si>
    <t>Thúc đẩy chuyển đổi số trong doanh nghiệp nhỏ và vừa</t>
  </si>
  <si>
    <t>Hưởng ứng ngày chuyển đổi số quốc gia và tổ chức lễ phát động ngày chuyển đổi số tỉnh Bắc Kạn</t>
  </si>
  <si>
    <t>Thí điểm triển khai gắn biển địa chỉ số đến hộ gia đình</t>
  </si>
  <si>
    <t>Duy trì và mở rộng thuê dịch vụ CNTT hệ thống Wifi công cộng trên địa bàn tỉnh</t>
  </si>
  <si>
    <t xml:space="preserve"> Thực hiện triển khai thí điểm bệnh án điện tử tại  Trung tâm Y tế cấp huyện Bạch Thông</t>
  </si>
  <si>
    <t>Xây dựng kho cơ sở dữ liệu về Y tế (data lake)</t>
  </si>
  <si>
    <t>Triển khai hệ thống thông tin Quản lý cơ sở dữ liệu vi phạm hành chính</t>
  </si>
  <si>
    <t>Xây dựng hệ thống truy xuất nguồn gốc sản phẩm hàng hoá trên địa bàn tỉnh Bắc Kạn</t>
  </si>
  <si>
    <t>Đề án số hóa tài liệu lưu trữ  tại Trung tâm Lưu trữ lịch sử tỉnh Bắc Kạn, giai đoạn 2020-2025</t>
  </si>
  <si>
    <t>Xây dựng Nền tảng dùng chung Ngành Nội vụ.</t>
  </si>
  <si>
    <t>Xây dựng Cơ sở dữ liệu đất đai huyện Bạch Thông</t>
  </si>
  <si>
    <t>Kinh phí mua máy vi tính phục vụ chuyển đổi số</t>
  </si>
  <si>
    <t>Xây dựng CSDL chung ngành Lao động Thương binh Xã hội giai đoạn 1 (dữ liệu về người có công; hộ nghèo, hộ cận nghèo)</t>
  </si>
  <si>
    <t>Đề án Thư viện số tại Thư viện tỉnh Bắc Kạn</t>
  </si>
  <si>
    <t>Xây dựng cơ sở dữ liệu phục vụ phát triển du lịch</t>
  </si>
  <si>
    <t>Xây dựng CSDL quản lý hệ thống công trình thuỷ lợi tỉnh Bắc Kạn</t>
  </si>
  <si>
    <t xml:space="preserve">Đầu tư xây dựng nền tảng tòa soạn số </t>
  </si>
  <si>
    <t>Đầu tư, xây dựng cơ sở dữ liệu số</t>
  </si>
  <si>
    <t>Hỗ trợ các huyện</t>
  </si>
  <si>
    <t>Mua sắm máy tính, máy scan cho bộ phận tiếp nhận một của cấp xã</t>
  </si>
  <si>
    <t>Đầu tư xây dựng nền tảng tòa soạn số (Báo Bắc Kạn)</t>
  </si>
  <si>
    <t>Đầu tư, xây dựng cơ sở dữ liệu số (báo Bắc Kạn)</t>
  </si>
  <si>
    <t xml:space="preserve">          - Kinh phí đối ứng Chương trình MTQG phát triển kinh tế xã hội vùng đồng bào dân tộc thiểu số và miền núi.</t>
  </si>
  <si>
    <t>(Kèm theo Nghị quyết số            /NQ-HĐND ngày           tháng 12 năm 2022 của HĐND tỉnh Bắc Kạn)</t>
  </si>
  <si>
    <t>(Kèm theo Nghị quyết số           /NQ-HĐND ngày         /12/2022 của HĐND tỉnh Bắc Kạn)</t>
  </si>
  <si>
    <t>(Kèm theo Nghị quyết số             /NQ-HĐND ngày             /12/2022 của HĐND tỉnh Bắc Kạn)</t>
  </si>
  <si>
    <t>4. Dự phòng ngân sách: 72.965 triệu đồng.</t>
  </si>
  <si>
    <t xml:space="preserve">          - Chi theo nội dung quy định tại khoản 2, Điều 10 của Luật ngân sách nhà nước năm 2015.</t>
  </si>
  <si>
    <t>Tổng nhu cầu kinh phí</t>
  </si>
  <si>
    <t xml:space="preserve">Thiết kế </t>
  </si>
  <si>
    <t>Tổng cộng (triệu đồng)</t>
  </si>
  <si>
    <t>Gồm</t>
  </si>
  <si>
    <t>Rừng đặc dụng</t>
  </si>
  <si>
    <t>Khoán bảo vệ ừng phòng hộ</t>
  </si>
  <si>
    <t xml:space="preserve">Hỗ trợ bảo vệ rừng sản xuất là rừng tự nhiên </t>
  </si>
  <si>
    <t>Rừng phòng hộ</t>
  </si>
  <si>
    <t xml:space="preserve">Rừng sản xuất là rừng tự nhiên </t>
  </si>
  <si>
    <t>Kinh phí thực hiện hoạt động</t>
  </si>
  <si>
    <t>Chi phí quản lý</t>
  </si>
  <si>
    <t>Định mức</t>
  </si>
  <si>
    <t>Diện tích (ha)</t>
  </si>
  <si>
    <t>Nhu cầu kinh phí (triệu đồng)</t>
  </si>
  <si>
    <t>Định
 mức</t>
  </si>
  <si>
    <t>Diện tích  (ha)</t>
  </si>
  <si>
    <t>Thành Phố Bắc Kạn</t>
  </si>
  <si>
    <t xml:space="preserve"> </t>
  </si>
  <si>
    <t>TRd</t>
  </si>
  <si>
    <t>ha</t>
  </si>
  <si>
    <t>Nhân công khoán bảo vệ rừng 09 tháng 
(Lập hồ sơ thiết kế 2023)</t>
  </si>
  <si>
    <t>Nhân công khoán bảo vệ rừng tính cả 12 tháng 
(Lập hồ sơ thiết kế 2021)</t>
  </si>
  <si>
    <t xml:space="preserve">PHÂN BỔ VỐN THỰC HIỆN CHƯƠNG TRÌNH PHÁT TRIỂN LÂM NGHIỆP BỀN VỮNG NĂM 2023 </t>
  </si>
  <si>
    <t>Kinh phí sửa xe ô tô</t>
  </si>
  <si>
    <t>Tổ chức các cuộc họp trong tỉnh với các đơn vị, địa phương và các cơ quan liên quan để giải quyết công việc tại địa phương và Trung ương do Chính phủ, các Bộ, Ngành, Cơ quan ngang bộ triệu tập; Xử lý công việc trên cơ sở hồ sơ tài liệu của cơ quan chủ đề án giải quyết công việc do văn phòng UBND tỉnh trình; Phối hợp chặt chẽ với Thường trực HĐND tỉnh trong việc chuẩn bị chương trình, nội dung làm việc của kỳ họp HĐND, các báo cáo, đề án trình HĐND.</t>
  </si>
  <si>
    <t>Các hoạt động của Thường trực UBND tỉnh</t>
  </si>
  <si>
    <t xml:space="preserve">Giữ mối quan hệ thường xuyên với Chính phủ, Thủ tướng Chính phủ, các cơ quan có liên quan của Trung ương, các đoàn đến thăm và làm việc với tỉnh; </t>
  </si>
  <si>
    <t>Kinh phí thực hiện các hoạt động: Sửa chữa thường xuyên xe ô tô; trực cơ quan theo quy định của Chính phủ; sửa chữa, lắp đặt trang thiết bị; hỗ trợ điện nước; chi phí bảo hiểm đường bộ; chi phí thuê chăm sóc cây cảnh, cắt tỉa cây cổ thủ.</t>
  </si>
  <si>
    <t>Kinh phí phục vụ các hoạt động: Ban tiếp Công dân; Bộ phận Kiểm soát thủ tục hành chính tỉnh; công tác văn thư lưu trữ; Hội trường tỉnh Bắc Kạn.</t>
  </si>
  <si>
    <t>In ấn phát hành công báo; các hoạt động của cổng thông tin điện tử tỉnh Bắc Kạn và mua sắm thiết bị chuyên dùng</t>
  </si>
  <si>
    <t>Các nhiệm vụ khác của ngành Nội vụ</t>
  </si>
  <si>
    <t>Quỹ thi đua, khen thưởng</t>
  </si>
  <si>
    <t>Nhiệm vụ khác của Ban Thi đua, khen thưởng tỉnh</t>
  </si>
  <si>
    <t>“Đề án Số hóa tài liệu lưu trữ tại Trung tâm Lưu trữ lịch sử tỉnh Bắc Kạn giai đoạn 2020-2025”</t>
  </si>
  <si>
    <t>Kinh phí hỗ trợ doanh nghiệp vừa và nhỏ (Nguồn NSTW)</t>
  </si>
  <si>
    <t>Các nhiệm vụ khác của ngành Kế hoạch và Đầu tư</t>
  </si>
  <si>
    <t>Kinh phí tổ chức thực hiện nhiệm vụ của Hội đồng xác định giá trị còn lại của tài sản gắn liền với đất đã thu hồi của Công ty Cổ phần SAHABAK tại huyện Chợ Mới, tỉnh Bắc Kạn</t>
  </si>
  <si>
    <t>Các nhiệm vụ khác của ngành Tư pháp</t>
  </si>
  <si>
    <t>Thuê trụ sở làm việc của Phòng công chứng số 2, số 3</t>
  </si>
  <si>
    <t>Nhiệm vụ chuyển đổi số Triển khai hệ thống thông tin Quản lý cơ sở dữ liệu vi phạm hành chính</t>
  </si>
  <si>
    <t>Kinh phí thực hiện nhiệm vụ của Văn phòng Sở Giao thông vận tải: hoạt động thu lệ phí; bảo dưỡng thiết bị cấp, đổi giấy phép lái xe.</t>
  </si>
  <si>
    <t>Kinh phí thực hiện nhiệm vụ của Thanh tra Sở Giao thông vận tải: Hoạt động thanh tra; Kiểm tra tải trọng xe lưu động</t>
  </si>
  <si>
    <t>Công tác quản lý, bảo  trì các tuyến đường tỉnh - nguồn sự nghiệp kinh tế</t>
  </si>
  <si>
    <t>Công tác quản lý, bảo dưỡng thường xuyên tuyến đường thủy nội địa địa phương; Chi phí giải phòng mặt bằng các công trình</t>
  </si>
  <si>
    <t>Kinh phí thực hiện hoạt động của Ban chỉ đạo cấp nước an toàn; kiểm tra giá liên ngành; thẩm định dự án đầu tư xây dựng, thiết kế cơ sở; Sát hạch cấp chứng chỉ hành nghề, cấp chứng chỉ; công tác thanh tra xử phạt vi phạm hành chính.</t>
  </si>
  <si>
    <t>Chi phí xây dựng chỉ số giá; xây dựng đơn giá nhân công, giá ca máy và thiết bị thi công xây dựng xây dựng công trình; lập thiết kế mẫu, thiết kế điển hình và áp dụng các thiết kế sẵn có đối với các dự án đầu tư xây dựng thực hiện theo cơ chế đặc thù thuộc các Chương trình mục tiêu quốc gia trên địa bàn tỉnh Bắc Kạn; Quản lý và sử dụng hệ thống thông tin về nhà ở và thị trường bất động sản; Quản lý và sử dụng hệ thống thông tin về nhà ở và thị trường bất động sản</t>
  </si>
  <si>
    <t>Kinh phí thực hiện các hoạt động của Văn phòng Sở Công Thương: Duy trì các trang thông tin điện tử Sở Công Thương và sửa chữa nâng cấp; Tổ chức Chương trình hưởng ứng chiến dịch "Giờ trái đất";  thanh tra, kiểm tra liên ngành; Ban chỉ đạo bảo vệ an toàn công trình lưới điện cao áp; Tập huấn công tác đảm bảo an toàn trong hoạt động vật liệu nổ công nghiệp và tiền chất thuốc nổ trên địa bàn tỉnh; Hội nhập kinh tế quốc tế; Thực hiện cuộc vận động người Việt Nam ưu tiên dùng hàng Việt Nam; Đổi mới phương thức kinh doanh tiêu thụ nông sản và một số nhiệm vụ khác</t>
  </si>
  <si>
    <t>Kinh phí thực hiện các hoạt động của Trung tâm khuyến công và Xúc tiến thương mại bao gồm: Chi chương trình Khuyến công và Chương trình xúc tiến thương mại</t>
  </si>
  <si>
    <t xml:space="preserve">Triển khai nhiệm vụ chuyển đổi số Đề án thư viện số </t>
  </si>
  <si>
    <t>Triển khai nhiệm vụ chuyển đổi số Xây dựng cơ sở dữ liệu phục vụ phát triển du lịch</t>
  </si>
  <si>
    <t>Triển khai nhiệm vụ chuyển đổi số Đề án "Ứng dụng công nghệ thông tin phục vụ du lịch thông minh tỉnh Bắc Kạn"</t>
  </si>
  <si>
    <t>Mua sắm thay thế một số thiết bị Hội trường và phần mềm kế toán</t>
  </si>
  <si>
    <t>Kiểm tra, đối chiếu khối lượng công việc của đề tài, dự án để phục vụ quyết toán và kinh phí tổ thẩm định nội dung và kinh phí các đề tài, dự án Khoa học và Công nghệ</t>
  </si>
  <si>
    <t>Kinh phí xây dựng hệ thống truy xuất nguồn gốc sản phẩm hàng hóa trên địa bàn tỉnh Bắc Kạn</t>
  </si>
  <si>
    <t>Thực hiện nhiệm vụ chuyển đổi số Xây dựng CSDL quản lý hệ thống công trình thuỷ lợi tỉnh Bắc Kạn</t>
  </si>
  <si>
    <t>Sửa chữa nhà làm việc Đội kiểm lâm cơ động và PCCC rừng số 2</t>
  </si>
  <si>
    <t>Sửa chữa nhà làm việc Trạm Quảng Bạch, thuộc hạt kiểm lâm Chợ Đồn</t>
  </si>
  <si>
    <t>Sửa chữa nhà làm việc Trạm Vũ Muộn thuộc BQL khu bảo tồn thiên nhiên Kim Hỷ</t>
  </si>
  <si>
    <t>Sửa chữa Trạm Kiểm lâm Nà Dường thuộc BQL khu bảo tồn thiên nhiên Kim Hỷ</t>
  </si>
  <si>
    <t>Sửa chữa Trạm Kiểm lâm Lủng Pảng thuộc BQL khu bảo tồn thiên nhiên Kim Hỷ</t>
  </si>
  <si>
    <t>Sửa chữa nhà làm việc Đội kiểm lâm cơ động và PCCC rừng số 1</t>
  </si>
  <si>
    <t>Thực hiện các mô hình khuyến nông</t>
  </si>
  <si>
    <t>Kinh phí thực hiện Nghị định số 35/2015/NĐ-CP (Vốn NSTW)</t>
  </si>
  <si>
    <t>Kinh phí đặt hàng, cung cấp sản phẩm dịch vụ công ích thủy lợi 2023 đối với Công ty TNHH MTV quản lý khai thác công trình thủy lợi (Vốn NSTW)</t>
  </si>
  <si>
    <t>Duy trì hoạt động hệ thống cơ sở dữ liệu đất đai và cơ sở dữ liệu môi trường</t>
  </si>
  <si>
    <t>Các nhiệm vụ khác thuộc lĩnh vực môi trường</t>
  </si>
  <si>
    <t>Kinh phí thử nghiệm thành thao nội bộ và so sánh lĩnh vực: Dược, Hóa, Sinh</t>
  </si>
  <si>
    <t>Một số nhiệm vụ khác phục vụ hoạt động kiểm nghiệm</t>
  </si>
  <si>
    <t>KP Phòng chống cháy nổ, bảo hiểm phòng chống cháy nổ</t>
  </si>
  <si>
    <t>Kinh phí đào tạo ngành y tế</t>
  </si>
  <si>
    <t>Kinh phí sửa chữa Trung tâm Pháp y và Giám định y khoa</t>
  </si>
  <si>
    <t>Kinh phí hoạt động thanh tra; Hỗ trợ kinh phí chào mừng 20/11 và kỷ niệm các ngày lễ lớn; Hội nghị (cán bộ công chức đầu năm, Sơ kết, tổng kết năm học, giao ban toàn ngành, Hội nghị của Bộ GD&amp;ĐT tổ chức tại tỉnh …); Sửa chữa lớn xe ô tô; Sửa chữa, thay thế thiết bị, vật tư cho các cho các phòng họp; Đo lường sự hài lòng của người dân</t>
  </si>
  <si>
    <t xml:space="preserve">Chế độ học bổng cho học sinh dân tộc nội trú theo Thông tư liên tịch số 109/2009/TTLT-BTC-BGDĐT ngày 29/5/2009 của Bộ Tài chính - Bộ Giáo dục và Đào tạo. </t>
  </si>
  <si>
    <t>Chính sách miễn, giảm học phí, hỗ trợ chi phí học tập theo Nghị định số 81/2021/NĐ-CP ngày 27/8/2021 của Chính phủ.</t>
  </si>
  <si>
    <t>Chế độ cho giáo viên dạy học sinh khuyết tật học hòa nhập.</t>
  </si>
  <si>
    <t>Học bổng học sinh trường Chuyên theo Nghị quyết số 05/2014/NQ-HĐND ngày 29/4/2014 của HĐND tỉnh Bắc Kạn.</t>
  </si>
  <si>
    <t>Hỗ trợ học sinh bán trú trên địa bàn tỉnh theo Nghị quyết số 54/2016/NQ-HĐND ngày 06/11/2016 của HĐND tỉnh Bắc Kạn.</t>
  </si>
  <si>
    <t>Kinh phí tham quan học tập của nhà giáo, cán bộ quản lý giáo dục đang công tác tại các trường chuyên biệt đóng trên địa bàn có điều kiện kinh tế - xã hội đặc biệt khó khăn theo Nghị định số 61/2006/NĐ-CP ngày 20/6/2006 của Chính phủ.</t>
  </si>
  <si>
    <t>Kinh phí vận chuyển gạo cho các trường học theo Nghị định số 116/2016/NĐ-CP ngày 18/7/2016 của Chính phủ.</t>
  </si>
  <si>
    <t>Chính sách ưu tiên tuyển sinh và hỗ trợ học tập đối với trẻ mẫu giáo, học sinh dân tộc thiểu số rất ít người theo Nghị định số 57/2017/NĐ-CP ngày 09/5/2017 của Chính phủ.</t>
  </si>
  <si>
    <t>Kinh phí thực hiện hoạt động tổ chức đào tạo; quản lý chất lượng giáo dục; chuyên môn bậc học mầm non, tiểu học, trung học cơ sở, trung học phổ thông - giáo dục thường xuyên; khoán hỗ trợ tiền điện nước cho Trung tâm Giáo dục trẻ em khuyết tật</t>
  </si>
  <si>
    <t>Thực hiện Đề án: ngoại ngữ; Xây dựng xã hội học tập giai đoạn 2021-2030</t>
  </si>
  <si>
    <t>Kinh phí thực hiện công tác Y tế học đường, giáo dục giới tính, sức khỏe học đường, tầm vóc Việt; Sức khỏe tâm thần cho trẻ em học sinh; Phòng chống thiên tai, giáo dục môi trường; Các hoạt động thực hiện nhiệm vụ về công tác học sinh sinh viên (Công tác phổ biến giáo dục pháp luật; phòng chống mại dâm, mua bán người,…bạo lực học đường, trẻ em, thanh niên...)</t>
  </si>
  <si>
    <t>Hoạt động thanh tra, hoạt động thanh tra liên ngành, trang phục thanh tra và hỗ trợ kinh phí mua sắm phần mềm kế toán</t>
  </si>
  <si>
    <t>Hoạt động báo chí và xuất bản</t>
  </si>
  <si>
    <t>Kinh phí tập huấn triển khai Luật Phòng chống tham nhũng và các văn bản liên quan</t>
  </si>
  <si>
    <t>Kinh phí thực hiện nhiệm vụ khác</t>
  </si>
  <si>
    <t>Các nhiệm vụ khác của Ban Dân tộc tỉnh</t>
  </si>
  <si>
    <t>Kinh phií thực hiện các nhiệm vụ khác</t>
  </si>
  <si>
    <t>Lễ thắp nến tri ân nhân kỷ niệm 76 năm Ngày Thương binh - Liệt sỹ; Lễ dâng hương các ngày Lễ lớn, tết Nguyên đán</t>
  </si>
  <si>
    <t>Hội thi Nghi thức Đội - Chỉ huy Đội giỏi; Liên hoan Đội tuyên truyền măng non về Luật trẻ em, phòng chống tai nạn thương tích, đuối nước, xâm hại trẻ em</t>
  </si>
  <si>
    <t>Các nhiệm vụ khác của Hội phụ nữ tỉnh</t>
  </si>
  <si>
    <t>Các nhiệm vụ khác</t>
  </si>
  <si>
    <t>Tổ chức hội nghị gặp mặt các Hợp tác xã hàng năm; Hội nghị Ban chấp hành; Hướng dẫn tư vấn trực tiếp, củng cố, khảo sát, điều tra, đánh giá phân loại các Hợp tác xã, liên hiệp Hợp tác xã</t>
  </si>
  <si>
    <t>Tổ chức diễn đàn nhân ngày Hợp tác xã Việt Nam (11/4); Tổ chức các lớp tuyên truyền kiến thức về hợp tác xã</t>
  </si>
  <si>
    <t>Xuất bản Tạp chí Văn nghệ Ba Bể in và tạp chí văn nghệ Ba Bể online</t>
  </si>
  <si>
    <t>Hội thi sáng tạo kỹ thuật tỉnh Bắc Kạn</t>
  </si>
  <si>
    <t>DỰ TOÁN CHI NGÂN SÁCH GIAO CHI TIẾT THEO NHIỆM VỤ CỦA 
CÁC SỞ, BAN, NGÀNH CẤP TỈNH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</si>
</sst>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_(* \(#,##0.00\);_(* &quot;-&quot;??_);_(@_)"/>
    <numFmt numFmtId="164" formatCode="_-* #,##0.00\ _₫_-;\-* #,##0.00\ _₫_-;_-* &quot;-&quot;??\ _₫_-;_-@_-"/>
    <numFmt numFmtId="165" formatCode="0.0"/>
    <numFmt numFmtId="166" formatCode="#,##0.0"/>
    <numFmt numFmtId="167" formatCode="#,##0.000"/>
    <numFmt numFmtId="168" formatCode="0.000"/>
    <numFmt numFmtId="169" formatCode="_(* #,##0_);_(* \(#,##0\);_(* &quot;-&quot;??_);_(@_)"/>
    <numFmt numFmtId="170" formatCode="_-* #,##0.0\ _₫_-;\-* #,##0.0\ _₫_-;_-* &quot;-&quot;??\ _₫_-;_-@_-"/>
    <numFmt numFmtId="171" formatCode="_-* #,##0\ _₫_-;\-* #,##0\ _₫_-;_-* &quot;-&quot;??\ _₫_-;_-@_-"/>
    <numFmt numFmtId="172" formatCode="_-* #,##0.000\ _₫_-;\-* #,##0.000\ _₫_-;_-* &quot;-&quot;??\ _₫_-;_-@_-"/>
    <numFmt numFmtId="173" formatCode="0.0%"/>
    <numFmt numFmtId="174" formatCode="#,##0.00_ ;\-#,##0.00\ "/>
    <numFmt numFmtId="175" formatCode="#,##0.0_ ;\-#,##0.0\ "/>
    <numFmt numFmtId="176" formatCode="#,##0_ ;\-#,##0\ "/>
    <numFmt numFmtId="177" formatCode="_(* #,##0.000000_);_(* \(#,##0.000000\);_(* &quot;-&quot;??_);_(@_)"/>
    <numFmt numFmtId="178" formatCode="_(* #,##0.000_);_(* \(#,##0.000\);_(* &quot;-&quot;??_);_(@_)"/>
    <numFmt numFmtId="179" formatCode="_(* #,##0.0_);_(* \(#,##0.0\);_(* &quot;-&quot;??_);_(@_)"/>
    <numFmt numFmtId="180" formatCode="_(* #,##0.000_);_(* \(#,##0.000\);_(* &quot;-&quot;???_);_(@_)"/>
    <numFmt numFmtId="181" formatCode="_-* #,##0.000\ _₫_-;\-* #,##0.000\ _₫_-;_-* &quot;-&quot;???\ _₫_-;_-@_-"/>
  </numFmts>
  <fonts count="86" x14ac:knownFonts="1">
    <font>
      <sz val="12"/>
      <color theme="1"/>
      <name val="Times New Roman"/>
      <family val="2"/>
    </font>
    <font>
      <sz val="12"/>
      <name val="Times New Roman"/>
      <family val="2"/>
    </font>
    <font>
      <b/>
      <sz val="12"/>
      <name val="Times New Roman"/>
      <family val="2"/>
    </font>
    <font>
      <i/>
      <sz val="12"/>
      <name val="Times New Roman"/>
      <family val="2"/>
    </font>
    <font>
      <b/>
      <sz val="12"/>
      <name val="Times New Roman"/>
      <family val="1"/>
    </font>
    <font>
      <sz val="11"/>
      <name val="Times New Roman"/>
      <family val="1"/>
    </font>
    <font>
      <sz val="12"/>
      <name val="Times New Roman"/>
      <family val="1"/>
    </font>
    <font>
      <i/>
      <sz val="12"/>
      <name val="Times New Roman"/>
      <family val="1"/>
    </font>
    <font>
      <sz val="14"/>
      <name val="Times New Roman"/>
      <family val="1"/>
    </font>
    <font>
      <b/>
      <sz val="14"/>
      <name val="Times New Roman"/>
      <family val="1"/>
    </font>
    <font>
      <b/>
      <i/>
      <sz val="12"/>
      <name val="Times New Roman"/>
      <family val="1"/>
    </font>
    <font>
      <b/>
      <sz val="14"/>
      <color indexed="8"/>
      <name val="Times New Roman"/>
      <family val="1"/>
    </font>
    <font>
      <sz val="14"/>
      <color indexed="8"/>
      <name val="Times New Roman"/>
      <family val="1"/>
    </font>
    <font>
      <sz val="9"/>
      <color indexed="81"/>
      <name val="Tahoma"/>
      <family val="2"/>
    </font>
    <font>
      <i/>
      <sz val="14"/>
      <color indexed="8"/>
      <name val="Times New Roman"/>
      <family val="1"/>
    </font>
    <font>
      <sz val="12"/>
      <color theme="1"/>
      <name val="Times New Roman"/>
      <family val="2"/>
    </font>
    <font>
      <sz val="11"/>
      <color theme="1"/>
      <name val="Calibri"/>
      <family val="2"/>
      <scheme val="minor"/>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2"/>
      <color rgb="FF000000"/>
      <name val="Times New Roman"/>
      <family val="1"/>
    </font>
    <font>
      <sz val="14"/>
      <color rgb="FF000000"/>
      <name val="Times New Roman"/>
      <family val="1"/>
    </font>
    <font>
      <sz val="12"/>
      <color rgb="FFFF0000"/>
      <name val="Times New Roman"/>
      <family val="1"/>
    </font>
    <font>
      <i/>
      <sz val="12"/>
      <color theme="1"/>
      <name val="Times New Roman"/>
      <family val="1"/>
    </font>
    <font>
      <b/>
      <sz val="12"/>
      <color rgb="FF000000"/>
      <name val="Times New Roman"/>
      <family val="1"/>
    </font>
    <font>
      <i/>
      <sz val="14"/>
      <color theme="1"/>
      <name val="Times New Roman"/>
      <family val="1"/>
    </font>
    <font>
      <i/>
      <sz val="14"/>
      <name val="Times New Roman"/>
      <family val="1"/>
    </font>
    <font>
      <b/>
      <sz val="13"/>
      <name val="Times New Roman"/>
      <family val="1"/>
    </font>
    <font>
      <sz val="13"/>
      <name val="Times New Roman"/>
      <family val="1"/>
    </font>
    <font>
      <i/>
      <sz val="13"/>
      <name val="Times New Roman"/>
      <family val="1"/>
    </font>
    <font>
      <b/>
      <i/>
      <sz val="13"/>
      <name val="Times New Roman"/>
      <family val="1"/>
    </font>
    <font>
      <b/>
      <sz val="15"/>
      <name val="Times New Roman"/>
      <family val="2"/>
    </font>
    <font>
      <i/>
      <sz val="15"/>
      <name val="Times New Roman"/>
      <family val="2"/>
    </font>
    <font>
      <b/>
      <sz val="11"/>
      <name val="Times New Roman"/>
      <family val="2"/>
    </font>
    <font>
      <b/>
      <sz val="14"/>
      <name val="Times New Roman"/>
      <family val="2"/>
    </font>
    <font>
      <sz val="20"/>
      <color theme="1"/>
      <name val="Times New Roman"/>
      <family val="1"/>
    </font>
    <font>
      <i/>
      <sz val="18"/>
      <color theme="1"/>
      <name val="Times New Roman"/>
      <family val="1"/>
    </font>
    <font>
      <b/>
      <sz val="10"/>
      <color theme="1"/>
      <name val="Times New Roman"/>
      <family val="1"/>
    </font>
    <font>
      <b/>
      <sz val="9"/>
      <color theme="1"/>
      <name val="Times New Roman"/>
      <family val="1"/>
    </font>
    <font>
      <b/>
      <i/>
      <sz val="10"/>
      <color theme="1"/>
      <name val="Times New Roman"/>
      <family val="1"/>
    </font>
    <font>
      <sz val="10"/>
      <color theme="1"/>
      <name val="Times New Roman"/>
      <family val="1"/>
    </font>
    <font>
      <b/>
      <sz val="10"/>
      <color theme="1"/>
      <name val="Arial Narrow"/>
      <family val="2"/>
    </font>
    <font>
      <sz val="10"/>
      <color theme="1"/>
      <name val="Arial Narrow"/>
      <family val="2"/>
    </font>
    <font>
      <sz val="12"/>
      <color theme="1"/>
      <name val="Times New Roman"/>
      <family val="2"/>
      <charset val="163"/>
    </font>
    <font>
      <i/>
      <sz val="11"/>
      <name val="Times New Roman"/>
      <family val="1"/>
    </font>
    <font>
      <sz val="11"/>
      <color indexed="8"/>
      <name val="Calibri"/>
      <family val="2"/>
    </font>
    <font>
      <b/>
      <sz val="11"/>
      <name val="Times New Roman"/>
      <family val="1"/>
    </font>
    <font>
      <sz val="10"/>
      <name val="Arial"/>
      <family val="2"/>
    </font>
    <font>
      <b/>
      <i/>
      <sz val="11"/>
      <name val="Times New Roman"/>
      <family val="1"/>
    </font>
    <font>
      <sz val="11"/>
      <name val="Calibri"/>
      <family val="2"/>
      <scheme val="minor"/>
    </font>
    <font>
      <b/>
      <sz val="13"/>
      <color theme="1"/>
      <name val="Times New Roman"/>
      <family val="1"/>
    </font>
    <font>
      <b/>
      <i/>
      <sz val="14"/>
      <name val="Times New Roman"/>
      <family val="1"/>
    </font>
    <font>
      <b/>
      <i/>
      <sz val="14"/>
      <color theme="1"/>
      <name val="Times New Roman"/>
      <family val="1"/>
    </font>
    <font>
      <sz val="11"/>
      <color indexed="8"/>
      <name val="Times New Roman"/>
      <family val="2"/>
    </font>
    <font>
      <b/>
      <sz val="12"/>
      <color theme="1"/>
      <name val="Arial Narrow"/>
      <family val="2"/>
    </font>
    <font>
      <sz val="12"/>
      <color theme="1"/>
      <name val="Arial Narrow"/>
      <family val="2"/>
    </font>
    <font>
      <sz val="12"/>
      <name val=".VnTime"/>
      <family val="2"/>
    </font>
    <font>
      <b/>
      <sz val="12"/>
      <color theme="1"/>
      <name val="Times New Roman"/>
      <family val="2"/>
    </font>
    <font>
      <u/>
      <sz val="12"/>
      <color theme="1"/>
      <name val="Times New Roman"/>
      <family val="1"/>
    </font>
    <font>
      <sz val="12"/>
      <color indexed="8"/>
      <name val="Times New Roman"/>
      <family val="1"/>
    </font>
    <font>
      <sz val="11"/>
      <name val="Times New Roman"/>
      <family val="1"/>
      <charset val="163"/>
    </font>
    <font>
      <b/>
      <sz val="12"/>
      <name val="Times New Roman"/>
      <family val="1"/>
      <charset val="163"/>
    </font>
    <font>
      <b/>
      <sz val="11"/>
      <name val="Times New Roman"/>
      <family val="1"/>
      <charset val="163"/>
    </font>
    <font>
      <b/>
      <sz val="13.5"/>
      <color theme="1"/>
      <name val="Times New Roman"/>
      <family val="1"/>
    </font>
    <font>
      <i/>
      <sz val="13.5"/>
      <color theme="1"/>
      <name val="Times New Roman"/>
      <family val="1"/>
    </font>
    <font>
      <sz val="13.5"/>
      <color theme="1"/>
      <name val="Times New Roman"/>
      <family val="1"/>
    </font>
    <font>
      <sz val="11"/>
      <color rgb="FFFF0000"/>
      <name val="Calibri"/>
      <family val="2"/>
      <charset val="163"/>
      <scheme val="minor"/>
    </font>
    <font>
      <sz val="11"/>
      <name val="Calibri"/>
      <family val="2"/>
      <charset val="163"/>
      <scheme val="minor"/>
    </font>
    <font>
      <b/>
      <sz val="9"/>
      <name val="Times New Roman"/>
      <family val="1"/>
    </font>
    <font>
      <sz val="10"/>
      <name val="Times New Roman"/>
      <family val="1"/>
    </font>
    <font>
      <sz val="8"/>
      <name val="Times New Roman"/>
      <family val="1"/>
    </font>
    <font>
      <sz val="8"/>
      <name val="Calibri"/>
      <family val="2"/>
      <charset val="163"/>
      <scheme val="minor"/>
    </font>
    <font>
      <sz val="10"/>
      <name val="Arial Narrow"/>
      <family val="2"/>
    </font>
    <font>
      <sz val="11"/>
      <name val="Arial Narrow"/>
      <family val="2"/>
    </font>
    <font>
      <b/>
      <sz val="11"/>
      <name val="Arial Narrow"/>
      <family val="2"/>
    </font>
    <font>
      <sz val="8"/>
      <name val="Arial Narrow"/>
      <family val="2"/>
    </font>
    <font>
      <b/>
      <sz val="10"/>
      <name val="Arial Narrow"/>
      <family val="2"/>
    </font>
    <font>
      <sz val="12"/>
      <name val="Times New Roman"/>
      <family val="1"/>
      <charset val="163"/>
    </font>
    <font>
      <b/>
      <sz val="9"/>
      <color indexed="81"/>
      <name val="Tahoma"/>
      <family val="2"/>
    </font>
    <font>
      <sz val="12"/>
      <color rgb="FFFF0000"/>
      <name val="Times New Roman"/>
      <family val="2"/>
    </font>
    <font>
      <b/>
      <sz val="11"/>
      <color rgb="FFFF0000"/>
      <name val="Times New Roman"/>
      <family val="2"/>
    </font>
    <font>
      <b/>
      <sz val="12"/>
      <name val="Arial Narrow"/>
      <family val="2"/>
    </font>
    <font>
      <b/>
      <sz val="12"/>
      <color rgb="FFFF0000"/>
      <name val="Arial Narrow"/>
      <family val="2"/>
    </font>
    <font>
      <sz val="12"/>
      <name val="Arial Narrow"/>
      <family val="2"/>
    </font>
    <font>
      <sz val="12"/>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s>
  <cellStyleXfs count="22">
    <xf numFmtId="0" fontId="0" fillId="0" borderId="0"/>
    <xf numFmtId="0" fontId="16" fillId="0" borderId="0"/>
    <xf numFmtId="0" fontId="16" fillId="0" borderId="0"/>
    <xf numFmtId="0" fontId="16" fillId="0" borderId="0"/>
    <xf numFmtId="164" fontId="15" fillId="0" borderId="0" applyFont="0" applyFill="0" applyBorder="0" applyAlignment="0" applyProtection="0"/>
    <xf numFmtId="164" fontId="16" fillId="0" borderId="0" applyFont="0" applyFill="0" applyBorder="0" applyAlignment="0" applyProtection="0"/>
    <xf numFmtId="164"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43" fontId="46" fillId="0" borderId="0" applyFont="0" applyFill="0" applyBorder="0" applyAlignment="0" applyProtection="0"/>
    <xf numFmtId="0" fontId="48" fillId="0" borderId="0"/>
    <xf numFmtId="0" fontId="16" fillId="0" borderId="0"/>
    <xf numFmtId="43" fontId="54" fillId="0" borderId="0" applyFont="0" applyFill="0" applyBorder="0" applyAlignment="0" applyProtection="0"/>
    <xf numFmtId="9" fontId="44" fillId="0" borderId="0" applyFont="0" applyFill="0" applyBorder="0" applyAlignment="0" applyProtection="0"/>
    <xf numFmtId="0" fontId="57" fillId="0" borderId="0"/>
    <xf numFmtId="0" fontId="48" fillId="0" borderId="0"/>
    <xf numFmtId="0" fontId="15" fillId="0" borderId="0"/>
    <xf numFmtId="0" fontId="16" fillId="0" borderId="0"/>
    <xf numFmtId="0" fontId="57" fillId="0" borderId="0"/>
    <xf numFmtId="0" fontId="48" fillId="0" borderId="0"/>
    <xf numFmtId="43" fontId="57" fillId="0" borderId="0" applyFont="0" applyFill="0" applyBorder="0" applyAlignment="0" applyProtection="0"/>
  </cellStyleXfs>
  <cellXfs count="126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wrapText="1"/>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1" fillId="0" borderId="0" xfId="0" applyFont="1" applyFill="1" applyAlignment="1">
      <alignment horizontal="center" vertical="center"/>
    </xf>
    <xf numFmtId="0" fontId="17" fillId="0" borderId="0" xfId="8" applyFont="1" applyFill="1" applyAlignment="1">
      <alignment horizontal="center" vertical="center" wrapText="1"/>
    </xf>
    <xf numFmtId="0" fontId="18" fillId="0" borderId="0" xfId="8" applyFont="1" applyFill="1" applyAlignment="1">
      <alignment horizontal="center" vertical="center" wrapText="1"/>
    </xf>
    <xf numFmtId="0" fontId="4" fillId="0" borderId="0" xfId="0" applyFont="1" applyFill="1" applyBorder="1" applyAlignment="1">
      <alignment vertical="center" wrapText="1"/>
    </xf>
    <xf numFmtId="0" fontId="19" fillId="0" borderId="4" xfId="8" applyFont="1" applyFill="1" applyBorder="1" applyAlignment="1">
      <alignment horizontal="center" vertical="center" wrapText="1"/>
    </xf>
    <xf numFmtId="0" fontId="4" fillId="0" borderId="4" xfId="8" applyFont="1" applyFill="1" applyBorder="1" applyAlignment="1">
      <alignment horizontal="center" vertical="center" wrapText="1"/>
    </xf>
    <xf numFmtId="0" fontId="19" fillId="0" borderId="0" xfId="8" applyFont="1" applyFill="1" applyAlignment="1">
      <alignment horizontal="center" vertical="center" wrapText="1"/>
    </xf>
    <xf numFmtId="0" fontId="20" fillId="0" borderId="0" xfId="8" applyFont="1" applyFill="1" applyAlignment="1">
      <alignment wrapText="1"/>
    </xf>
    <xf numFmtId="0" fontId="20" fillId="0" borderId="0" xfId="8" applyFont="1" applyAlignment="1">
      <alignment wrapText="1"/>
    </xf>
    <xf numFmtId="0" fontId="6" fillId="0" borderId="0" xfId="0" applyFont="1" applyFill="1" applyAlignment="1">
      <alignment vertical="center"/>
    </xf>
    <xf numFmtId="0" fontId="20" fillId="0" borderId="0" xfId="8" applyFont="1" applyFill="1" applyAlignment="1">
      <alignment vertical="center" wrapText="1"/>
    </xf>
    <xf numFmtId="0" fontId="19" fillId="0" borderId="0" xfId="8" applyFont="1" applyFill="1" applyAlignment="1">
      <alignment vertical="center" wrapText="1"/>
    </xf>
    <xf numFmtId="0" fontId="20" fillId="0" borderId="0" xfId="8" applyFont="1" applyAlignment="1">
      <alignment vertical="center" wrapText="1"/>
    </xf>
    <xf numFmtId="0" fontId="20" fillId="0" borderId="0" xfId="8" applyFont="1" applyFill="1" applyAlignment="1">
      <alignment horizontal="center" vertical="center" wrapText="1"/>
    </xf>
    <xf numFmtId="0" fontId="6" fillId="0" borderId="0" xfId="8" applyFont="1" applyFill="1" applyAlignment="1">
      <alignment vertical="center" wrapText="1"/>
    </xf>
    <xf numFmtId="0" fontId="20" fillId="0" borderId="0" xfId="8" applyFont="1" applyFill="1" applyBorder="1" applyAlignment="1">
      <alignment vertical="center" wrapText="1"/>
    </xf>
    <xf numFmtId="4" fontId="20" fillId="0" borderId="0" xfId="8" applyNumberFormat="1" applyFont="1" applyAlignment="1">
      <alignment horizontal="center" vertical="center" wrapText="1"/>
    </xf>
    <xf numFmtId="1" fontId="4" fillId="0" borderId="0" xfId="1" applyNumberFormat="1" applyFont="1" applyFill="1" applyBorder="1" applyAlignment="1">
      <alignment vertical="center"/>
    </xf>
    <xf numFmtId="4"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1" fontId="6" fillId="0" borderId="0" xfId="0" applyNumberFormat="1" applyFont="1" applyFill="1" applyAlignment="1">
      <alignment vertical="center"/>
    </xf>
    <xf numFmtId="1" fontId="4" fillId="0" borderId="0" xfId="0" applyNumberFormat="1" applyFont="1" applyFill="1" applyBorder="1" applyAlignment="1">
      <alignment horizontal="center" vertical="center" wrapText="1"/>
    </xf>
    <xf numFmtId="0" fontId="20" fillId="0" borderId="0" xfId="0" applyFont="1"/>
    <xf numFmtId="3" fontId="20" fillId="0" borderId="0" xfId="0" applyNumberFormat="1" applyFont="1"/>
    <xf numFmtId="3" fontId="6" fillId="0" borderId="0" xfId="0" applyNumberFormat="1" applyFont="1" applyFill="1" applyAlignment="1">
      <alignment vertical="center"/>
    </xf>
    <xf numFmtId="3" fontId="4" fillId="0" borderId="0" xfId="1" applyNumberFormat="1" applyFont="1" applyFill="1" applyBorder="1" applyAlignment="1">
      <alignment vertical="center"/>
    </xf>
    <xf numFmtId="3" fontId="18" fillId="0" borderId="0" xfId="8" applyNumberFormat="1" applyFont="1" applyAlignment="1">
      <alignment vertical="center" wrapText="1"/>
    </xf>
    <xf numFmtId="3" fontId="17" fillId="0" borderId="4" xfId="8" applyNumberFormat="1" applyFont="1" applyBorder="1" applyAlignment="1">
      <alignment horizontal="center" vertical="center" wrapText="1"/>
    </xf>
    <xf numFmtId="3" fontId="9" fillId="0" borderId="4" xfId="8" applyNumberFormat="1" applyFont="1" applyBorder="1" applyAlignment="1">
      <alignment horizontal="center" vertical="center" wrapText="1"/>
    </xf>
    <xf numFmtId="3" fontId="17" fillId="0" borderId="4" xfId="8" applyNumberFormat="1" applyFont="1" applyFill="1" applyBorder="1" applyAlignment="1">
      <alignment horizontal="center" vertical="center" wrapText="1"/>
    </xf>
    <xf numFmtId="3" fontId="17" fillId="0" borderId="0" xfId="8" applyNumberFormat="1" applyFont="1" applyAlignment="1">
      <alignment horizontal="center" vertical="center" wrapText="1"/>
    </xf>
    <xf numFmtId="3" fontId="17" fillId="0" borderId="0" xfId="8" applyNumberFormat="1" applyFont="1" applyAlignment="1">
      <alignment vertical="center" wrapText="1"/>
    </xf>
    <xf numFmtId="3" fontId="18" fillId="0" borderId="0" xfId="8" applyNumberFormat="1" applyFont="1" applyAlignment="1">
      <alignment horizontal="center" vertical="center" wrapText="1"/>
    </xf>
    <xf numFmtId="3" fontId="8" fillId="0" borderId="0" xfId="8" applyNumberFormat="1" applyFont="1" applyAlignment="1">
      <alignment vertical="center" wrapText="1"/>
    </xf>
    <xf numFmtId="3" fontId="18" fillId="0" borderId="0" xfId="8" applyNumberFormat="1" applyFont="1" applyFill="1" applyAlignment="1">
      <alignment vertical="center" wrapText="1"/>
    </xf>
    <xf numFmtId="166" fontId="17" fillId="0" borderId="0" xfId="8" applyNumberFormat="1" applyFont="1" applyAlignment="1">
      <alignment horizontal="center" vertical="center" wrapText="1"/>
    </xf>
    <xf numFmtId="166" fontId="18" fillId="0" borderId="0" xfId="8" applyNumberFormat="1" applyFont="1" applyAlignment="1">
      <alignment vertical="center" wrapText="1"/>
    </xf>
    <xf numFmtId="167" fontId="18" fillId="0" borderId="0" xfId="8" applyNumberFormat="1" applyFont="1" applyAlignment="1">
      <alignment vertical="center" wrapText="1"/>
    </xf>
    <xf numFmtId="0" fontId="19" fillId="0" borderId="3" xfId="8" applyFont="1" applyFill="1" applyBorder="1" applyAlignment="1">
      <alignment horizontal="center" vertical="center" wrapText="1"/>
    </xf>
    <xf numFmtId="0" fontId="19" fillId="0" borderId="5" xfId="8" applyFont="1" applyFill="1" applyBorder="1" applyAlignment="1">
      <alignment horizontal="center" vertical="center" wrapText="1"/>
    </xf>
    <xf numFmtId="0" fontId="4" fillId="0" borderId="5" xfId="8" applyFont="1" applyFill="1" applyBorder="1" applyAlignment="1">
      <alignment horizontal="center" vertical="center" wrapText="1"/>
    </xf>
    <xf numFmtId="0" fontId="20" fillId="0" borderId="6" xfId="8" applyFont="1" applyFill="1" applyBorder="1" applyAlignment="1">
      <alignment vertical="center" wrapText="1"/>
    </xf>
    <xf numFmtId="0" fontId="6" fillId="0" borderId="6" xfId="8" applyFont="1" applyFill="1" applyBorder="1" applyAlignment="1">
      <alignment vertical="center" wrapText="1"/>
    </xf>
    <xf numFmtId="0" fontId="20" fillId="0" borderId="0" xfId="8" applyFont="1" applyFill="1" applyAlignment="1">
      <alignment horizontal="center" wrapText="1"/>
    </xf>
    <xf numFmtId="0" fontId="6" fillId="0" borderId="0" xfId="8" applyFont="1" applyFill="1" applyAlignment="1">
      <alignment wrapText="1"/>
    </xf>
    <xf numFmtId="1" fontId="19" fillId="0" borderId="4" xfId="8" applyNumberFormat="1" applyFont="1" applyBorder="1" applyAlignment="1">
      <alignment horizontal="center" vertical="center" wrapText="1"/>
    </xf>
    <xf numFmtId="1" fontId="19" fillId="0" borderId="0" xfId="8" applyNumberFormat="1" applyFont="1" applyAlignment="1">
      <alignment horizontal="center" vertical="center" wrapText="1"/>
    </xf>
    <xf numFmtId="1" fontId="19" fillId="0" borderId="0" xfId="8" applyNumberFormat="1" applyFont="1" applyAlignment="1">
      <alignment horizontal="center" vertical="center"/>
    </xf>
    <xf numFmtId="1" fontId="20" fillId="0" borderId="0" xfId="8" applyNumberFormat="1" applyFont="1" applyAlignment="1">
      <alignment vertical="center"/>
    </xf>
    <xf numFmtId="1" fontId="20" fillId="0" borderId="6" xfId="8" applyNumberFormat="1" applyFont="1" applyBorder="1" applyAlignment="1">
      <alignment vertical="center" wrapText="1"/>
    </xf>
    <xf numFmtId="1" fontId="20" fillId="0" borderId="0" xfId="8" applyNumberFormat="1" applyFont="1" applyAlignment="1">
      <alignment vertical="center" wrapText="1"/>
    </xf>
    <xf numFmtId="0" fontId="20" fillId="0" borderId="0" xfId="8" applyFont="1"/>
    <xf numFmtId="1" fontId="4" fillId="0" borderId="0" xfId="0" applyNumberFormat="1" applyFont="1" applyFill="1" applyBorder="1" applyAlignment="1">
      <alignment vertical="center" wrapText="1"/>
    </xf>
    <xf numFmtId="0" fontId="4" fillId="0" borderId="0" xfId="8" applyFont="1" applyFill="1" applyAlignment="1">
      <alignment horizontal="center" vertical="center" wrapText="1"/>
    </xf>
    <xf numFmtId="0" fontId="6" fillId="0" borderId="0" xfId="8" applyFont="1" applyFill="1" applyAlignment="1">
      <alignment horizontal="center" vertical="center" wrapText="1"/>
    </xf>
    <xf numFmtId="0" fontId="4" fillId="0" borderId="0" xfId="8" applyFont="1" applyFill="1" applyAlignment="1">
      <alignment vertical="center" wrapText="1"/>
    </xf>
    <xf numFmtId="169" fontId="20" fillId="0" borderId="0" xfId="5" applyNumberFormat="1" applyFont="1" applyFill="1" applyAlignment="1">
      <alignment vertical="center" wrapText="1"/>
    </xf>
    <xf numFmtId="0" fontId="6" fillId="0" borderId="0" xfId="8" applyFont="1" applyFill="1"/>
    <xf numFmtId="0" fontId="6" fillId="0" borderId="0" xfId="8" applyFont="1"/>
    <xf numFmtId="0" fontId="4" fillId="0" borderId="4"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Border="1" applyAlignment="1">
      <alignment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Alignment="1">
      <alignment vertical="center" wrapText="1"/>
    </xf>
    <xf numFmtId="0" fontId="20" fillId="0" borderId="0" xfId="0" applyFont="1" applyFill="1" applyAlignment="1">
      <alignment vertical="center" wrapText="1"/>
    </xf>
    <xf numFmtId="0" fontId="19" fillId="0" borderId="0" xfId="0" applyFont="1" applyFill="1" applyAlignment="1">
      <alignment vertical="center" wrapText="1"/>
    </xf>
    <xf numFmtId="1" fontId="6" fillId="0" borderId="0" xfId="0" applyNumberFormat="1"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3" fontId="1" fillId="0" borderId="0" xfId="0" applyNumberFormat="1" applyFont="1" applyFill="1" applyAlignment="1">
      <alignment horizontal="center" vertical="center" wrapText="1"/>
    </xf>
    <xf numFmtId="3" fontId="1" fillId="0" borderId="0" xfId="0" applyNumberFormat="1" applyFont="1" applyFill="1" applyAlignment="1">
      <alignment vertical="center" wrapText="1"/>
    </xf>
    <xf numFmtId="3" fontId="2" fillId="0" borderId="4" xfId="0" applyNumberFormat="1" applyFont="1" applyFill="1" applyBorder="1" applyAlignment="1">
      <alignment horizontal="center" vertical="center" wrapText="1"/>
    </xf>
    <xf numFmtId="166" fontId="6" fillId="0" borderId="0" xfId="8" applyNumberFormat="1" applyFont="1" applyFill="1" applyAlignment="1">
      <alignment vertical="center" wrapText="1"/>
    </xf>
    <xf numFmtId="0" fontId="5" fillId="0" borderId="0" xfId="0" applyFont="1" applyFill="1" applyAlignment="1">
      <alignment vertical="center"/>
    </xf>
    <xf numFmtId="0" fontId="18" fillId="0" borderId="0" xfId="8" applyFont="1" applyFill="1" applyAlignment="1">
      <alignment vertical="center" wrapText="1"/>
    </xf>
    <xf numFmtId="0" fontId="17" fillId="0" borderId="0" xfId="8" applyFont="1" applyFill="1" applyAlignment="1">
      <alignment vertical="center" wrapText="1"/>
    </xf>
    <xf numFmtId="0" fontId="19" fillId="0" borderId="0" xfId="8" applyFont="1" applyAlignment="1">
      <alignment vertical="center" wrapText="1"/>
    </xf>
    <xf numFmtId="0" fontId="17" fillId="0" borderId="0" xfId="8" applyFont="1" applyAlignment="1">
      <alignment vertical="center" wrapText="1"/>
    </xf>
    <xf numFmtId="0" fontId="18" fillId="0" borderId="0" xfId="8" applyFont="1" applyAlignment="1">
      <alignment vertical="center" wrapText="1"/>
    </xf>
    <xf numFmtId="165" fontId="18" fillId="0" borderId="0" xfId="8" applyNumberFormat="1" applyFont="1" applyFill="1" applyAlignment="1">
      <alignment vertical="center" wrapText="1"/>
    </xf>
    <xf numFmtId="0" fontId="8" fillId="0" borderId="0" xfId="8" applyFont="1" applyFill="1" applyAlignment="1">
      <alignment vertical="center" wrapText="1"/>
    </xf>
    <xf numFmtId="4" fontId="8" fillId="0" borderId="0" xfId="8" applyNumberFormat="1" applyFont="1" applyFill="1" applyAlignment="1">
      <alignment vertical="center" wrapText="1"/>
    </xf>
    <xf numFmtId="0" fontId="4" fillId="0" borderId="0" xfId="0" applyFont="1" applyFill="1" applyBorder="1" applyAlignment="1">
      <alignment horizontal="center" vertical="center" wrapText="1"/>
    </xf>
    <xf numFmtId="4" fontId="18" fillId="0" borderId="0" xfId="8" applyNumberFormat="1" applyFont="1" applyFill="1" applyAlignment="1">
      <alignment vertical="center" wrapText="1"/>
    </xf>
    <xf numFmtId="0" fontId="20" fillId="3" borderId="0" xfId="8" applyFont="1" applyFill="1" applyAlignment="1">
      <alignment vertical="center" wrapText="1"/>
    </xf>
    <xf numFmtId="0" fontId="20" fillId="0" borderId="0" xfId="8" applyFont="1" applyFill="1"/>
    <xf numFmtId="0" fontId="19" fillId="0" borderId="0" xfId="8" applyFont="1" applyFill="1" applyAlignment="1">
      <alignment horizontal="center" vertical="center"/>
    </xf>
    <xf numFmtId="166" fontId="20" fillId="0" borderId="0" xfId="8" applyNumberFormat="1" applyFont="1" applyFill="1"/>
    <xf numFmtId="3" fontId="2" fillId="0" borderId="0" xfId="0" applyNumberFormat="1" applyFont="1" applyFill="1" applyAlignment="1">
      <alignment vertical="center"/>
    </xf>
    <xf numFmtId="1" fontId="4" fillId="0" borderId="0" xfId="0" applyNumberFormat="1" applyFont="1" applyFill="1" applyBorder="1" applyAlignment="1">
      <alignment horizontal="center" vertical="center" wrapText="1"/>
    </xf>
    <xf numFmtId="1" fontId="4" fillId="0" borderId="0" xfId="1" applyNumberFormat="1" applyFont="1" applyFill="1" applyBorder="1" applyAlignment="1">
      <alignment horizontal="center" vertical="center"/>
    </xf>
    <xf numFmtId="0" fontId="19" fillId="0" borderId="7" xfId="8" applyFont="1" applyFill="1" applyBorder="1" applyAlignment="1">
      <alignment horizontal="center" vertical="center" wrapText="1"/>
    </xf>
    <xf numFmtId="0" fontId="4" fillId="0" borderId="7" xfId="8" applyFont="1" applyFill="1" applyBorder="1" applyAlignment="1">
      <alignment horizontal="center" vertical="center" wrapText="1"/>
    </xf>
    <xf numFmtId="0" fontId="18" fillId="0" borderId="9" xfId="8" applyFont="1" applyFill="1" applyBorder="1" applyAlignment="1">
      <alignment horizontal="center" vertical="center" wrapText="1"/>
    </xf>
    <xf numFmtId="0" fontId="18" fillId="0" borderId="9" xfId="8" applyFont="1" applyFill="1" applyBorder="1" applyAlignment="1">
      <alignment vertical="center" wrapText="1"/>
    </xf>
    <xf numFmtId="4" fontId="8" fillId="0" borderId="9" xfId="8" applyNumberFormat="1" applyFont="1" applyFill="1" applyBorder="1" applyAlignment="1">
      <alignment vertical="center" wrapText="1"/>
    </xf>
    <xf numFmtId="0" fontId="19" fillId="0" borderId="2" xfId="8" applyFont="1" applyFill="1" applyBorder="1" applyAlignment="1">
      <alignment horizontal="center" vertical="center" wrapText="1"/>
    </xf>
    <xf numFmtId="0" fontId="4" fillId="0" borderId="2" xfId="8" applyFont="1" applyFill="1" applyBorder="1" applyAlignment="1">
      <alignment horizontal="center" vertical="center" wrapText="1"/>
    </xf>
    <xf numFmtId="0" fontId="19" fillId="0" borderId="1" xfId="8" applyFont="1" applyFill="1" applyBorder="1" applyAlignment="1">
      <alignment horizontal="center" vertical="center" wrapText="1"/>
    </xf>
    <xf numFmtId="0" fontId="4" fillId="0" borderId="1" xfId="8" applyFont="1" applyFill="1" applyBorder="1" applyAlignment="1">
      <alignment horizontal="center" vertical="center" wrapText="1"/>
    </xf>
    <xf numFmtId="0" fontId="20" fillId="0" borderId="1" xfId="8" applyFont="1" applyFill="1" applyBorder="1" applyAlignment="1">
      <alignment horizontal="center" vertical="center" wrapText="1"/>
    </xf>
    <xf numFmtId="0" fontId="20" fillId="0" borderId="1" xfId="8" applyFont="1" applyFill="1" applyBorder="1" applyAlignment="1">
      <alignment vertical="center" wrapText="1"/>
    </xf>
    <xf numFmtId="0" fontId="6" fillId="0" borderId="1" xfId="8" applyFont="1" applyFill="1" applyBorder="1" applyAlignment="1">
      <alignment horizontal="center" vertical="center" wrapText="1"/>
    </xf>
    <xf numFmtId="0" fontId="19" fillId="0" borderId="1" xfId="8" applyFont="1" applyBorder="1" applyAlignment="1">
      <alignment horizontal="center" vertical="center" wrapText="1"/>
    </xf>
    <xf numFmtId="0" fontId="19" fillId="0" borderId="1" xfId="8" applyFont="1" applyBorder="1" applyAlignment="1">
      <alignment vertical="center" wrapText="1"/>
    </xf>
    <xf numFmtId="0" fontId="20" fillId="0" borderId="1" xfId="8" applyFont="1" applyBorder="1" applyAlignment="1">
      <alignment horizontal="center" vertical="center" wrapText="1"/>
    </xf>
    <xf numFmtId="0" fontId="20" fillId="0" borderId="1" xfId="8" applyFont="1" applyBorder="1" applyAlignment="1">
      <alignment horizontal="justify" vertical="center" wrapText="1"/>
    </xf>
    <xf numFmtId="0" fontId="20" fillId="0" borderId="1" xfId="8"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8" applyFont="1" applyFill="1" applyBorder="1" applyAlignment="1">
      <alignment vertical="center" wrapText="1"/>
    </xf>
    <xf numFmtId="0" fontId="19" fillId="0" borderId="2" xfId="8" applyFont="1" applyFill="1" applyBorder="1" applyAlignment="1">
      <alignment vertical="center" wrapText="1"/>
    </xf>
    <xf numFmtId="0" fontId="20" fillId="0" borderId="12" xfId="8" applyFont="1" applyBorder="1" applyAlignment="1">
      <alignment horizontal="center" vertical="center" wrapText="1"/>
    </xf>
    <xf numFmtId="171" fontId="20" fillId="0" borderId="1" xfId="6" applyNumberFormat="1" applyFont="1" applyFill="1" applyBorder="1" applyAlignment="1">
      <alignment horizontal="center" vertical="center" wrapText="1"/>
    </xf>
    <xf numFmtId="171" fontId="6" fillId="0" borderId="1" xfId="6" applyNumberFormat="1" applyFont="1" applyFill="1" applyBorder="1" applyAlignment="1">
      <alignment horizontal="center" vertical="center" wrapText="1"/>
    </xf>
    <xf numFmtId="171" fontId="19" fillId="0" borderId="1" xfId="6" applyNumberFormat="1" applyFont="1" applyFill="1" applyBorder="1" applyAlignment="1">
      <alignment horizontal="center" vertical="center" wrapText="1"/>
    </xf>
    <xf numFmtId="171" fontId="4" fillId="0" borderId="1" xfId="6" applyNumberFormat="1" applyFont="1" applyFill="1" applyBorder="1" applyAlignment="1">
      <alignment horizontal="center" vertical="center" wrapText="1"/>
    </xf>
    <xf numFmtId="171" fontId="19" fillId="0" borderId="1" xfId="6" applyNumberFormat="1" applyFont="1" applyBorder="1" applyAlignment="1">
      <alignment horizontal="center" vertical="center" wrapText="1"/>
    </xf>
    <xf numFmtId="171" fontId="4" fillId="0" borderId="1" xfId="6" applyNumberFormat="1" applyFont="1" applyBorder="1" applyAlignment="1">
      <alignment horizontal="center" vertical="center" wrapText="1"/>
    </xf>
    <xf numFmtId="171" fontId="20" fillId="0" borderId="1" xfId="6" applyNumberFormat="1" applyFont="1" applyBorder="1" applyAlignment="1">
      <alignment horizontal="center" vertical="center" wrapText="1"/>
    </xf>
    <xf numFmtId="171" fontId="6" fillId="0" borderId="1" xfId="6" applyNumberFormat="1" applyFont="1" applyBorder="1" applyAlignment="1">
      <alignment horizontal="center" vertical="center" wrapText="1"/>
    </xf>
    <xf numFmtId="0" fontId="20" fillId="0" borderId="12" xfId="8" applyFont="1" applyBorder="1" applyAlignment="1">
      <alignment vertical="center" wrapText="1"/>
    </xf>
    <xf numFmtId="171" fontId="6" fillId="0" borderId="12" xfId="6" applyNumberFormat="1" applyFont="1" applyBorder="1" applyAlignment="1">
      <alignment horizontal="center" vertical="center" wrapText="1"/>
    </xf>
    <xf numFmtId="49" fontId="21" fillId="0" borderId="1" xfId="6" applyNumberFormat="1" applyFont="1" applyBorder="1" applyAlignment="1">
      <alignment horizontal="justify" vertical="center" wrapText="1"/>
    </xf>
    <xf numFmtId="172" fontId="21" fillId="0" borderId="1" xfId="6" applyNumberFormat="1" applyFont="1" applyBorder="1" applyAlignment="1">
      <alignment horizontal="center" vertical="center" wrapText="1"/>
    </xf>
    <xf numFmtId="0" fontId="20" fillId="3" borderId="1" xfId="8" applyFont="1" applyFill="1" applyBorder="1" applyAlignment="1">
      <alignment horizontal="center" vertical="center" wrapText="1"/>
    </xf>
    <xf numFmtId="49" fontId="21" fillId="3" borderId="1" xfId="6" applyNumberFormat="1" applyFont="1" applyFill="1" applyBorder="1" applyAlignment="1">
      <alignment horizontal="justify" vertical="center" wrapText="1"/>
    </xf>
    <xf numFmtId="171" fontId="6" fillId="3" borderId="1" xfId="6" applyNumberFormat="1" applyFont="1" applyFill="1" applyBorder="1" applyAlignment="1">
      <alignment horizontal="center" vertical="center" wrapText="1"/>
    </xf>
    <xf numFmtId="171" fontId="20" fillId="3" borderId="1" xfId="6" applyNumberFormat="1" applyFont="1" applyFill="1" applyBorder="1" applyAlignment="1">
      <alignment horizontal="center" vertical="center" wrapText="1"/>
    </xf>
    <xf numFmtId="164" fontId="21" fillId="3" borderId="1" xfId="6" applyNumberFormat="1" applyFont="1" applyFill="1" applyBorder="1" applyAlignment="1">
      <alignment horizontal="center" vertical="center" wrapText="1"/>
    </xf>
    <xf numFmtId="49" fontId="19" fillId="0" borderId="1" xfId="6" applyNumberFormat="1" applyFont="1" applyFill="1" applyBorder="1" applyAlignment="1">
      <alignment vertical="center" wrapText="1"/>
    </xf>
    <xf numFmtId="172" fontId="19" fillId="0" borderId="1" xfId="6" applyNumberFormat="1" applyFont="1" applyFill="1" applyBorder="1" applyAlignment="1">
      <alignment horizontal="center" vertical="center" wrapText="1"/>
    </xf>
    <xf numFmtId="172" fontId="21" fillId="3" borderId="1" xfId="6" applyNumberFormat="1" applyFont="1" applyFill="1" applyBorder="1" applyAlignment="1">
      <alignment horizontal="center" vertical="center" wrapText="1"/>
    </xf>
    <xf numFmtId="170" fontId="21" fillId="3" borderId="1" xfId="6" applyNumberFormat="1" applyFont="1" applyFill="1" applyBorder="1" applyAlignment="1">
      <alignment horizontal="center" vertical="center" wrapText="1"/>
    </xf>
    <xf numFmtId="171" fontId="25" fillId="0" borderId="1" xfId="6" applyNumberFormat="1" applyFont="1" applyBorder="1" applyAlignment="1">
      <alignment vertical="center" wrapText="1"/>
    </xf>
    <xf numFmtId="3" fontId="20" fillId="0" borderId="1" xfId="8" applyNumberFormat="1" applyFont="1" applyBorder="1" applyAlignment="1">
      <alignment horizontal="center" vertical="center" wrapText="1"/>
    </xf>
    <xf numFmtId="49" fontId="20" fillId="0" borderId="1" xfId="6" applyNumberFormat="1" applyFont="1" applyBorder="1" applyAlignment="1">
      <alignment vertical="center" wrapText="1"/>
    </xf>
    <xf numFmtId="3" fontId="20" fillId="0" borderId="12" xfId="8" applyNumberFormat="1" applyFont="1" applyBorder="1" applyAlignment="1">
      <alignment horizontal="center" vertical="center" wrapText="1"/>
    </xf>
    <xf numFmtId="49" fontId="20" fillId="0" borderId="12" xfId="6" applyNumberFormat="1" applyFont="1" applyBorder="1" applyAlignment="1">
      <alignment vertical="center" wrapText="1"/>
    </xf>
    <xf numFmtId="171" fontId="20" fillId="0" borderId="12" xfId="6" applyNumberFormat="1" applyFont="1" applyBorder="1" applyAlignment="1">
      <alignment horizontal="center" vertical="center" wrapText="1"/>
    </xf>
    <xf numFmtId="171" fontId="6" fillId="0" borderId="12" xfId="6"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vertical="center" wrapText="1"/>
    </xf>
    <xf numFmtId="1" fontId="6" fillId="0" borderId="2" xfId="0" applyNumberFormat="1" applyFont="1" applyFill="1" applyBorder="1" applyAlignment="1">
      <alignment vertical="center" wrapText="1"/>
    </xf>
    <xf numFmtId="1"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17" fillId="0" borderId="2" xfId="8" applyNumberFormat="1" applyFont="1" applyBorder="1" applyAlignment="1">
      <alignment horizontal="center" vertical="center" wrapText="1"/>
    </xf>
    <xf numFmtId="3" fontId="17" fillId="0" borderId="2" xfId="8" applyNumberFormat="1" applyFont="1" applyBorder="1" applyAlignment="1">
      <alignment vertical="center" wrapText="1"/>
    </xf>
    <xf numFmtId="3" fontId="9" fillId="0" borderId="2" xfId="8" applyNumberFormat="1" applyFont="1" applyBorder="1" applyAlignment="1">
      <alignment horizontal="center" vertical="center" wrapText="1"/>
    </xf>
    <xf numFmtId="3" fontId="17" fillId="0" borderId="2" xfId="8" applyNumberFormat="1" applyFont="1" applyFill="1" applyBorder="1" applyAlignment="1">
      <alignment horizontal="center" vertical="center" wrapText="1"/>
    </xf>
    <xf numFmtId="3" fontId="18" fillId="0" borderId="1" xfId="8" applyNumberFormat="1" applyFont="1" applyBorder="1" applyAlignment="1">
      <alignment horizontal="center" vertical="center" wrapText="1"/>
    </xf>
    <xf numFmtId="3" fontId="22" fillId="0" borderId="1" xfId="8" applyNumberFormat="1" applyFont="1" applyBorder="1" applyAlignment="1">
      <alignment horizontal="justify" vertical="center" wrapText="1"/>
    </xf>
    <xf numFmtId="3" fontId="22" fillId="0" borderId="1" xfId="8" applyNumberFormat="1" applyFont="1" applyBorder="1" applyAlignment="1">
      <alignment horizontal="center" vertical="center" wrapText="1"/>
    </xf>
    <xf numFmtId="3" fontId="18" fillId="2" borderId="1" xfId="8" applyNumberFormat="1" applyFont="1" applyFill="1" applyBorder="1" applyAlignment="1">
      <alignment horizontal="justify" vertical="center" wrapText="1"/>
    </xf>
    <xf numFmtId="166" fontId="18" fillId="2" borderId="1" xfId="8" applyNumberFormat="1" applyFont="1" applyFill="1" applyBorder="1" applyAlignment="1">
      <alignment horizontal="justify" vertical="center" wrapText="1"/>
    </xf>
    <xf numFmtId="166" fontId="18" fillId="0" borderId="1" xfId="8" applyNumberFormat="1" applyFont="1" applyBorder="1" applyAlignment="1">
      <alignment horizontal="center" vertical="center" wrapText="1"/>
    </xf>
    <xf numFmtId="166" fontId="17" fillId="0" borderId="1" xfId="8" applyNumberFormat="1" applyFont="1" applyBorder="1" applyAlignment="1">
      <alignment horizontal="center" vertical="center" wrapText="1"/>
    </xf>
    <xf numFmtId="166" fontId="17" fillId="0" borderId="1" xfId="8" applyNumberFormat="1" applyFont="1" applyBorder="1" applyAlignment="1">
      <alignment vertical="center" wrapText="1"/>
    </xf>
    <xf numFmtId="3" fontId="17" fillId="0" borderId="1" xfId="8" applyNumberFormat="1" applyFont="1" applyBorder="1" applyAlignment="1">
      <alignment horizontal="center" vertical="center" wrapText="1"/>
    </xf>
    <xf numFmtId="3" fontId="17" fillId="0" borderId="1" xfId="8" applyNumberFormat="1" applyFont="1" applyBorder="1" applyAlignment="1">
      <alignment horizontal="left" vertical="center" wrapText="1"/>
    </xf>
    <xf numFmtId="3" fontId="18" fillId="0" borderId="12" xfId="8" applyNumberFormat="1" applyFont="1" applyBorder="1" applyAlignment="1">
      <alignment horizontal="center" vertical="center" wrapText="1"/>
    </xf>
    <xf numFmtId="166" fontId="22" fillId="0" borderId="1" xfId="8" applyNumberFormat="1" applyFont="1" applyBorder="1" applyAlignment="1">
      <alignment horizontal="center" vertical="center" wrapText="1"/>
    </xf>
    <xf numFmtId="4" fontId="22" fillId="0" borderId="1" xfId="8" applyNumberFormat="1" applyFont="1" applyBorder="1" applyAlignment="1">
      <alignment horizontal="center" vertical="center" wrapText="1"/>
    </xf>
    <xf numFmtId="3" fontId="18" fillId="0" borderId="1" xfId="8" applyNumberFormat="1" applyFont="1" applyBorder="1" applyAlignment="1">
      <alignment vertical="center" wrapText="1"/>
    </xf>
    <xf numFmtId="3" fontId="8" fillId="0" borderId="1" xfId="8" applyNumberFormat="1" applyFont="1" applyBorder="1" applyAlignment="1">
      <alignment vertical="center" wrapText="1"/>
    </xf>
    <xf numFmtId="3" fontId="18" fillId="0" borderId="1" xfId="8" applyNumberFormat="1" applyFont="1" applyFill="1" applyBorder="1" applyAlignment="1">
      <alignment vertical="center" wrapText="1"/>
    </xf>
    <xf numFmtId="3" fontId="17" fillId="0" borderId="1" xfId="8" applyNumberFormat="1" applyFont="1" applyBorder="1" applyAlignment="1">
      <alignment vertical="center" wrapText="1"/>
    </xf>
    <xf numFmtId="3" fontId="9" fillId="0" borderId="1" xfId="8" applyNumberFormat="1"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18" fillId="0" borderId="1" xfId="8" applyNumberFormat="1" applyFont="1" applyBorder="1" applyAlignment="1">
      <alignment horizontal="left" vertical="center" wrapText="1"/>
    </xf>
    <xf numFmtId="3" fontId="18" fillId="0" borderId="12" xfId="8" applyNumberFormat="1" applyFont="1" applyBorder="1" applyAlignment="1">
      <alignment horizontal="left" vertical="center" wrapText="1"/>
    </xf>
    <xf numFmtId="3" fontId="18" fillId="0" borderId="12" xfId="8" applyNumberFormat="1" applyFont="1" applyBorder="1" applyAlignment="1">
      <alignment vertical="center" wrapText="1"/>
    </xf>
    <xf numFmtId="3" fontId="8" fillId="0" borderId="12" xfId="8" applyNumberFormat="1" applyFont="1" applyBorder="1" applyAlignment="1">
      <alignment vertical="center" wrapText="1"/>
    </xf>
    <xf numFmtId="10" fontId="20" fillId="0" borderId="0" xfId="9" applyNumberFormat="1" applyFont="1" applyFill="1" applyAlignment="1">
      <alignment wrapText="1"/>
    </xf>
    <xf numFmtId="49" fontId="20" fillId="0" borderId="1" xfId="8" applyNumberFormat="1" applyFont="1" applyFill="1" applyBorder="1" applyAlignment="1">
      <alignment vertical="center" wrapText="1"/>
    </xf>
    <xf numFmtId="171" fontId="20" fillId="0" borderId="1" xfId="6" applyNumberFormat="1" applyFont="1" applyFill="1" applyBorder="1" applyAlignment="1">
      <alignment vertical="center" wrapText="1"/>
    </xf>
    <xf numFmtId="171" fontId="6" fillId="0" borderId="1" xfId="6" applyNumberFormat="1" applyFont="1" applyFill="1" applyBorder="1" applyAlignment="1">
      <alignment vertical="center" wrapText="1"/>
    </xf>
    <xf numFmtId="49" fontId="21" fillId="0" borderId="1" xfId="8" applyNumberFormat="1" applyFont="1" applyFill="1" applyBorder="1" applyAlignment="1">
      <alignment vertical="center" wrapText="1"/>
    </xf>
    <xf numFmtId="171" fontId="20" fillId="0" borderId="1" xfId="6" applyNumberFormat="1" applyFont="1" applyFill="1" applyBorder="1" applyAlignment="1">
      <alignment wrapText="1"/>
    </xf>
    <xf numFmtId="49" fontId="19" fillId="0" borderId="1" xfId="8" applyNumberFormat="1" applyFont="1" applyFill="1" applyBorder="1" applyAlignment="1">
      <alignment vertical="center" wrapText="1"/>
    </xf>
    <xf numFmtId="171" fontId="19" fillId="0" borderId="1" xfId="6" applyNumberFormat="1" applyFont="1" applyFill="1" applyBorder="1" applyAlignment="1">
      <alignment vertical="center" wrapText="1"/>
    </xf>
    <xf numFmtId="0" fontId="20" fillId="0" borderId="12" xfId="8" applyFont="1" applyFill="1" applyBorder="1" applyAlignment="1">
      <alignment horizontal="center" vertical="center" wrapText="1"/>
    </xf>
    <xf numFmtId="49" fontId="20" fillId="0" borderId="12" xfId="8" applyNumberFormat="1" applyFont="1" applyFill="1" applyBorder="1" applyAlignment="1">
      <alignment vertical="center" wrapText="1"/>
    </xf>
    <xf numFmtId="171" fontId="20" fillId="0" borderId="12" xfId="6" applyNumberFormat="1" applyFont="1" applyFill="1" applyBorder="1" applyAlignment="1">
      <alignment vertical="center" wrapText="1"/>
    </xf>
    <xf numFmtId="1" fontId="19" fillId="0" borderId="2" xfId="8" applyNumberFormat="1" applyFont="1" applyBorder="1" applyAlignment="1">
      <alignment horizontal="center" vertical="center" wrapText="1"/>
    </xf>
    <xf numFmtId="1" fontId="20" fillId="0" borderId="1" xfId="8" applyNumberFormat="1" applyFont="1" applyBorder="1" applyAlignment="1">
      <alignment horizontal="center" vertical="center" wrapText="1"/>
    </xf>
    <xf numFmtId="1" fontId="21" fillId="0" borderId="1" xfId="8" applyNumberFormat="1" applyFont="1" applyBorder="1" applyAlignment="1">
      <alignment horizontal="center" vertical="center" wrapText="1"/>
    </xf>
    <xf numFmtId="1" fontId="19" fillId="0" borderId="1" xfId="8" applyNumberFormat="1" applyFont="1" applyBorder="1" applyAlignment="1">
      <alignment horizontal="center" vertical="center" wrapText="1"/>
    </xf>
    <xf numFmtId="1" fontId="19" fillId="0" borderId="1" xfId="8" applyNumberFormat="1" applyFont="1" applyBorder="1" applyAlignment="1">
      <alignment horizontal="center" vertical="center"/>
    </xf>
    <xf numFmtId="168" fontId="20" fillId="0" borderId="1" xfId="8" applyNumberFormat="1" applyFont="1" applyBorder="1" applyAlignment="1">
      <alignment horizontal="center" vertical="center"/>
    </xf>
    <xf numFmtId="1" fontId="20" fillId="0" borderId="1" xfId="8" applyNumberFormat="1" applyFont="1" applyBorder="1" applyAlignment="1">
      <alignment horizontal="center" vertical="center"/>
    </xf>
    <xf numFmtId="1" fontId="20" fillId="0" borderId="1" xfId="8" applyNumberFormat="1" applyFont="1" applyBorder="1" applyAlignment="1">
      <alignment vertical="center"/>
    </xf>
    <xf numFmtId="1" fontId="19" fillId="0" borderId="12" xfId="8" applyNumberFormat="1" applyFont="1" applyBorder="1" applyAlignment="1">
      <alignment horizontal="center" vertical="center"/>
    </xf>
    <xf numFmtId="1" fontId="19" fillId="0" borderId="12" xfId="8" applyNumberFormat="1" applyFont="1" applyBorder="1" applyAlignment="1">
      <alignment horizontal="center" vertical="center" wrapText="1"/>
    </xf>
    <xf numFmtId="3" fontId="19" fillId="0" borderId="12" xfId="8" applyNumberFormat="1" applyFont="1" applyBorder="1" applyAlignment="1">
      <alignment horizontal="center" vertical="center" wrapText="1"/>
    </xf>
    <xf numFmtId="1" fontId="20" fillId="0" borderId="12" xfId="8" applyNumberFormat="1" applyFont="1" applyBorder="1" applyAlignment="1">
      <alignment vertical="center" wrapText="1"/>
    </xf>
    <xf numFmtId="1" fontId="19" fillId="0" borderId="2" xfId="8" applyNumberFormat="1" applyFont="1" applyBorder="1" applyAlignment="1">
      <alignment vertical="center" wrapText="1"/>
    </xf>
    <xf numFmtId="1" fontId="21" fillId="0" borderId="1" xfId="8" applyNumberFormat="1" applyFont="1" applyBorder="1" applyAlignment="1">
      <alignment vertical="center" wrapText="1"/>
    </xf>
    <xf numFmtId="1" fontId="19" fillId="0" borderId="1" xfId="8" applyNumberFormat="1" applyFont="1" applyBorder="1" applyAlignment="1">
      <alignment vertical="center"/>
    </xf>
    <xf numFmtId="1" fontId="19" fillId="0" borderId="12" xfId="8" applyNumberFormat="1" applyFont="1" applyBorder="1" applyAlignment="1">
      <alignment vertical="center" wrapText="1"/>
    </xf>
    <xf numFmtId="3" fontId="20" fillId="0" borderId="1" xfId="6" applyNumberFormat="1" applyFont="1" applyBorder="1" applyAlignment="1">
      <alignment vertical="center" wrapText="1"/>
    </xf>
    <xf numFmtId="3" fontId="19" fillId="0" borderId="1" xfId="6" applyNumberFormat="1" applyFont="1" applyBorder="1" applyAlignment="1">
      <alignment vertical="center"/>
    </xf>
    <xf numFmtId="3" fontId="20" fillId="0" borderId="1" xfId="6" applyNumberFormat="1" applyFont="1" applyBorder="1" applyAlignment="1">
      <alignment vertical="center"/>
    </xf>
    <xf numFmtId="1" fontId="20" fillId="0" borderId="12" xfId="8" applyNumberFormat="1" applyFont="1" applyBorder="1" applyAlignment="1">
      <alignment horizontal="center" vertical="center" wrapText="1"/>
    </xf>
    <xf numFmtId="3" fontId="20" fillId="0" borderId="12" xfId="6" applyNumberFormat="1" applyFont="1" applyBorder="1" applyAlignment="1">
      <alignment vertical="center" wrapText="1"/>
    </xf>
    <xf numFmtId="165" fontId="20" fillId="0" borderId="1" xfId="8" applyNumberFormat="1" applyFont="1" applyBorder="1" applyAlignment="1">
      <alignment horizontal="center" vertical="center"/>
    </xf>
    <xf numFmtId="3" fontId="19" fillId="0" borderId="1" xfId="6" applyNumberFormat="1" applyFont="1" applyBorder="1" applyAlignment="1">
      <alignment vertical="center" wrapText="1"/>
    </xf>
    <xf numFmtId="1" fontId="19" fillId="0" borderId="0" xfId="8" applyNumberFormat="1" applyFont="1" applyAlignment="1">
      <alignment vertical="center"/>
    </xf>
    <xf numFmtId="171" fontId="19" fillId="0" borderId="1" xfId="6" applyNumberFormat="1" applyFont="1" applyBorder="1" applyAlignment="1">
      <alignment vertical="center" wrapText="1"/>
    </xf>
    <xf numFmtId="171" fontId="20" fillId="0" borderId="1" xfId="6" applyNumberFormat="1" applyFont="1" applyBorder="1" applyAlignment="1">
      <alignment vertical="center" wrapText="1"/>
    </xf>
    <xf numFmtId="0" fontId="4" fillId="0" borderId="2" xfId="8" applyFont="1" applyFill="1" applyBorder="1" applyAlignment="1">
      <alignment vertical="center" wrapText="1"/>
    </xf>
    <xf numFmtId="0" fontId="4" fillId="0" borderId="1" xfId="8" applyFont="1" applyFill="1" applyBorder="1" applyAlignment="1">
      <alignment vertical="center" wrapText="1"/>
    </xf>
    <xf numFmtId="0" fontId="6" fillId="0" borderId="1" xfId="8" applyFont="1" applyFill="1" applyBorder="1" applyAlignment="1">
      <alignment vertical="center" wrapText="1"/>
    </xf>
    <xf numFmtId="0" fontId="6" fillId="0" borderId="1" xfId="8" quotePrefix="1" applyFont="1" applyFill="1" applyBorder="1" applyAlignment="1">
      <alignment vertical="center" wrapText="1"/>
    </xf>
    <xf numFmtId="165" fontId="4" fillId="0" borderId="1" xfId="8" applyNumberFormat="1" applyFont="1" applyFill="1" applyBorder="1" applyAlignment="1">
      <alignment vertical="center" wrapText="1"/>
    </xf>
    <xf numFmtId="165" fontId="6" fillId="0" borderId="1" xfId="8" applyNumberFormat="1" applyFont="1" applyFill="1" applyBorder="1" applyAlignment="1">
      <alignment vertical="center" wrapText="1"/>
    </xf>
    <xf numFmtId="0" fontId="4" fillId="0" borderId="1" xfId="8" applyFont="1" applyFill="1" applyBorder="1" applyAlignment="1">
      <alignment horizontal="center" vertical="center"/>
    </xf>
    <xf numFmtId="0" fontId="6" fillId="0" borderId="1" xfId="8" applyFont="1" applyFill="1" applyBorder="1" applyAlignment="1">
      <alignment horizontal="center" vertical="center"/>
    </xf>
    <xf numFmtId="3" fontId="4" fillId="0" borderId="1" xfId="8" applyNumberFormat="1" applyFont="1" applyFill="1" applyBorder="1" applyAlignment="1">
      <alignment vertical="center" wrapText="1"/>
    </xf>
    <xf numFmtId="3" fontId="6" fillId="0" borderId="1" xfId="8" applyNumberFormat="1" applyFont="1" applyFill="1" applyBorder="1" applyAlignment="1">
      <alignment vertical="center" wrapText="1"/>
    </xf>
    <xf numFmtId="0" fontId="6" fillId="0" borderId="12" xfId="8" applyFont="1" applyFill="1" applyBorder="1" applyAlignment="1">
      <alignment horizontal="center" vertical="center"/>
    </xf>
    <xf numFmtId="0" fontId="6" fillId="0" borderId="12" xfId="8" applyFont="1" applyFill="1" applyBorder="1" applyAlignment="1">
      <alignment vertical="center" wrapText="1"/>
    </xf>
    <xf numFmtId="0" fontId="6" fillId="0" borderId="12" xfId="8" applyFont="1" applyFill="1" applyBorder="1" applyAlignment="1">
      <alignment horizontal="center" vertical="center" wrapText="1"/>
    </xf>
    <xf numFmtId="0" fontId="2" fillId="0" borderId="1" xfId="0" applyFont="1" applyFill="1" applyBorder="1" applyAlignment="1">
      <alignment horizontal="center" vertical="center"/>
    </xf>
    <xf numFmtId="1" fontId="6" fillId="0" borderId="2" xfId="0" applyNumberFormat="1" applyFont="1" applyFill="1" applyBorder="1" applyAlignment="1">
      <alignment vertical="center" wrapText="1"/>
    </xf>
    <xf numFmtId="1" fontId="6" fillId="0" borderId="1" xfId="0" applyNumberFormat="1" applyFont="1" applyFill="1" applyBorder="1" applyAlignment="1">
      <alignment vertical="center" wrapText="1"/>
    </xf>
    <xf numFmtId="3" fontId="6" fillId="0" borderId="12" xfId="8" applyNumberFormat="1" applyFont="1" applyFill="1" applyBorder="1" applyAlignment="1">
      <alignment vertical="center" wrapText="1"/>
    </xf>
    <xf numFmtId="0" fontId="19" fillId="0" borderId="0" xfId="8" applyFont="1" applyBorder="1" applyAlignment="1">
      <alignment vertical="center" wrapText="1"/>
    </xf>
    <xf numFmtId="0" fontId="24" fillId="0" borderId="0" xfId="8" applyFont="1" applyBorder="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19" fillId="0" borderId="0" xfId="0" applyFont="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vertical="center" wrapText="1"/>
    </xf>
    <xf numFmtId="0" fontId="4" fillId="0" borderId="1" xfId="0" applyFont="1" applyBorder="1" applyAlignment="1">
      <alignment horizontal="center" vertical="center"/>
    </xf>
    <xf numFmtId="3" fontId="4" fillId="0" borderId="1" xfId="0" applyNumberFormat="1" applyFont="1" applyFill="1" applyBorder="1" applyAlignment="1">
      <alignment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wrapText="1"/>
    </xf>
    <xf numFmtId="0" fontId="6" fillId="0" borderId="12" xfId="0" applyFont="1" applyBorder="1" applyAlignment="1">
      <alignment horizontal="center" vertical="center" wrapText="1"/>
    </xf>
    <xf numFmtId="3" fontId="6" fillId="0" borderId="12" xfId="0" applyNumberFormat="1"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3" fontId="20" fillId="0" borderId="1" xfId="0" applyNumberFormat="1" applyFont="1" applyFill="1" applyBorder="1" applyAlignment="1">
      <alignment vertical="center" wrapText="1"/>
    </xf>
    <xf numFmtId="3" fontId="19" fillId="0" borderId="1" xfId="0" applyNumberFormat="1" applyFont="1" applyFill="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3" fontId="19" fillId="0" borderId="1" xfId="0" applyNumberFormat="1" applyFont="1" applyBorder="1" applyAlignment="1">
      <alignment vertical="center" wrapText="1"/>
    </xf>
    <xf numFmtId="3" fontId="20" fillId="0" borderId="1" xfId="0" applyNumberFormat="1" applyFont="1" applyBorder="1" applyAlignment="1">
      <alignment vertical="center" wrapText="1"/>
    </xf>
    <xf numFmtId="0" fontId="19"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2" xfId="0" applyFont="1" applyFill="1" applyBorder="1" applyAlignment="1">
      <alignment vertical="center" wrapText="1"/>
    </xf>
    <xf numFmtId="3" fontId="20" fillId="0" borderId="12" xfId="0" applyNumberFormat="1" applyFont="1" applyFill="1" applyBorder="1" applyAlignment="1">
      <alignment vertical="center" wrapText="1"/>
    </xf>
    <xf numFmtId="3" fontId="20" fillId="0" borderId="12" xfId="0" applyNumberFormat="1" applyFont="1" applyBorder="1" applyAlignment="1">
      <alignment vertical="center" wrapText="1"/>
    </xf>
    <xf numFmtId="0" fontId="19" fillId="0" borderId="0" xfId="8" applyFont="1" applyFill="1"/>
    <xf numFmtId="3" fontId="20" fillId="0" borderId="0" xfId="8" applyNumberFormat="1" applyFont="1" applyFill="1"/>
    <xf numFmtId="3" fontId="19" fillId="0" borderId="2" xfId="8" applyNumberFormat="1" applyFont="1" applyFill="1" applyBorder="1" applyAlignment="1">
      <alignment horizontal="center" vertical="center" wrapText="1"/>
    </xf>
    <xf numFmtId="0" fontId="21" fillId="0" borderId="1" xfId="8" applyFont="1" applyFill="1" applyBorder="1" applyAlignment="1">
      <alignment vertical="center" wrapText="1"/>
    </xf>
    <xf numFmtId="0" fontId="21" fillId="0" borderId="1" xfId="8" applyFont="1" applyFill="1" applyBorder="1" applyAlignment="1">
      <alignment horizontal="center" vertical="center" wrapText="1"/>
    </xf>
    <xf numFmtId="3" fontId="20" fillId="0" borderId="1" xfId="8" applyNumberFormat="1" applyFont="1" applyFill="1" applyBorder="1" applyAlignment="1">
      <alignment vertical="center" wrapText="1"/>
    </xf>
    <xf numFmtId="0" fontId="19" fillId="0" borderId="1" xfId="8" applyFont="1" applyFill="1" applyBorder="1" applyAlignment="1">
      <alignment horizontal="center" vertical="center"/>
    </xf>
    <xf numFmtId="0" fontId="19" fillId="0" borderId="1" xfId="8" applyFont="1" applyFill="1" applyBorder="1" applyAlignment="1">
      <alignment vertical="center"/>
    </xf>
    <xf numFmtId="3" fontId="19" fillId="0" borderId="1" xfId="8" applyNumberFormat="1" applyFont="1" applyFill="1" applyBorder="1" applyAlignment="1">
      <alignment vertical="center"/>
    </xf>
    <xf numFmtId="0" fontId="20" fillId="0" borderId="1" xfId="8" applyFont="1" applyFill="1" applyBorder="1" applyAlignment="1">
      <alignment horizontal="center" vertical="center"/>
    </xf>
    <xf numFmtId="3" fontId="20" fillId="0" borderId="1" xfId="8" applyNumberFormat="1" applyFont="1" applyFill="1" applyBorder="1" applyAlignment="1">
      <alignment vertical="center"/>
    </xf>
    <xf numFmtId="3" fontId="19" fillId="0" borderId="1" xfId="8" applyNumberFormat="1" applyFont="1" applyFill="1" applyBorder="1" applyAlignment="1">
      <alignment vertical="center" wrapText="1"/>
    </xf>
    <xf numFmtId="0" fontId="21" fillId="0" borderId="12" xfId="8" applyFont="1" applyFill="1" applyBorder="1" applyAlignment="1">
      <alignment vertical="center" wrapText="1"/>
    </xf>
    <xf numFmtId="3" fontId="20" fillId="0" borderId="12" xfId="8" applyNumberFormat="1" applyFont="1" applyFill="1" applyBorder="1" applyAlignment="1">
      <alignment vertical="center" wrapText="1"/>
    </xf>
    <xf numFmtId="3"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vertical="center" wrapText="1"/>
    </xf>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vertical="center" wrapText="1"/>
    </xf>
    <xf numFmtId="3"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vertical="center" wrapText="1"/>
    </xf>
    <xf numFmtId="166" fontId="1"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71" fontId="4" fillId="0" borderId="1" xfId="6" applyNumberFormat="1" applyFont="1" applyFill="1" applyBorder="1" applyAlignment="1">
      <alignment vertical="center" wrapText="1"/>
    </xf>
    <xf numFmtId="3" fontId="6"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Border="1" applyAlignment="1">
      <alignment horizontal="center" vertical="center" wrapText="1"/>
    </xf>
    <xf numFmtId="0" fontId="28" fillId="0" borderId="0" xfId="0" applyFont="1" applyFill="1" applyAlignment="1">
      <alignment vertical="center" wrapText="1"/>
    </xf>
    <xf numFmtId="0" fontId="28" fillId="0" borderId="4" xfId="0" applyFont="1" applyFill="1" applyBorder="1" applyAlignment="1">
      <alignment horizontal="center" vertical="center" wrapText="1"/>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righ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right" vertical="center" wrapText="1"/>
    </xf>
    <xf numFmtId="0" fontId="29" fillId="0" borderId="0" xfId="0" applyFont="1" applyFill="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1" xfId="0" applyFont="1" applyFill="1" applyBorder="1" applyAlignment="1">
      <alignment horizontal="left" vertical="center" wrapText="1"/>
    </xf>
    <xf numFmtId="1" fontId="29" fillId="0" borderId="1" xfId="0" applyNumberFormat="1" applyFont="1" applyFill="1" applyBorder="1" applyAlignment="1">
      <alignment horizontal="right" vertical="center" wrapText="1"/>
    </xf>
    <xf numFmtId="0" fontId="28" fillId="0" borderId="0" xfId="0" applyFont="1" applyFill="1" applyBorder="1" applyAlignment="1">
      <alignment horizontal="left" vertical="center" wrapText="1"/>
    </xf>
    <xf numFmtId="3" fontId="29" fillId="0" borderId="1" xfId="0" applyNumberFormat="1" applyFont="1" applyFill="1" applyBorder="1" applyAlignment="1">
      <alignment vertical="center" wrapText="1"/>
    </xf>
    <xf numFmtId="3" fontId="29" fillId="0" borderId="12" xfId="0" applyNumberFormat="1" applyFont="1" applyFill="1" applyBorder="1" applyAlignment="1">
      <alignment vertical="center" wrapText="1"/>
    </xf>
    <xf numFmtId="4" fontId="29" fillId="0" borderId="12" xfId="0" applyNumberFormat="1" applyFont="1" applyFill="1" applyBorder="1" applyAlignment="1">
      <alignment vertical="center" wrapText="1"/>
    </xf>
    <xf numFmtId="3" fontId="28" fillId="0" borderId="0" xfId="0" applyNumberFormat="1" applyFont="1" applyFill="1" applyAlignment="1">
      <alignment vertical="center" wrapText="1"/>
    </xf>
    <xf numFmtId="3" fontId="28" fillId="0" borderId="1" xfId="0" applyNumberFormat="1" applyFont="1" applyFill="1" applyBorder="1" applyAlignment="1">
      <alignment vertical="center" wrapText="1"/>
    </xf>
    <xf numFmtId="171" fontId="6" fillId="0" borderId="0" xfId="6" applyNumberFormat="1" applyFont="1" applyFill="1" applyBorder="1" applyAlignment="1">
      <alignment vertical="center"/>
    </xf>
    <xf numFmtId="171" fontId="4" fillId="0" borderId="0" xfId="6" applyNumberFormat="1" applyFont="1" applyFill="1" applyBorder="1" applyAlignment="1">
      <alignment vertical="center"/>
    </xf>
    <xf numFmtId="0" fontId="28" fillId="0" borderId="0" xfId="0" applyFont="1" applyFill="1" applyBorder="1" applyAlignment="1">
      <alignment vertical="center" wrapText="1"/>
    </xf>
    <xf numFmtId="0" fontId="6" fillId="0" borderId="1" xfId="0" applyFont="1" applyFill="1" applyBorder="1" applyAlignment="1">
      <alignment vertical="center" wrapText="1"/>
    </xf>
    <xf numFmtId="0" fontId="29" fillId="0" borderId="0" xfId="0" applyFont="1" applyFill="1" applyBorder="1" applyAlignment="1">
      <alignment vertical="center" wrapText="1"/>
    </xf>
    <xf numFmtId="0" fontId="6" fillId="0" borderId="12" xfId="0" applyFont="1" applyFill="1" applyBorder="1" applyAlignment="1">
      <alignment vertical="center" wrapText="1"/>
    </xf>
    <xf numFmtId="0" fontId="8" fillId="0" borderId="0" xfId="0" applyFont="1" applyFill="1" applyAlignment="1">
      <alignment horizontal="center" vertical="center" wrapText="1"/>
    </xf>
    <xf numFmtId="3" fontId="8" fillId="0" borderId="0" xfId="0" applyNumberFormat="1" applyFont="1" applyFill="1" applyAlignment="1">
      <alignment vertical="center" wrapText="1"/>
    </xf>
    <xf numFmtId="171" fontId="6" fillId="0" borderId="0" xfId="0" applyNumberFormat="1" applyFont="1" applyFill="1" applyAlignment="1">
      <alignment vertical="center"/>
    </xf>
    <xf numFmtId="0" fontId="9" fillId="0" borderId="0" xfId="0" applyFont="1" applyFill="1" applyAlignment="1">
      <alignment horizontal="center" vertical="center" wrapText="1"/>
    </xf>
    <xf numFmtId="171" fontId="28" fillId="0" borderId="0" xfId="6" applyNumberFormat="1" applyFont="1" applyFill="1" applyBorder="1" applyAlignment="1">
      <alignment horizontal="right" vertical="center" wrapText="1"/>
    </xf>
    <xf numFmtId="9" fontId="28" fillId="0" borderId="0" xfId="9" applyNumberFormat="1" applyFont="1" applyFill="1" applyBorder="1" applyAlignment="1">
      <alignment horizontal="right" vertical="center" wrapText="1"/>
    </xf>
    <xf numFmtId="170" fontId="28" fillId="0" borderId="0" xfId="6" applyNumberFormat="1" applyFont="1" applyFill="1" applyBorder="1" applyAlignment="1">
      <alignment horizontal="right" vertical="center" wrapText="1"/>
    </xf>
    <xf numFmtId="175" fontId="28" fillId="0" borderId="0" xfId="6" applyNumberFormat="1" applyFont="1" applyFill="1" applyBorder="1" applyAlignment="1">
      <alignment horizontal="right" vertical="center" wrapText="1"/>
    </xf>
    <xf numFmtId="9" fontId="29" fillId="0" borderId="0" xfId="0" applyNumberFormat="1" applyFont="1" applyFill="1" applyBorder="1" applyAlignment="1">
      <alignment horizontal="center" vertical="center" wrapText="1"/>
    </xf>
    <xf numFmtId="0" fontId="29" fillId="0" borderId="0" xfId="0" applyFont="1" applyFill="1" applyBorder="1" applyAlignment="1">
      <alignment horizontal="right" vertical="center" wrapText="1"/>
    </xf>
    <xf numFmtId="173" fontId="29" fillId="0" borderId="0" xfId="0" applyNumberFormat="1" applyFont="1" applyFill="1" applyBorder="1" applyAlignment="1">
      <alignment horizontal="center" vertical="center" wrapText="1"/>
    </xf>
    <xf numFmtId="174" fontId="29" fillId="0" borderId="0" xfId="0" applyNumberFormat="1" applyFont="1" applyFill="1" applyBorder="1" applyAlignment="1">
      <alignment horizontal="right" vertical="center" wrapText="1"/>
    </xf>
    <xf numFmtId="0" fontId="29" fillId="0" borderId="0" xfId="0" applyFont="1" applyFill="1" applyBorder="1" applyAlignment="1">
      <alignment horizontal="center" vertical="center" wrapText="1"/>
    </xf>
    <xf numFmtId="1" fontId="29" fillId="0" borderId="0" xfId="0" applyNumberFormat="1" applyFont="1" applyFill="1" applyBorder="1" applyAlignment="1">
      <alignment horizontal="right" vertical="center" wrapText="1"/>
    </xf>
    <xf numFmtId="176" fontId="28" fillId="0" borderId="0" xfId="6" applyNumberFormat="1" applyFont="1" applyFill="1" applyBorder="1" applyAlignment="1">
      <alignment vertical="center" wrapText="1"/>
    </xf>
    <xf numFmtId="10" fontId="28" fillId="0" borderId="0" xfId="9" applyNumberFormat="1" applyFont="1" applyFill="1" applyBorder="1" applyAlignment="1">
      <alignment horizontal="right" vertical="center" wrapText="1"/>
    </xf>
    <xf numFmtId="171" fontId="4" fillId="0" borderId="2" xfId="6" applyNumberFormat="1" applyFont="1" applyFill="1" applyBorder="1" applyAlignment="1">
      <alignment horizontal="right" vertical="center" wrapText="1"/>
    </xf>
    <xf numFmtId="9" fontId="4" fillId="0" borderId="2" xfId="9" applyNumberFormat="1" applyFont="1" applyFill="1" applyBorder="1" applyAlignment="1">
      <alignment horizontal="right" vertical="center" wrapText="1"/>
    </xf>
    <xf numFmtId="171" fontId="6" fillId="0" borderId="1" xfId="6" applyNumberFormat="1" applyFont="1" applyFill="1" applyBorder="1" applyAlignment="1">
      <alignment horizontal="right" vertical="center" wrapText="1"/>
    </xf>
    <xf numFmtId="173" fontId="29" fillId="0" borderId="1" xfId="9" applyNumberFormat="1" applyFont="1" applyFill="1" applyBorder="1" applyAlignment="1">
      <alignment horizontal="right" vertical="center" wrapText="1"/>
    </xf>
    <xf numFmtId="1" fontId="29" fillId="0" borderId="1" xfId="0" applyNumberFormat="1" applyFont="1" applyFill="1" applyBorder="1" applyAlignment="1">
      <alignment vertical="center" wrapText="1"/>
    </xf>
    <xf numFmtId="10" fontId="29" fillId="0" borderId="1" xfId="9" applyNumberFormat="1" applyFont="1" applyFill="1" applyBorder="1" applyAlignment="1">
      <alignment horizontal="right" vertical="center" wrapText="1"/>
    </xf>
    <xf numFmtId="9" fontId="29" fillId="0" borderId="1" xfId="9" applyFont="1" applyFill="1" applyBorder="1" applyAlignment="1">
      <alignment horizontal="right" vertical="center" wrapText="1"/>
    </xf>
    <xf numFmtId="0" fontId="29" fillId="0" borderId="12" xfId="0" applyFont="1" applyFill="1" applyBorder="1" applyAlignment="1">
      <alignment horizontal="left" vertical="center" wrapText="1"/>
    </xf>
    <xf numFmtId="171" fontId="6" fillId="0" borderId="12" xfId="6" applyNumberFormat="1" applyFont="1" applyFill="1" applyBorder="1" applyAlignment="1">
      <alignment horizontal="right" vertical="center" wrapText="1"/>
    </xf>
    <xf numFmtId="9" fontId="29" fillId="0" borderId="12" xfId="9" applyFont="1" applyFill="1" applyBorder="1" applyAlignment="1">
      <alignment horizontal="right" vertical="center" wrapText="1"/>
    </xf>
    <xf numFmtId="1" fontId="29" fillId="0" borderId="12" xfId="0" applyNumberFormat="1" applyFont="1" applyFill="1" applyBorder="1" applyAlignment="1">
      <alignment vertical="center" wrapText="1"/>
    </xf>
    <xf numFmtId="10" fontId="29" fillId="0" borderId="12" xfId="9" applyNumberFormat="1" applyFont="1" applyFill="1" applyBorder="1" applyAlignment="1">
      <alignment horizontal="right" vertical="center" wrapText="1"/>
    </xf>
    <xf numFmtId="1" fontId="29" fillId="0" borderId="1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4" xfId="0" applyFont="1" applyFill="1" applyBorder="1" applyAlignment="1">
      <alignment horizontal="center" vertical="center" wrapText="1"/>
    </xf>
    <xf numFmtId="3" fontId="28" fillId="0" borderId="0" xfId="0" applyNumberFormat="1" applyFont="1" applyFill="1" applyBorder="1" applyAlignment="1">
      <alignment vertical="center" wrapText="1"/>
    </xf>
    <xf numFmtId="3" fontId="29" fillId="0" borderId="0" xfId="0" applyNumberFormat="1" applyFont="1" applyFill="1" applyBorder="1" applyAlignment="1">
      <alignment vertical="center" wrapText="1"/>
    </xf>
    <xf numFmtId="0" fontId="4" fillId="0" borderId="1" xfId="0" applyFont="1" applyFill="1" applyBorder="1" applyAlignment="1">
      <alignment horizontal="center" vertical="center" wrapText="1"/>
    </xf>
    <xf numFmtId="9" fontId="6" fillId="0" borderId="2" xfId="9" applyFont="1" applyFill="1" applyBorder="1" applyAlignment="1">
      <alignment horizontal="right" vertical="center" wrapText="1"/>
    </xf>
    <xf numFmtId="0" fontId="6" fillId="0" borderId="1" xfId="0" applyFont="1" applyFill="1" applyBorder="1" applyAlignment="1">
      <alignment horizontal="left" vertical="center" wrapText="1"/>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3" fontId="9" fillId="0" borderId="1" xfId="6" applyNumberFormat="1" applyFont="1" applyFill="1" applyBorder="1" applyAlignment="1">
      <alignment horizontal="center" vertical="center"/>
    </xf>
    <xf numFmtId="3" fontId="9" fillId="0" borderId="0" xfId="0" applyNumberFormat="1" applyFont="1" applyFill="1" applyAlignment="1">
      <alignment vertical="center"/>
    </xf>
    <xf numFmtId="0" fontId="9" fillId="0" borderId="0" xfId="0" applyFont="1" applyFill="1" applyAlignment="1">
      <alignment vertical="center"/>
    </xf>
    <xf numFmtId="0" fontId="9" fillId="0" borderId="1" xfId="0" applyFont="1" applyFill="1" applyBorder="1" applyAlignment="1">
      <alignment vertical="center" wrapText="1"/>
    </xf>
    <xf numFmtId="3" fontId="8" fillId="0" borderId="1" xfId="6"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quotePrefix="1" applyFont="1" applyFill="1" applyBorder="1" applyAlignment="1">
      <alignment horizontal="center" vertical="center"/>
    </xf>
    <xf numFmtId="0" fontId="8" fillId="0" borderId="1" xfId="0" applyFont="1" applyFill="1" applyBorder="1" applyAlignment="1">
      <alignment horizontal="left" vertical="center" wrapText="1"/>
    </xf>
    <xf numFmtId="3" fontId="8" fillId="0" borderId="0" xfId="0" applyNumberFormat="1" applyFont="1" applyFill="1" applyAlignment="1">
      <alignment horizontal="center" vertical="center"/>
    </xf>
    <xf numFmtId="173" fontId="6" fillId="0" borderId="2" xfId="9" applyNumberFormat="1" applyFont="1" applyFill="1" applyBorder="1" applyAlignment="1">
      <alignment horizontal="right" vertical="center" wrapText="1"/>
    </xf>
    <xf numFmtId="173" fontId="6" fillId="0" borderId="1" xfId="9" applyNumberFormat="1" applyFont="1" applyFill="1" applyBorder="1" applyAlignment="1">
      <alignment horizontal="right" vertical="center" wrapText="1"/>
    </xf>
    <xf numFmtId="0" fontId="27" fillId="0" borderId="1" xfId="0" applyFont="1" applyFill="1" applyBorder="1" applyAlignment="1">
      <alignment horizontal="center" vertical="center"/>
    </xf>
    <xf numFmtId="0" fontId="27" fillId="0" borderId="1" xfId="0" applyFont="1" applyFill="1" applyBorder="1" applyAlignment="1">
      <alignment vertical="center" wrapText="1"/>
    </xf>
    <xf numFmtId="3" fontId="27" fillId="0" borderId="1" xfId="6" applyNumberFormat="1" applyFont="1" applyFill="1" applyBorder="1" applyAlignment="1">
      <alignment horizontal="center" vertical="center"/>
    </xf>
    <xf numFmtId="0" fontId="27" fillId="0" borderId="0" xfId="0" applyFont="1" applyFill="1" applyAlignment="1">
      <alignment vertical="center"/>
    </xf>
    <xf numFmtId="3" fontId="8" fillId="0" borderId="1" xfId="6" applyNumberFormat="1" applyFont="1" applyFill="1" applyBorder="1" applyAlignment="1">
      <alignment horizontal="center" vertical="center" wrapText="1"/>
    </xf>
    <xf numFmtId="9" fontId="9" fillId="0" borderId="0" xfId="9" applyNumberFormat="1" applyFont="1" applyFill="1" applyAlignment="1">
      <alignment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wrapText="1"/>
    </xf>
    <xf numFmtId="3" fontId="8" fillId="0" borderId="12" xfId="6" applyNumberFormat="1" applyFont="1" applyFill="1" applyBorder="1" applyAlignment="1">
      <alignment horizontal="center" vertical="center"/>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left" vertical="center"/>
    </xf>
    <xf numFmtId="3" fontId="2" fillId="0" borderId="0" xfId="0" applyNumberFormat="1" applyFont="1" applyFill="1" applyAlignment="1">
      <alignment horizontal="center" vertical="center"/>
    </xf>
    <xf numFmtId="3" fontId="1" fillId="0" borderId="0" xfId="0" applyNumberFormat="1"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1" fillId="0" borderId="1" xfId="6" applyNumberFormat="1" applyFont="1" applyFill="1" applyBorder="1" applyAlignment="1">
      <alignment vertical="center"/>
    </xf>
    <xf numFmtId="171" fontId="1" fillId="0" borderId="0" xfId="0" applyNumberFormat="1" applyFont="1" applyFill="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3" fontId="1" fillId="0" borderId="12" xfId="6" applyNumberFormat="1" applyFont="1" applyFill="1" applyBorder="1" applyAlignment="1">
      <alignment vertical="center"/>
    </xf>
    <xf numFmtId="1" fontId="1" fillId="0" borderId="0" xfId="0" applyNumberFormat="1" applyFont="1" applyFill="1" applyAlignment="1">
      <alignment vertical="center"/>
    </xf>
    <xf numFmtId="3" fontId="1" fillId="0" borderId="0" xfId="0" applyNumberFormat="1" applyFont="1" applyFill="1" applyBorder="1" applyAlignment="1">
      <alignment vertical="center"/>
    </xf>
    <xf numFmtId="171" fontId="9" fillId="0" borderId="1" xfId="6" applyNumberFormat="1" applyFont="1" applyFill="1" applyBorder="1" applyAlignment="1">
      <alignment vertical="center"/>
    </xf>
    <xf numFmtId="3" fontId="8" fillId="0" borderId="1" xfId="6" applyNumberFormat="1" applyFont="1" applyFill="1" applyBorder="1" applyAlignment="1">
      <alignment vertical="center"/>
    </xf>
    <xf numFmtId="0" fontId="9" fillId="0" borderId="1" xfId="0" applyFont="1" applyFill="1" applyBorder="1" applyAlignment="1">
      <alignment vertical="center"/>
    </xf>
    <xf numFmtId="171" fontId="8" fillId="0" borderId="1" xfId="6" applyNumberFormat="1" applyFont="1" applyFill="1" applyBorder="1" applyAlignment="1">
      <alignment vertical="center"/>
    </xf>
    <xf numFmtId="3" fontId="9" fillId="0" borderId="1" xfId="6" applyNumberFormat="1" applyFont="1" applyFill="1" applyBorder="1" applyAlignment="1">
      <alignment vertical="center"/>
    </xf>
    <xf numFmtId="3" fontId="27" fillId="0" borderId="1" xfId="6" applyNumberFormat="1" applyFont="1" applyFill="1" applyBorder="1" applyAlignment="1">
      <alignment vertical="center"/>
    </xf>
    <xf numFmtId="3" fontId="8" fillId="0" borderId="12" xfId="6" applyNumberFormat="1" applyFont="1" applyFill="1" applyBorder="1" applyAlignment="1">
      <alignment vertical="center"/>
    </xf>
    <xf numFmtId="171" fontId="27" fillId="0" borderId="1" xfId="6" applyNumberFormat="1" applyFont="1" applyFill="1" applyBorder="1" applyAlignment="1">
      <alignment vertical="center"/>
    </xf>
    <xf numFmtId="171" fontId="8" fillId="0" borderId="12" xfId="6" applyNumberFormat="1" applyFont="1" applyFill="1" applyBorder="1" applyAlignment="1">
      <alignment vertical="center"/>
    </xf>
    <xf numFmtId="10" fontId="6" fillId="0" borderId="2" xfId="9" applyNumberFormat="1" applyFont="1" applyFill="1" applyBorder="1" applyAlignment="1">
      <alignment horizontal="right" vertical="center" wrapText="1"/>
    </xf>
    <xf numFmtId="10" fontId="20" fillId="0" borderId="0" xfId="9" applyNumberFormat="1" applyFont="1" applyFill="1"/>
    <xf numFmtId="171" fontId="9" fillId="0" borderId="0" xfId="6" applyNumberFormat="1" applyFont="1" applyFill="1" applyAlignment="1">
      <alignment vertical="center"/>
    </xf>
    <xf numFmtId="0" fontId="2"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vertical="center" wrapText="1"/>
    </xf>
    <xf numFmtId="0" fontId="2" fillId="0" borderId="4" xfId="0" applyFont="1" applyFill="1" applyBorder="1" applyAlignment="1">
      <alignment horizontal="left" vertical="center" wrapText="1"/>
    </xf>
    <xf numFmtId="0" fontId="32" fillId="0" borderId="0" xfId="0" applyFont="1" applyFill="1" applyAlignment="1">
      <alignment vertical="center" wrapText="1"/>
    </xf>
    <xf numFmtId="1" fontId="33" fillId="0" borderId="0" xfId="0" applyNumberFormat="1" applyFont="1" applyFill="1" applyAlignment="1">
      <alignment vertical="center"/>
    </xf>
    <xf numFmtId="0" fontId="34" fillId="0" borderId="4" xfId="0" applyFont="1" applyFill="1" applyBorder="1" applyAlignment="1">
      <alignment horizontal="center" vertical="center" wrapText="1"/>
    </xf>
    <xf numFmtId="0" fontId="3" fillId="0" borderId="9" xfId="0" applyFont="1" applyFill="1" applyBorder="1" applyAlignment="1">
      <alignment vertical="center"/>
    </xf>
    <xf numFmtId="0" fontId="9" fillId="0" borderId="4" xfId="1" applyFont="1" applyFill="1" applyBorder="1" applyAlignment="1">
      <alignment horizontal="center" vertical="center" wrapText="1"/>
    </xf>
    <xf numFmtId="0" fontId="17" fillId="0" borderId="0" xfId="0" applyFont="1" applyAlignment="1">
      <alignment vertical="center" wrapText="1"/>
    </xf>
    <xf numFmtId="0" fontId="36" fillId="0" borderId="0" xfId="0" applyFont="1" applyAlignment="1">
      <alignment horizontal="center" vertical="center"/>
    </xf>
    <xf numFmtId="0" fontId="24" fillId="0" borderId="0" xfId="0" applyFont="1" applyAlignment="1">
      <alignment vertical="center"/>
    </xf>
    <xf numFmtId="0" fontId="18" fillId="0" borderId="0" xfId="0" applyFont="1" applyAlignment="1">
      <alignment horizontal="center" vertical="center"/>
    </xf>
    <xf numFmtId="0" fontId="37" fillId="0" borderId="0" xfId="0" applyFont="1" applyBorder="1" applyAlignment="1">
      <alignment horizontal="right" vertical="center"/>
    </xf>
    <xf numFmtId="0" fontId="38" fillId="0" borderId="0" xfId="0" applyFont="1" applyAlignment="1">
      <alignment horizontal="center" vertical="center"/>
    </xf>
    <xf numFmtId="0" fontId="40" fillId="0" borderId="0" xfId="0" applyFont="1" applyAlignment="1">
      <alignment horizontal="center" vertical="center"/>
    </xf>
    <xf numFmtId="0" fontId="38" fillId="0" borderId="4" xfId="0" applyFont="1" applyBorder="1" applyAlignment="1">
      <alignment horizontal="center" vertical="center"/>
    </xf>
    <xf numFmtId="0" fontId="38" fillId="0" borderId="4" xfId="0" applyFont="1" applyBorder="1" applyAlignment="1">
      <alignment horizontal="center" vertical="center" wrapText="1"/>
    </xf>
    <xf numFmtId="0" fontId="41" fillId="0" borderId="4" xfId="0" applyFont="1" applyBorder="1" applyAlignment="1">
      <alignment horizontal="center" vertical="center"/>
    </xf>
    <xf numFmtId="169" fontId="42" fillId="0" borderId="4" xfId="6" applyNumberFormat="1" applyFont="1" applyBorder="1" applyAlignment="1">
      <alignment horizontal="center" vertical="center"/>
    </xf>
    <xf numFmtId="0" fontId="41" fillId="0" borderId="0" xfId="0" applyFont="1" applyAlignment="1">
      <alignment horizontal="center" vertical="center"/>
    </xf>
    <xf numFmtId="0" fontId="41" fillId="0" borderId="2" xfId="0" applyFont="1" applyBorder="1" applyAlignment="1">
      <alignment horizontal="center" vertical="center" wrapText="1"/>
    </xf>
    <xf numFmtId="0" fontId="41" fillId="0" borderId="2" xfId="0" applyFont="1" applyBorder="1" applyAlignment="1">
      <alignment horizontal="left" vertical="center" wrapText="1"/>
    </xf>
    <xf numFmtId="169" fontId="42" fillId="0" borderId="2" xfId="6" applyNumberFormat="1" applyFont="1" applyBorder="1" applyAlignment="1">
      <alignment horizontal="center" vertical="center"/>
    </xf>
    <xf numFmtId="169" fontId="43" fillId="0" borderId="2" xfId="6" applyNumberFormat="1" applyFont="1" applyBorder="1" applyAlignment="1">
      <alignment horizontal="center" vertical="center"/>
    </xf>
    <xf numFmtId="169" fontId="43" fillId="0" borderId="2" xfId="6" applyNumberFormat="1" applyFont="1" applyBorder="1" applyAlignment="1">
      <alignment horizontal="center" vertical="center" wrapText="1"/>
    </xf>
    <xf numFmtId="0" fontId="41" fillId="0" borderId="1" xfId="0" applyFont="1" applyBorder="1" applyAlignment="1">
      <alignment horizontal="center" vertical="center"/>
    </xf>
    <xf numFmtId="0" fontId="41" fillId="0" borderId="1" xfId="0" applyFont="1" applyBorder="1" applyAlignment="1">
      <alignment horizontal="left" vertical="center" wrapText="1"/>
    </xf>
    <xf numFmtId="169" fontId="42" fillId="0" borderId="1" xfId="6" applyNumberFormat="1" applyFont="1" applyBorder="1" applyAlignment="1">
      <alignment horizontal="center" vertical="center"/>
    </xf>
    <xf numFmtId="169" fontId="43" fillId="0" borderId="1" xfId="6" applyNumberFormat="1" applyFont="1" applyBorder="1" applyAlignment="1">
      <alignment horizontal="center" vertical="center"/>
    </xf>
    <xf numFmtId="169" fontId="43" fillId="0" borderId="1" xfId="6" applyNumberFormat="1" applyFont="1" applyBorder="1" applyAlignment="1">
      <alignment horizontal="center" vertical="center" wrapText="1"/>
    </xf>
    <xf numFmtId="0" fontId="41" fillId="0" borderId="1" xfId="0" applyFont="1" applyBorder="1" applyAlignment="1">
      <alignment horizontal="center" vertical="center" wrapText="1"/>
    </xf>
    <xf numFmtId="0" fontId="41" fillId="0" borderId="0" xfId="0" applyFont="1" applyAlignment="1">
      <alignment horizontal="center" vertical="center" wrapText="1"/>
    </xf>
    <xf numFmtId="0" fontId="41" fillId="0" borderId="12" xfId="0" applyFont="1" applyBorder="1" applyAlignment="1">
      <alignment horizontal="center" vertical="center"/>
    </xf>
    <xf numFmtId="0" fontId="41" fillId="0" borderId="12" xfId="0" applyFont="1" applyBorder="1" applyAlignment="1">
      <alignment horizontal="left" vertical="center" wrapText="1"/>
    </xf>
    <xf numFmtId="169" fontId="42" fillId="0" borderId="12" xfId="6" applyNumberFormat="1" applyFont="1" applyBorder="1" applyAlignment="1">
      <alignment horizontal="center" vertical="center"/>
    </xf>
    <xf numFmtId="169" fontId="43" fillId="0" borderId="12" xfId="6" applyNumberFormat="1" applyFont="1" applyBorder="1" applyAlignment="1">
      <alignment horizontal="center" vertical="center"/>
    </xf>
    <xf numFmtId="169" fontId="43" fillId="0" borderId="12" xfId="6" applyNumberFormat="1" applyFont="1" applyBorder="1" applyAlignment="1">
      <alignment horizontal="center" vertical="center" wrapText="1"/>
    </xf>
    <xf numFmtId="169" fontId="42" fillId="0" borderId="4" xfId="0" applyNumberFormat="1" applyFont="1" applyBorder="1" applyAlignment="1">
      <alignment horizontal="center" vertical="center"/>
    </xf>
    <xf numFmtId="0" fontId="41" fillId="0" borderId="2" xfId="0" applyFont="1" applyBorder="1" applyAlignment="1">
      <alignment horizontal="center" vertical="center"/>
    </xf>
    <xf numFmtId="0" fontId="41" fillId="0" borderId="2" xfId="0" applyFont="1" applyBorder="1" applyAlignment="1">
      <alignment horizontal="left" vertical="center"/>
    </xf>
    <xf numFmtId="0" fontId="41" fillId="0" borderId="1" xfId="0" applyFont="1" applyBorder="1" applyAlignment="1">
      <alignment horizontal="left" vertical="center"/>
    </xf>
    <xf numFmtId="0" fontId="41" fillId="0" borderId="12" xfId="0" applyFont="1" applyBorder="1" applyAlignment="1">
      <alignment horizontal="left" vertical="center"/>
    </xf>
    <xf numFmtId="177" fontId="18" fillId="0" borderId="0" xfId="0" applyNumberFormat="1" applyFont="1" applyAlignment="1">
      <alignment horizontal="center" vertical="center"/>
    </xf>
    <xf numFmtId="169" fontId="41" fillId="0" borderId="0" xfId="0" applyNumberFormat="1" applyFont="1" applyAlignment="1">
      <alignment horizontal="center" vertical="center"/>
    </xf>
    <xf numFmtId="178" fontId="18" fillId="0" borderId="0" xfId="0" applyNumberFormat="1" applyFont="1" applyAlignment="1">
      <alignment horizontal="center" vertical="center"/>
    </xf>
    <xf numFmtId="3" fontId="18" fillId="0" borderId="0" xfId="0" applyNumberFormat="1" applyFont="1" applyAlignment="1">
      <alignment horizontal="center" vertical="center"/>
    </xf>
    <xf numFmtId="0" fontId="5" fillId="0" borderId="0" xfId="0" applyFont="1" applyFill="1"/>
    <xf numFmtId="0" fontId="45" fillId="0" borderId="0" xfId="1" applyFont="1" applyFill="1" applyBorder="1" applyAlignment="1">
      <alignment horizontal="center" vertical="center" wrapText="1"/>
    </xf>
    <xf numFmtId="0" fontId="45" fillId="0" borderId="0" xfId="1" applyFont="1" applyFill="1" applyBorder="1" applyAlignment="1">
      <alignment horizontal="left" vertical="center" wrapText="1"/>
    </xf>
    <xf numFmtId="0" fontId="45" fillId="0" borderId="0" xfId="1" applyFont="1" applyFill="1" applyBorder="1" applyAlignment="1">
      <alignment horizontal="right" vertical="center" wrapText="1"/>
    </xf>
    <xf numFmtId="179" fontId="45" fillId="0" borderId="0" xfId="10" applyNumberFormat="1" applyFont="1" applyFill="1" applyBorder="1" applyAlignment="1">
      <alignment horizontal="center" vertical="center" wrapText="1"/>
    </xf>
    <xf numFmtId="0" fontId="47" fillId="0" borderId="4"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7" xfId="1" applyFont="1" applyFill="1" applyBorder="1" applyAlignment="1">
      <alignment horizontal="center" vertical="center" wrapText="1"/>
    </xf>
    <xf numFmtId="179" fontId="5" fillId="0" borderId="7" xfId="10" applyNumberFormat="1" applyFont="1" applyFill="1" applyBorder="1" applyAlignment="1">
      <alignment horizontal="center" vertical="center" wrapText="1"/>
    </xf>
    <xf numFmtId="3" fontId="6" fillId="0" borderId="4" xfId="11"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Font="1" applyAlignment="1">
      <alignment horizontal="center"/>
    </xf>
    <xf numFmtId="0" fontId="45" fillId="0" borderId="4" xfId="1" applyFont="1" applyFill="1" applyBorder="1" applyAlignment="1">
      <alignment horizontal="center" vertical="center" wrapText="1"/>
    </xf>
    <xf numFmtId="3" fontId="47" fillId="0" borderId="4" xfId="1" applyNumberFormat="1" applyFont="1" applyFill="1" applyBorder="1" applyAlignment="1">
      <alignment horizontal="right" vertical="center" wrapText="1"/>
    </xf>
    <xf numFmtId="179" fontId="47" fillId="0" borderId="4" xfId="10" applyNumberFormat="1" applyFont="1" applyFill="1" applyBorder="1" applyAlignment="1">
      <alignment horizontal="right" vertical="center" wrapText="1"/>
    </xf>
    <xf numFmtId="166" fontId="47" fillId="0" borderId="4" xfId="1" applyNumberFormat="1" applyFont="1" applyFill="1" applyBorder="1" applyAlignment="1">
      <alignment horizontal="right" vertical="center" wrapText="1"/>
    </xf>
    <xf numFmtId="166" fontId="47" fillId="0" borderId="4" xfId="1" applyNumberFormat="1" applyFont="1" applyFill="1" applyBorder="1" applyAlignment="1">
      <alignment horizontal="center" vertical="center" wrapText="1"/>
    </xf>
    <xf numFmtId="0" fontId="47" fillId="0" borderId="4" xfId="0" applyFont="1" applyFill="1" applyBorder="1" applyAlignment="1">
      <alignment vertical="center" wrapText="1"/>
    </xf>
    <xf numFmtId="3" fontId="47" fillId="0" borderId="4" xfId="0" applyNumberFormat="1" applyFont="1" applyFill="1" applyBorder="1" applyAlignment="1">
      <alignment horizontal="right" vertical="center" wrapText="1"/>
    </xf>
    <xf numFmtId="166" fontId="47" fillId="0" borderId="4" xfId="0" applyNumberFormat="1" applyFont="1" applyFill="1" applyBorder="1" applyAlignment="1">
      <alignment horizontal="right" vertical="center" wrapText="1"/>
    </xf>
    <xf numFmtId="166" fontId="47" fillId="0" borderId="4" xfId="0" applyNumberFormat="1" applyFont="1" applyFill="1" applyBorder="1" applyAlignment="1">
      <alignment horizontal="center" vertical="center" wrapText="1"/>
    </xf>
    <xf numFmtId="0" fontId="49" fillId="0" borderId="4" xfId="1" applyFont="1" applyFill="1" applyBorder="1" applyAlignment="1">
      <alignment horizontal="center" vertical="center" wrapText="1"/>
    </xf>
    <xf numFmtId="0" fontId="49" fillId="0" borderId="4" xfId="0" applyFont="1" applyFill="1" applyBorder="1" applyAlignment="1">
      <alignment vertical="center" wrapText="1"/>
    </xf>
    <xf numFmtId="3" fontId="49" fillId="0" borderId="4" xfId="1" applyNumberFormat="1" applyFont="1" applyFill="1" applyBorder="1" applyAlignment="1">
      <alignment horizontal="right" vertical="center" wrapText="1"/>
    </xf>
    <xf numFmtId="179" fontId="49" fillId="0" borderId="4" xfId="10" applyNumberFormat="1" applyFont="1" applyFill="1" applyBorder="1" applyAlignment="1">
      <alignment horizontal="right" vertical="center" wrapText="1"/>
    </xf>
    <xf numFmtId="166" fontId="49" fillId="0" borderId="4" xfId="1" applyNumberFormat="1" applyFont="1" applyFill="1" applyBorder="1" applyAlignment="1">
      <alignment horizontal="right" vertical="center" wrapText="1"/>
    </xf>
    <xf numFmtId="0" fontId="47" fillId="0" borderId="0" xfId="0" applyFont="1" applyFill="1"/>
    <xf numFmtId="3" fontId="5" fillId="0" borderId="4" xfId="11" applyNumberFormat="1" applyFont="1" applyFill="1" applyBorder="1" applyAlignment="1">
      <alignment horizontal="center" vertical="center" wrapText="1"/>
    </xf>
    <xf numFmtId="3" fontId="5" fillId="0" borderId="4" xfId="1" applyNumberFormat="1" applyFont="1" applyFill="1" applyBorder="1" applyAlignment="1">
      <alignment horizontal="right" vertical="center" wrapText="1"/>
    </xf>
    <xf numFmtId="179" fontId="5" fillId="0" borderId="4" xfId="10" applyNumberFormat="1" applyFont="1" applyFill="1" applyBorder="1" applyAlignment="1">
      <alignment horizontal="right" vertical="center" wrapText="1"/>
    </xf>
    <xf numFmtId="3" fontId="45" fillId="0" borderId="4" xfId="11" applyNumberFormat="1" applyFont="1" applyFill="1" applyBorder="1" applyAlignment="1">
      <alignment horizontal="center" vertical="center" wrapText="1"/>
    </xf>
    <xf numFmtId="3" fontId="45" fillId="0" borderId="4" xfId="1" applyNumberFormat="1" applyFont="1" applyFill="1" applyBorder="1" applyAlignment="1">
      <alignment horizontal="right" vertical="center" wrapText="1"/>
    </xf>
    <xf numFmtId="179" fontId="45" fillId="0" borderId="4" xfId="10" applyNumberFormat="1" applyFont="1" applyFill="1" applyBorder="1" applyAlignment="1">
      <alignment horizontal="right" vertical="center" wrapText="1"/>
    </xf>
    <xf numFmtId="0" fontId="45" fillId="0" borderId="0" xfId="0" applyFont="1" applyFill="1"/>
    <xf numFmtId="3" fontId="47" fillId="0" borderId="4" xfId="11" applyNumberFormat="1" applyFont="1" applyFill="1" applyBorder="1" applyAlignment="1">
      <alignment horizontal="center" vertical="center" wrapText="1"/>
    </xf>
    <xf numFmtId="0" fontId="47" fillId="0" borderId="4" xfId="0" applyFont="1" applyFill="1" applyBorder="1" applyAlignment="1">
      <alignment horizontal="left" vertical="center" wrapText="1"/>
    </xf>
    <xf numFmtId="0" fontId="5" fillId="0" borderId="6" xfId="0" applyFont="1" applyFill="1" applyBorder="1" applyAlignment="1">
      <alignment vertical="top"/>
    </xf>
    <xf numFmtId="0" fontId="49" fillId="0" borderId="4" xfId="0" applyFont="1" applyFill="1" applyBorder="1" applyAlignment="1">
      <alignment horizontal="center" vertical="center"/>
    </xf>
    <xf numFmtId="0" fontId="49" fillId="0" borderId="4" xfId="0" applyFont="1" applyFill="1" applyBorder="1"/>
    <xf numFmtId="3" fontId="49" fillId="0" borderId="4" xfId="0" applyNumberFormat="1" applyFont="1" applyFill="1" applyBorder="1" applyAlignment="1">
      <alignment horizontal="right" vertical="center"/>
    </xf>
    <xf numFmtId="179" fontId="49" fillId="0" borderId="4" xfId="10" applyNumberFormat="1" applyFont="1" applyFill="1" applyBorder="1" applyAlignment="1">
      <alignment horizontal="right" vertical="center"/>
    </xf>
    <xf numFmtId="166" fontId="47" fillId="0" borderId="4" xfId="0" applyNumberFormat="1" applyFont="1" applyFill="1" applyBorder="1" applyAlignment="1">
      <alignment horizontal="center" vertical="center"/>
    </xf>
    <xf numFmtId="166" fontId="49" fillId="0" borderId="4" xfId="0" applyNumberFormat="1" applyFont="1" applyFill="1" applyBorder="1" applyAlignment="1">
      <alignment horizontal="right" vertical="center" wrapText="1"/>
    </xf>
    <xf numFmtId="0" fontId="49" fillId="0" borderId="0" xfId="0" applyFont="1" applyFill="1"/>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3" fontId="5" fillId="0" borderId="4" xfId="0" applyNumberFormat="1" applyFont="1" applyFill="1" applyBorder="1" applyAlignment="1">
      <alignment horizontal="right" vertical="center"/>
    </xf>
    <xf numFmtId="3" fontId="5" fillId="0" borderId="4" xfId="0" applyNumberFormat="1" applyFont="1" applyFill="1" applyBorder="1" applyAlignment="1">
      <alignment horizontal="right"/>
    </xf>
    <xf numFmtId="3" fontId="5" fillId="0" borderId="4" xfId="0" applyNumberFormat="1" applyFont="1" applyFill="1" applyBorder="1" applyAlignment="1">
      <alignment horizontal="center" vertical="center" wrapText="1"/>
    </xf>
    <xf numFmtId="0" fontId="49" fillId="0" borderId="4" xfId="1" applyFont="1" applyFill="1" applyBorder="1" applyAlignment="1">
      <alignment horizontal="center" vertical="center"/>
    </xf>
    <xf numFmtId="3" fontId="49" fillId="0" borderId="4" xfId="1" applyNumberFormat="1" applyFont="1" applyFill="1" applyBorder="1" applyAlignment="1">
      <alignment horizontal="center" vertical="center" wrapText="1"/>
    </xf>
    <xf numFmtId="3" fontId="49" fillId="0" borderId="4" xfId="1" applyNumberFormat="1" applyFont="1" applyFill="1" applyBorder="1" applyAlignment="1">
      <alignment horizontal="right" vertical="center"/>
    </xf>
    <xf numFmtId="166" fontId="47" fillId="0" borderId="4" xfId="1" applyNumberFormat="1" applyFont="1" applyFill="1" applyBorder="1" applyAlignment="1">
      <alignment horizontal="center" vertical="center"/>
    </xf>
    <xf numFmtId="0" fontId="5" fillId="0" borderId="4" xfId="1" applyFont="1" applyFill="1" applyBorder="1" applyAlignment="1">
      <alignment horizontal="center" vertical="center"/>
    </xf>
    <xf numFmtId="3" fontId="5" fillId="0" borderId="4" xfId="1" applyNumberFormat="1" applyFont="1" applyFill="1" applyBorder="1" applyAlignment="1">
      <alignment horizontal="center" vertical="center" wrapText="1"/>
    </xf>
    <xf numFmtId="3" fontId="5" fillId="0" borderId="4" xfId="1" applyNumberFormat="1" applyFont="1" applyFill="1" applyBorder="1" applyAlignment="1">
      <alignment horizontal="right" vertical="center"/>
    </xf>
    <xf numFmtId="0" fontId="49" fillId="0" borderId="4" xfId="0" applyFont="1" applyFill="1" applyBorder="1" applyAlignment="1">
      <alignment horizontal="right" vertical="center"/>
    </xf>
    <xf numFmtId="0" fontId="49" fillId="0" borderId="4" xfId="0" applyFont="1" applyFill="1" applyBorder="1" applyAlignment="1">
      <alignment horizontal="center" wrapText="1"/>
    </xf>
    <xf numFmtId="1" fontId="49"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right" vertical="center" wrapText="1"/>
    </xf>
    <xf numFmtId="1" fontId="5" fillId="0" borderId="4" xfId="0" applyNumberFormat="1" applyFont="1" applyFill="1" applyBorder="1" applyAlignment="1">
      <alignment horizontal="center" vertical="center" wrapText="1"/>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3" fontId="47" fillId="0" borderId="4" xfId="0" applyNumberFormat="1" applyFont="1" applyFill="1" applyBorder="1" applyAlignment="1">
      <alignment horizontal="right" vertical="center"/>
    </xf>
    <xf numFmtId="179" fontId="47" fillId="0" borderId="4" xfId="10" applyNumberFormat="1" applyFont="1" applyFill="1" applyBorder="1" applyAlignment="1">
      <alignment horizontal="right" vertical="center"/>
    </xf>
    <xf numFmtId="3" fontId="47" fillId="0" borderId="4" xfId="0" applyNumberFormat="1" applyFont="1" applyFill="1" applyBorder="1" applyAlignment="1">
      <alignment horizontal="center" vertical="center"/>
    </xf>
    <xf numFmtId="166" fontId="47" fillId="0" borderId="4" xfId="0" applyNumberFormat="1" applyFont="1" applyFill="1" applyBorder="1" applyAlignment="1">
      <alignment horizontal="center" wrapText="1"/>
    </xf>
    <xf numFmtId="169" fontId="6" fillId="0" borderId="4" xfId="0" applyNumberFormat="1" applyFont="1" applyBorder="1" applyAlignment="1">
      <alignment horizontal="center" vertical="center" wrapText="1"/>
    </xf>
    <xf numFmtId="169" fontId="6" fillId="0" borderId="4" xfId="0" applyNumberFormat="1" applyFont="1" applyBorder="1" applyAlignment="1">
      <alignment horizontal="center" vertical="center"/>
    </xf>
    <xf numFmtId="166" fontId="5" fillId="0" borderId="4" xfId="0" applyNumberFormat="1" applyFont="1" applyFill="1" applyBorder="1" applyAlignment="1">
      <alignment horizontal="right" vertical="center"/>
    </xf>
    <xf numFmtId="0" fontId="47" fillId="0" borderId="4" xfId="0" applyFont="1" applyFill="1" applyBorder="1"/>
    <xf numFmtId="0" fontId="47" fillId="0" borderId="4" xfId="0" applyFont="1" applyFill="1" applyBorder="1" applyAlignment="1">
      <alignment horizontal="center" wrapText="1"/>
    </xf>
    <xf numFmtId="0" fontId="5" fillId="0" borderId="4" xfId="0" applyFont="1" applyFill="1" applyBorder="1" applyAlignment="1">
      <alignment horizontal="justify" vertical="center" wrapText="1"/>
    </xf>
    <xf numFmtId="166" fontId="5" fillId="0" borderId="4" xfId="0" applyNumberFormat="1" applyFont="1" applyFill="1" applyBorder="1" applyAlignment="1">
      <alignment horizontal="center" vertical="center" wrapText="1"/>
    </xf>
    <xf numFmtId="3" fontId="47"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wrapText="1"/>
    </xf>
    <xf numFmtId="166" fontId="5" fillId="0" borderId="4" xfId="0" applyNumberFormat="1" applyFont="1" applyFill="1" applyBorder="1" applyAlignment="1">
      <alignment horizontal="right" vertical="center" wrapText="1"/>
    </xf>
    <xf numFmtId="3" fontId="6" fillId="0"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166" fontId="5" fillId="0" borderId="0" xfId="0" applyNumberFormat="1" applyFont="1" applyFill="1"/>
    <xf numFmtId="3" fontId="4" fillId="0" borderId="4" xfId="0" applyNumberFormat="1" applyFont="1" applyFill="1" applyBorder="1" applyAlignment="1">
      <alignment horizontal="center" vertical="center" wrapText="1"/>
    </xf>
    <xf numFmtId="0" fontId="5" fillId="0" borderId="6" xfId="0" applyFont="1" applyFill="1" applyBorder="1" applyAlignment="1">
      <alignment horizontal="left" vertical="top"/>
    </xf>
    <xf numFmtId="3" fontId="49" fillId="0" borderId="4" xfId="0" applyNumberFormat="1" applyFont="1" applyFill="1" applyBorder="1" applyAlignment="1">
      <alignment horizontal="right" vertical="center" wrapText="1"/>
    </xf>
    <xf numFmtId="0" fontId="47" fillId="0" borderId="0" xfId="0" applyFont="1" applyFill="1" applyBorder="1" applyAlignment="1">
      <alignment horizontal="left" vertical="top"/>
    </xf>
    <xf numFmtId="3" fontId="6" fillId="0" borderId="4" xfId="1" applyNumberFormat="1" applyFont="1" applyFill="1" applyBorder="1" applyAlignment="1">
      <alignment horizontal="center" vertical="center" wrapText="1"/>
    </xf>
    <xf numFmtId="0" fontId="5" fillId="0" borderId="4" xfId="0" applyFont="1" applyFill="1" applyBorder="1"/>
    <xf numFmtId="0" fontId="5" fillId="0" borderId="0" xfId="0" applyFont="1" applyFill="1" applyAlignment="1">
      <alignment horizontal="center" vertical="center"/>
    </xf>
    <xf numFmtId="0" fontId="5" fillId="0" borderId="0" xfId="0" applyFont="1" applyFill="1" applyAlignment="1">
      <alignment horizontal="left"/>
    </xf>
    <xf numFmtId="0" fontId="5" fillId="0" borderId="0" xfId="0" applyFont="1" applyFill="1" applyAlignment="1">
      <alignment horizontal="right"/>
    </xf>
    <xf numFmtId="179" fontId="5" fillId="0" borderId="0" xfId="10" applyNumberFormat="1" applyFont="1" applyFill="1" applyAlignment="1">
      <alignment horizontal="right"/>
    </xf>
    <xf numFmtId="0" fontId="5" fillId="0" borderId="0" xfId="0" applyFont="1" applyFill="1" applyAlignment="1">
      <alignment horizontal="center" wrapText="1"/>
    </xf>
    <xf numFmtId="0" fontId="8" fillId="0" borderId="0" xfId="0" applyFont="1" applyFill="1"/>
    <xf numFmtId="0" fontId="51" fillId="0" borderId="4"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169" fontId="9" fillId="0" borderId="4" xfId="0" applyNumberFormat="1" applyFont="1" applyFill="1" applyBorder="1" applyAlignment="1">
      <alignment horizontal="center" vertical="center" wrapText="1"/>
    </xf>
    <xf numFmtId="0" fontId="9" fillId="0" borderId="4" xfId="0" applyFont="1" applyFill="1" applyBorder="1" applyAlignment="1">
      <alignment horizontal="justify" vertical="center" wrapText="1"/>
    </xf>
    <xf numFmtId="169" fontId="9" fillId="0" borderId="4" xfId="0" applyNumberFormat="1" applyFont="1" applyFill="1" applyBorder="1" applyAlignment="1">
      <alignment horizontal="center" vertical="center"/>
    </xf>
    <xf numFmtId="0" fontId="9" fillId="0" borderId="0" xfId="0" applyFont="1" applyFill="1" applyAlignment="1">
      <alignment horizontal="center" vertical="center"/>
    </xf>
    <xf numFmtId="0" fontId="52" fillId="0" borderId="4" xfId="0" applyFont="1" applyFill="1" applyBorder="1" applyAlignment="1">
      <alignment horizontal="center" vertical="center"/>
    </xf>
    <xf numFmtId="0" fontId="52" fillId="0" borderId="4" xfId="3" applyFont="1" applyFill="1" applyBorder="1" applyAlignment="1">
      <alignment horizontal="justify" vertical="center" wrapText="1"/>
    </xf>
    <xf numFmtId="169" fontId="52" fillId="0" borderId="4" xfId="0" applyNumberFormat="1" applyFont="1" applyFill="1" applyBorder="1" applyAlignment="1">
      <alignment horizontal="center" vertical="center"/>
    </xf>
    <xf numFmtId="169" fontId="52" fillId="0" borderId="4" xfId="0" applyNumberFormat="1" applyFont="1" applyFill="1" applyBorder="1" applyAlignment="1">
      <alignment vertical="center"/>
    </xf>
    <xf numFmtId="0" fontId="52" fillId="0" borderId="0" xfId="0" applyFont="1" applyFill="1"/>
    <xf numFmtId="0" fontId="8" fillId="0" borderId="4" xfId="0" applyFont="1" applyFill="1" applyBorder="1" applyAlignment="1">
      <alignment horizontal="center" vertical="center"/>
    </xf>
    <xf numFmtId="0" fontId="8" fillId="0" borderId="4" xfId="0" applyFont="1" applyFill="1" applyBorder="1" applyAlignment="1">
      <alignment horizontal="justify" vertical="center" wrapText="1"/>
    </xf>
    <xf numFmtId="3" fontId="8" fillId="0" borderId="4" xfId="10" applyNumberFormat="1" applyFont="1" applyFill="1" applyBorder="1" applyAlignment="1">
      <alignment horizontal="right" vertical="center" wrapText="1"/>
    </xf>
    <xf numFmtId="3" fontId="8" fillId="0" borderId="4" xfId="0" applyNumberFormat="1" applyFont="1" applyFill="1" applyBorder="1" applyAlignment="1">
      <alignment horizontal="right" vertical="center" wrapText="1"/>
    </xf>
    <xf numFmtId="3" fontId="8" fillId="0" borderId="4" xfId="0" applyNumberFormat="1" applyFont="1" applyFill="1" applyBorder="1" applyAlignment="1">
      <alignment horizontal="center" vertical="center" wrapText="1"/>
    </xf>
    <xf numFmtId="0" fontId="52" fillId="3" borderId="4" xfId="0" applyFont="1" applyFill="1" applyBorder="1" applyAlignment="1">
      <alignment horizontal="center" vertical="center"/>
    </xf>
    <xf numFmtId="0" fontId="52" fillId="3" borderId="4" xfId="0" applyFont="1" applyFill="1" applyBorder="1" applyAlignment="1">
      <alignment horizontal="justify" vertical="center" wrapText="1"/>
    </xf>
    <xf numFmtId="169" fontId="52" fillId="3" borderId="4" xfId="0" applyNumberFormat="1" applyFont="1" applyFill="1" applyBorder="1" applyAlignment="1">
      <alignment vertical="center"/>
    </xf>
    <xf numFmtId="3" fontId="52" fillId="3" borderId="4" xfId="0" applyNumberFormat="1" applyFont="1" applyFill="1" applyBorder="1" applyAlignment="1">
      <alignment horizontal="right" vertical="center" wrapText="1"/>
    </xf>
    <xf numFmtId="169" fontId="52" fillId="3" borderId="4" xfId="0" applyNumberFormat="1" applyFont="1" applyFill="1" applyBorder="1" applyAlignment="1">
      <alignment horizontal="center" vertical="center" wrapText="1"/>
    </xf>
    <xf numFmtId="0" fontId="27" fillId="3" borderId="4" xfId="0" applyFont="1" applyFill="1" applyBorder="1"/>
    <xf numFmtId="169" fontId="27" fillId="3" borderId="0" xfId="0" applyNumberFormat="1" applyFont="1" applyFill="1"/>
    <xf numFmtId="0" fontId="27" fillId="3" borderId="0" xfId="0" applyFont="1" applyFill="1"/>
    <xf numFmtId="169" fontId="9" fillId="0" borderId="4" xfId="0" applyNumberFormat="1" applyFont="1" applyFill="1" applyBorder="1" applyAlignment="1">
      <alignment vertical="center"/>
    </xf>
    <xf numFmtId="0" fontId="9" fillId="0" borderId="0" xfId="0" applyFont="1" applyFill="1"/>
    <xf numFmtId="179" fontId="8" fillId="0" borderId="0" xfId="0" applyNumberFormat="1" applyFont="1" applyFill="1"/>
    <xf numFmtId="0" fontId="8" fillId="0" borderId="4" xfId="0" applyFont="1" applyFill="1" applyBorder="1" applyAlignment="1">
      <alignment horizontal="justify" vertical="center"/>
    </xf>
    <xf numFmtId="3" fontId="8" fillId="0" borderId="4" xfId="0" applyNumberFormat="1" applyFont="1" applyFill="1" applyBorder="1" applyAlignment="1">
      <alignment horizontal="right" vertical="center"/>
    </xf>
    <xf numFmtId="0" fontId="8" fillId="0" borderId="4" xfId="0" applyFont="1" applyFill="1" applyBorder="1" applyAlignment="1">
      <alignment horizontal="center"/>
    </xf>
    <xf numFmtId="169" fontId="8" fillId="0" borderId="4" xfId="0" applyNumberFormat="1" applyFont="1" applyFill="1" applyBorder="1" applyAlignment="1">
      <alignment vertical="center"/>
    </xf>
    <xf numFmtId="3" fontId="8" fillId="0" borderId="4" xfId="0" applyNumberFormat="1" applyFont="1" applyFill="1" applyBorder="1" applyAlignment="1">
      <alignment vertical="center" wrapText="1"/>
    </xf>
    <xf numFmtId="169" fontId="8" fillId="0" borderId="4" xfId="0" applyNumberFormat="1" applyFont="1" applyFill="1" applyBorder="1" applyAlignment="1">
      <alignment horizontal="center" vertical="center" wrapText="1"/>
    </xf>
    <xf numFmtId="169" fontId="8" fillId="0" borderId="4" xfId="0" applyNumberFormat="1"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Alignment="1">
      <alignment vertical="center"/>
    </xf>
    <xf numFmtId="0" fontId="17" fillId="0" borderId="4" xfId="0" applyFont="1" applyFill="1" applyBorder="1" applyAlignment="1">
      <alignment horizontal="center" vertical="center" wrapText="1"/>
    </xf>
    <xf numFmtId="0" fontId="18" fillId="0" borderId="4" xfId="12"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7" xfId="12"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4" xfId="12" quotePrefix="1" applyFont="1" applyFill="1" applyBorder="1" applyAlignment="1">
      <alignment horizontal="center" vertical="center" wrapText="1"/>
    </xf>
    <xf numFmtId="169" fontId="17" fillId="0" borderId="4" xfId="10" applyNumberFormat="1" applyFont="1" applyFill="1" applyBorder="1" applyAlignment="1">
      <alignment horizontal="left" vertical="center" wrapText="1"/>
    </xf>
    <xf numFmtId="169" fontId="17" fillId="0" borderId="4" xfId="10" applyNumberFormat="1" applyFont="1" applyFill="1" applyBorder="1" applyAlignment="1">
      <alignment vertical="center" wrapText="1"/>
    </xf>
    <xf numFmtId="169" fontId="17" fillId="0" borderId="4" xfId="6" applyNumberFormat="1" applyFont="1" applyFill="1" applyBorder="1" applyAlignment="1">
      <alignment vertical="center" wrapText="1"/>
    </xf>
    <xf numFmtId="0" fontId="0" fillId="0" borderId="0" xfId="0" applyFont="1" applyAlignment="1">
      <alignment vertical="center"/>
    </xf>
    <xf numFmtId="9" fontId="18" fillId="0" borderId="0" xfId="14" applyFont="1" applyAlignment="1">
      <alignment horizontal="center" vertical="center"/>
    </xf>
    <xf numFmtId="0" fontId="37" fillId="0" borderId="0" xfId="0" applyFont="1" applyAlignment="1">
      <alignment horizontal="right" vertical="center"/>
    </xf>
    <xf numFmtId="0" fontId="38" fillId="0" borderId="4" xfId="0" applyFont="1" applyBorder="1" applyAlignment="1">
      <alignment vertical="center"/>
    </xf>
    <xf numFmtId="0" fontId="38" fillId="0" borderId="11" xfId="0" applyFont="1" applyBorder="1" applyAlignment="1">
      <alignment horizontal="center" vertical="center"/>
    </xf>
    <xf numFmtId="169" fontId="42" fillId="0" borderId="3" xfId="6" applyNumberFormat="1" applyFont="1" applyBorder="1" applyAlignment="1">
      <alignment horizontal="center" vertical="center"/>
    </xf>
    <xf numFmtId="0" fontId="41" fillId="0" borderId="2" xfId="0" applyFont="1" applyBorder="1" applyAlignment="1">
      <alignment horizontal="justify" vertical="center" wrapText="1"/>
    </xf>
    <xf numFmtId="0" fontId="41" fillId="0" borderId="1" xfId="0" applyFont="1" applyBorder="1" applyAlignment="1">
      <alignment horizontal="justify" vertical="center" wrapText="1"/>
    </xf>
    <xf numFmtId="0" fontId="41" fillId="0" borderId="17" xfId="0" applyFont="1" applyBorder="1" applyAlignment="1">
      <alignment horizontal="center" vertical="center" wrapText="1"/>
    </xf>
    <xf numFmtId="0" fontId="41" fillId="0" borderId="17" xfId="0" applyFont="1" applyBorder="1" applyAlignment="1">
      <alignment horizontal="justify" vertical="center" wrapText="1"/>
    </xf>
    <xf numFmtId="169" fontId="43" fillId="0" borderId="17" xfId="6" applyNumberFormat="1" applyFont="1" applyBorder="1" applyAlignment="1">
      <alignment horizontal="center" vertical="center"/>
    </xf>
    <xf numFmtId="0" fontId="38" fillId="0" borderId="4" xfId="0" applyFont="1" applyBorder="1" applyAlignment="1">
      <alignment horizontal="justify" vertical="center" wrapText="1"/>
    </xf>
    <xf numFmtId="0" fontId="41" fillId="0" borderId="18" xfId="0" applyFont="1" applyBorder="1" applyAlignment="1">
      <alignment horizontal="center" vertical="center" wrapText="1"/>
    </xf>
    <xf numFmtId="0" fontId="41" fillId="0" borderId="18" xfId="0" applyFont="1" applyBorder="1" applyAlignment="1">
      <alignment horizontal="justify" vertical="center"/>
    </xf>
    <xf numFmtId="0" fontId="41" fillId="0" borderId="1" xfId="0" applyFont="1" applyBorder="1" applyAlignment="1">
      <alignment horizontal="justify" vertical="center"/>
    </xf>
    <xf numFmtId="169" fontId="43" fillId="0" borderId="21" xfId="6" applyNumberFormat="1" applyFont="1" applyBorder="1" applyAlignment="1">
      <alignment horizontal="center" vertical="center"/>
    </xf>
    <xf numFmtId="169" fontId="43" fillId="0" borderId="22" xfId="6" applyNumberFormat="1"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wrapText="1"/>
    </xf>
    <xf numFmtId="0" fontId="41" fillId="0" borderId="12" xfId="0" applyFont="1" applyBorder="1" applyAlignment="1">
      <alignment horizontal="justify" vertical="center"/>
    </xf>
    <xf numFmtId="169" fontId="43" fillId="0" borderId="20" xfId="6" applyNumberFormat="1" applyFont="1" applyBorder="1" applyAlignment="1">
      <alignment horizontal="center" vertical="center"/>
    </xf>
    <xf numFmtId="169" fontId="43" fillId="0" borderId="7" xfId="6" applyNumberFormat="1" applyFont="1" applyBorder="1" applyAlignment="1">
      <alignment horizontal="center" vertical="center"/>
    </xf>
    <xf numFmtId="0" fontId="5" fillId="0" borderId="4" xfId="1" applyFont="1" applyFill="1" applyBorder="1" applyAlignment="1">
      <alignment horizontal="justify" vertical="center" wrapText="1"/>
    </xf>
    <xf numFmtId="0" fontId="47" fillId="0" borderId="4" xfId="0" applyFont="1" applyFill="1" applyBorder="1" applyAlignment="1">
      <alignment horizontal="justify" vertical="center" wrapText="1"/>
    </xf>
    <xf numFmtId="0" fontId="49" fillId="0" borderId="4" xfId="0" applyFont="1" applyFill="1" applyBorder="1" applyAlignment="1">
      <alignment horizontal="justify" vertical="center" wrapText="1"/>
    </xf>
    <xf numFmtId="0" fontId="45" fillId="0" borderId="4" xfId="0" applyFont="1" applyFill="1" applyBorder="1" applyAlignment="1">
      <alignment horizontal="justify" vertical="center" wrapText="1"/>
    </xf>
    <xf numFmtId="1" fontId="49" fillId="0" borderId="4" xfId="0" applyNumberFormat="1" applyFont="1" applyFill="1" applyBorder="1" applyAlignment="1">
      <alignment horizontal="justify" vertical="center" wrapText="1"/>
    </xf>
    <xf numFmtId="1" fontId="5" fillId="0" borderId="4" xfId="0" applyNumberFormat="1" applyFont="1" applyFill="1" applyBorder="1" applyAlignment="1">
      <alignment horizontal="justify" vertical="center" wrapText="1"/>
    </xf>
    <xf numFmtId="49" fontId="5" fillId="0" borderId="4" xfId="0" applyNumberFormat="1" applyFont="1" applyFill="1" applyBorder="1" applyAlignment="1">
      <alignment horizontal="justify" vertical="center" wrapText="1"/>
    </xf>
    <xf numFmtId="169" fontId="55" fillId="0" borderId="4" xfId="6" applyNumberFormat="1" applyFont="1" applyBorder="1" applyAlignment="1">
      <alignment horizontal="center" vertical="center"/>
    </xf>
    <xf numFmtId="169" fontId="55" fillId="0" borderId="3" xfId="6" applyNumberFormat="1" applyFont="1" applyBorder="1" applyAlignment="1">
      <alignment horizontal="center" vertical="center"/>
    </xf>
    <xf numFmtId="169" fontId="56" fillId="0" borderId="2" xfId="6" applyNumberFormat="1" applyFont="1" applyBorder="1" applyAlignment="1">
      <alignment horizontal="center" vertical="center"/>
    </xf>
    <xf numFmtId="169" fontId="56" fillId="0" borderId="2" xfId="6" applyNumberFormat="1" applyFont="1" applyBorder="1" applyAlignment="1">
      <alignment horizontal="center" vertical="center" wrapText="1"/>
    </xf>
    <xf numFmtId="169" fontId="56" fillId="0" borderId="1" xfId="6" applyNumberFormat="1" applyFont="1" applyBorder="1" applyAlignment="1">
      <alignment horizontal="center" vertical="center"/>
    </xf>
    <xf numFmtId="169" fontId="56" fillId="0" borderId="1" xfId="6" applyNumberFormat="1" applyFont="1" applyBorder="1" applyAlignment="1">
      <alignment horizontal="center" vertical="center" wrapText="1"/>
    </xf>
    <xf numFmtId="169" fontId="56" fillId="0" borderId="17" xfId="6" applyNumberFormat="1" applyFont="1" applyBorder="1" applyAlignment="1">
      <alignment horizontal="center" vertical="center"/>
    </xf>
    <xf numFmtId="169" fontId="56" fillId="0" borderId="17" xfId="6" applyNumberFormat="1" applyFont="1" applyBorder="1" applyAlignment="1">
      <alignment horizontal="center" vertical="center" wrapText="1"/>
    </xf>
    <xf numFmtId="169" fontId="56" fillId="0" borderId="18" xfId="6" applyNumberFormat="1" applyFont="1" applyBorder="1" applyAlignment="1">
      <alignment horizontal="center" vertical="center"/>
    </xf>
    <xf numFmtId="169" fontId="56" fillId="0" borderId="18" xfId="6" applyNumberFormat="1" applyFont="1" applyBorder="1" applyAlignment="1">
      <alignment horizontal="center" vertical="center" wrapText="1"/>
    </xf>
    <xf numFmtId="169" fontId="56" fillId="0" borderId="12" xfId="6" applyNumberFormat="1" applyFont="1" applyBorder="1" applyAlignment="1">
      <alignment horizontal="center" vertical="center"/>
    </xf>
    <xf numFmtId="169" fontId="56" fillId="0" borderId="12" xfId="6" applyNumberFormat="1" applyFont="1" applyBorder="1" applyAlignment="1">
      <alignment horizontal="center" vertical="center" wrapText="1"/>
    </xf>
    <xf numFmtId="0" fontId="19" fillId="0" borderId="4" xfId="0" applyFont="1" applyBorder="1" applyAlignment="1">
      <alignment horizontal="center" vertical="center" wrapText="1"/>
    </xf>
    <xf numFmtId="0" fontId="47" fillId="4" borderId="4" xfId="0" applyFont="1" applyFill="1" applyBorder="1" applyAlignment="1">
      <alignment horizontal="center" vertical="center"/>
    </xf>
    <xf numFmtId="0" fontId="47" fillId="4" borderId="4" xfId="0" applyFont="1" applyFill="1" applyBorder="1" applyAlignment="1">
      <alignment horizontal="justify" vertical="center" wrapText="1"/>
    </xf>
    <xf numFmtId="0" fontId="5" fillId="4" borderId="4" xfId="0" applyFont="1" applyFill="1" applyBorder="1"/>
    <xf numFmtId="3" fontId="47" fillId="4" borderId="4" xfId="0" applyNumberFormat="1" applyFont="1" applyFill="1" applyBorder="1" applyAlignment="1">
      <alignment horizontal="right" vertical="center" wrapText="1"/>
    </xf>
    <xf numFmtId="179" fontId="47" fillId="4" borderId="4" xfId="10" applyNumberFormat="1" applyFont="1" applyFill="1" applyBorder="1" applyAlignment="1">
      <alignment horizontal="right" vertical="center" wrapText="1"/>
    </xf>
    <xf numFmtId="3" fontId="47" fillId="4" borderId="4" xfId="0" applyNumberFormat="1" applyFont="1" applyFill="1" applyBorder="1" applyAlignment="1">
      <alignment horizontal="center" vertical="center" wrapText="1"/>
    </xf>
    <xf numFmtId="0" fontId="5" fillId="4" borderId="4" xfId="0" applyFont="1" applyFill="1" applyBorder="1" applyAlignment="1">
      <alignment horizontal="center" wrapText="1"/>
    </xf>
    <xf numFmtId="0" fontId="5" fillId="4" borderId="0" xfId="0" applyFont="1" applyFill="1"/>
    <xf numFmtId="0" fontId="50" fillId="4" borderId="0" xfId="0" applyFont="1" applyFill="1"/>
    <xf numFmtId="0" fontId="5" fillId="4" borderId="4" xfId="0" applyFont="1" applyFill="1" applyBorder="1" applyAlignment="1">
      <alignment horizontal="center" vertical="center"/>
    </xf>
    <xf numFmtId="0" fontId="5" fillId="4" borderId="4" xfId="0" applyFont="1" applyFill="1" applyBorder="1" applyAlignment="1">
      <alignment horizontal="justify" vertical="center" wrapText="1"/>
    </xf>
    <xf numFmtId="0" fontId="5" fillId="4" borderId="4" xfId="0" applyFont="1" applyFill="1" applyBorder="1" applyAlignment="1">
      <alignment horizontal="center" vertical="center" wrapText="1"/>
    </xf>
    <xf numFmtId="3" fontId="5" fillId="4" borderId="4" xfId="0" applyNumberFormat="1" applyFont="1" applyFill="1" applyBorder="1" applyAlignment="1">
      <alignment horizontal="right" vertical="center"/>
    </xf>
    <xf numFmtId="3" fontId="5" fillId="4" borderId="4" xfId="1" applyNumberFormat="1" applyFont="1" applyFill="1" applyBorder="1" applyAlignment="1">
      <alignment horizontal="right" vertical="center" wrapText="1"/>
    </xf>
    <xf numFmtId="179" fontId="5" fillId="4" borderId="4" xfId="10" applyNumberFormat="1" applyFont="1" applyFill="1" applyBorder="1" applyAlignment="1">
      <alignment horizontal="right" vertical="center" wrapText="1"/>
    </xf>
    <xf numFmtId="166" fontId="5" fillId="4" borderId="4"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0" fontId="5" fillId="4" borderId="0" xfId="0" applyFont="1" applyFill="1" applyAlignment="1">
      <alignment vertical="center"/>
    </xf>
    <xf numFmtId="0" fontId="19" fillId="3" borderId="0" xfId="0" applyFont="1" applyFill="1" applyAlignment="1">
      <alignment vertical="center"/>
    </xf>
    <xf numFmtId="0" fontId="0" fillId="3" borderId="0" xfId="0" applyFill="1" applyAlignment="1">
      <alignment vertical="center"/>
    </xf>
    <xf numFmtId="0" fontId="19" fillId="3" borderId="4" xfId="0" applyFont="1" applyFill="1" applyBorder="1" applyAlignment="1">
      <alignment horizontal="center" vertical="center" wrapText="1"/>
    </xf>
    <xf numFmtId="3" fontId="19" fillId="3" borderId="4" xfId="0" applyNumberFormat="1" applyFont="1" applyFill="1" applyBorder="1" applyAlignment="1">
      <alignment horizontal="center" vertical="center"/>
    </xf>
    <xf numFmtId="0" fontId="6" fillId="3" borderId="1" xfId="0" applyFont="1" applyFill="1" applyBorder="1" applyAlignment="1">
      <alignment horizontal="justify" vertical="center"/>
    </xf>
    <xf numFmtId="3" fontId="6" fillId="3" borderId="1" xfId="0" applyNumberFormat="1" applyFont="1" applyFill="1" applyBorder="1" applyAlignment="1">
      <alignment horizontal="right" vertical="center"/>
    </xf>
    <xf numFmtId="3" fontId="19" fillId="3" borderId="1" xfId="0" applyNumberFormat="1" applyFont="1" applyFill="1" applyBorder="1" applyAlignment="1">
      <alignment vertical="center"/>
    </xf>
    <xf numFmtId="3" fontId="20" fillId="3" borderId="1" xfId="0" applyNumberFormat="1" applyFont="1" applyFill="1" applyBorder="1" applyAlignment="1">
      <alignment vertical="center"/>
    </xf>
    <xf numFmtId="3" fontId="6" fillId="3" borderId="1" xfId="0" applyNumberFormat="1" applyFont="1" applyFill="1" applyBorder="1" applyAlignment="1">
      <alignment vertical="center" wrapText="1"/>
    </xf>
    <xf numFmtId="0" fontId="6" fillId="3" borderId="1" xfId="7" applyFont="1" applyFill="1" applyBorder="1" applyAlignment="1">
      <alignment horizontal="justify" vertical="center" wrapText="1"/>
    </xf>
    <xf numFmtId="3" fontId="6" fillId="3" borderId="1" xfId="0" applyNumberFormat="1" applyFont="1" applyFill="1" applyBorder="1" applyAlignment="1">
      <alignment vertical="center"/>
    </xf>
    <xf numFmtId="0" fontId="58" fillId="3" borderId="0" xfId="0" applyFont="1" applyFill="1" applyAlignment="1">
      <alignment vertical="center"/>
    </xf>
    <xf numFmtId="3" fontId="19" fillId="3" borderId="1" xfId="6" applyNumberFormat="1" applyFont="1" applyFill="1" applyBorder="1" applyAlignment="1">
      <alignment vertical="center"/>
    </xf>
    <xf numFmtId="0" fontId="20" fillId="3" borderId="1" xfId="0" applyFont="1" applyFill="1" applyBorder="1" applyAlignment="1">
      <alignment vertical="center" wrapText="1"/>
    </xf>
    <xf numFmtId="0" fontId="20" fillId="3" borderId="1" xfId="0" applyFont="1" applyFill="1" applyBorder="1" applyAlignment="1">
      <alignment vertical="center"/>
    </xf>
    <xf numFmtId="0" fontId="4" fillId="3" borderId="1" xfId="0" applyFont="1" applyFill="1" applyBorder="1" applyAlignment="1">
      <alignment horizontal="justify" vertical="center"/>
    </xf>
    <xf numFmtId="3" fontId="0" fillId="3" borderId="0" xfId="0" applyNumberFormat="1" applyFill="1" applyAlignment="1">
      <alignment vertical="center"/>
    </xf>
    <xf numFmtId="0" fontId="19" fillId="3" borderId="4" xfId="0" applyFont="1" applyFill="1" applyBorder="1" applyAlignment="1">
      <alignment horizontal="justify" vertical="center" wrapText="1"/>
    </xf>
    <xf numFmtId="0" fontId="6" fillId="3" borderId="1" xfId="0" applyFont="1" applyFill="1" applyBorder="1" applyAlignment="1">
      <alignment horizontal="justify" vertical="center" wrapText="1"/>
    </xf>
    <xf numFmtId="1" fontId="6" fillId="3" borderId="1" xfId="6" applyNumberFormat="1" applyFont="1" applyFill="1" applyBorder="1" applyAlignment="1">
      <alignment horizontal="justify" vertical="center" wrapText="1"/>
    </xf>
    <xf numFmtId="0" fontId="19" fillId="3" borderId="1" xfId="0" applyFont="1" applyFill="1" applyBorder="1" applyAlignment="1">
      <alignment horizontal="justify" vertical="center" wrapText="1"/>
    </xf>
    <xf numFmtId="0" fontId="20" fillId="3" borderId="1" xfId="0" applyFont="1" applyFill="1" applyBorder="1" applyAlignment="1">
      <alignment horizontal="justify" vertical="center" wrapText="1"/>
    </xf>
    <xf numFmtId="3" fontId="6" fillId="3" borderId="1" xfId="0" applyNumberFormat="1" applyFont="1" applyFill="1" applyBorder="1" applyAlignment="1">
      <alignment horizontal="justify" vertical="center" wrapText="1"/>
    </xf>
    <xf numFmtId="0" fontId="6" fillId="3" borderId="1" xfId="15" applyFont="1" applyFill="1" applyBorder="1" applyAlignment="1">
      <alignment horizontal="justify" vertical="center" wrapText="1"/>
    </xf>
    <xf numFmtId="3" fontId="6" fillId="3" borderId="1" xfId="16" applyNumberFormat="1" applyFont="1" applyFill="1" applyBorder="1" applyAlignment="1">
      <alignment horizontal="justify" vertical="center" wrapText="1"/>
    </xf>
    <xf numFmtId="0" fontId="20" fillId="3" borderId="1" xfId="17" applyFont="1" applyFill="1" applyBorder="1" applyAlignment="1">
      <alignment horizontal="justify" vertical="center" wrapText="1"/>
    </xf>
    <xf numFmtId="0" fontId="20" fillId="3" borderId="1" xfId="18" applyFont="1" applyFill="1" applyBorder="1" applyAlignment="1">
      <alignment horizontal="justify" vertical="center" wrapText="1" shrinkToFit="1"/>
    </xf>
    <xf numFmtId="0" fontId="59" fillId="3" borderId="1" xfId="0" applyFont="1" applyFill="1" applyBorder="1" applyAlignment="1">
      <alignment horizontal="justify" vertical="center" wrapText="1"/>
    </xf>
    <xf numFmtId="0" fontId="6" fillId="3" borderId="1" xfId="8" applyFont="1" applyFill="1" applyBorder="1" applyAlignment="1">
      <alignment horizontal="justify" vertical="center" wrapText="1"/>
    </xf>
    <xf numFmtId="0" fontId="21" fillId="3" borderId="1" xfId="0" applyFont="1" applyFill="1" applyBorder="1" applyAlignment="1">
      <alignment horizontal="justify" vertical="center" wrapText="1"/>
    </xf>
    <xf numFmtId="0" fontId="60" fillId="3" borderId="1" xfId="15" applyFont="1" applyFill="1" applyBorder="1" applyAlignment="1">
      <alignment horizontal="justify" vertical="center" wrapText="1"/>
    </xf>
    <xf numFmtId="0" fontId="0" fillId="3" borderId="0" xfId="0" applyFill="1" applyAlignment="1">
      <alignment horizontal="justify" vertical="center" wrapText="1"/>
    </xf>
    <xf numFmtId="3" fontId="6" fillId="0" borderId="18" xfId="0" applyNumberFormat="1" applyFont="1" applyBorder="1" applyAlignment="1">
      <alignment horizontal="justify" vertical="center" wrapText="1"/>
    </xf>
    <xf numFmtId="3" fontId="6" fillId="0" borderId="1" xfId="0" applyNumberFormat="1" applyFont="1" applyBorder="1" applyAlignment="1">
      <alignment horizontal="justify" vertical="center" wrapText="1"/>
    </xf>
    <xf numFmtId="0" fontId="20" fillId="3" borderId="0" xfId="0" applyFont="1" applyFill="1" applyAlignment="1">
      <alignment horizontal="center" vertical="center"/>
    </xf>
    <xf numFmtId="0" fontId="20" fillId="3" borderId="1"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0" xfId="0" applyFont="1" applyFill="1" applyAlignment="1">
      <alignment horizontal="justify" vertical="center" wrapText="1"/>
    </xf>
    <xf numFmtId="0" fontId="20" fillId="3" borderId="2" xfId="0" applyFont="1" applyFill="1" applyBorder="1" applyAlignment="1">
      <alignment horizontal="justify" vertical="center" wrapText="1"/>
    </xf>
    <xf numFmtId="0" fontId="20" fillId="3" borderId="1" xfId="0" applyFont="1" applyFill="1" applyBorder="1" applyAlignment="1">
      <alignment horizontal="justify" vertical="center" wrapText="1"/>
    </xf>
    <xf numFmtId="3" fontId="20" fillId="3" borderId="1" xfId="6" applyNumberFormat="1" applyFont="1" applyFill="1" applyBorder="1" applyAlignment="1">
      <alignment vertical="center"/>
    </xf>
    <xf numFmtId="3" fontId="6" fillId="3" borderId="1" xfId="6" applyNumberFormat="1" applyFont="1" applyFill="1" applyBorder="1" applyAlignment="1">
      <alignment vertical="center"/>
    </xf>
    <xf numFmtId="3" fontId="6" fillId="3" borderId="1" xfId="7" applyNumberFormat="1" applyFont="1" applyFill="1" applyBorder="1" applyAlignment="1">
      <alignment horizontal="justify" vertical="center" wrapText="1"/>
    </xf>
    <xf numFmtId="3" fontId="6" fillId="3" borderId="1" xfId="0" quotePrefix="1" applyNumberFormat="1" applyFont="1" applyFill="1" applyBorder="1" applyAlignment="1">
      <alignment horizontal="justify" vertical="center" wrapText="1"/>
    </xf>
    <xf numFmtId="0" fontId="20" fillId="3" borderId="18" xfId="0" applyFont="1" applyFill="1" applyBorder="1" applyAlignment="1">
      <alignment horizontal="justify" vertical="center" wrapText="1"/>
    </xf>
    <xf numFmtId="3" fontId="20" fillId="3" borderId="18" xfId="0" applyNumberFormat="1" applyFont="1" applyFill="1" applyBorder="1" applyAlignment="1">
      <alignment vertical="center"/>
    </xf>
    <xf numFmtId="3" fontId="4" fillId="3" borderId="1" xfId="0" applyNumberFormat="1" applyFont="1" applyFill="1" applyBorder="1" applyAlignment="1">
      <alignment horizontal="right" vertical="center"/>
    </xf>
    <xf numFmtId="0" fontId="6" fillId="3" borderId="12" xfId="0" applyFont="1" applyFill="1" applyBorder="1" applyAlignment="1">
      <alignment horizontal="justify" vertical="center"/>
    </xf>
    <xf numFmtId="3" fontId="6" fillId="3" borderId="12" xfId="0" applyNumberFormat="1" applyFont="1" applyFill="1" applyBorder="1" applyAlignment="1">
      <alignment horizontal="right" vertical="center"/>
    </xf>
    <xf numFmtId="0" fontId="24" fillId="3" borderId="0" xfId="0" applyFont="1" applyFill="1" applyAlignment="1">
      <alignment horizontal="center" vertical="center"/>
    </xf>
    <xf numFmtId="0" fontId="20" fillId="3" borderId="17" xfId="0" applyFont="1" applyFill="1" applyBorder="1" applyAlignment="1">
      <alignment horizontal="center" vertical="center"/>
    </xf>
    <xf numFmtId="0" fontId="61" fillId="0" borderId="0" xfId="7" applyFont="1" applyFill="1" applyBorder="1" applyAlignment="1"/>
    <xf numFmtId="0" fontId="61" fillId="0" borderId="0" xfId="7" applyFont="1" applyFill="1" applyBorder="1"/>
    <xf numFmtId="0" fontId="63" fillId="0" borderId="3" xfId="7" applyFont="1" applyFill="1" applyBorder="1" applyAlignment="1">
      <alignment vertical="center" wrapText="1"/>
    </xf>
    <xf numFmtId="0" fontId="63" fillId="0" borderId="7" xfId="7" applyFont="1" applyFill="1" applyBorder="1" applyAlignment="1">
      <alignment vertical="center" wrapText="1"/>
    </xf>
    <xf numFmtId="0" fontId="47" fillId="0" borderId="4" xfId="7" applyFont="1" applyFill="1" applyBorder="1" applyAlignment="1">
      <alignment horizontal="center" vertical="center" wrapText="1"/>
    </xf>
    <xf numFmtId="0" fontId="63" fillId="0" borderId="4" xfId="7" applyFont="1" applyFill="1" applyBorder="1" applyAlignment="1">
      <alignment horizontal="center" vertical="center" wrapText="1"/>
    </xf>
    <xf numFmtId="0" fontId="63" fillId="0" borderId="0" xfId="7" applyFont="1" applyFill="1" applyBorder="1"/>
    <xf numFmtId="3" fontId="63" fillId="0" borderId="0" xfId="7" applyNumberFormat="1" applyFont="1" applyFill="1" applyBorder="1"/>
    <xf numFmtId="0" fontId="47" fillId="0" borderId="0" xfId="7" applyFont="1" applyFill="1" applyBorder="1"/>
    <xf numFmtId="0" fontId="61" fillId="0" borderId="0" xfId="7" applyFont="1" applyFill="1" applyBorder="1" applyAlignment="1">
      <alignment horizontal="center"/>
    </xf>
    <xf numFmtId="3" fontId="61" fillId="0" borderId="0" xfId="7" applyNumberFormat="1" applyFont="1" applyFill="1" applyBorder="1"/>
    <xf numFmtId="0" fontId="27" fillId="0" borderId="9" xfId="7" applyFont="1" applyFill="1" applyBorder="1" applyAlignment="1">
      <alignment horizontal="center" vertical="center" wrapText="1"/>
    </xf>
    <xf numFmtId="169" fontId="63" fillId="0" borderId="4" xfId="10" applyNumberFormat="1" applyFont="1" applyFill="1" applyBorder="1" applyAlignment="1">
      <alignment vertical="center" wrapText="1"/>
    </xf>
    <xf numFmtId="3" fontId="63" fillId="0" borderId="7" xfId="7" applyNumberFormat="1" applyFont="1" applyFill="1" applyBorder="1" applyAlignment="1">
      <alignment horizontal="right" vertical="center" wrapText="1"/>
    </xf>
    <xf numFmtId="0" fontId="61" fillId="0" borderId="2" xfId="7" applyFont="1" applyFill="1" applyBorder="1" applyAlignment="1">
      <alignment horizontal="center" vertical="center" wrapText="1"/>
    </xf>
    <xf numFmtId="3" fontId="61" fillId="0" borderId="2" xfId="7" applyNumberFormat="1" applyFont="1" applyFill="1" applyBorder="1" applyAlignment="1">
      <alignment horizontal="right" vertical="center" wrapText="1"/>
    </xf>
    <xf numFmtId="0" fontId="61" fillId="0" borderId="1" xfId="7" applyFont="1" applyFill="1" applyBorder="1" applyAlignment="1">
      <alignment horizontal="center" vertical="center" wrapText="1"/>
    </xf>
    <xf numFmtId="3" fontId="61" fillId="0" borderId="1" xfId="7" applyNumberFormat="1" applyFont="1" applyFill="1" applyBorder="1" applyAlignment="1">
      <alignment horizontal="right" vertical="center" wrapText="1"/>
    </xf>
    <xf numFmtId="0" fontId="63" fillId="0" borderId="12" xfId="7" applyFont="1" applyFill="1" applyBorder="1" applyAlignment="1">
      <alignment horizontal="center" vertical="center" wrapText="1"/>
    </xf>
    <xf numFmtId="3" fontId="47" fillId="0" borderId="12" xfId="7" applyNumberFormat="1" applyFont="1" applyFill="1" applyBorder="1" applyAlignment="1">
      <alignment horizontal="right" vertical="center" wrapText="1"/>
    </xf>
    <xf numFmtId="0" fontId="61" fillId="0" borderId="1" xfId="7" applyFont="1" applyFill="1" applyBorder="1" applyAlignment="1">
      <alignment horizontal="right" vertical="center" wrapText="1"/>
    </xf>
    <xf numFmtId="169" fontId="61" fillId="0" borderId="1" xfId="10" applyNumberFormat="1" applyFont="1" applyFill="1" applyBorder="1" applyAlignment="1">
      <alignment horizontal="right" vertical="center" wrapText="1"/>
    </xf>
    <xf numFmtId="0" fontId="47" fillId="0" borderId="12" xfId="7" applyFont="1" applyFill="1" applyBorder="1" applyAlignment="1">
      <alignment horizontal="center" vertical="center" wrapText="1"/>
    </xf>
    <xf numFmtId="3" fontId="63" fillId="0" borderId="12" xfId="7" applyNumberFormat="1" applyFont="1" applyFill="1" applyBorder="1" applyAlignment="1">
      <alignment horizontal="right" vertical="center" wrapText="1"/>
    </xf>
    <xf numFmtId="4" fontId="61" fillId="0" borderId="2" xfId="7" applyNumberFormat="1" applyFont="1" applyFill="1" applyBorder="1" applyAlignment="1">
      <alignment horizontal="right" vertical="center" wrapText="1"/>
    </xf>
    <xf numFmtId="0" fontId="61" fillId="0" borderId="2" xfId="0" applyFont="1" applyFill="1" applyBorder="1" applyAlignment="1">
      <alignment horizontal="left" vertical="center" wrapText="1"/>
    </xf>
    <xf numFmtId="0" fontId="61" fillId="0" borderId="2" xfId="0" applyFont="1" applyFill="1" applyBorder="1" applyAlignment="1">
      <alignment horizontal="center" vertical="center" wrapText="1"/>
    </xf>
    <xf numFmtId="0" fontId="61" fillId="0" borderId="2" xfId="7" applyFont="1" applyFill="1" applyBorder="1" applyAlignment="1">
      <alignment horizontal="right"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horizontal="center" vertical="center" wrapText="1"/>
    </xf>
    <xf numFmtId="179" fontId="61" fillId="0" borderId="1" xfId="10" applyNumberFormat="1" applyFont="1" applyFill="1" applyBorder="1" applyAlignment="1">
      <alignment horizontal="right" vertical="center" wrapText="1"/>
    </xf>
    <xf numFmtId="0" fontId="47"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4" fontId="19" fillId="0" borderId="4" xfId="0" applyNumberFormat="1" applyFont="1" applyBorder="1" applyAlignment="1">
      <alignment horizontal="center" vertical="center" wrapText="1"/>
    </xf>
    <xf numFmtId="3" fontId="19" fillId="0" borderId="4" xfId="0" applyNumberFormat="1" applyFont="1" applyBorder="1" applyAlignment="1">
      <alignment horizontal="right"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3" fontId="19" fillId="0" borderId="2" xfId="0" applyNumberFormat="1" applyFont="1" applyBorder="1" applyAlignment="1">
      <alignment horizontal="righ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3" fontId="20" fillId="0" borderId="1" xfId="0" applyNumberFormat="1" applyFont="1" applyBorder="1" applyAlignment="1">
      <alignment horizontal="right" vertical="center" wrapText="1"/>
    </xf>
    <xf numFmtId="3" fontId="20" fillId="0" borderId="0" xfId="0" applyNumberFormat="1" applyFont="1" applyAlignment="1">
      <alignment vertical="center" wrapText="1"/>
    </xf>
    <xf numFmtId="3" fontId="19" fillId="0" borderId="1" xfId="0" applyNumberFormat="1" applyFont="1" applyBorder="1" applyAlignment="1">
      <alignment horizontal="right" vertical="center" wrapText="1"/>
    </xf>
    <xf numFmtId="3" fontId="19" fillId="0" borderId="0" xfId="0" applyNumberFormat="1" applyFont="1" applyAlignment="1">
      <alignment horizontal="center" vertical="center" wrapText="1"/>
    </xf>
    <xf numFmtId="0" fontId="19" fillId="0" borderId="0" xfId="0" applyFont="1" applyAlignment="1">
      <alignment vertical="center" wrapText="1"/>
    </xf>
    <xf numFmtId="3" fontId="20" fillId="3" borderId="1" xfId="0" applyNumberFormat="1" applyFont="1" applyFill="1" applyBorder="1" applyAlignment="1">
      <alignment vertical="center" wrapText="1"/>
    </xf>
    <xf numFmtId="0" fontId="41" fillId="0" borderId="1" xfId="0" applyFont="1" applyBorder="1" applyAlignment="1">
      <alignment vertical="center" wrapText="1"/>
    </xf>
    <xf numFmtId="0" fontId="20" fillId="0" borderId="12" xfId="0" applyFont="1" applyBorder="1" applyAlignment="1">
      <alignment horizontal="center" vertical="center" wrapText="1"/>
    </xf>
    <xf numFmtId="0" fontId="20" fillId="3" borderId="12" xfId="0" applyFont="1" applyFill="1" applyBorder="1" applyAlignment="1">
      <alignment vertical="center" wrapText="1"/>
    </xf>
    <xf numFmtId="3" fontId="20" fillId="3" borderId="12" xfId="0" applyNumberFormat="1" applyFont="1" applyFill="1" applyBorder="1" applyAlignment="1">
      <alignment vertical="center" wrapText="1"/>
    </xf>
    <xf numFmtId="3" fontId="20" fillId="0" borderId="12" xfId="0" applyNumberFormat="1" applyFont="1" applyBorder="1" applyAlignment="1">
      <alignment horizontal="right" vertical="center" wrapText="1"/>
    </xf>
    <xf numFmtId="0" fontId="20" fillId="0" borderId="12" xfId="0" applyFont="1" applyBorder="1" applyAlignment="1">
      <alignment vertical="center" wrapText="1"/>
    </xf>
    <xf numFmtId="4" fontId="20" fillId="0" borderId="0" xfId="0" applyNumberFormat="1" applyFont="1" applyAlignment="1">
      <alignment horizontal="center" vertical="center" wrapText="1"/>
    </xf>
    <xf numFmtId="0" fontId="20" fillId="3" borderId="18" xfId="0" applyFont="1" applyFill="1" applyBorder="1" applyAlignment="1">
      <alignment vertical="center" wrapText="1"/>
    </xf>
    <xf numFmtId="0" fontId="20" fillId="3" borderId="18" xfId="0" applyFont="1" applyFill="1" applyBorder="1" applyAlignment="1">
      <alignment vertical="center"/>
    </xf>
    <xf numFmtId="0" fontId="6" fillId="3" borderId="18" xfId="0" applyFont="1" applyFill="1" applyBorder="1" applyAlignment="1">
      <alignment horizontal="justify" vertical="center"/>
    </xf>
    <xf numFmtId="3" fontId="6" fillId="3" borderId="18" xfId="0" applyNumberFormat="1" applyFont="1" applyFill="1" applyBorder="1" applyAlignment="1">
      <alignment horizontal="right" vertical="center"/>
    </xf>
    <xf numFmtId="0" fontId="20" fillId="3" borderId="4" xfId="0" applyFont="1" applyFill="1" applyBorder="1" applyAlignment="1">
      <alignment horizontal="center" vertical="center"/>
    </xf>
    <xf numFmtId="0" fontId="20" fillId="3" borderId="4" xfId="0" applyFont="1" applyFill="1" applyBorder="1" applyAlignment="1">
      <alignment horizontal="justify" vertical="center" wrapText="1"/>
    </xf>
    <xf numFmtId="3" fontId="19" fillId="3" borderId="4" xfId="0" applyNumberFormat="1" applyFont="1" applyFill="1" applyBorder="1" applyAlignment="1">
      <alignment vertical="center"/>
    </xf>
    <xf numFmtId="1" fontId="6" fillId="3" borderId="17" xfId="6" applyNumberFormat="1" applyFont="1" applyFill="1" applyBorder="1" applyAlignment="1">
      <alignment horizontal="justify" vertical="center" wrapText="1"/>
    </xf>
    <xf numFmtId="3" fontId="6" fillId="3" borderId="17" xfId="0" applyNumberFormat="1" applyFont="1" applyFill="1" applyBorder="1" applyAlignment="1">
      <alignment horizontal="right" vertical="center"/>
    </xf>
    <xf numFmtId="3" fontId="6" fillId="3" borderId="17" xfId="0" applyNumberFormat="1" applyFont="1" applyFill="1" applyBorder="1" applyAlignment="1">
      <alignment horizontal="justify" vertical="center" wrapText="1"/>
    </xf>
    <xf numFmtId="3" fontId="20" fillId="3" borderId="18" xfId="6" applyNumberFormat="1" applyFont="1" applyFill="1" applyBorder="1" applyAlignment="1">
      <alignment vertical="center"/>
    </xf>
    <xf numFmtId="0" fontId="20" fillId="3" borderId="17" xfId="0" applyFont="1" applyFill="1" applyBorder="1" applyAlignment="1">
      <alignment horizontal="justify" vertical="center" wrapText="1"/>
    </xf>
    <xf numFmtId="3" fontId="20" fillId="3" borderId="17" xfId="6" applyNumberFormat="1" applyFont="1" applyFill="1" applyBorder="1" applyAlignment="1">
      <alignment vertical="center"/>
    </xf>
    <xf numFmtId="0" fontId="6" fillId="3" borderId="17" xfId="0" applyFont="1" applyFill="1" applyBorder="1" applyAlignment="1">
      <alignment horizontal="justify" vertical="center" wrapText="1"/>
    </xf>
    <xf numFmtId="3" fontId="6" fillId="3" borderId="17" xfId="0" applyNumberFormat="1" applyFont="1" applyFill="1" applyBorder="1" applyAlignment="1">
      <alignment vertical="center"/>
    </xf>
    <xf numFmtId="3" fontId="20" fillId="3" borderId="17" xfId="0" applyNumberFormat="1" applyFont="1" applyFill="1" applyBorder="1" applyAlignment="1">
      <alignment vertical="center"/>
    </xf>
    <xf numFmtId="0" fontId="6" fillId="3" borderId="18" xfId="0" applyFont="1" applyFill="1" applyBorder="1" applyAlignment="1">
      <alignment horizontal="justify" vertical="center" wrapText="1"/>
    </xf>
    <xf numFmtId="0" fontId="6" fillId="3" borderId="4" xfId="0" applyFont="1" applyFill="1" applyBorder="1" applyAlignment="1">
      <alignment horizontal="justify" vertical="center" wrapText="1"/>
    </xf>
    <xf numFmtId="3" fontId="20" fillId="3" borderId="4" xfId="0" applyNumberFormat="1" applyFont="1" applyFill="1" applyBorder="1" applyAlignment="1">
      <alignment vertical="center"/>
    </xf>
    <xf numFmtId="0" fontId="6" fillId="3" borderId="2" xfId="0" applyFont="1" applyFill="1" applyBorder="1" applyAlignment="1">
      <alignment horizontal="justify" vertical="center" wrapText="1"/>
    </xf>
    <xf numFmtId="3" fontId="20" fillId="3" borderId="2" xfId="0" applyNumberFormat="1" applyFont="1" applyFill="1" applyBorder="1" applyAlignment="1">
      <alignment vertical="center"/>
    </xf>
    <xf numFmtId="0" fontId="6" fillId="3" borderId="12" xfId="0" applyFont="1" applyFill="1" applyBorder="1" applyAlignment="1">
      <alignment horizontal="justify" vertical="center" wrapText="1"/>
    </xf>
    <xf numFmtId="3" fontId="20" fillId="3" borderId="12" xfId="0" applyNumberFormat="1" applyFont="1" applyFill="1" applyBorder="1" applyAlignment="1">
      <alignment vertical="center"/>
    </xf>
    <xf numFmtId="3" fontId="6" fillId="3" borderId="18" xfId="0" applyNumberFormat="1" applyFont="1" applyFill="1" applyBorder="1" applyAlignment="1">
      <alignment horizontal="justify" vertical="center" wrapText="1"/>
    </xf>
    <xf numFmtId="3" fontId="6" fillId="3" borderId="18" xfId="0" applyNumberFormat="1" applyFont="1" applyFill="1" applyBorder="1" applyAlignment="1">
      <alignment vertical="center"/>
    </xf>
    <xf numFmtId="3" fontId="6" fillId="3" borderId="4" xfId="0" applyNumberFormat="1" applyFont="1" applyFill="1" applyBorder="1" applyAlignment="1">
      <alignment horizontal="justify" vertical="center" wrapText="1"/>
    </xf>
    <xf numFmtId="3" fontId="6" fillId="3" borderId="4" xfId="0" applyNumberFormat="1" applyFont="1" applyFill="1" applyBorder="1" applyAlignment="1">
      <alignment vertical="center"/>
    </xf>
    <xf numFmtId="3" fontId="6" fillId="3" borderId="2" xfId="0" applyNumberFormat="1" applyFont="1" applyFill="1" applyBorder="1" applyAlignment="1">
      <alignment horizontal="justify" vertical="center" wrapText="1"/>
    </xf>
    <xf numFmtId="3" fontId="6" fillId="3" borderId="2" xfId="0" applyNumberFormat="1" applyFont="1" applyFill="1" applyBorder="1" applyAlignment="1">
      <alignment vertical="center"/>
    </xf>
    <xf numFmtId="3" fontId="6" fillId="3" borderId="12" xfId="0" applyNumberFormat="1" applyFont="1" applyFill="1" applyBorder="1" applyAlignment="1">
      <alignment horizontal="justify" vertical="center" wrapText="1"/>
    </xf>
    <xf numFmtId="3" fontId="6" fillId="3" borderId="12" xfId="0" applyNumberFormat="1" applyFont="1" applyFill="1" applyBorder="1" applyAlignment="1">
      <alignment vertical="center"/>
    </xf>
    <xf numFmtId="3" fontId="6" fillId="3" borderId="12" xfId="0" applyNumberFormat="1" applyFont="1" applyFill="1" applyBorder="1" applyAlignment="1">
      <alignment vertical="center" wrapText="1"/>
    </xf>
    <xf numFmtId="0" fontId="6" fillId="3" borderId="2" xfId="7" applyFont="1" applyFill="1" applyBorder="1" applyAlignment="1">
      <alignment horizontal="justify" vertical="center" wrapText="1"/>
    </xf>
    <xf numFmtId="3" fontId="6" fillId="3" borderId="2" xfId="0" applyNumberFormat="1" applyFont="1" applyFill="1" applyBorder="1" applyAlignment="1">
      <alignment horizontal="right" vertical="center"/>
    </xf>
    <xf numFmtId="3" fontId="20" fillId="3" borderId="2" xfId="6" applyNumberFormat="1" applyFont="1" applyFill="1" applyBorder="1" applyAlignment="1">
      <alignment vertical="center"/>
    </xf>
    <xf numFmtId="0" fontId="20" fillId="3" borderId="12" xfId="0" applyFont="1" applyFill="1" applyBorder="1" applyAlignment="1">
      <alignment horizontal="justify" vertical="center" wrapText="1"/>
    </xf>
    <xf numFmtId="3" fontId="20" fillId="3" borderId="12" xfId="6" applyNumberFormat="1" applyFont="1" applyFill="1" applyBorder="1" applyAlignment="1">
      <alignment vertical="center"/>
    </xf>
    <xf numFmtId="3" fontId="20" fillId="3" borderId="4" xfId="6" applyNumberFormat="1" applyFont="1" applyFill="1" applyBorder="1" applyAlignment="1">
      <alignment vertical="center"/>
    </xf>
    <xf numFmtId="0" fontId="20" fillId="3" borderId="2" xfId="0" applyFont="1" applyFill="1" applyBorder="1" applyAlignment="1">
      <alignment vertical="center"/>
    </xf>
    <xf numFmtId="0" fontId="20" fillId="3" borderId="2" xfId="0" applyFont="1" applyFill="1" applyBorder="1" applyAlignment="1">
      <alignment vertical="center" wrapText="1"/>
    </xf>
    <xf numFmtId="0" fontId="20" fillId="3" borderId="12" xfId="0" applyFont="1" applyFill="1" applyBorder="1" applyAlignment="1">
      <alignment vertical="center"/>
    </xf>
    <xf numFmtId="3" fontId="6" fillId="3" borderId="17" xfId="7" applyNumberFormat="1" applyFont="1" applyFill="1" applyBorder="1" applyAlignment="1">
      <alignment horizontal="justify" vertical="center" wrapText="1"/>
    </xf>
    <xf numFmtId="3" fontId="6" fillId="3" borderId="4" xfId="0" applyNumberFormat="1" applyFont="1" applyFill="1" applyBorder="1" applyAlignment="1">
      <alignment horizontal="right" vertical="center"/>
    </xf>
    <xf numFmtId="0" fontId="20" fillId="3" borderId="4" xfId="17" applyFont="1" applyFill="1" applyBorder="1" applyAlignment="1">
      <alignment horizontal="justify" vertical="center" wrapText="1"/>
    </xf>
    <xf numFmtId="3" fontId="4" fillId="3" borderId="4" xfId="0" applyNumberFormat="1" applyFont="1" applyFill="1" applyBorder="1" applyAlignment="1">
      <alignment horizontal="justify" vertical="center" wrapText="1"/>
    </xf>
    <xf numFmtId="3" fontId="4" fillId="3" borderId="4" xfId="0" applyNumberFormat="1" applyFont="1" applyFill="1" applyBorder="1" applyAlignment="1">
      <alignment vertical="center"/>
    </xf>
    <xf numFmtId="3" fontId="20" fillId="3" borderId="18" xfId="0" applyNumberFormat="1" applyFont="1" applyFill="1" applyBorder="1" applyAlignment="1">
      <alignment horizontal="justify" vertical="center" wrapText="1"/>
    </xf>
    <xf numFmtId="0" fontId="6" fillId="3" borderId="18" xfId="8" applyFont="1" applyFill="1" applyBorder="1" applyAlignment="1">
      <alignment horizontal="justify" vertical="center" wrapText="1"/>
    </xf>
    <xf numFmtId="0" fontId="21" fillId="3" borderId="18" xfId="0" applyFont="1" applyFill="1" applyBorder="1" applyAlignment="1">
      <alignment horizontal="justify" vertical="center" wrapText="1"/>
    </xf>
    <xf numFmtId="0" fontId="2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justify" vertical="center"/>
    </xf>
    <xf numFmtId="0" fontId="17" fillId="0" borderId="0" xfId="0" applyFont="1" applyAlignment="1">
      <alignment horizontal="justify" vertical="center"/>
    </xf>
    <xf numFmtId="0" fontId="26" fillId="0" borderId="0" xfId="0" applyFont="1" applyAlignment="1">
      <alignment vertical="center"/>
    </xf>
    <xf numFmtId="0" fontId="64" fillId="0" borderId="4" xfId="0" applyFont="1" applyBorder="1" applyAlignment="1">
      <alignment horizontal="center" vertical="center" wrapText="1"/>
    </xf>
    <xf numFmtId="0" fontId="64" fillId="0" borderId="3" xfId="0" applyFont="1" applyBorder="1" applyAlignment="1">
      <alignment horizontal="center" vertical="center" wrapText="1"/>
    </xf>
    <xf numFmtId="3" fontId="64" fillId="0" borderId="3" xfId="0" applyNumberFormat="1" applyFont="1" applyBorder="1" applyAlignment="1">
      <alignment horizontal="right" vertical="center" wrapText="1"/>
    </xf>
    <xf numFmtId="0" fontId="66" fillId="0" borderId="3" xfId="0" applyFont="1" applyBorder="1" applyAlignment="1">
      <alignment horizontal="center" vertical="center" wrapText="1"/>
    </xf>
    <xf numFmtId="0" fontId="66" fillId="0" borderId="3" xfId="0" applyFont="1" applyBorder="1" applyAlignment="1">
      <alignment horizontal="justify" vertical="center" wrapText="1"/>
    </xf>
    <xf numFmtId="3" fontId="66" fillId="0" borderId="3" xfId="0" applyNumberFormat="1" applyFont="1" applyBorder="1" applyAlignment="1">
      <alignment horizontal="right" vertical="center" wrapText="1"/>
    </xf>
    <xf numFmtId="0" fontId="65" fillId="0" borderId="1" xfId="0" applyFont="1" applyBorder="1" applyAlignment="1">
      <alignment horizontal="center" vertical="center" wrapText="1"/>
    </xf>
    <xf numFmtId="0" fontId="65" fillId="0" borderId="1" xfId="0" applyFont="1" applyBorder="1" applyAlignment="1">
      <alignment horizontal="justify" vertical="center" wrapText="1"/>
    </xf>
    <xf numFmtId="3" fontId="65" fillId="0" borderId="1" xfId="0" applyNumberFormat="1" applyFont="1" applyBorder="1" applyAlignment="1">
      <alignment horizontal="right" vertical="center" wrapText="1"/>
    </xf>
    <xf numFmtId="0" fontId="65" fillId="0" borderId="7" xfId="0" applyFont="1" applyBorder="1" applyAlignment="1">
      <alignment horizontal="center" vertical="center" wrapText="1"/>
    </xf>
    <xf numFmtId="0" fontId="65" fillId="0" borderId="7" xfId="0" applyFont="1" applyBorder="1" applyAlignment="1">
      <alignment horizontal="justify" vertical="center" wrapText="1"/>
    </xf>
    <xf numFmtId="3" fontId="65" fillId="0" borderId="7" xfId="0" applyNumberFormat="1" applyFont="1" applyBorder="1" applyAlignment="1">
      <alignment horizontal="right" vertical="center" wrapText="1"/>
    </xf>
    <xf numFmtId="0" fontId="66" fillId="0" borderId="4" xfId="0" applyFont="1" applyBorder="1" applyAlignment="1">
      <alignment horizontal="center" vertical="center" wrapText="1"/>
    </xf>
    <xf numFmtId="0" fontId="66" fillId="0" borderId="4" xfId="0" applyFont="1" applyBorder="1" applyAlignment="1">
      <alignment horizontal="justify" vertical="center" wrapText="1"/>
    </xf>
    <xf numFmtId="3" fontId="66" fillId="0" borderId="4" xfId="0" applyNumberFormat="1" applyFont="1" applyBorder="1" applyAlignment="1">
      <alignment horizontal="right" vertical="center" wrapText="1"/>
    </xf>
    <xf numFmtId="0" fontId="65" fillId="0" borderId="3" xfId="0" applyFont="1" applyBorder="1" applyAlignment="1">
      <alignment horizontal="center" vertical="center" wrapText="1"/>
    </xf>
    <xf numFmtId="0" fontId="65" fillId="0" borderId="3" xfId="0" applyFont="1" applyBorder="1" applyAlignment="1">
      <alignment horizontal="justify" vertical="center" wrapText="1"/>
    </xf>
    <xf numFmtId="3" fontId="65" fillId="0" borderId="3" xfId="0" applyNumberFormat="1" applyFont="1" applyBorder="1" applyAlignment="1">
      <alignment horizontal="right" vertical="center" wrapText="1"/>
    </xf>
    <xf numFmtId="0" fontId="65" fillId="0" borderId="12" xfId="0" applyFont="1" applyBorder="1" applyAlignment="1">
      <alignment horizontal="center" vertical="center" wrapText="1"/>
    </xf>
    <xf numFmtId="0" fontId="65" fillId="0" borderId="12" xfId="0" applyFont="1" applyBorder="1" applyAlignment="1">
      <alignment horizontal="justify" vertical="center" wrapText="1"/>
    </xf>
    <xf numFmtId="3" fontId="65" fillId="0" borderId="12" xfId="0" applyNumberFormat="1" applyFont="1" applyBorder="1" applyAlignment="1">
      <alignment horizontal="right" vertical="center" wrapText="1"/>
    </xf>
    <xf numFmtId="0" fontId="65" fillId="0" borderId="2" xfId="0" applyFont="1" applyBorder="1" applyAlignment="1">
      <alignment horizontal="center" vertical="center" wrapText="1"/>
    </xf>
    <xf numFmtId="0" fontId="65" fillId="0" borderId="2" xfId="0" applyFont="1" applyBorder="1" applyAlignment="1">
      <alignment horizontal="justify" vertical="center" wrapText="1"/>
    </xf>
    <xf numFmtId="3" fontId="65" fillId="0" borderId="2" xfId="0" applyNumberFormat="1" applyFont="1" applyBorder="1" applyAlignment="1">
      <alignment horizontal="right" vertical="center" wrapText="1"/>
    </xf>
    <xf numFmtId="3" fontId="9" fillId="3" borderId="0" xfId="0" applyNumberFormat="1" applyFont="1" applyFill="1" applyAlignment="1">
      <alignment horizontal="left" vertical="center" wrapText="1"/>
    </xf>
    <xf numFmtId="3" fontId="9" fillId="3" borderId="0" xfId="0" applyNumberFormat="1" applyFont="1" applyFill="1" applyAlignment="1">
      <alignment vertical="center" wrapText="1"/>
    </xf>
    <xf numFmtId="0" fontId="8" fillId="3" borderId="0" xfId="0" applyFont="1" applyFill="1" applyAlignment="1">
      <alignment horizontal="center" vertical="center" wrapText="1"/>
    </xf>
    <xf numFmtId="3" fontId="8" fillId="3" borderId="0" xfId="0" applyNumberFormat="1" applyFont="1" applyFill="1" applyAlignment="1">
      <alignment vertical="center" wrapText="1"/>
    </xf>
    <xf numFmtId="0" fontId="9" fillId="3" borderId="3" xfId="0"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3" fontId="9" fillId="3" borderId="0" xfId="0" applyNumberFormat="1" applyFont="1" applyFill="1" applyAlignment="1">
      <alignment horizontal="center" vertical="center" wrapText="1"/>
    </xf>
    <xf numFmtId="0" fontId="9" fillId="3" borderId="4" xfId="0" applyFont="1" applyFill="1" applyBorder="1" applyAlignment="1">
      <alignment horizontal="center" vertical="center" wrapText="1"/>
    </xf>
    <xf numFmtId="3" fontId="9" fillId="3" borderId="4" xfId="0" applyNumberFormat="1" applyFont="1" applyFill="1" applyBorder="1" applyAlignment="1">
      <alignment horizontal="center" vertical="center" wrapText="1"/>
    </xf>
    <xf numFmtId="3" fontId="9" fillId="3" borderId="4" xfId="0" applyNumberFormat="1" applyFont="1" applyFill="1" applyBorder="1" applyAlignment="1">
      <alignment horizontal="right" vertical="center" wrapText="1"/>
    </xf>
    <xf numFmtId="3" fontId="9" fillId="3" borderId="4" xfId="0" applyNumberFormat="1" applyFont="1" applyFill="1" applyBorder="1" applyAlignment="1">
      <alignment vertical="center" wrapText="1"/>
    </xf>
    <xf numFmtId="0" fontId="8" fillId="3" borderId="4" xfId="0" applyFont="1" applyFill="1" applyBorder="1" applyAlignment="1">
      <alignment horizontal="center" vertical="center" wrapText="1"/>
    </xf>
    <xf numFmtId="3" fontId="8" fillId="3" borderId="4" xfId="0" applyNumberFormat="1" applyFont="1" applyFill="1" applyBorder="1" applyAlignment="1">
      <alignment vertical="center" wrapText="1"/>
    </xf>
    <xf numFmtId="3" fontId="8" fillId="3" borderId="4" xfId="0" applyNumberFormat="1" applyFont="1" applyFill="1" applyBorder="1" applyAlignment="1">
      <alignment horizontal="right" vertical="center" wrapText="1"/>
    </xf>
    <xf numFmtId="0" fontId="8" fillId="3" borderId="4" xfId="0" applyFont="1" applyFill="1" applyBorder="1" applyAlignment="1">
      <alignment vertical="center" wrapText="1"/>
    </xf>
    <xf numFmtId="4" fontId="9" fillId="3" borderId="0" xfId="0" applyNumberFormat="1" applyFont="1" applyFill="1" applyAlignment="1">
      <alignment horizontal="left" vertical="center" wrapText="1"/>
    </xf>
    <xf numFmtId="3" fontId="8" fillId="3" borderId="4" xfId="0" applyNumberFormat="1" applyFont="1" applyFill="1" applyBorder="1" applyAlignment="1">
      <alignment wrapText="1"/>
    </xf>
    <xf numFmtId="3" fontId="8" fillId="3" borderId="4" xfId="0" applyNumberFormat="1" applyFont="1" applyFill="1" applyBorder="1" applyAlignment="1">
      <alignment horizontal="left" vertical="center" wrapText="1"/>
    </xf>
    <xf numFmtId="3" fontId="29" fillId="3" borderId="4" xfId="0" applyNumberFormat="1" applyFont="1" applyFill="1" applyBorder="1" applyAlignment="1">
      <alignment horizontal="left" vertical="center" wrapText="1"/>
    </xf>
    <xf numFmtId="3" fontId="29" fillId="3" borderId="4" xfId="0" applyNumberFormat="1" applyFont="1" applyFill="1" applyBorder="1" applyAlignment="1">
      <alignment horizontal="right" vertical="center" wrapText="1"/>
    </xf>
    <xf numFmtId="3" fontId="28" fillId="3" borderId="4" xfId="0" applyNumberFormat="1" applyFont="1" applyFill="1" applyBorder="1" applyAlignment="1">
      <alignment horizontal="left" vertical="center" wrapText="1"/>
    </xf>
    <xf numFmtId="3" fontId="29" fillId="3" borderId="4" xfId="0" applyNumberFormat="1" applyFont="1" applyFill="1" applyBorder="1" applyAlignment="1">
      <alignment horizontal="justify" vertical="center" wrapText="1"/>
    </xf>
    <xf numFmtId="3" fontId="28" fillId="3" borderId="4" xfId="0" applyNumberFormat="1" applyFont="1" applyFill="1" applyBorder="1" applyAlignment="1">
      <alignment horizontal="justify" vertical="center" wrapText="1"/>
    </xf>
    <xf numFmtId="3" fontId="29"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right" vertical="center"/>
    </xf>
    <xf numFmtId="3" fontId="9" fillId="3" borderId="4" xfId="0" applyNumberFormat="1" applyFont="1" applyFill="1" applyBorder="1" applyAlignment="1">
      <alignment horizontal="right" vertical="center"/>
    </xf>
    <xf numFmtId="3" fontId="8" fillId="3" borderId="4" xfId="7" applyNumberFormat="1" applyFont="1" applyFill="1" applyBorder="1" applyAlignment="1">
      <alignment horizontal="right" vertical="center" wrapText="1"/>
    </xf>
    <xf numFmtId="3" fontId="29" fillId="3" borderId="4" xfId="0" applyNumberFormat="1" applyFont="1" applyFill="1" applyBorder="1" applyAlignment="1">
      <alignment vertical="center" wrapText="1"/>
    </xf>
    <xf numFmtId="3" fontId="9" fillId="3" borderId="4" xfId="7" applyNumberFormat="1" applyFont="1" applyFill="1" applyBorder="1" applyAlignment="1">
      <alignment horizontal="right" vertical="center" wrapText="1"/>
    </xf>
    <xf numFmtId="3" fontId="28" fillId="3" borderId="4" xfId="0" applyNumberFormat="1" applyFont="1" applyFill="1" applyBorder="1" applyAlignment="1">
      <alignment vertical="center" wrapText="1"/>
    </xf>
    <xf numFmtId="3" fontId="27" fillId="3" borderId="0" xfId="0" applyNumberFormat="1" applyFont="1" applyFill="1" applyAlignment="1">
      <alignment horizontal="center" vertical="center" wrapText="1"/>
    </xf>
    <xf numFmtId="0" fontId="18" fillId="0" borderId="2" xfId="0" applyFont="1" applyFill="1" applyBorder="1" applyAlignment="1">
      <alignment horizontal="center" vertical="center"/>
    </xf>
    <xf numFmtId="0" fontId="18" fillId="0" borderId="2" xfId="0" applyFont="1" applyFill="1" applyBorder="1" applyAlignment="1">
      <alignment vertical="center"/>
    </xf>
    <xf numFmtId="169" fontId="18" fillId="0" borderId="2" xfId="10" applyNumberFormat="1" applyFont="1" applyFill="1" applyBorder="1" applyAlignment="1">
      <alignment vertical="center" wrapText="1"/>
    </xf>
    <xf numFmtId="169" fontId="18" fillId="0" borderId="2" xfId="0" applyNumberFormat="1" applyFont="1" applyBorder="1" applyAlignment="1">
      <alignment vertical="center"/>
    </xf>
    <xf numFmtId="169" fontId="18" fillId="0" borderId="2" xfId="6" applyNumberFormat="1" applyFont="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xf>
    <xf numFmtId="169" fontId="18" fillId="0" borderId="1" xfId="10" applyNumberFormat="1" applyFont="1" applyFill="1" applyBorder="1" applyAlignment="1">
      <alignment vertical="center" wrapText="1"/>
    </xf>
    <xf numFmtId="169" fontId="18" fillId="0" borderId="1" xfId="13" applyNumberFormat="1" applyFont="1" applyFill="1" applyBorder="1" applyAlignment="1">
      <alignment horizontal="left" vertical="center" wrapText="1"/>
    </xf>
    <xf numFmtId="169" fontId="18" fillId="0" borderId="1" xfId="0" applyNumberFormat="1" applyFont="1" applyBorder="1" applyAlignment="1">
      <alignment vertical="center"/>
    </xf>
    <xf numFmtId="169" fontId="18" fillId="0" borderId="1" xfId="6" applyNumberFormat="1" applyFont="1" applyBorder="1" applyAlignment="1">
      <alignment vertical="center"/>
    </xf>
    <xf numFmtId="0" fontId="18" fillId="0" borderId="1" xfId="0" applyFont="1" applyFill="1" applyBorder="1" applyAlignment="1">
      <alignment horizontal="left" vertical="center"/>
    </xf>
    <xf numFmtId="0" fontId="18" fillId="3" borderId="1" xfId="0" applyFont="1" applyFill="1" applyBorder="1" applyAlignment="1">
      <alignment vertical="center"/>
    </xf>
    <xf numFmtId="169" fontId="18" fillId="3" borderId="1" xfId="0" applyNumberFormat="1" applyFont="1" applyFill="1" applyBorder="1" applyAlignment="1">
      <alignment vertical="center" wrapText="1"/>
    </xf>
    <xf numFmtId="0" fontId="18" fillId="0" borderId="12" xfId="0" applyFont="1" applyFill="1" applyBorder="1" applyAlignment="1">
      <alignment horizontal="center" vertical="center"/>
    </xf>
    <xf numFmtId="0" fontId="18" fillId="3" borderId="12" xfId="0" applyFont="1" applyFill="1" applyBorder="1" applyAlignment="1">
      <alignment vertical="center"/>
    </xf>
    <xf numFmtId="169" fontId="18" fillId="0" borderId="12" xfId="10" applyNumberFormat="1" applyFont="1" applyFill="1" applyBorder="1" applyAlignment="1">
      <alignment vertical="center" wrapText="1"/>
    </xf>
    <xf numFmtId="169" fontId="18" fillId="3" borderId="12" xfId="0" applyNumberFormat="1" applyFont="1" applyFill="1" applyBorder="1" applyAlignment="1">
      <alignment vertical="center" wrapText="1"/>
    </xf>
    <xf numFmtId="169" fontId="18" fillId="0" borderId="12" xfId="0" applyNumberFormat="1" applyFont="1" applyBorder="1" applyAlignment="1">
      <alignment vertical="center"/>
    </xf>
    <xf numFmtId="169" fontId="18" fillId="0" borderId="12" xfId="6" applyNumberFormat="1" applyFont="1" applyBorder="1" applyAlignment="1">
      <alignment vertical="center"/>
    </xf>
    <xf numFmtId="0" fontId="20" fillId="3" borderId="1" xfId="0" applyFont="1" applyFill="1" applyBorder="1" applyAlignment="1">
      <alignment horizontal="center" vertical="center"/>
    </xf>
    <xf numFmtId="0" fontId="20" fillId="3" borderId="1" xfId="0" applyFont="1" applyFill="1" applyBorder="1" applyAlignment="1">
      <alignment horizontal="justify" vertical="center" wrapText="1"/>
    </xf>
    <xf numFmtId="0" fontId="20" fillId="3" borderId="18" xfId="0" applyFont="1" applyFill="1" applyBorder="1" applyAlignment="1">
      <alignment horizontal="center" vertical="center"/>
    </xf>
    <xf numFmtId="0" fontId="20" fillId="3" borderId="18" xfId="0" applyFont="1" applyFill="1" applyBorder="1" applyAlignment="1">
      <alignment horizontal="justify" vertical="center" wrapText="1"/>
    </xf>
    <xf numFmtId="0" fontId="20" fillId="3" borderId="12" xfId="0" applyFont="1" applyFill="1" applyBorder="1" applyAlignment="1">
      <alignment horizontal="center" vertical="center"/>
    </xf>
    <xf numFmtId="0" fontId="24" fillId="3" borderId="0" xfId="0" applyFont="1" applyFill="1" applyAlignment="1">
      <alignment horizontal="center" vertical="center"/>
    </xf>
    <xf numFmtId="0" fontId="68" fillId="0" borderId="0" xfId="0" applyFont="1" applyFill="1"/>
    <xf numFmtId="0" fontId="69" fillId="0" borderId="7" xfId="19" applyFont="1" applyFill="1" applyBorder="1" applyAlignment="1">
      <alignment horizontal="center" vertical="center" wrapText="1"/>
    </xf>
    <xf numFmtId="0" fontId="69" fillId="0" borderId="4" xfId="19" applyFont="1" applyFill="1" applyBorder="1" applyAlignment="1">
      <alignment horizontal="center" vertical="center" wrapText="1"/>
    </xf>
    <xf numFmtId="0" fontId="5" fillId="0" borderId="0" xfId="0" applyFont="1" applyFill="1" applyBorder="1"/>
    <xf numFmtId="0" fontId="68" fillId="0" borderId="0" xfId="0" applyFont="1" applyFill="1" applyBorder="1"/>
    <xf numFmtId="0" fontId="71" fillId="0" borderId="0" xfId="0" applyFont="1" applyFill="1" applyBorder="1"/>
    <xf numFmtId="0" fontId="72" fillId="0" borderId="0" xfId="0" applyFont="1" applyFill="1" applyBorder="1"/>
    <xf numFmtId="178" fontId="68" fillId="0" borderId="0" xfId="0" applyNumberFormat="1" applyFont="1" applyFill="1"/>
    <xf numFmtId="180" fontId="68" fillId="0" borderId="0" xfId="0" applyNumberFormat="1" applyFont="1" applyFill="1"/>
    <xf numFmtId="178" fontId="67" fillId="0" borderId="0" xfId="0" applyNumberFormat="1" applyFont="1" applyFill="1"/>
    <xf numFmtId="180" fontId="68" fillId="5" borderId="0" xfId="0" applyNumberFormat="1" applyFont="1" applyFill="1"/>
    <xf numFmtId="0" fontId="5" fillId="0" borderId="2" xfId="19" applyFont="1" applyFill="1" applyBorder="1" applyAlignment="1">
      <alignment horizontal="center" vertical="center" wrapText="1"/>
    </xf>
    <xf numFmtId="0" fontId="70" fillId="0" borderId="2" xfId="20" applyFont="1" applyFill="1" applyBorder="1" applyAlignment="1">
      <alignment vertical="center" wrapText="1"/>
    </xf>
    <xf numFmtId="0" fontId="5" fillId="0" borderId="1" xfId="19" applyFont="1" applyFill="1" applyBorder="1" applyAlignment="1">
      <alignment horizontal="center" vertical="center" wrapText="1"/>
    </xf>
    <xf numFmtId="0" fontId="70" fillId="0" borderId="1" xfId="8" applyFont="1" applyFill="1" applyBorder="1" applyAlignment="1">
      <alignment vertical="center"/>
    </xf>
    <xf numFmtId="0" fontId="5" fillId="0" borderId="12" xfId="19" applyFont="1" applyFill="1" applyBorder="1" applyAlignment="1">
      <alignment horizontal="center" vertical="center" wrapText="1"/>
    </xf>
    <xf numFmtId="0" fontId="70" fillId="0" borderId="12" xfId="8" applyFont="1" applyFill="1" applyBorder="1" applyAlignment="1">
      <alignment vertical="center"/>
    </xf>
    <xf numFmtId="0" fontId="73" fillId="0" borderId="2" xfId="20" applyFont="1" applyFill="1" applyBorder="1" applyAlignment="1">
      <alignment vertical="center" wrapText="1"/>
    </xf>
    <xf numFmtId="180" fontId="74" fillId="0" borderId="2" xfId="19" applyNumberFormat="1" applyFont="1" applyFill="1" applyBorder="1" applyAlignment="1">
      <alignment horizontal="left" vertical="center" wrapText="1"/>
    </xf>
    <xf numFmtId="171" fontId="74" fillId="0" borderId="2" xfId="6" applyNumberFormat="1" applyFont="1" applyFill="1" applyBorder="1" applyAlignment="1">
      <alignment horizontal="left" vertical="center" wrapText="1"/>
    </xf>
    <xf numFmtId="178" fontId="74" fillId="0" borderId="2" xfId="21" applyNumberFormat="1" applyFont="1" applyFill="1" applyBorder="1" applyAlignment="1">
      <alignment horizontal="center" vertical="center"/>
    </xf>
    <xf numFmtId="178" fontId="74" fillId="0" borderId="2" xfId="21" applyNumberFormat="1" applyFont="1" applyFill="1" applyBorder="1" applyAlignment="1">
      <alignment horizontal="center" vertical="center" wrapText="1"/>
    </xf>
    <xf numFmtId="43" fontId="74" fillId="0" borderId="2" xfId="21" applyNumberFormat="1" applyFont="1" applyFill="1" applyBorder="1" applyAlignment="1">
      <alignment horizontal="center" vertical="center"/>
    </xf>
    <xf numFmtId="171" fontId="74" fillId="0" borderId="2" xfId="6" applyNumberFormat="1" applyFont="1" applyFill="1" applyBorder="1" applyAlignment="1">
      <alignment horizontal="center" vertical="center"/>
    </xf>
    <xf numFmtId="43" fontId="74" fillId="0" borderId="2" xfId="21" applyNumberFormat="1" applyFont="1" applyFill="1" applyBorder="1" applyAlignment="1">
      <alignment horizontal="center" vertical="center" wrapText="1"/>
    </xf>
    <xf numFmtId="171" fontId="74" fillId="0" borderId="2" xfId="6" applyNumberFormat="1" applyFont="1" applyFill="1" applyBorder="1" applyAlignment="1">
      <alignment horizontal="center" vertical="center" wrapText="1"/>
    </xf>
    <xf numFmtId="170" fontId="74" fillId="0" borderId="2" xfId="6" applyNumberFormat="1" applyFont="1" applyFill="1" applyBorder="1" applyAlignment="1">
      <alignment horizontal="center" vertical="center"/>
    </xf>
    <xf numFmtId="170" fontId="74" fillId="0" borderId="2" xfId="6" applyNumberFormat="1" applyFont="1" applyFill="1" applyBorder="1" applyAlignment="1">
      <alignment horizontal="center" vertical="center" wrapText="1"/>
    </xf>
    <xf numFmtId="0" fontId="73" fillId="0" borderId="1" xfId="8" applyFont="1" applyFill="1" applyBorder="1" applyAlignment="1">
      <alignment vertical="center"/>
    </xf>
    <xf numFmtId="180" fontId="74" fillId="0" borderId="1" xfId="19" applyNumberFormat="1" applyFont="1" applyFill="1" applyBorder="1" applyAlignment="1">
      <alignment horizontal="left" vertical="center" wrapText="1"/>
    </xf>
    <xf numFmtId="171" fontId="74" fillId="0" borderId="1" xfId="6" applyNumberFormat="1" applyFont="1" applyFill="1" applyBorder="1" applyAlignment="1">
      <alignment horizontal="left" vertical="center" wrapText="1"/>
    </xf>
    <xf numFmtId="178" fontId="74" fillId="0" borderId="1" xfId="21" applyNumberFormat="1" applyFont="1" applyFill="1" applyBorder="1" applyAlignment="1">
      <alignment horizontal="center" vertical="center"/>
    </xf>
    <xf numFmtId="178" fontId="74" fillId="0" borderId="1" xfId="21" applyNumberFormat="1" applyFont="1" applyFill="1" applyBorder="1" applyAlignment="1">
      <alignment horizontal="center" vertical="center" wrapText="1"/>
    </xf>
    <xf numFmtId="43" fontId="74" fillId="0" borderId="1" xfId="21" applyNumberFormat="1" applyFont="1" applyFill="1" applyBorder="1" applyAlignment="1">
      <alignment horizontal="center" vertical="center"/>
    </xf>
    <xf numFmtId="171" fontId="74" fillId="0" borderId="1" xfId="6" applyNumberFormat="1" applyFont="1" applyFill="1" applyBorder="1" applyAlignment="1">
      <alignment horizontal="center" vertical="center"/>
    </xf>
    <xf numFmtId="43" fontId="74" fillId="0" borderId="1" xfId="21" applyNumberFormat="1" applyFont="1" applyFill="1" applyBorder="1" applyAlignment="1">
      <alignment horizontal="center" vertical="center" wrapText="1"/>
    </xf>
    <xf numFmtId="171" fontId="74" fillId="0" borderId="1" xfId="6" applyNumberFormat="1" applyFont="1" applyFill="1" applyBorder="1" applyAlignment="1">
      <alignment horizontal="center" vertical="center" wrapText="1"/>
    </xf>
    <xf numFmtId="170" fontId="74" fillId="0" borderId="1" xfId="6" applyNumberFormat="1" applyFont="1" applyFill="1" applyBorder="1" applyAlignment="1">
      <alignment horizontal="center" vertical="center"/>
    </xf>
    <xf numFmtId="170" fontId="74" fillId="0" borderId="1" xfId="6" applyNumberFormat="1" applyFont="1" applyFill="1" applyBorder="1" applyAlignment="1">
      <alignment horizontal="center" vertical="center" wrapText="1"/>
    </xf>
    <xf numFmtId="171" fontId="74" fillId="0" borderId="1" xfId="6" applyNumberFormat="1" applyFont="1" applyFill="1" applyBorder="1" applyAlignment="1">
      <alignment vertical="center"/>
    </xf>
    <xf numFmtId="171" fontId="74" fillId="0" borderId="1" xfId="6" applyNumberFormat="1" applyFont="1" applyFill="1" applyBorder="1"/>
    <xf numFmtId="178" fontId="75" fillId="0" borderId="1" xfId="21" applyNumberFormat="1" applyFont="1" applyFill="1" applyBorder="1" applyAlignment="1">
      <alignment horizontal="center" vertical="center" wrapText="1"/>
    </xf>
    <xf numFmtId="0" fontId="74" fillId="0" borderId="1" xfId="0" applyFont="1" applyFill="1" applyBorder="1"/>
    <xf numFmtId="0" fontId="73" fillId="0" borderId="12" xfId="8" applyFont="1" applyFill="1" applyBorder="1" applyAlignment="1">
      <alignment vertical="center"/>
    </xf>
    <xf numFmtId="180" fontId="74" fillId="0" borderId="12" xfId="19" applyNumberFormat="1" applyFont="1" applyFill="1" applyBorder="1" applyAlignment="1">
      <alignment horizontal="left" vertical="center" wrapText="1"/>
    </xf>
    <xf numFmtId="171" fontId="74" fillId="0" borderId="12" xfId="6" applyNumberFormat="1" applyFont="1" applyFill="1" applyBorder="1" applyAlignment="1">
      <alignment horizontal="left" vertical="center" wrapText="1"/>
    </xf>
    <xf numFmtId="0" fontId="74" fillId="0" borderId="12" xfId="0" applyFont="1" applyFill="1" applyBorder="1"/>
    <xf numFmtId="181" fontId="76" fillId="0" borderId="12" xfId="0" applyNumberFormat="1" applyFont="1" applyFill="1" applyBorder="1"/>
    <xf numFmtId="180" fontId="74" fillId="0" borderId="12" xfId="0" applyNumberFormat="1" applyFont="1" applyFill="1" applyBorder="1"/>
    <xf numFmtId="43" fontId="74" fillId="0" borderId="12" xfId="21" applyNumberFormat="1" applyFont="1" applyFill="1" applyBorder="1" applyAlignment="1">
      <alignment horizontal="center" vertical="center"/>
    </xf>
    <xf numFmtId="171" fontId="74" fillId="0" borderId="12" xfId="6" applyNumberFormat="1" applyFont="1" applyFill="1" applyBorder="1" applyAlignment="1">
      <alignment horizontal="center" vertical="center"/>
    </xf>
    <xf numFmtId="43" fontId="74" fillId="0" borderId="12" xfId="21" applyNumberFormat="1" applyFont="1" applyFill="1" applyBorder="1" applyAlignment="1">
      <alignment horizontal="center" vertical="center" wrapText="1"/>
    </xf>
    <xf numFmtId="171" fontId="74" fillId="0" borderId="12" xfId="6" applyNumberFormat="1" applyFont="1" applyFill="1" applyBorder="1" applyAlignment="1">
      <alignment horizontal="center" vertical="center" wrapText="1"/>
    </xf>
    <xf numFmtId="178" fontId="74" fillId="0" borderId="12" xfId="21" applyNumberFormat="1" applyFont="1" applyFill="1" applyBorder="1" applyAlignment="1">
      <alignment horizontal="center" vertical="center" wrapText="1"/>
    </xf>
    <xf numFmtId="170" fontId="74" fillId="0" borderId="12" xfId="6" applyNumberFormat="1" applyFont="1" applyFill="1" applyBorder="1" applyAlignment="1">
      <alignment horizontal="center" vertical="center"/>
    </xf>
    <xf numFmtId="171" fontId="74" fillId="0" borderId="12" xfId="6" applyNumberFormat="1" applyFont="1" applyFill="1" applyBorder="1"/>
    <xf numFmtId="170" fontId="74" fillId="0" borderId="12" xfId="6" applyNumberFormat="1" applyFont="1" applyFill="1" applyBorder="1" applyAlignment="1">
      <alignment horizontal="center" vertical="center" wrapText="1"/>
    </xf>
    <xf numFmtId="171" fontId="75" fillId="0" borderId="4" xfId="6" applyNumberFormat="1" applyFont="1" applyFill="1" applyBorder="1" applyAlignment="1">
      <alignment horizontal="left" vertical="center" wrapText="1"/>
    </xf>
    <xf numFmtId="171" fontId="77" fillId="0" borderId="4" xfId="6" applyNumberFormat="1" applyFont="1" applyFill="1" applyBorder="1" applyAlignment="1">
      <alignment vertical="center"/>
    </xf>
    <xf numFmtId="0" fontId="19" fillId="3" borderId="2" xfId="0" applyFont="1" applyFill="1" applyBorder="1" applyAlignment="1">
      <alignment vertical="center" wrapText="1"/>
    </xf>
    <xf numFmtId="3" fontId="19" fillId="3" borderId="2" xfId="0" applyNumberFormat="1" applyFont="1" applyFill="1" applyBorder="1" applyAlignment="1">
      <alignment vertical="center"/>
    </xf>
    <xf numFmtId="0" fontId="19" fillId="3" borderId="1" xfId="0" applyFont="1" applyFill="1" applyBorder="1" applyAlignment="1">
      <alignment vertical="center" wrapText="1"/>
    </xf>
    <xf numFmtId="0" fontId="0" fillId="3" borderId="1" xfId="0" applyFill="1" applyBorder="1" applyAlignment="1">
      <alignment vertical="center" wrapText="1"/>
    </xf>
    <xf numFmtId="3" fontId="0" fillId="3" borderId="1" xfId="6" applyNumberFormat="1" applyFont="1" applyFill="1" applyBorder="1" applyAlignment="1">
      <alignment vertical="center"/>
    </xf>
    <xf numFmtId="0" fontId="6" fillId="3" borderId="1" xfId="0" applyNumberFormat="1" applyFont="1" applyFill="1" applyBorder="1" applyAlignment="1">
      <alignment horizontal="justify" vertical="center"/>
    </xf>
    <xf numFmtId="3" fontId="1" fillId="3" borderId="1" xfId="0" applyNumberFormat="1" applyFont="1" applyFill="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3" fontId="1" fillId="3" borderId="1" xfId="6" applyNumberFormat="1" applyFont="1" applyFill="1" applyBorder="1" applyAlignment="1">
      <alignment vertical="center"/>
    </xf>
    <xf numFmtId="0" fontId="0" fillId="3" borderId="1" xfId="0" applyFont="1" applyFill="1" applyBorder="1" applyAlignment="1">
      <alignment horizontal="justify" vertical="center" wrapText="1"/>
    </xf>
    <xf numFmtId="3" fontId="1" fillId="3" borderId="1" xfId="0" applyNumberFormat="1" applyFont="1" applyFill="1" applyBorder="1" applyAlignment="1">
      <alignment horizontal="right" vertical="center"/>
    </xf>
    <xf numFmtId="3" fontId="4" fillId="3" borderId="1" xfId="0" applyNumberFormat="1" applyFont="1" applyFill="1" applyBorder="1" applyAlignment="1">
      <alignment vertical="center"/>
    </xf>
    <xf numFmtId="0" fontId="58" fillId="3" borderId="1" xfId="0" applyFont="1" applyFill="1" applyBorder="1" applyAlignment="1">
      <alignment vertical="center" wrapText="1"/>
    </xf>
    <xf numFmtId="3" fontId="58" fillId="3" borderId="1" xfId="0" applyNumberFormat="1" applyFont="1" applyFill="1" applyBorder="1" applyAlignment="1">
      <alignment vertical="center"/>
    </xf>
    <xf numFmtId="3" fontId="0" fillId="3" borderId="1" xfId="0" applyNumberFormat="1" applyFill="1" applyBorder="1" applyAlignment="1">
      <alignment vertical="center"/>
    </xf>
    <xf numFmtId="3" fontId="0" fillId="3" borderId="12" xfId="0" applyNumberFormat="1" applyFill="1" applyBorder="1" applyAlignment="1">
      <alignment vertical="center"/>
    </xf>
    <xf numFmtId="0" fontId="19" fillId="3" borderId="1" xfId="0" applyFont="1" applyFill="1" applyBorder="1" applyAlignment="1">
      <alignment horizontal="center" vertical="center"/>
    </xf>
    <xf numFmtId="0" fontId="0" fillId="3" borderId="0" xfId="0" applyFill="1" applyAlignment="1">
      <alignment vertical="center" wrapText="1"/>
    </xf>
    <xf numFmtId="0" fontId="19" fillId="3" borderId="2" xfId="0" applyFont="1" applyFill="1" applyBorder="1" applyAlignment="1">
      <alignment horizontal="justify" vertical="center" wrapText="1"/>
    </xf>
    <xf numFmtId="0" fontId="0" fillId="3" borderId="1" xfId="0" applyFill="1" applyBorder="1" applyAlignment="1">
      <alignment horizontal="justify" vertical="center" wrapText="1"/>
    </xf>
    <xf numFmtId="3" fontId="1" fillId="3" borderId="1" xfId="0" applyNumberFormat="1" applyFont="1" applyFill="1" applyBorder="1" applyAlignment="1">
      <alignment horizontal="justify" vertical="center" wrapText="1"/>
    </xf>
    <xf numFmtId="0" fontId="1" fillId="3" borderId="1" xfId="0" applyFont="1" applyFill="1" applyBorder="1" applyAlignment="1">
      <alignment horizontal="justify" vertical="center" wrapText="1"/>
    </xf>
    <xf numFmtId="3" fontId="1" fillId="3" borderId="1" xfId="7" applyNumberFormat="1" applyFont="1" applyFill="1" applyBorder="1" applyAlignment="1">
      <alignment horizontal="justify" vertical="center" wrapText="1"/>
    </xf>
    <xf numFmtId="3" fontId="1" fillId="3" borderId="1" xfId="0" quotePrefix="1" applyNumberFormat="1" applyFont="1" applyFill="1" applyBorder="1" applyAlignment="1">
      <alignment horizontal="justify" vertical="center" wrapText="1"/>
    </xf>
    <xf numFmtId="3" fontId="4" fillId="3" borderId="1" xfId="0" applyNumberFormat="1" applyFont="1" applyFill="1" applyBorder="1" applyAlignment="1">
      <alignment horizontal="justify" vertical="center" wrapText="1"/>
    </xf>
    <xf numFmtId="3" fontId="20" fillId="3" borderId="1" xfId="0" applyNumberFormat="1" applyFont="1" applyFill="1" applyBorder="1" applyAlignment="1">
      <alignment horizontal="justify" vertical="center" wrapText="1"/>
    </xf>
    <xf numFmtId="0" fontId="58" fillId="3" borderId="1" xfId="0" applyFont="1" applyFill="1" applyBorder="1" applyAlignment="1">
      <alignment horizontal="justify" vertical="center" wrapText="1"/>
    </xf>
    <xf numFmtId="0" fontId="78" fillId="3" borderId="1" xfId="0" applyFont="1" applyFill="1" applyBorder="1" applyAlignment="1">
      <alignment horizontal="justify" vertical="center" wrapText="1"/>
    </xf>
    <xf numFmtId="0" fontId="0" fillId="3" borderId="12" xfId="0" applyFill="1" applyBorder="1" applyAlignment="1">
      <alignment horizontal="justify" vertical="center" wrapText="1"/>
    </xf>
    <xf numFmtId="0" fontId="0" fillId="3" borderId="0" xfId="0" applyFill="1" applyAlignment="1">
      <alignment horizontal="center" vertical="center"/>
    </xf>
    <xf numFmtId="0" fontId="19" fillId="3" borderId="2" xfId="0" applyFont="1" applyFill="1" applyBorder="1" applyAlignment="1">
      <alignment horizontal="center" vertical="center"/>
    </xf>
    <xf numFmtId="0" fontId="58" fillId="3" borderId="1" xfId="0" applyFont="1" applyFill="1" applyBorder="1" applyAlignment="1">
      <alignment horizontal="center" vertical="center"/>
    </xf>
    <xf numFmtId="0" fontId="80" fillId="0" borderId="0" xfId="0" applyFont="1" applyFill="1" applyAlignment="1">
      <alignment vertical="center"/>
    </xf>
    <xf numFmtId="0" fontId="81" fillId="0" borderId="4" xfId="0" applyFont="1" applyFill="1" applyBorder="1" applyAlignment="1">
      <alignment horizontal="center" vertical="center" wrapText="1"/>
    </xf>
    <xf numFmtId="164" fontId="1" fillId="0" borderId="0" xfId="6" applyFont="1" applyFill="1" applyAlignment="1">
      <alignment vertical="center"/>
    </xf>
    <xf numFmtId="171" fontId="82" fillId="0" borderId="2" xfId="6" applyNumberFormat="1" applyFont="1" applyFill="1" applyBorder="1" applyAlignment="1">
      <alignment vertical="center"/>
    </xf>
    <xf numFmtId="171" fontId="83" fillId="0" borderId="2" xfId="6" applyNumberFormat="1" applyFont="1" applyFill="1" applyBorder="1" applyAlignment="1">
      <alignment vertical="center"/>
    </xf>
    <xf numFmtId="171" fontId="82" fillId="0" borderId="1" xfId="6" applyNumberFormat="1" applyFont="1" applyFill="1" applyBorder="1" applyAlignment="1">
      <alignment vertical="center"/>
    </xf>
    <xf numFmtId="171" fontId="83" fillId="0" borderId="1" xfId="6" applyNumberFormat="1" applyFont="1" applyFill="1" applyBorder="1" applyAlignment="1">
      <alignment vertical="center"/>
    </xf>
    <xf numFmtId="171" fontId="84" fillId="0" borderId="1" xfId="6" applyNumberFormat="1" applyFont="1" applyFill="1" applyBorder="1" applyAlignment="1">
      <alignment vertical="center"/>
    </xf>
    <xf numFmtId="171" fontId="85" fillId="0" borderId="1" xfId="6" applyNumberFormat="1" applyFont="1" applyFill="1" applyBorder="1" applyAlignment="1">
      <alignment vertical="center"/>
    </xf>
    <xf numFmtId="171" fontId="84" fillId="0" borderId="17" xfId="6" applyNumberFormat="1" applyFont="1" applyFill="1" applyBorder="1" applyAlignment="1">
      <alignment vertical="center"/>
    </xf>
    <xf numFmtId="171" fontId="85" fillId="0" borderId="17" xfId="6" applyNumberFormat="1" applyFont="1" applyFill="1" applyBorder="1" applyAlignment="1">
      <alignment vertical="center"/>
    </xf>
    <xf numFmtId="171" fontId="82" fillId="0" borderId="4" xfId="6" applyNumberFormat="1" applyFont="1" applyFill="1" applyBorder="1" applyAlignment="1">
      <alignment vertical="center"/>
    </xf>
    <xf numFmtId="171" fontId="83" fillId="0" borderId="4" xfId="6" applyNumberFormat="1" applyFont="1" applyFill="1" applyBorder="1" applyAlignment="1">
      <alignment vertical="center"/>
    </xf>
    <xf numFmtId="171" fontId="84" fillId="0" borderId="18" xfId="6" applyNumberFormat="1" applyFont="1" applyFill="1" applyBorder="1" applyAlignment="1">
      <alignment vertical="center"/>
    </xf>
    <xf numFmtId="171" fontId="84" fillId="0" borderId="18" xfId="6" applyNumberFormat="1" applyFont="1" applyFill="1" applyBorder="1" applyAlignment="1">
      <alignment vertical="center" wrapText="1"/>
    </xf>
    <xf numFmtId="171" fontId="85" fillId="0" borderId="18" xfId="6" applyNumberFormat="1" applyFont="1" applyFill="1" applyBorder="1" applyAlignment="1">
      <alignment vertical="center"/>
    </xf>
    <xf numFmtId="171" fontId="84" fillId="0" borderId="1" xfId="6" applyNumberFormat="1" applyFont="1" applyFill="1" applyBorder="1" applyAlignment="1">
      <alignment vertical="center" wrapText="1"/>
    </xf>
    <xf numFmtId="171" fontId="84" fillId="0" borderId="12" xfId="6" applyNumberFormat="1" applyFont="1" applyFill="1" applyBorder="1" applyAlignment="1">
      <alignment vertical="center"/>
    </xf>
    <xf numFmtId="171" fontId="84" fillId="0" borderId="12" xfId="6" applyNumberFormat="1" applyFont="1" applyFill="1" applyBorder="1" applyAlignment="1">
      <alignment vertical="center" wrapText="1"/>
    </xf>
    <xf numFmtId="171" fontId="85" fillId="0" borderId="12" xfId="6" applyNumberFormat="1" applyFont="1" applyFill="1" applyBorder="1" applyAlignment="1">
      <alignment vertical="center"/>
    </xf>
    <xf numFmtId="0" fontId="9" fillId="0" borderId="0" xfId="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0" xfId="0" applyFont="1" applyFill="1" applyBorder="1" applyAlignment="1">
      <alignment horizontal="center" vertical="center" wrapText="1"/>
    </xf>
    <xf numFmtId="1"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9" fillId="0" borderId="4" xfId="1" applyFont="1" applyFill="1" applyBorder="1" applyAlignment="1">
      <alignment horizontal="center" vertical="center" wrapText="1"/>
    </xf>
    <xf numFmtId="0" fontId="27" fillId="0" borderId="9" xfId="0" applyFont="1" applyFill="1" applyBorder="1" applyAlignment="1">
      <alignment horizontal="center" vertical="center"/>
    </xf>
    <xf numFmtId="0" fontId="9" fillId="0" borderId="5"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18" fillId="0" borderId="0" xfId="0" applyFont="1" applyAlignment="1">
      <alignment horizontal="justify" vertical="center"/>
    </xf>
    <xf numFmtId="0" fontId="17" fillId="0" borderId="0" xfId="0" applyFont="1" applyAlignment="1">
      <alignment horizontal="center" vertical="center"/>
    </xf>
    <xf numFmtId="0" fontId="24" fillId="0" borderId="0" xfId="0" applyFont="1" applyAlignment="1">
      <alignment horizontal="center" vertical="center"/>
    </xf>
    <xf numFmtId="0" fontId="20" fillId="3" borderId="1" xfId="0" applyFont="1" applyFill="1" applyBorder="1" applyAlignment="1">
      <alignment horizontal="center" vertical="center"/>
    </xf>
    <xf numFmtId="0" fontId="20" fillId="3" borderId="1" xfId="0" applyFont="1" applyFill="1" applyBorder="1" applyAlignment="1">
      <alignment horizontal="justify" vertical="center" wrapText="1"/>
    </xf>
    <xf numFmtId="0" fontId="20" fillId="3" borderId="18" xfId="0" applyFont="1" applyFill="1" applyBorder="1" applyAlignment="1">
      <alignment horizontal="center" vertical="center"/>
    </xf>
    <xf numFmtId="0" fontId="20" fillId="3" borderId="18" xfId="0" applyFont="1" applyFill="1" applyBorder="1" applyAlignment="1">
      <alignment horizontal="justify" vertical="center" wrapText="1"/>
    </xf>
    <xf numFmtId="0" fontId="20" fillId="3" borderId="17" xfId="0" applyFont="1" applyFill="1" applyBorder="1" applyAlignment="1">
      <alignment horizontal="center" vertical="center"/>
    </xf>
    <xf numFmtId="0" fontId="20" fillId="3" borderId="17" xfId="0" applyFont="1" applyFill="1" applyBorder="1" applyAlignment="1">
      <alignment horizontal="justify" vertical="center" wrapText="1"/>
    </xf>
    <xf numFmtId="0" fontId="20" fillId="3" borderId="11"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xf>
    <xf numFmtId="0" fontId="20" fillId="3" borderId="12" xfId="0" applyFont="1" applyFill="1" applyBorder="1" applyAlignment="1">
      <alignment horizontal="center" vertical="center"/>
    </xf>
    <xf numFmtId="0" fontId="19" fillId="3" borderId="0" xfId="0" applyFont="1" applyFill="1" applyAlignment="1">
      <alignment horizontal="center" vertical="center" wrapText="1"/>
    </xf>
    <xf numFmtId="0" fontId="24" fillId="3" borderId="0" xfId="0" applyFont="1" applyFill="1" applyAlignment="1">
      <alignment horizontal="center" vertical="center"/>
    </xf>
    <xf numFmtId="0" fontId="26" fillId="3" borderId="0" xfId="0" applyFont="1" applyFill="1" applyAlignment="1">
      <alignment horizontal="right" vertical="center" wrapText="1"/>
    </xf>
    <xf numFmtId="0" fontId="20" fillId="3" borderId="2" xfId="0" applyFont="1" applyFill="1" applyBorder="1" applyAlignment="1">
      <alignment horizontal="justify" vertical="center" wrapText="1"/>
    </xf>
    <xf numFmtId="0" fontId="20" fillId="3" borderId="12" xfId="0" applyFont="1" applyFill="1" applyBorder="1" applyAlignment="1">
      <alignment horizontal="justify" vertical="center" wrapText="1"/>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Alignment="1">
      <alignment horizontal="right" vertical="center"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0" borderId="0" xfId="0" applyFont="1" applyAlignment="1">
      <alignment horizontal="center" wrapText="1"/>
    </xf>
    <xf numFmtId="3" fontId="45" fillId="3" borderId="0" xfId="0" applyNumberFormat="1" applyFont="1" applyFill="1" applyAlignment="1">
      <alignment horizontal="center" vertical="center" wrapText="1"/>
    </xf>
    <xf numFmtId="0" fontId="24" fillId="0" borderId="9" xfId="0" applyFont="1" applyBorder="1" applyAlignment="1">
      <alignment horizontal="right" vertical="center" wrapText="1"/>
    </xf>
    <xf numFmtId="0" fontId="62" fillId="0" borderId="0" xfId="7" applyFont="1" applyFill="1" applyBorder="1" applyAlignment="1">
      <alignment horizontal="center" vertical="center" wrapText="1"/>
    </xf>
    <xf numFmtId="0" fontId="27" fillId="0" borderId="0" xfId="7" applyFont="1" applyFill="1" applyBorder="1" applyAlignment="1">
      <alignment horizontal="center" vertical="center" wrapText="1"/>
    </xf>
    <xf numFmtId="0" fontId="63" fillId="0" borderId="15" xfId="7" applyFont="1" applyFill="1" applyBorder="1" applyAlignment="1">
      <alignment horizontal="center" vertical="center" wrapText="1"/>
    </xf>
    <xf numFmtId="0" fontId="63" fillId="0" borderId="16" xfId="7" applyFont="1" applyFill="1" applyBorder="1" applyAlignment="1">
      <alignment horizontal="center" vertical="center" wrapText="1"/>
    </xf>
    <xf numFmtId="0" fontId="63" fillId="0" borderId="19" xfId="7" applyFont="1" applyFill="1" applyBorder="1" applyAlignment="1">
      <alignment horizontal="center" vertical="center" wrapText="1"/>
    </xf>
    <xf numFmtId="0" fontId="63" fillId="0" borderId="20" xfId="7" applyFont="1" applyFill="1" applyBorder="1" applyAlignment="1">
      <alignment horizontal="center" vertical="center" wrapText="1"/>
    </xf>
    <xf numFmtId="0" fontId="63" fillId="0" borderId="3" xfId="7" applyFont="1" applyFill="1" applyBorder="1" applyAlignment="1">
      <alignment horizontal="center" vertical="center" wrapText="1"/>
    </xf>
    <xf numFmtId="0" fontId="63" fillId="0" borderId="7" xfId="7" applyFont="1" applyFill="1" applyBorder="1" applyAlignment="1">
      <alignment horizontal="center" vertical="center" wrapText="1"/>
    </xf>
    <xf numFmtId="0" fontId="63" fillId="0" borderId="5" xfId="7" applyFont="1" applyFill="1" applyBorder="1" applyAlignment="1">
      <alignment horizontal="center" vertical="center" wrapText="1"/>
    </xf>
    <xf numFmtId="0" fontId="63" fillId="0" borderId="10" xfId="7" applyFont="1" applyFill="1" applyBorder="1" applyAlignment="1">
      <alignment horizontal="center" vertical="center" wrapText="1"/>
    </xf>
    <xf numFmtId="0" fontId="63" fillId="0" borderId="8" xfId="7" applyFont="1" applyFill="1" applyBorder="1" applyAlignment="1">
      <alignment horizontal="center" vertical="center" wrapText="1"/>
    </xf>
    <xf numFmtId="0" fontId="61" fillId="0" borderId="2" xfId="7" applyFont="1" applyFill="1" applyBorder="1" applyAlignment="1">
      <alignment horizontal="center" vertical="center" wrapText="1"/>
    </xf>
    <xf numFmtId="0" fontId="61" fillId="0" borderId="1" xfId="7" applyFont="1" applyFill="1" applyBorder="1" applyAlignment="1">
      <alignment horizontal="center" vertical="center" wrapText="1"/>
    </xf>
    <xf numFmtId="0" fontId="61" fillId="0" borderId="12" xfId="7" applyFont="1" applyFill="1" applyBorder="1" applyAlignment="1">
      <alignment horizontal="center" vertical="center" wrapText="1"/>
    </xf>
    <xf numFmtId="0" fontId="61" fillId="0" borderId="2" xfId="0" applyFont="1" applyFill="1" applyBorder="1" applyAlignment="1">
      <alignment horizontal="left" vertical="center" wrapText="1"/>
    </xf>
    <xf numFmtId="0" fontId="61" fillId="0" borderId="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2" xfId="7" applyFont="1" applyFill="1" applyBorder="1" applyAlignment="1">
      <alignment horizontal="left" vertical="center" wrapText="1"/>
    </xf>
    <xf numFmtId="0" fontId="61" fillId="0" borderId="1" xfId="7" applyFont="1" applyFill="1" applyBorder="1" applyAlignment="1">
      <alignment horizontal="left" vertical="center" wrapText="1"/>
    </xf>
    <xf numFmtId="0" fontId="61" fillId="0" borderId="12" xfId="7" applyFont="1" applyFill="1" applyBorder="1" applyAlignment="1">
      <alignment horizontal="left" vertical="center" wrapText="1"/>
    </xf>
    <xf numFmtId="0" fontId="64" fillId="0" borderId="15"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16" xfId="0" applyFont="1" applyBorder="1" applyAlignment="1">
      <alignment horizontal="center" vertical="center" wrapText="1"/>
    </xf>
    <xf numFmtId="0" fontId="65" fillId="0" borderId="19" xfId="0" applyFont="1" applyBorder="1" applyAlignment="1">
      <alignment horizontal="right" vertical="center" wrapText="1"/>
    </xf>
    <xf numFmtId="0" fontId="65" fillId="0" borderId="9" xfId="0" applyFont="1" applyBorder="1" applyAlignment="1">
      <alignment horizontal="right" vertical="center" wrapText="1"/>
    </xf>
    <xf numFmtId="0" fontId="65" fillId="0" borderId="20" xfId="0" applyFont="1" applyBorder="1" applyAlignment="1">
      <alignment horizontal="right" vertical="center" wrapText="1"/>
    </xf>
    <xf numFmtId="0" fontId="66" fillId="0" borderId="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7"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4" xfId="0" applyFont="1" applyBorder="1" applyAlignment="1">
      <alignment horizontal="center" vertical="center" wrapText="1"/>
    </xf>
    <xf numFmtId="3" fontId="9" fillId="3" borderId="0" xfId="0" applyNumberFormat="1" applyFont="1" applyFill="1" applyAlignment="1">
      <alignment horizontal="center" vertical="center" wrapText="1"/>
    </xf>
    <xf numFmtId="3" fontId="27" fillId="3" borderId="9" xfId="0" applyNumberFormat="1" applyFont="1" applyFill="1" applyBorder="1" applyAlignment="1">
      <alignment horizontal="right" vertical="center" wrapText="1"/>
    </xf>
    <xf numFmtId="3" fontId="9" fillId="3" borderId="13" xfId="0" applyNumberFormat="1" applyFont="1" applyFill="1" applyBorder="1" applyAlignment="1">
      <alignment horizontal="left" vertical="center" wrapText="1"/>
    </xf>
    <xf numFmtId="3" fontId="27" fillId="3" borderId="0" xfId="0" applyNumberFormat="1" applyFont="1" applyFill="1" applyAlignment="1">
      <alignment horizontal="center" vertical="center" wrapText="1"/>
    </xf>
    <xf numFmtId="0" fontId="45" fillId="0" borderId="9" xfId="1" applyFont="1" applyFill="1" applyBorder="1" applyAlignment="1">
      <alignment horizontal="center" vertical="center" wrapText="1"/>
    </xf>
    <xf numFmtId="0" fontId="47" fillId="0" borderId="4" xfId="1" applyFont="1" applyFill="1" applyBorder="1" applyAlignment="1">
      <alignment horizontal="center" vertical="center" wrapText="1"/>
    </xf>
    <xf numFmtId="0" fontId="47" fillId="0" borderId="5" xfId="1" applyFont="1" applyFill="1" applyBorder="1" applyAlignment="1">
      <alignment horizontal="center" vertical="center" wrapText="1"/>
    </xf>
    <xf numFmtId="0" fontId="47" fillId="0" borderId="10" xfId="1" applyFont="1" applyFill="1" applyBorder="1" applyAlignment="1">
      <alignment horizontal="center" vertical="center" wrapText="1"/>
    </xf>
    <xf numFmtId="0" fontId="47" fillId="0" borderId="8" xfId="1" applyFont="1" applyFill="1" applyBorder="1" applyAlignment="1">
      <alignment horizontal="center" vertical="center" wrapText="1"/>
    </xf>
    <xf numFmtId="3" fontId="4" fillId="0" borderId="4" xfId="11" applyNumberFormat="1" applyFont="1" applyFill="1" applyBorder="1" applyAlignment="1">
      <alignment horizontal="center" vertical="center" wrapText="1"/>
    </xf>
    <xf numFmtId="0" fontId="47" fillId="0" borderId="3" xfId="1" applyFont="1" applyFill="1" applyBorder="1" applyAlignment="1">
      <alignment horizontal="center" vertical="center" wrapText="1"/>
    </xf>
    <xf numFmtId="0" fontId="47" fillId="0" borderId="7" xfId="1" applyFont="1" applyFill="1" applyBorder="1" applyAlignment="1">
      <alignment horizontal="center" vertical="center" wrapText="1"/>
    </xf>
    <xf numFmtId="179" fontId="47" fillId="0" borderId="3" xfId="10" applyNumberFormat="1" applyFont="1" applyFill="1" applyBorder="1" applyAlignment="1">
      <alignment horizontal="center" vertical="center" wrapText="1"/>
    </xf>
    <xf numFmtId="179" fontId="47" fillId="0" borderId="7" xfId="10" applyNumberFormat="1" applyFont="1" applyFill="1" applyBorder="1" applyAlignment="1">
      <alignment horizontal="center" vertical="center" wrapText="1"/>
    </xf>
    <xf numFmtId="0" fontId="45" fillId="0" borderId="3"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34" fillId="0" borderId="11" xfId="0" applyFont="1" applyFill="1" applyBorder="1" applyAlignment="1">
      <alignment horizontal="center" vertical="center" wrapText="1"/>
    </xf>
    <xf numFmtId="164" fontId="34" fillId="0" borderId="4" xfId="6" applyFont="1" applyFill="1" applyBorder="1" applyAlignment="1">
      <alignment horizontal="center" vertical="center" wrapText="1"/>
    </xf>
    <xf numFmtId="1" fontId="33" fillId="0" borderId="0" xfId="0" applyNumberFormat="1" applyFont="1" applyFill="1" applyAlignment="1">
      <alignment horizontal="center" vertical="center"/>
    </xf>
    <xf numFmtId="0" fontId="35" fillId="0" borderId="0" xfId="0" applyFont="1" applyFill="1" applyAlignment="1">
      <alignment horizontal="center" vertical="center" wrapText="1"/>
    </xf>
    <xf numFmtId="0" fontId="32" fillId="0" borderId="0" xfId="0" applyFont="1" applyFill="1" applyAlignment="1">
      <alignment horizontal="center" vertical="center" wrapText="1"/>
    </xf>
    <xf numFmtId="0" fontId="28" fillId="0" borderId="3"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47" fillId="0" borderId="0" xfId="1" applyFont="1" applyFill="1" applyBorder="1" applyAlignment="1">
      <alignment horizontal="center" vertical="center"/>
    </xf>
    <xf numFmtId="0" fontId="47" fillId="0" borderId="0" xfId="0"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9" xfId="1" applyFont="1" applyFill="1" applyBorder="1" applyAlignment="1">
      <alignment horizontal="right" vertical="center" wrapText="1"/>
    </xf>
    <xf numFmtId="0" fontId="28" fillId="0" borderId="4" xfId="0" applyFont="1" applyFill="1" applyBorder="1" applyAlignment="1">
      <alignment horizontal="center" vertical="center"/>
    </xf>
    <xf numFmtId="0" fontId="28" fillId="0" borderId="1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40"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41" fillId="0" borderId="5" xfId="0" applyFont="1" applyBorder="1" applyAlignment="1">
      <alignment horizontal="center"/>
    </xf>
    <xf numFmtId="0" fontId="41" fillId="0" borderId="10" xfId="0" applyFont="1" applyBorder="1" applyAlignment="1">
      <alignment horizontal="center"/>
    </xf>
    <xf numFmtId="0" fontId="41" fillId="0" borderId="8" xfId="0" applyFont="1" applyBorder="1" applyAlignment="1">
      <alignment horizontal="center"/>
    </xf>
    <xf numFmtId="0" fontId="41" fillId="0" borderId="4" xfId="0" applyFont="1" applyBorder="1" applyAlignment="1">
      <alignment horizontal="center" vertical="center" wrapText="1"/>
    </xf>
    <xf numFmtId="0" fontId="38" fillId="0" borderId="4" xfId="0" applyFont="1" applyBorder="1" applyAlignment="1">
      <alignment horizontal="center" vertical="center"/>
    </xf>
    <xf numFmtId="0" fontId="39" fillId="0" borderId="4" xfId="0" applyFont="1" applyBorder="1" applyAlignment="1">
      <alignment horizontal="center" vertical="center" wrapText="1"/>
    </xf>
    <xf numFmtId="0" fontId="17" fillId="0" borderId="0" xfId="0" applyFont="1" applyAlignment="1">
      <alignment horizontal="center" vertical="center" wrapText="1"/>
    </xf>
    <xf numFmtId="0" fontId="24" fillId="0" borderId="9" xfId="0" applyFont="1" applyBorder="1" applyAlignment="1">
      <alignment horizontal="center" vertical="center"/>
    </xf>
    <xf numFmtId="3" fontId="45" fillId="0" borderId="0" xfId="0" applyNumberFormat="1" applyFont="1" applyFill="1" applyBorder="1" applyAlignment="1">
      <alignment horizontal="center" vertical="center" wrapText="1"/>
    </xf>
    <xf numFmtId="0" fontId="53" fillId="0" borderId="9" xfId="0" applyFont="1" applyFill="1" applyBorder="1" applyAlignment="1">
      <alignment horizontal="right" vertical="center" wrapText="1"/>
    </xf>
    <xf numFmtId="0" fontId="17" fillId="0" borderId="3" xfId="12" applyFont="1" applyFill="1" applyBorder="1" applyAlignment="1">
      <alignment horizontal="center" vertical="center" wrapText="1"/>
    </xf>
    <xf numFmtId="0" fontId="17" fillId="0" borderId="11" xfId="12" applyFont="1" applyFill="1" applyBorder="1" applyAlignment="1">
      <alignment horizontal="center" vertical="center" wrapText="1"/>
    </xf>
    <xf numFmtId="0" fontId="17" fillId="0" borderId="7" xfId="12"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53" fillId="0" borderId="4" xfId="12" applyFont="1" applyFill="1" applyBorder="1" applyAlignment="1">
      <alignment horizontal="center" vertical="center" wrapText="1"/>
    </xf>
    <xf numFmtId="0" fontId="26" fillId="0" borderId="9" xfId="0" applyFont="1" applyBorder="1" applyAlignment="1">
      <alignment horizontal="center" vertical="center"/>
    </xf>
    <xf numFmtId="0" fontId="24" fillId="0" borderId="9" xfId="0" applyFont="1" applyBorder="1" applyAlignment="1">
      <alignment horizontal="right" vertical="center"/>
    </xf>
    <xf numFmtId="0" fontId="38" fillId="0" borderId="5" xfId="0" applyFont="1" applyBorder="1" applyAlignment="1">
      <alignment horizontal="center" vertical="center"/>
    </xf>
    <xf numFmtId="0" fontId="38" fillId="0" borderId="10" xfId="0" applyFont="1" applyBorder="1" applyAlignment="1">
      <alignment horizontal="center" vertical="center"/>
    </xf>
    <xf numFmtId="0" fontId="38" fillId="0" borderId="8" xfId="0" applyFont="1" applyBorder="1" applyAlignment="1">
      <alignment horizontal="center" vertical="center"/>
    </xf>
    <xf numFmtId="0" fontId="19" fillId="0" borderId="4" xfId="0" applyFont="1" applyBorder="1" applyAlignment="1">
      <alignment horizontal="center" vertical="center" wrapText="1"/>
    </xf>
    <xf numFmtId="0" fontId="38" fillId="0" borderId="3" xfId="0" applyFont="1" applyBorder="1" applyAlignment="1">
      <alignment horizontal="center" vertical="center"/>
    </xf>
    <xf numFmtId="0" fontId="38" fillId="0" borderId="7" xfId="0" applyFont="1" applyBorder="1" applyAlignment="1">
      <alignment horizontal="center" vertical="center"/>
    </xf>
    <xf numFmtId="0" fontId="47" fillId="0" borderId="4" xfId="19" applyFont="1" applyFill="1" applyBorder="1" applyAlignment="1">
      <alignment horizontal="center" vertical="center" wrapText="1"/>
    </xf>
    <xf numFmtId="0" fontId="69" fillId="0" borderId="15" xfId="19" applyFont="1" applyFill="1" applyBorder="1" applyAlignment="1">
      <alignment horizontal="center" vertical="center" wrapText="1"/>
    </xf>
    <xf numFmtId="0" fontId="69" fillId="0" borderId="6" xfId="19" applyFont="1" applyFill="1" applyBorder="1" applyAlignment="1">
      <alignment horizontal="center" vertical="center" wrapText="1"/>
    </xf>
    <xf numFmtId="0" fontId="69" fillId="0" borderId="16" xfId="19" applyFont="1" applyFill="1" applyBorder="1" applyAlignment="1">
      <alignment horizontal="center" vertical="center" wrapText="1"/>
    </xf>
    <xf numFmtId="0" fontId="69" fillId="0" borderId="3" xfId="19" applyFont="1" applyFill="1" applyBorder="1" applyAlignment="1">
      <alignment horizontal="center" vertical="center" wrapText="1"/>
    </xf>
    <xf numFmtId="0" fontId="69" fillId="0" borderId="7" xfId="19" applyFont="1" applyFill="1" applyBorder="1" applyAlignment="1">
      <alignment horizontal="center" vertical="center" wrapText="1"/>
    </xf>
    <xf numFmtId="0" fontId="69" fillId="0" borderId="5" xfId="19" applyFont="1" applyFill="1" applyBorder="1" applyAlignment="1">
      <alignment horizontal="center" vertical="center" wrapText="1"/>
    </xf>
    <xf numFmtId="0" fontId="69" fillId="0" borderId="10" xfId="19" applyFont="1" applyFill="1" applyBorder="1" applyAlignment="1">
      <alignment horizontal="center" vertical="center" wrapText="1"/>
    </xf>
    <xf numFmtId="0" fontId="69" fillId="0" borderId="8" xfId="19" applyFont="1" applyFill="1" applyBorder="1" applyAlignment="1">
      <alignment horizontal="center" vertical="center" wrapText="1"/>
    </xf>
    <xf numFmtId="0" fontId="4" fillId="0" borderId="0" xfId="19" applyFont="1" applyFill="1" applyBorder="1" applyAlignment="1">
      <alignment horizontal="center" wrapText="1"/>
    </xf>
    <xf numFmtId="0" fontId="7" fillId="0" borderId="9" xfId="19" applyFont="1" applyFill="1" applyBorder="1" applyAlignment="1">
      <alignment horizontal="center" vertical="top" wrapText="1"/>
    </xf>
    <xf numFmtId="0" fontId="69" fillId="0" borderId="11" xfId="19" applyFont="1" applyFill="1" applyBorder="1" applyAlignment="1">
      <alignment horizontal="center" vertical="center" wrapText="1"/>
    </xf>
    <xf numFmtId="4" fontId="27" fillId="0" borderId="9" xfId="8"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1" applyFont="1" applyFill="1" applyBorder="1" applyAlignment="1">
      <alignment horizontal="center" vertical="center"/>
    </xf>
    <xf numFmtId="0" fontId="7"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6" fillId="0" borderId="2" xfId="0" applyNumberFormat="1" applyFont="1" applyFill="1" applyBorder="1" applyAlignment="1">
      <alignment vertical="center" wrapText="1"/>
    </xf>
    <xf numFmtId="1" fontId="6" fillId="0" borderId="1" xfId="0" applyNumberFormat="1" applyFont="1" applyFill="1" applyBorder="1" applyAlignment="1">
      <alignment vertical="center" wrapText="1"/>
    </xf>
    <xf numFmtId="1" fontId="6" fillId="0" borderId="12" xfId="0" applyNumberFormat="1" applyFont="1" applyFill="1" applyBorder="1" applyAlignment="1">
      <alignment vertical="center" wrapText="1"/>
    </xf>
    <xf numFmtId="3" fontId="4" fillId="0" borderId="3"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17" fillId="0" borderId="0" xfId="8" applyNumberFormat="1" applyFont="1" applyBorder="1" applyAlignment="1">
      <alignment horizontal="center" vertical="center" wrapText="1"/>
    </xf>
    <xf numFmtId="3" fontId="26" fillId="0" borderId="9" xfId="8" applyNumberFormat="1" applyFont="1" applyBorder="1" applyAlignment="1">
      <alignment horizontal="center" vertical="center" wrapText="1"/>
    </xf>
    <xf numFmtId="3" fontId="9" fillId="0" borderId="0" xfId="1" applyNumberFormat="1" applyFont="1" applyFill="1" applyBorder="1" applyAlignment="1">
      <alignment horizontal="center" vertical="center"/>
    </xf>
    <xf numFmtId="0" fontId="24" fillId="0" borderId="9" xfId="8" applyFont="1" applyFill="1" applyBorder="1" applyAlignment="1">
      <alignment horizontal="center" wrapText="1"/>
    </xf>
    <xf numFmtId="3" fontId="4" fillId="0" borderId="0" xfId="1"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 fontId="4" fillId="0" borderId="0" xfId="1" applyNumberFormat="1" applyFont="1" applyFill="1" applyBorder="1" applyAlignment="1">
      <alignment horizontal="center" vertical="center"/>
    </xf>
    <xf numFmtId="1" fontId="7" fillId="0" borderId="0" xfId="0" applyNumberFormat="1" applyFont="1" applyFill="1" applyBorder="1" applyAlignment="1">
      <alignment horizontal="center" vertical="center" wrapText="1"/>
    </xf>
    <xf numFmtId="0" fontId="19" fillId="0" borderId="0" xfId="8" applyFont="1" applyBorder="1" applyAlignment="1">
      <alignment horizontal="center" vertical="center" wrapText="1"/>
    </xf>
    <xf numFmtId="1" fontId="24" fillId="0" borderId="9" xfId="8" applyNumberFormat="1" applyFont="1" applyBorder="1" applyAlignment="1">
      <alignment horizontal="center" vertical="center" wrapText="1"/>
    </xf>
    <xf numFmtId="0" fontId="19" fillId="0" borderId="0" xfId="0" applyFont="1" applyBorder="1" applyAlignment="1">
      <alignment horizontal="center" vertical="center" wrapText="1"/>
    </xf>
    <xf numFmtId="0" fontId="17" fillId="0" borderId="0" xfId="0" applyFont="1" applyBorder="1" applyAlignment="1">
      <alignment horizontal="center" vertical="center" wrapText="1"/>
    </xf>
    <xf numFmtId="1"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8" applyFont="1" applyFill="1" applyBorder="1" applyAlignment="1">
      <alignment horizontal="center" vertical="center" wrapText="1"/>
    </xf>
    <xf numFmtId="1"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3" fontId="2" fillId="0" borderId="0" xfId="0" applyNumberFormat="1" applyFont="1" applyFill="1" applyAlignment="1">
      <alignment horizontal="center" vertical="center" wrapText="1"/>
    </xf>
    <xf numFmtId="3" fontId="7" fillId="0" borderId="9"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0" fontId="28"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28"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28"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cellXfs>
  <cellStyles count="22">
    <cellStyle name="Bình thường 2" xfId="1"/>
    <cellStyle name="Bình thường 3" xfId="2"/>
    <cellStyle name="Chuẩn 2" xfId="3"/>
    <cellStyle name="Comma" xfId="6" builtinId="3"/>
    <cellStyle name="Comma 10 10" xfId="10"/>
    <cellStyle name="Comma 2" xfId="4"/>
    <cellStyle name="Comma 2 6" xfId="13"/>
    <cellStyle name="Comma 2_bao cao cua UBND tinh quy II - 2011" xfId="21"/>
    <cellStyle name="Comma 3" xfId="5"/>
    <cellStyle name="Normal" xfId="0" builtinId="0"/>
    <cellStyle name="Normal 2" xfId="7"/>
    <cellStyle name="Normal 2 2" xfId="15"/>
    <cellStyle name="Normal 2 2 2" xfId="16"/>
    <cellStyle name="Normal 2 8" xfId="12"/>
    <cellStyle name="Normal 21" xfId="18"/>
    <cellStyle name="Normal 3" xfId="8"/>
    <cellStyle name="Normal 3 2" xfId="19"/>
    <cellStyle name="Normal 4" xfId="17"/>
    <cellStyle name="Normal_Bieu mau (CV )" xfId="11"/>
    <cellStyle name="Normal_Copy of Bang tổng hợp DT rừng và nhiệm vụ " xfId="20"/>
    <cellStyle name="Percent" xfId="9" builtinId="5"/>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c\Downloads\3.Bi&#7875;u%20Ph&#432;&#417;ng%20&#225;n%20ph&#226;n%20b&#7893;%20v&#7889;n%20N&#272;%20n&#259;m%202023%20(21,5t&#7927;)%20b&#7887;%20c&#7843;i%20t&#7841;o%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Downloads\DT%202023\CT%20GNBV\PB%20CTMTQGGNBV%20nam%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wnloads\DT%202023\CT%20NTM\PB%20v&#7889;n%20CTNTM%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A"/>
      <sheetName val="B.CTTL"/>
      <sheetName val="1.NN"/>
      <sheetName val="2.TP (1)"/>
      <sheetName val="2.TP(2)"/>
      <sheetName val="3. BT (1)"/>
      <sheetName val="3.BT(2)"/>
      <sheetName val="4.NS"/>
      <sheetName val="5. BB"/>
      <sheetName val="6.PN"/>
      <sheetName val="7.CĐ"/>
      <sheetName val="8.NR"/>
      <sheetName val="9.CM"/>
    </sheetNames>
    <sheetDataSet>
      <sheetData sheetId="0"/>
      <sheetData sheetId="1"/>
      <sheetData sheetId="2">
        <row r="4">
          <cell r="D4">
            <v>140</v>
          </cell>
          <cell r="F4">
            <v>2210530000</v>
          </cell>
        </row>
      </sheetData>
      <sheetData sheetId="3">
        <row r="6">
          <cell r="D6">
            <v>15</v>
          </cell>
        </row>
        <row r="10">
          <cell r="F10">
            <v>193845000</v>
          </cell>
        </row>
      </sheetData>
      <sheetData sheetId="4">
        <row r="6">
          <cell r="F6">
            <v>498670000</v>
          </cell>
        </row>
        <row r="7">
          <cell r="D7">
            <v>30</v>
          </cell>
        </row>
      </sheetData>
      <sheetData sheetId="5">
        <row r="8">
          <cell r="D8">
            <v>60</v>
          </cell>
        </row>
        <row r="30">
          <cell r="F30">
            <v>760893000</v>
          </cell>
        </row>
      </sheetData>
      <sheetData sheetId="6">
        <row r="9">
          <cell r="D9">
            <v>40</v>
          </cell>
        </row>
        <row r="34">
          <cell r="F34">
            <v>767319000</v>
          </cell>
        </row>
      </sheetData>
      <sheetData sheetId="7">
        <row r="5">
          <cell r="D5">
            <v>54</v>
          </cell>
          <cell r="F5">
            <v>1053840000</v>
          </cell>
        </row>
      </sheetData>
      <sheetData sheetId="8">
        <row r="5">
          <cell r="F5">
            <v>885266000</v>
          </cell>
        </row>
        <row r="6">
          <cell r="D6">
            <v>60</v>
          </cell>
        </row>
      </sheetData>
      <sheetData sheetId="9">
        <row r="13">
          <cell r="D13">
            <v>160</v>
          </cell>
          <cell r="F13">
            <v>1928000000</v>
          </cell>
        </row>
      </sheetData>
      <sheetData sheetId="10">
        <row r="6">
          <cell r="D6">
            <v>50</v>
          </cell>
          <cell r="F6">
            <v>798550000</v>
          </cell>
        </row>
      </sheetData>
      <sheetData sheetId="11">
        <row r="51">
          <cell r="D51">
            <v>90</v>
          </cell>
          <cell r="F51">
            <v>1061384500</v>
          </cell>
        </row>
      </sheetData>
      <sheetData sheetId="12">
        <row r="6">
          <cell r="D6">
            <v>80</v>
          </cell>
          <cell r="F6">
            <v>708300000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guồn"/>
      <sheetName val="PB"/>
      <sheetName val="PA chi tiết"/>
      <sheetName val="DA1"/>
      <sheetName val="DA2"/>
      <sheetName val="TD1-DA3"/>
      <sheetName val="tIỂU DỰ ÁN 1- DA3"/>
      <sheetName val="TDA 2-DA3"/>
      <sheetName val="4.ND1 - Tiểu dự án 1 - DA 4"/>
      <sheetName val="ND2-TDA1-DA4"/>
      <sheetName val="TDA 2-DA4"/>
      <sheetName val="TDA3-DA4"/>
      <sheetName val="DA5"/>
      <sheetName val="TDA 1-DA6"/>
      <sheetName val="TDA 2-DA6"/>
      <sheetName val="DA 7"/>
    </sheetNames>
    <sheetDataSet>
      <sheetData sheetId="0" refreshError="1"/>
      <sheetData sheetId="1" refreshError="1"/>
      <sheetData sheetId="2" refreshError="1"/>
      <sheetData sheetId="3" refreshError="1"/>
      <sheetData sheetId="4" refreshError="1">
        <row r="8">
          <cell r="N8">
            <v>4358</v>
          </cell>
          <cell r="O8">
            <v>131</v>
          </cell>
        </row>
        <row r="9">
          <cell r="N9">
            <v>4162</v>
          </cell>
          <cell r="O9">
            <v>125</v>
          </cell>
        </row>
      </sheetData>
      <sheetData sheetId="5" refreshError="1">
        <row r="8">
          <cell r="P8">
            <v>1652</v>
          </cell>
          <cell r="Q8">
            <v>50</v>
          </cell>
        </row>
        <row r="10">
          <cell r="P10">
            <v>1753</v>
          </cell>
          <cell r="Q10">
            <v>53</v>
          </cell>
        </row>
        <row r="11">
          <cell r="P11">
            <v>5307</v>
          </cell>
          <cell r="Q11">
            <v>159</v>
          </cell>
        </row>
        <row r="12">
          <cell r="P12">
            <v>4143</v>
          </cell>
          <cell r="Q12">
            <v>124</v>
          </cell>
        </row>
        <row r="13">
          <cell r="P13">
            <v>4995</v>
          </cell>
          <cell r="Q13">
            <v>150</v>
          </cell>
        </row>
        <row r="14">
          <cell r="P14">
            <v>5465</v>
          </cell>
          <cell r="Q14">
            <v>164</v>
          </cell>
        </row>
        <row r="15">
          <cell r="P15">
            <v>3434</v>
          </cell>
          <cell r="Q15">
            <v>103</v>
          </cell>
        </row>
        <row r="16">
          <cell r="P16">
            <v>3314</v>
          </cell>
          <cell r="Q16">
            <v>100</v>
          </cell>
        </row>
        <row r="17">
          <cell r="P17">
            <v>5847</v>
          </cell>
          <cell r="Q17">
            <v>174</v>
          </cell>
        </row>
      </sheetData>
      <sheetData sheetId="6" refreshError="1">
        <row r="8">
          <cell r="P8">
            <v>1584</v>
          </cell>
          <cell r="Q8">
            <v>47</v>
          </cell>
        </row>
        <row r="10">
          <cell r="P10">
            <v>897</v>
          </cell>
          <cell r="Q10">
            <v>27</v>
          </cell>
        </row>
        <row r="11">
          <cell r="P11">
            <v>2478</v>
          </cell>
          <cell r="Q11">
            <v>75</v>
          </cell>
        </row>
        <row r="12">
          <cell r="P12">
            <v>1935</v>
          </cell>
          <cell r="Q12">
            <v>58</v>
          </cell>
        </row>
        <row r="13">
          <cell r="P13">
            <v>2333</v>
          </cell>
          <cell r="Q13">
            <v>70</v>
          </cell>
        </row>
        <row r="14">
          <cell r="P14">
            <v>1419</v>
          </cell>
          <cell r="Q14">
            <v>42</v>
          </cell>
        </row>
        <row r="15">
          <cell r="P15">
            <v>1604</v>
          </cell>
          <cell r="Q15">
            <v>48</v>
          </cell>
        </row>
        <row r="16">
          <cell r="P16">
            <v>1547</v>
          </cell>
          <cell r="Q16">
            <v>47</v>
          </cell>
        </row>
        <row r="17">
          <cell r="P17">
            <v>2041</v>
          </cell>
          <cell r="Q17">
            <v>61</v>
          </cell>
        </row>
      </sheetData>
      <sheetData sheetId="7" refreshError="1"/>
      <sheetData sheetId="8" refreshError="1">
        <row r="8">
          <cell r="L8">
            <v>520</v>
          </cell>
          <cell r="M8">
            <v>15</v>
          </cell>
        </row>
        <row r="10">
          <cell r="L10">
            <v>478</v>
          </cell>
          <cell r="M10">
            <v>15</v>
          </cell>
        </row>
        <row r="11">
          <cell r="L11">
            <v>759</v>
          </cell>
          <cell r="M11">
            <v>23</v>
          </cell>
        </row>
        <row r="12">
          <cell r="L12">
            <v>550</v>
          </cell>
          <cell r="M12">
            <v>16</v>
          </cell>
        </row>
        <row r="13">
          <cell r="L13">
            <v>650</v>
          </cell>
          <cell r="M13">
            <v>20</v>
          </cell>
        </row>
        <row r="14">
          <cell r="L14">
            <v>550</v>
          </cell>
          <cell r="M14">
            <v>16</v>
          </cell>
        </row>
        <row r="15">
          <cell r="L15">
            <v>621</v>
          </cell>
          <cell r="M15">
            <v>19</v>
          </cell>
        </row>
        <row r="16">
          <cell r="L16">
            <v>550</v>
          </cell>
          <cell r="M16">
            <v>16</v>
          </cell>
        </row>
        <row r="17">
          <cell r="L17">
            <v>518</v>
          </cell>
          <cell r="M17">
            <v>16</v>
          </cell>
        </row>
      </sheetData>
      <sheetData sheetId="9" refreshError="1">
        <row r="8">
          <cell r="M8">
            <v>1640</v>
          </cell>
          <cell r="N8">
            <v>49</v>
          </cell>
        </row>
        <row r="9">
          <cell r="M9">
            <v>1417</v>
          </cell>
          <cell r="N9">
            <v>43</v>
          </cell>
        </row>
        <row r="10">
          <cell r="M10">
            <v>1528</v>
          </cell>
          <cell r="N10">
            <v>46</v>
          </cell>
        </row>
        <row r="11">
          <cell r="M11">
            <v>1112</v>
          </cell>
          <cell r="N11">
            <v>33</v>
          </cell>
        </row>
        <row r="12">
          <cell r="M12">
            <v>1139</v>
          </cell>
          <cell r="N12">
            <v>34</v>
          </cell>
        </row>
        <row r="13">
          <cell r="M13">
            <v>1223</v>
          </cell>
          <cell r="N13">
            <v>37</v>
          </cell>
        </row>
        <row r="14">
          <cell r="M14">
            <v>1334</v>
          </cell>
          <cell r="N14">
            <v>40</v>
          </cell>
        </row>
        <row r="15">
          <cell r="M15">
            <v>1251</v>
          </cell>
          <cell r="N15">
            <v>37</v>
          </cell>
        </row>
      </sheetData>
      <sheetData sheetId="10" refreshError="1">
        <row r="7">
          <cell r="P7">
            <v>15967</v>
          </cell>
        </row>
        <row r="8">
          <cell r="P8">
            <v>1198</v>
          </cell>
          <cell r="Q8">
            <v>36</v>
          </cell>
        </row>
        <row r="9">
          <cell r="P9">
            <v>2343</v>
          </cell>
          <cell r="Q9">
            <v>70</v>
          </cell>
        </row>
        <row r="10">
          <cell r="P10">
            <v>2096</v>
          </cell>
          <cell r="Q10">
            <v>63</v>
          </cell>
        </row>
        <row r="11">
          <cell r="P11">
            <v>2210</v>
          </cell>
          <cell r="Q11">
            <v>66</v>
          </cell>
        </row>
        <row r="12">
          <cell r="P12">
            <v>1897</v>
          </cell>
          <cell r="Q12">
            <v>57</v>
          </cell>
        </row>
        <row r="13">
          <cell r="P13">
            <v>2063</v>
          </cell>
          <cell r="Q13">
            <v>62</v>
          </cell>
        </row>
        <row r="14">
          <cell r="P14">
            <v>2030</v>
          </cell>
          <cell r="Q14">
            <v>61</v>
          </cell>
        </row>
        <row r="15">
          <cell r="P15">
            <v>2130</v>
          </cell>
          <cell r="Q15">
            <v>64</v>
          </cell>
        </row>
      </sheetData>
      <sheetData sheetId="11" refreshError="1">
        <row r="8">
          <cell r="L8">
            <v>302</v>
          </cell>
          <cell r="M8">
            <v>9</v>
          </cell>
        </row>
        <row r="10">
          <cell r="L10">
            <v>709</v>
          </cell>
          <cell r="M10">
            <v>21</v>
          </cell>
        </row>
        <row r="11">
          <cell r="L11">
            <v>668</v>
          </cell>
          <cell r="M11">
            <v>20</v>
          </cell>
        </row>
      </sheetData>
      <sheetData sheetId="12" refreshError="1">
        <row r="8">
          <cell r="L8">
            <v>519</v>
          </cell>
          <cell r="M8">
            <v>16</v>
          </cell>
        </row>
        <row r="10">
          <cell r="L10">
            <v>412</v>
          </cell>
          <cell r="M10">
            <v>12</v>
          </cell>
        </row>
        <row r="11">
          <cell r="L11">
            <v>710</v>
          </cell>
          <cell r="M11">
            <v>21</v>
          </cell>
        </row>
        <row r="12">
          <cell r="L12">
            <v>771</v>
          </cell>
          <cell r="M12">
            <v>23</v>
          </cell>
        </row>
        <row r="13">
          <cell r="L13">
            <v>669</v>
          </cell>
          <cell r="M13">
            <v>20</v>
          </cell>
        </row>
        <row r="14">
          <cell r="L14">
            <v>460</v>
          </cell>
          <cell r="M14">
            <v>14</v>
          </cell>
        </row>
        <row r="15">
          <cell r="L15">
            <v>566</v>
          </cell>
          <cell r="M15">
            <v>17</v>
          </cell>
        </row>
        <row r="16">
          <cell r="L16">
            <v>501</v>
          </cell>
          <cell r="M16">
            <v>15</v>
          </cell>
        </row>
        <row r="17">
          <cell r="L17">
            <v>585</v>
          </cell>
          <cell r="M17">
            <v>18</v>
          </cell>
        </row>
      </sheetData>
      <sheetData sheetId="13" refreshError="1"/>
      <sheetData sheetId="14" refreshError="1">
        <row r="8">
          <cell r="N8">
            <v>7062</v>
          </cell>
        </row>
        <row r="10">
          <cell r="N10">
            <v>1942</v>
          </cell>
          <cell r="O10">
            <v>59</v>
          </cell>
        </row>
        <row r="11">
          <cell r="N11">
            <v>194</v>
          </cell>
          <cell r="O11">
            <v>6</v>
          </cell>
        </row>
        <row r="12">
          <cell r="N12">
            <v>218</v>
          </cell>
          <cell r="O12">
            <v>6</v>
          </cell>
        </row>
        <row r="14">
          <cell r="N14">
            <v>4708</v>
          </cell>
          <cell r="O14">
            <v>141</v>
          </cell>
        </row>
        <row r="16">
          <cell r="N16">
            <v>52</v>
          </cell>
          <cell r="O16">
            <v>2</v>
          </cell>
        </row>
        <row r="17">
          <cell r="N17">
            <v>123</v>
          </cell>
          <cell r="O17">
            <v>4</v>
          </cell>
        </row>
        <row r="18">
          <cell r="N18">
            <v>112</v>
          </cell>
          <cell r="O18">
            <v>3</v>
          </cell>
        </row>
        <row r="19">
          <cell r="N19">
            <v>116</v>
          </cell>
          <cell r="O19">
            <v>3</v>
          </cell>
        </row>
        <row r="20">
          <cell r="N20">
            <v>82</v>
          </cell>
          <cell r="O20">
            <v>2</v>
          </cell>
        </row>
        <row r="21">
          <cell r="N21">
            <v>93</v>
          </cell>
          <cell r="O21">
            <v>3</v>
          </cell>
        </row>
        <row r="22">
          <cell r="N22">
            <v>89</v>
          </cell>
          <cell r="O22">
            <v>3</v>
          </cell>
        </row>
        <row r="23">
          <cell r="N23">
            <v>118</v>
          </cell>
          <cell r="O23">
            <v>3</v>
          </cell>
        </row>
      </sheetData>
      <sheetData sheetId="15" refreshError="1">
        <row r="7">
          <cell r="N7">
            <v>765</v>
          </cell>
        </row>
        <row r="9">
          <cell r="N9">
            <v>411</v>
          </cell>
          <cell r="O9">
            <v>12</v>
          </cell>
        </row>
        <row r="10">
          <cell r="N10">
            <v>354</v>
          </cell>
          <cell r="O10">
            <v>11</v>
          </cell>
        </row>
      </sheetData>
      <sheetData sheetId="16" refreshError="1">
        <row r="7">
          <cell r="P7">
            <v>1228</v>
          </cell>
        </row>
        <row r="8">
          <cell r="P8">
            <v>598</v>
          </cell>
          <cell r="Q8">
            <v>445</v>
          </cell>
          <cell r="R8">
            <v>18</v>
          </cell>
          <cell r="S8">
            <v>13</v>
          </cell>
        </row>
        <row r="9">
          <cell r="P9">
            <v>49</v>
          </cell>
          <cell r="R9">
            <v>2</v>
          </cell>
        </row>
        <row r="10">
          <cell r="P10">
            <v>340</v>
          </cell>
          <cell r="Q10">
            <v>82</v>
          </cell>
          <cell r="R10">
            <v>11</v>
          </cell>
          <cell r="S10">
            <v>2</v>
          </cell>
        </row>
        <row r="11">
          <cell r="P11">
            <v>144</v>
          </cell>
          <cell r="Q11">
            <v>81</v>
          </cell>
          <cell r="R11">
            <v>4</v>
          </cell>
          <cell r="S11">
            <v>2</v>
          </cell>
        </row>
        <row r="12">
          <cell r="P12">
            <v>97</v>
          </cell>
          <cell r="Q12">
            <v>50</v>
          </cell>
          <cell r="R12">
            <v>3</v>
          </cell>
          <cell r="S12">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yết minh chi tiết"/>
      <sheetName val="0 1"/>
      <sheetName val="01"/>
      <sheetName val="02"/>
      <sheetName val="Mục 1"/>
      <sheetName val="PA Chi tiết"/>
      <sheetName val="Mục 2"/>
      <sheetName val="Mục 3"/>
      <sheetName val="Mục 4"/>
      <sheetName val="Mục 5"/>
      <sheetName val="Mục 6"/>
      <sheetName val="Mục 7"/>
      <sheetName val="Mục 8"/>
      <sheetName val="Mục 9"/>
      <sheetName val="Mục 10"/>
      <sheetName val="Mục 11"/>
    </sheetNames>
    <sheetDataSet>
      <sheetData sheetId="0"/>
      <sheetData sheetId="1"/>
      <sheetData sheetId="2"/>
      <sheetData sheetId="3"/>
      <sheetData sheetId="4"/>
      <sheetData sheetId="5"/>
      <sheetData sheetId="6">
        <row r="10">
          <cell r="D10">
            <v>3785</v>
          </cell>
          <cell r="E10">
            <v>190</v>
          </cell>
        </row>
        <row r="13">
          <cell r="D13">
            <v>310</v>
          </cell>
          <cell r="E13">
            <v>15</v>
          </cell>
        </row>
        <row r="14">
          <cell r="D14">
            <v>214</v>
          </cell>
          <cell r="E14">
            <v>11</v>
          </cell>
        </row>
        <row r="15">
          <cell r="D15">
            <v>167</v>
          </cell>
          <cell r="E15">
            <v>8</v>
          </cell>
        </row>
      </sheetData>
      <sheetData sheetId="7">
        <row r="12">
          <cell r="D12">
            <v>814</v>
          </cell>
          <cell r="E12">
            <v>41</v>
          </cell>
        </row>
        <row r="13">
          <cell r="D13">
            <v>219</v>
          </cell>
          <cell r="E13">
            <v>11</v>
          </cell>
        </row>
        <row r="14">
          <cell r="D14">
            <v>0</v>
          </cell>
          <cell r="E14">
            <v>0</v>
          </cell>
        </row>
        <row r="16">
          <cell r="D16">
            <v>0</v>
          </cell>
          <cell r="E16">
            <v>0</v>
          </cell>
        </row>
        <row r="17">
          <cell r="D17">
            <v>191</v>
          </cell>
          <cell r="E17">
            <v>9</v>
          </cell>
        </row>
        <row r="19">
          <cell r="D19">
            <v>3452</v>
          </cell>
          <cell r="E19">
            <v>172</v>
          </cell>
        </row>
        <row r="20">
          <cell r="D20">
            <v>2721</v>
          </cell>
          <cell r="E20">
            <v>135</v>
          </cell>
        </row>
        <row r="21">
          <cell r="D21">
            <v>4346</v>
          </cell>
          <cell r="E21">
            <v>217</v>
          </cell>
        </row>
        <row r="22">
          <cell r="D22">
            <v>353</v>
          </cell>
          <cell r="E22">
            <v>17</v>
          </cell>
        </row>
        <row r="23">
          <cell r="D23">
            <v>524</v>
          </cell>
          <cell r="E23">
            <v>26</v>
          </cell>
        </row>
        <row r="24">
          <cell r="D24">
            <v>541</v>
          </cell>
          <cell r="E24">
            <v>27</v>
          </cell>
        </row>
        <row r="25">
          <cell r="D25">
            <v>407</v>
          </cell>
          <cell r="E25">
            <v>21</v>
          </cell>
        </row>
        <row r="26">
          <cell r="D26">
            <v>1702</v>
          </cell>
          <cell r="E26">
            <v>84</v>
          </cell>
        </row>
      </sheetData>
      <sheetData sheetId="8">
        <row r="11">
          <cell r="D11">
            <v>80</v>
          </cell>
          <cell r="E11">
            <v>4</v>
          </cell>
        </row>
        <row r="13">
          <cell r="D13">
            <v>0</v>
          </cell>
          <cell r="E13">
            <v>0</v>
          </cell>
        </row>
      </sheetData>
      <sheetData sheetId="9">
        <row r="10">
          <cell r="D10">
            <v>94</v>
          </cell>
          <cell r="E10">
            <v>5</v>
          </cell>
        </row>
        <row r="11">
          <cell r="D11">
            <v>429</v>
          </cell>
          <cell r="E11">
            <v>21</v>
          </cell>
        </row>
        <row r="13">
          <cell r="D13">
            <v>0</v>
          </cell>
          <cell r="E13">
            <v>0</v>
          </cell>
        </row>
        <row r="14">
          <cell r="D14">
            <v>0</v>
          </cell>
          <cell r="E14">
            <v>0</v>
          </cell>
        </row>
        <row r="15">
          <cell r="D15">
            <v>0</v>
          </cell>
          <cell r="E15">
            <v>0</v>
          </cell>
        </row>
      </sheetData>
      <sheetData sheetId="10">
        <row r="12">
          <cell r="D12">
            <v>426</v>
          </cell>
          <cell r="E12">
            <v>22</v>
          </cell>
        </row>
        <row r="13">
          <cell r="D13">
            <v>0</v>
          </cell>
          <cell r="E13">
            <v>0</v>
          </cell>
        </row>
        <row r="15">
          <cell r="D15">
            <v>190</v>
          </cell>
          <cell r="E15">
            <v>10</v>
          </cell>
        </row>
        <row r="16">
          <cell r="D16">
            <v>857</v>
          </cell>
          <cell r="E16">
            <v>43</v>
          </cell>
        </row>
        <row r="17">
          <cell r="D17">
            <v>353</v>
          </cell>
          <cell r="E17">
            <v>17</v>
          </cell>
        </row>
        <row r="18">
          <cell r="D18">
            <v>476</v>
          </cell>
          <cell r="E18">
            <v>24</v>
          </cell>
        </row>
        <row r="19">
          <cell r="D19">
            <v>0</v>
          </cell>
          <cell r="E19">
            <v>0</v>
          </cell>
        </row>
        <row r="20">
          <cell r="D20">
            <v>191</v>
          </cell>
          <cell r="E20">
            <v>9</v>
          </cell>
        </row>
        <row r="21">
          <cell r="D21">
            <v>95</v>
          </cell>
          <cell r="E21">
            <v>5</v>
          </cell>
        </row>
      </sheetData>
      <sheetData sheetId="11">
        <row r="12">
          <cell r="D12">
            <v>191</v>
          </cell>
          <cell r="E12">
            <v>9</v>
          </cell>
        </row>
        <row r="13">
          <cell r="D13">
            <v>476</v>
          </cell>
          <cell r="E13">
            <v>24</v>
          </cell>
        </row>
        <row r="14">
          <cell r="D14">
            <v>57</v>
          </cell>
          <cell r="E14">
            <v>3</v>
          </cell>
        </row>
      </sheetData>
      <sheetData sheetId="12">
        <row r="12">
          <cell r="D12">
            <v>286</v>
          </cell>
          <cell r="E12">
            <v>14</v>
          </cell>
        </row>
        <row r="13">
          <cell r="D13">
            <v>334</v>
          </cell>
          <cell r="E13">
            <v>16</v>
          </cell>
        </row>
        <row r="14">
          <cell r="D14">
            <v>286</v>
          </cell>
          <cell r="E14">
            <v>14</v>
          </cell>
        </row>
        <row r="16">
          <cell r="D16">
            <v>9</v>
          </cell>
          <cell r="E16">
            <v>1</v>
          </cell>
        </row>
        <row r="17">
          <cell r="D17">
            <v>9</v>
          </cell>
          <cell r="E17">
            <v>1</v>
          </cell>
        </row>
        <row r="18">
          <cell r="D18">
            <v>23</v>
          </cell>
          <cell r="E18">
            <v>2</v>
          </cell>
        </row>
        <row r="19">
          <cell r="D19">
            <v>5</v>
          </cell>
          <cell r="E19">
            <v>0</v>
          </cell>
        </row>
        <row r="20">
          <cell r="D20">
            <v>14</v>
          </cell>
          <cell r="E20">
            <v>1</v>
          </cell>
        </row>
        <row r="21">
          <cell r="D21">
            <v>0</v>
          </cell>
          <cell r="E21">
            <v>0</v>
          </cell>
        </row>
        <row r="22">
          <cell r="D22">
            <v>5</v>
          </cell>
          <cell r="E22">
            <v>0</v>
          </cell>
        </row>
        <row r="23">
          <cell r="D23">
            <v>5</v>
          </cell>
        </row>
      </sheetData>
      <sheetData sheetId="13">
        <row r="10">
          <cell r="E10">
            <v>9</v>
          </cell>
          <cell r="G10">
            <v>191</v>
          </cell>
        </row>
      </sheetData>
      <sheetData sheetId="14">
        <row r="12">
          <cell r="D12">
            <v>1438</v>
          </cell>
          <cell r="E12">
            <v>72</v>
          </cell>
        </row>
        <row r="13">
          <cell r="D13">
            <v>76</v>
          </cell>
          <cell r="E13">
            <v>4</v>
          </cell>
        </row>
        <row r="14">
          <cell r="D14">
            <v>238</v>
          </cell>
          <cell r="E14">
            <v>12</v>
          </cell>
        </row>
        <row r="15">
          <cell r="D15">
            <v>333</v>
          </cell>
          <cell r="E15">
            <v>17</v>
          </cell>
        </row>
        <row r="17">
          <cell r="D17">
            <v>71</v>
          </cell>
          <cell r="E17">
            <v>4</v>
          </cell>
        </row>
        <row r="18">
          <cell r="D18">
            <v>76</v>
          </cell>
          <cell r="E18">
            <v>4</v>
          </cell>
        </row>
        <row r="19">
          <cell r="D19">
            <v>100</v>
          </cell>
          <cell r="E19">
            <v>5</v>
          </cell>
        </row>
        <row r="20">
          <cell r="D20">
            <v>71</v>
          </cell>
          <cell r="E20">
            <v>4</v>
          </cell>
        </row>
        <row r="21">
          <cell r="D21">
            <v>85</v>
          </cell>
          <cell r="E21">
            <v>5</v>
          </cell>
        </row>
        <row r="22">
          <cell r="D22">
            <v>57</v>
          </cell>
          <cell r="E22">
            <v>3</v>
          </cell>
        </row>
        <row r="23">
          <cell r="D23">
            <v>52</v>
          </cell>
          <cell r="E23">
            <v>3</v>
          </cell>
        </row>
        <row r="24">
          <cell r="D24">
            <v>19</v>
          </cell>
          <cell r="E24">
            <v>1</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7"/>
  <sheetViews>
    <sheetView topLeftCell="A6" zoomScale="85" zoomScaleNormal="85" zoomScaleSheetLayoutView="48" zoomScalePageLayoutView="55" workbookViewId="0">
      <pane xSplit="2" ySplit="2" topLeftCell="C8" activePane="bottomRight" state="frozen"/>
      <selection activeCell="A6" sqref="A6"/>
      <selection pane="topRight" activeCell="C6" sqref="C6"/>
      <selection pane="bottomLeft" activeCell="A8" sqref="A8"/>
      <selection pane="bottomRight" activeCell="B8" sqref="B8"/>
    </sheetView>
  </sheetViews>
  <sheetFormatPr defaultRowHeight="18.75" x14ac:dyDescent="0.25"/>
  <cols>
    <col min="1" max="1" width="7.25" style="374" customWidth="1"/>
    <col min="2" max="2" width="67.625" style="374" customWidth="1"/>
    <col min="3" max="3" width="20.875" style="375" customWidth="1"/>
    <col min="4" max="12" width="15.25" style="375" customWidth="1"/>
    <col min="13" max="13" width="24.625" style="374" customWidth="1"/>
    <col min="14" max="14" width="14.625" style="374" bestFit="1" customWidth="1"/>
    <col min="15" max="16384" width="9" style="374"/>
  </cols>
  <sheetData>
    <row r="1" spans="1:16" ht="29.25" customHeight="1" x14ac:dyDescent="0.25">
      <c r="A1" s="370"/>
      <c r="B1" s="370"/>
      <c r="C1" s="371"/>
      <c r="D1" s="371"/>
      <c r="E1" s="371"/>
      <c r="F1" s="371"/>
      <c r="G1" s="370"/>
      <c r="H1" s="370"/>
      <c r="I1" s="370"/>
      <c r="J1" s="370"/>
      <c r="K1" s="1027" t="s">
        <v>263</v>
      </c>
      <c r="L1" s="1027"/>
      <c r="M1" s="1027"/>
    </row>
    <row r="2" spans="1:16" ht="58.5" customHeight="1" x14ac:dyDescent="0.25">
      <c r="A2" s="1032" t="s">
        <v>262</v>
      </c>
      <c r="B2" s="1032"/>
      <c r="C2" s="1032"/>
      <c r="D2" s="1032"/>
      <c r="E2" s="1032"/>
      <c r="F2" s="1032"/>
      <c r="G2" s="1032"/>
      <c r="H2" s="1032"/>
      <c r="I2" s="1032"/>
      <c r="J2" s="1032"/>
      <c r="K2" s="1032"/>
      <c r="L2" s="1032"/>
      <c r="M2" s="1032"/>
    </row>
    <row r="3" spans="1:16" ht="31.5" customHeight="1" x14ac:dyDescent="0.25">
      <c r="A3" s="1033" t="str">
        <f>'B5-TDA2,DA3'!A4:H4</f>
        <v>(Kèm theo Tờ trình số:          /TTr-UBND ngày          tháng 11 năm 2022 của UBND tỉnh)</v>
      </c>
      <c r="B3" s="1034"/>
      <c r="C3" s="1034"/>
      <c r="D3" s="1034"/>
      <c r="E3" s="1034"/>
      <c r="F3" s="1034"/>
      <c r="G3" s="1034"/>
      <c r="H3" s="1034"/>
      <c r="I3" s="1034"/>
      <c r="J3" s="1034"/>
      <c r="K3" s="1034"/>
      <c r="L3" s="1034"/>
      <c r="M3" s="1034"/>
    </row>
    <row r="4" spans="1:16" s="372" customFormat="1" x14ac:dyDescent="0.25">
      <c r="C4" s="373"/>
      <c r="D4" s="373"/>
      <c r="E4" s="373"/>
      <c r="F4" s="373"/>
      <c r="G4" s="373"/>
      <c r="H4" s="373"/>
      <c r="I4" s="373"/>
      <c r="J4" s="373"/>
      <c r="K4" s="373"/>
      <c r="L4" s="373"/>
    </row>
    <row r="5" spans="1:16" ht="23.25" customHeight="1" x14ac:dyDescent="0.25">
      <c r="K5" s="1036" t="s">
        <v>0</v>
      </c>
      <c r="L5" s="1036"/>
      <c r="M5" s="1036"/>
    </row>
    <row r="6" spans="1:16" s="337" customFormat="1" ht="33.75" customHeight="1" x14ac:dyDescent="0.25">
      <c r="A6" s="1028" t="s">
        <v>1</v>
      </c>
      <c r="B6" s="1028" t="s">
        <v>2</v>
      </c>
      <c r="C6" s="1028" t="s">
        <v>252</v>
      </c>
      <c r="D6" s="1037" t="s">
        <v>253</v>
      </c>
      <c r="E6" s="1038"/>
      <c r="F6" s="1039"/>
      <c r="G6" s="1035" t="s">
        <v>255</v>
      </c>
      <c r="H6" s="1035"/>
      <c r="I6" s="1035"/>
      <c r="J6" s="1035" t="s">
        <v>256</v>
      </c>
      <c r="K6" s="1035"/>
      <c r="L6" s="1035"/>
      <c r="M6" s="1030" t="s">
        <v>3</v>
      </c>
    </row>
    <row r="7" spans="1:16" s="337" customFormat="1" ht="51" customHeight="1" x14ac:dyDescent="0.25">
      <c r="A7" s="1029"/>
      <c r="B7" s="1029"/>
      <c r="C7" s="1029"/>
      <c r="D7" s="376" t="s">
        <v>33</v>
      </c>
      <c r="E7" s="376" t="s">
        <v>160</v>
      </c>
      <c r="F7" s="376" t="s">
        <v>254</v>
      </c>
      <c r="G7" s="376" t="s">
        <v>33</v>
      </c>
      <c r="H7" s="376" t="s">
        <v>160</v>
      </c>
      <c r="I7" s="376" t="s">
        <v>254</v>
      </c>
      <c r="J7" s="376" t="s">
        <v>33</v>
      </c>
      <c r="K7" s="376" t="s">
        <v>160</v>
      </c>
      <c r="L7" s="376" t="s">
        <v>254</v>
      </c>
      <c r="M7" s="1031"/>
    </row>
    <row r="8" spans="1:16" s="428" customFormat="1" ht="25.5" customHeight="1" x14ac:dyDescent="0.25">
      <c r="A8" s="427">
        <v>1</v>
      </c>
      <c r="B8" s="427">
        <v>2</v>
      </c>
      <c r="C8" s="427">
        <v>3</v>
      </c>
      <c r="D8" s="427" t="s">
        <v>257</v>
      </c>
      <c r="E8" s="427">
        <v>5</v>
      </c>
      <c r="F8" s="427">
        <v>6</v>
      </c>
      <c r="G8" s="427" t="s">
        <v>258</v>
      </c>
      <c r="H8" s="427">
        <v>8</v>
      </c>
      <c r="I8" s="427">
        <v>9</v>
      </c>
      <c r="J8" s="427" t="s">
        <v>259</v>
      </c>
      <c r="K8" s="427" t="s">
        <v>260</v>
      </c>
      <c r="L8" s="427" t="s">
        <v>261</v>
      </c>
      <c r="M8" s="427">
        <v>13</v>
      </c>
    </row>
    <row r="9" spans="1:16" s="381" customFormat="1" ht="33" customHeight="1" x14ac:dyDescent="0.25">
      <c r="A9" s="377"/>
      <c r="B9" s="378" t="s">
        <v>6</v>
      </c>
      <c r="C9" s="379"/>
      <c r="D9" s="418">
        <f>D10+D13+D18+D20+D25+D26+D27+D28+D31</f>
        <v>396125.74730000005</v>
      </c>
      <c r="E9" s="418">
        <f t="shared" ref="E9:L9" si="0">E10+E13+E18+E20+E25+E26+E27+E28+E31</f>
        <v>377235</v>
      </c>
      <c r="F9" s="418">
        <f t="shared" si="0"/>
        <v>18890.747300000003</v>
      </c>
      <c r="G9" s="418">
        <f t="shared" si="0"/>
        <v>316291.74329220003</v>
      </c>
      <c r="H9" s="418">
        <f t="shared" si="0"/>
        <v>305066.13400000002</v>
      </c>
      <c r="I9" s="418">
        <f t="shared" si="0"/>
        <v>11225.609292200001</v>
      </c>
      <c r="J9" s="418">
        <f t="shared" si="0"/>
        <v>79834.004007800002</v>
      </c>
      <c r="K9" s="418">
        <f t="shared" si="0"/>
        <v>72168.866000000009</v>
      </c>
      <c r="L9" s="418">
        <f t="shared" si="0"/>
        <v>7665.1380078000002</v>
      </c>
      <c r="M9" s="385"/>
      <c r="N9" s="425"/>
      <c r="O9" s="380"/>
      <c r="P9" s="380"/>
    </row>
    <row r="10" spans="1:16" s="381" customFormat="1" ht="46.5" customHeight="1" x14ac:dyDescent="0.25">
      <c r="A10" s="377">
        <v>1</v>
      </c>
      <c r="B10" s="382" t="s">
        <v>7</v>
      </c>
      <c r="C10" s="383" t="s">
        <v>239</v>
      </c>
      <c r="D10" s="418">
        <f>SUM(D11:D12)</f>
        <v>18830</v>
      </c>
      <c r="E10" s="418">
        <f t="shared" ref="E10:L10" si="1">SUM(E11:E12)</f>
        <v>17933</v>
      </c>
      <c r="F10" s="418">
        <f t="shared" si="1"/>
        <v>897</v>
      </c>
      <c r="G10" s="418">
        <f t="shared" si="1"/>
        <v>18830</v>
      </c>
      <c r="H10" s="418">
        <f t="shared" si="1"/>
        <v>17933</v>
      </c>
      <c r="I10" s="418">
        <f t="shared" si="1"/>
        <v>897</v>
      </c>
      <c r="J10" s="414">
        <f t="shared" si="1"/>
        <v>0</v>
      </c>
      <c r="K10" s="414">
        <f t="shared" si="1"/>
        <v>0</v>
      </c>
      <c r="L10" s="414">
        <f t="shared" si="1"/>
        <v>0</v>
      </c>
      <c r="M10" s="417" t="s">
        <v>303</v>
      </c>
      <c r="N10" s="396"/>
    </row>
    <row r="11" spans="1:16" ht="32.25" customHeight="1" x14ac:dyDescent="0.25">
      <c r="A11" s="384" t="s">
        <v>8</v>
      </c>
      <c r="B11" s="385" t="s">
        <v>9</v>
      </c>
      <c r="C11" s="383"/>
      <c r="D11" s="415">
        <f>SUM(E11:F11)</f>
        <v>7282.7632490169617</v>
      </c>
      <c r="E11" s="415">
        <f>'B3-DA1'!D24</f>
        <v>6935.7632490169617</v>
      </c>
      <c r="F11" s="415">
        <f>'B3-DA1'!D27</f>
        <v>347</v>
      </c>
      <c r="G11" s="415">
        <f>SUM(H11:I11)</f>
        <v>7282.7632490169617</v>
      </c>
      <c r="H11" s="415">
        <f>E11</f>
        <v>6935.7632490169617</v>
      </c>
      <c r="I11" s="415">
        <f>F11</f>
        <v>347</v>
      </c>
      <c r="J11" s="417">
        <f>SUM(K11:L11)</f>
        <v>0</v>
      </c>
      <c r="K11" s="417">
        <f>E11-H11</f>
        <v>0</v>
      </c>
      <c r="L11" s="417">
        <f>F11-I11</f>
        <v>0</v>
      </c>
      <c r="M11" s="385"/>
      <c r="N11" s="381"/>
    </row>
    <row r="12" spans="1:16" ht="32.25" customHeight="1" x14ac:dyDescent="0.25">
      <c r="A12" s="384" t="s">
        <v>10</v>
      </c>
      <c r="B12" s="385" t="s">
        <v>11</v>
      </c>
      <c r="C12" s="383"/>
      <c r="D12" s="415">
        <f t="shared" ref="D12:D34" si="2">SUM(E12:F12)</f>
        <v>11547.236750983038</v>
      </c>
      <c r="E12" s="415">
        <f>'B3-DA1'!D25</f>
        <v>10997.236750983038</v>
      </c>
      <c r="F12" s="415">
        <f>'B3-DA1'!D28</f>
        <v>550</v>
      </c>
      <c r="G12" s="415">
        <f t="shared" ref="G12:G34" si="3">SUM(H12:I12)</f>
        <v>11547.236750983038</v>
      </c>
      <c r="H12" s="415">
        <f>E12</f>
        <v>10997.236750983038</v>
      </c>
      <c r="I12" s="415">
        <f>F12</f>
        <v>550</v>
      </c>
      <c r="J12" s="417">
        <f t="shared" ref="J12:J34" si="4">SUM(K12:L12)</f>
        <v>0</v>
      </c>
      <c r="K12" s="417">
        <f t="shared" ref="K12:K34" si="5">E12-H12</f>
        <v>0</v>
      </c>
      <c r="L12" s="417">
        <f t="shared" ref="L12:L34" si="6">F12-I12</f>
        <v>0</v>
      </c>
      <c r="M12" s="385"/>
      <c r="N12" s="381"/>
    </row>
    <row r="13" spans="1:16" s="381" customFormat="1" ht="64.5" customHeight="1" x14ac:dyDescent="0.25">
      <c r="A13" s="377">
        <v>2</v>
      </c>
      <c r="B13" s="382" t="s">
        <v>12</v>
      </c>
      <c r="C13" s="383" t="s">
        <v>239</v>
      </c>
      <c r="D13" s="418">
        <f>SUM(D14:D15)</f>
        <v>181658.39730000001</v>
      </c>
      <c r="E13" s="418">
        <f>SUM(E14:E15)</f>
        <v>173007</v>
      </c>
      <c r="F13" s="418">
        <f>SUM(F14:F15)</f>
        <v>8651.3973000000005</v>
      </c>
      <c r="G13" s="418">
        <f t="shared" ref="G13:L13" si="7">SUM(G14:G15)</f>
        <v>114249.39329219999</v>
      </c>
      <c r="H13" s="418">
        <f t="shared" si="7"/>
        <v>113263.13400000001</v>
      </c>
      <c r="I13" s="418">
        <f t="shared" si="7"/>
        <v>986.2592922</v>
      </c>
      <c r="J13" s="418">
        <f t="shared" si="7"/>
        <v>67409.004007800002</v>
      </c>
      <c r="K13" s="418">
        <f t="shared" si="7"/>
        <v>59743.866000000002</v>
      </c>
      <c r="L13" s="418">
        <f t="shared" si="7"/>
        <v>7665.1380078000002</v>
      </c>
      <c r="M13" s="385"/>
    </row>
    <row r="14" spans="1:16" ht="46.5" customHeight="1" x14ac:dyDescent="0.25">
      <c r="A14" s="384" t="s">
        <v>8</v>
      </c>
      <c r="B14" s="385" t="s">
        <v>13</v>
      </c>
      <c r="C14" s="383"/>
      <c r="D14" s="415">
        <f t="shared" si="2"/>
        <v>105576</v>
      </c>
      <c r="E14" s="415">
        <f>'B4-TDA1,DA3'!D20</f>
        <v>105576</v>
      </c>
      <c r="F14" s="414">
        <f>'B4-TDA1,DA3'!D22</f>
        <v>0</v>
      </c>
      <c r="G14" s="415">
        <f t="shared" si="3"/>
        <v>105576</v>
      </c>
      <c r="H14" s="415">
        <f>E14</f>
        <v>105576</v>
      </c>
      <c r="I14" s="417">
        <f>F14</f>
        <v>0</v>
      </c>
      <c r="J14" s="417">
        <f t="shared" si="4"/>
        <v>0</v>
      </c>
      <c r="K14" s="417">
        <f t="shared" si="5"/>
        <v>0</v>
      </c>
      <c r="L14" s="417">
        <f t="shared" si="6"/>
        <v>0</v>
      </c>
      <c r="M14" s="417" t="s">
        <v>304</v>
      </c>
    </row>
    <row r="15" spans="1:16" ht="64.5" customHeight="1" x14ac:dyDescent="0.25">
      <c r="A15" s="384" t="s">
        <v>8</v>
      </c>
      <c r="B15" s="385" t="s">
        <v>14</v>
      </c>
      <c r="C15" s="383"/>
      <c r="D15" s="415">
        <f>SUM(D16:D17)</f>
        <v>76082.397299999997</v>
      </c>
      <c r="E15" s="415">
        <f t="shared" ref="E15:L15" si="8">SUM(E16:E17)</f>
        <v>67431</v>
      </c>
      <c r="F15" s="415">
        <f t="shared" si="8"/>
        <v>8651.3973000000005</v>
      </c>
      <c r="G15" s="415">
        <f t="shared" si="8"/>
        <v>8673.3932922000004</v>
      </c>
      <c r="H15" s="415">
        <f t="shared" si="8"/>
        <v>7687.134</v>
      </c>
      <c r="I15" s="415">
        <f t="shared" si="8"/>
        <v>986.2592922</v>
      </c>
      <c r="J15" s="415">
        <f t="shared" si="8"/>
        <v>67409.004007800002</v>
      </c>
      <c r="K15" s="415">
        <f t="shared" si="8"/>
        <v>59743.866000000002</v>
      </c>
      <c r="L15" s="415">
        <f t="shared" si="8"/>
        <v>7665.1380078000002</v>
      </c>
      <c r="M15" s="417" t="s">
        <v>305</v>
      </c>
    </row>
    <row r="16" spans="1:16" s="394" customFormat="1" ht="32.25" customHeight="1" x14ac:dyDescent="0.25">
      <c r="A16" s="391" t="s">
        <v>32</v>
      </c>
      <c r="B16" s="392" t="s">
        <v>15</v>
      </c>
      <c r="C16" s="393"/>
      <c r="D16" s="419">
        <f t="shared" si="2"/>
        <v>8673.3932922000004</v>
      </c>
      <c r="E16" s="419">
        <f>'B5-TDA2,DA3'!E7</f>
        <v>7687.134</v>
      </c>
      <c r="F16" s="419">
        <f>'B5-TDA2,DA3'!G7</f>
        <v>986.2592922</v>
      </c>
      <c r="G16" s="419">
        <f t="shared" si="3"/>
        <v>8673.3932922000004</v>
      </c>
      <c r="H16" s="419">
        <f>E16</f>
        <v>7687.134</v>
      </c>
      <c r="I16" s="419">
        <f>F16</f>
        <v>986.2592922</v>
      </c>
      <c r="J16" s="421">
        <f t="shared" si="4"/>
        <v>0</v>
      </c>
      <c r="K16" s="421">
        <f t="shared" si="5"/>
        <v>0</v>
      </c>
      <c r="L16" s="421">
        <f t="shared" si="6"/>
        <v>0</v>
      </c>
      <c r="M16" s="392"/>
    </row>
    <row r="17" spans="1:13" s="394" customFormat="1" ht="46.5" customHeight="1" x14ac:dyDescent="0.25">
      <c r="A17" s="391" t="s">
        <v>32</v>
      </c>
      <c r="B17" s="392" t="s">
        <v>266</v>
      </c>
      <c r="C17" s="393"/>
      <c r="D17" s="419">
        <f t="shared" si="2"/>
        <v>67409.004007800002</v>
      </c>
      <c r="E17" s="419">
        <f>'B5-TDA2,DA3'!E8</f>
        <v>59743.866000000002</v>
      </c>
      <c r="F17" s="419">
        <f>'B5-TDA2,DA3'!G8</f>
        <v>7665.1380078000002</v>
      </c>
      <c r="G17" s="421">
        <f t="shared" si="3"/>
        <v>0</v>
      </c>
      <c r="H17" s="421"/>
      <c r="I17" s="421"/>
      <c r="J17" s="419">
        <f t="shared" si="4"/>
        <v>67409.004007800002</v>
      </c>
      <c r="K17" s="419">
        <f t="shared" si="5"/>
        <v>59743.866000000002</v>
      </c>
      <c r="L17" s="419">
        <f t="shared" si="6"/>
        <v>7665.1380078000002</v>
      </c>
      <c r="M17" s="385" t="s">
        <v>318</v>
      </c>
    </row>
    <row r="18" spans="1:13" s="381" customFormat="1" ht="65.25" customHeight="1" x14ac:dyDescent="0.25">
      <c r="A18" s="377">
        <v>3</v>
      </c>
      <c r="B18" s="382" t="s">
        <v>16</v>
      </c>
      <c r="C18" s="383" t="s">
        <v>239</v>
      </c>
      <c r="D18" s="418">
        <f>D19</f>
        <v>24456</v>
      </c>
      <c r="E18" s="418">
        <f t="shared" ref="E18:L18" si="9">E19</f>
        <v>23291</v>
      </c>
      <c r="F18" s="418">
        <f t="shared" si="9"/>
        <v>1165</v>
      </c>
      <c r="G18" s="418">
        <f t="shared" si="9"/>
        <v>24456</v>
      </c>
      <c r="H18" s="418">
        <f t="shared" si="9"/>
        <v>23291</v>
      </c>
      <c r="I18" s="418">
        <f t="shared" si="9"/>
        <v>1165</v>
      </c>
      <c r="J18" s="414">
        <f t="shared" si="9"/>
        <v>0</v>
      </c>
      <c r="K18" s="414">
        <f t="shared" si="9"/>
        <v>0</v>
      </c>
      <c r="L18" s="414">
        <f t="shared" si="9"/>
        <v>0</v>
      </c>
      <c r="M18" s="417" t="s">
        <v>306</v>
      </c>
    </row>
    <row r="19" spans="1:13" ht="46.5" customHeight="1" x14ac:dyDescent="0.25">
      <c r="A19" s="384" t="s">
        <v>8</v>
      </c>
      <c r="B19" s="385" t="s">
        <v>17</v>
      </c>
      <c r="C19" s="383"/>
      <c r="D19" s="415">
        <f t="shared" si="2"/>
        <v>24456</v>
      </c>
      <c r="E19" s="415">
        <f>'B6-DA4'!D19</f>
        <v>23291</v>
      </c>
      <c r="F19" s="415">
        <f>'B6-DA4'!D21</f>
        <v>1165</v>
      </c>
      <c r="G19" s="415">
        <f t="shared" si="3"/>
        <v>24456</v>
      </c>
      <c r="H19" s="415">
        <f>E19</f>
        <v>23291</v>
      </c>
      <c r="I19" s="415">
        <f>F19</f>
        <v>1165</v>
      </c>
      <c r="J19" s="417">
        <f t="shared" si="4"/>
        <v>0</v>
      </c>
      <c r="K19" s="417">
        <f t="shared" si="5"/>
        <v>0</v>
      </c>
      <c r="L19" s="417">
        <f t="shared" si="6"/>
        <v>0</v>
      </c>
      <c r="M19" s="385"/>
    </row>
    <row r="20" spans="1:13" s="381" customFormat="1" ht="46.5" customHeight="1" x14ac:dyDescent="0.25">
      <c r="A20" s="377">
        <v>4</v>
      </c>
      <c r="B20" s="382" t="s">
        <v>18</v>
      </c>
      <c r="C20" s="395" t="s">
        <v>268</v>
      </c>
      <c r="D20" s="418">
        <f>SUM(D21:D24)</f>
        <v>90194</v>
      </c>
      <c r="E20" s="418">
        <f t="shared" ref="E20:L20" si="10">SUM(E21:E24)</f>
        <v>85873</v>
      </c>
      <c r="F20" s="418">
        <f t="shared" si="10"/>
        <v>4321</v>
      </c>
      <c r="G20" s="418">
        <f t="shared" si="10"/>
        <v>77769</v>
      </c>
      <c r="H20" s="418">
        <f t="shared" si="10"/>
        <v>73448</v>
      </c>
      <c r="I20" s="418">
        <f t="shared" si="10"/>
        <v>4321</v>
      </c>
      <c r="J20" s="418">
        <f t="shared" si="10"/>
        <v>12425</v>
      </c>
      <c r="K20" s="418">
        <f t="shared" si="10"/>
        <v>12425</v>
      </c>
      <c r="L20" s="414">
        <f t="shared" si="10"/>
        <v>0</v>
      </c>
      <c r="M20" s="385"/>
    </row>
    <row r="21" spans="1:13" ht="81.75" customHeight="1" x14ac:dyDescent="0.25">
      <c r="A21" s="384" t="s">
        <v>8</v>
      </c>
      <c r="B21" s="385" t="s">
        <v>19</v>
      </c>
      <c r="C21" s="383"/>
      <c r="D21" s="415">
        <f t="shared" si="2"/>
        <v>13599</v>
      </c>
      <c r="E21" s="415">
        <f>'B7-TDA1,DA5'!D16</f>
        <v>12650</v>
      </c>
      <c r="F21" s="415">
        <f>'B7-TDA1,DA5'!D18</f>
        <v>949</v>
      </c>
      <c r="G21" s="415">
        <f t="shared" si="3"/>
        <v>13599</v>
      </c>
      <c r="H21" s="415">
        <f>E21</f>
        <v>12650</v>
      </c>
      <c r="I21" s="415">
        <f>F21</f>
        <v>949</v>
      </c>
      <c r="J21" s="417">
        <f t="shared" si="4"/>
        <v>0</v>
      </c>
      <c r="K21" s="417">
        <f t="shared" si="5"/>
        <v>0</v>
      </c>
      <c r="L21" s="417">
        <f t="shared" si="6"/>
        <v>0</v>
      </c>
      <c r="M21" s="417" t="s">
        <v>307</v>
      </c>
    </row>
    <row r="22" spans="1:13" ht="65.25" customHeight="1" x14ac:dyDescent="0.25">
      <c r="A22" s="384" t="s">
        <v>8</v>
      </c>
      <c r="B22" s="385" t="s">
        <v>20</v>
      </c>
      <c r="C22" s="383"/>
      <c r="D22" s="415">
        <f t="shared" si="2"/>
        <v>12425</v>
      </c>
      <c r="E22" s="415">
        <v>12425</v>
      </c>
      <c r="F22" s="417">
        <v>0</v>
      </c>
      <c r="G22" s="417">
        <f t="shared" si="3"/>
        <v>0</v>
      </c>
      <c r="H22" s="417"/>
      <c r="I22" s="417"/>
      <c r="J22" s="415">
        <f t="shared" si="4"/>
        <v>12425</v>
      </c>
      <c r="K22" s="415">
        <f t="shared" si="5"/>
        <v>12425</v>
      </c>
      <c r="L22" s="417">
        <f t="shared" si="6"/>
        <v>0</v>
      </c>
      <c r="M22" s="385" t="s">
        <v>318</v>
      </c>
    </row>
    <row r="23" spans="1:13" ht="46.5" customHeight="1" x14ac:dyDescent="0.25">
      <c r="A23" s="384" t="s">
        <v>8</v>
      </c>
      <c r="B23" s="385" t="s">
        <v>138</v>
      </c>
      <c r="C23" s="383"/>
      <c r="D23" s="415">
        <f t="shared" si="2"/>
        <v>48356</v>
      </c>
      <c r="E23" s="415">
        <f>'B8-TDA3,DA5'!D9</f>
        <v>44984</v>
      </c>
      <c r="F23" s="415">
        <f>'B8-TDA3,DA5'!D11</f>
        <v>3372</v>
      </c>
      <c r="G23" s="415">
        <f t="shared" si="3"/>
        <v>48356</v>
      </c>
      <c r="H23" s="415">
        <f t="shared" ref="H23:I27" si="11">E23</f>
        <v>44984</v>
      </c>
      <c r="I23" s="415">
        <f t="shared" si="11"/>
        <v>3372</v>
      </c>
      <c r="J23" s="417">
        <f t="shared" si="4"/>
        <v>0</v>
      </c>
      <c r="K23" s="417">
        <f t="shared" si="5"/>
        <v>0</v>
      </c>
      <c r="L23" s="417">
        <f t="shared" si="6"/>
        <v>0</v>
      </c>
      <c r="M23" s="417" t="s">
        <v>308</v>
      </c>
    </row>
    <row r="24" spans="1:13" ht="46.5" customHeight="1" x14ac:dyDescent="0.25">
      <c r="A24" s="384" t="s">
        <v>8</v>
      </c>
      <c r="B24" s="385" t="s">
        <v>21</v>
      </c>
      <c r="C24" s="383"/>
      <c r="D24" s="415">
        <f t="shared" si="2"/>
        <v>15814</v>
      </c>
      <c r="E24" s="415">
        <f>'B9-TDA4,DA5'!D11</f>
        <v>15814</v>
      </c>
      <c r="F24" s="415">
        <f>'B9-TDA4,DA5'!D13</f>
        <v>0</v>
      </c>
      <c r="G24" s="415">
        <f t="shared" si="3"/>
        <v>15814</v>
      </c>
      <c r="H24" s="415">
        <f t="shared" si="11"/>
        <v>15814</v>
      </c>
      <c r="I24" s="415">
        <f t="shared" si="11"/>
        <v>0</v>
      </c>
      <c r="J24" s="417">
        <f t="shared" si="4"/>
        <v>0</v>
      </c>
      <c r="K24" s="417">
        <f t="shared" si="5"/>
        <v>0</v>
      </c>
      <c r="L24" s="417">
        <f t="shared" si="6"/>
        <v>0</v>
      </c>
      <c r="M24" s="417" t="s">
        <v>309</v>
      </c>
    </row>
    <row r="25" spans="1:13" s="381" customFormat="1" ht="46.5" customHeight="1" x14ac:dyDescent="0.25">
      <c r="A25" s="377">
        <v>5</v>
      </c>
      <c r="B25" s="382" t="s">
        <v>22</v>
      </c>
      <c r="C25" s="395" t="s">
        <v>269</v>
      </c>
      <c r="D25" s="418">
        <f t="shared" si="2"/>
        <v>10151</v>
      </c>
      <c r="E25" s="418">
        <f>'B10-DA6'!D33</f>
        <v>9667</v>
      </c>
      <c r="F25" s="418">
        <f>'B10-DA6'!D35</f>
        <v>484</v>
      </c>
      <c r="G25" s="418">
        <f t="shared" si="3"/>
        <v>10151</v>
      </c>
      <c r="H25" s="418">
        <f t="shared" si="11"/>
        <v>9667</v>
      </c>
      <c r="I25" s="418">
        <f t="shared" si="11"/>
        <v>484</v>
      </c>
      <c r="J25" s="414">
        <f t="shared" si="4"/>
        <v>0</v>
      </c>
      <c r="K25" s="414">
        <f t="shared" si="5"/>
        <v>0</v>
      </c>
      <c r="L25" s="414">
        <f t="shared" si="6"/>
        <v>0</v>
      </c>
      <c r="M25" s="417" t="s">
        <v>310</v>
      </c>
    </row>
    <row r="26" spans="1:13" s="381" customFormat="1" ht="46.5" customHeight="1" x14ac:dyDescent="0.25">
      <c r="A26" s="377">
        <v>6</v>
      </c>
      <c r="B26" s="382" t="s">
        <v>23</v>
      </c>
      <c r="C26" s="395" t="s">
        <v>270</v>
      </c>
      <c r="D26" s="418">
        <f t="shared" si="2"/>
        <v>10063.200000000001</v>
      </c>
      <c r="E26" s="418">
        <f>'B11-DA7'!E6</f>
        <v>9584</v>
      </c>
      <c r="F26" s="418">
        <f>'B11-DA7'!G6</f>
        <v>479.20000000000005</v>
      </c>
      <c r="G26" s="418">
        <f t="shared" si="3"/>
        <v>10063.200000000001</v>
      </c>
      <c r="H26" s="418">
        <f t="shared" si="11"/>
        <v>9584</v>
      </c>
      <c r="I26" s="418">
        <f t="shared" si="11"/>
        <v>479.20000000000005</v>
      </c>
      <c r="J26" s="414">
        <f t="shared" si="4"/>
        <v>0</v>
      </c>
      <c r="K26" s="414">
        <f t="shared" si="5"/>
        <v>0</v>
      </c>
      <c r="L26" s="414">
        <f t="shared" si="6"/>
        <v>0</v>
      </c>
      <c r="M26" s="417" t="s">
        <v>311</v>
      </c>
    </row>
    <row r="27" spans="1:13" s="381" customFormat="1" ht="46.5" customHeight="1" x14ac:dyDescent="0.25">
      <c r="A27" s="377">
        <v>7</v>
      </c>
      <c r="B27" s="382" t="s">
        <v>24</v>
      </c>
      <c r="C27" s="395" t="s">
        <v>271</v>
      </c>
      <c r="D27" s="418">
        <f t="shared" si="2"/>
        <v>24354</v>
      </c>
      <c r="E27" s="418">
        <f>'B12-DA8'!D11</f>
        <v>23194</v>
      </c>
      <c r="F27" s="418">
        <f>'B12-DA8'!D13</f>
        <v>1160</v>
      </c>
      <c r="G27" s="418">
        <f t="shared" si="3"/>
        <v>24354</v>
      </c>
      <c r="H27" s="418">
        <f t="shared" si="11"/>
        <v>23194</v>
      </c>
      <c r="I27" s="418">
        <f t="shared" si="11"/>
        <v>1160</v>
      </c>
      <c r="J27" s="414">
        <f t="shared" si="4"/>
        <v>0</v>
      </c>
      <c r="K27" s="414">
        <f t="shared" si="5"/>
        <v>0</v>
      </c>
      <c r="L27" s="414">
        <f t="shared" si="6"/>
        <v>0</v>
      </c>
      <c r="M27" s="417" t="s">
        <v>312</v>
      </c>
    </row>
    <row r="28" spans="1:13" s="381" customFormat="1" ht="46.5" customHeight="1" x14ac:dyDescent="0.25">
      <c r="A28" s="377">
        <v>8</v>
      </c>
      <c r="B28" s="382" t="s">
        <v>25</v>
      </c>
      <c r="C28" s="395"/>
      <c r="D28" s="418">
        <f>SUM(D29:D30)</f>
        <v>18865.150000000001</v>
      </c>
      <c r="E28" s="418">
        <f t="shared" ref="E28:L28" si="12">SUM(E29:E30)</f>
        <v>17966</v>
      </c>
      <c r="F28" s="418">
        <f t="shared" si="12"/>
        <v>899.15000000000009</v>
      </c>
      <c r="G28" s="418">
        <f t="shared" si="12"/>
        <v>18865.150000000001</v>
      </c>
      <c r="H28" s="418">
        <f t="shared" si="12"/>
        <v>17966</v>
      </c>
      <c r="I28" s="418">
        <f t="shared" si="12"/>
        <v>899.15000000000009</v>
      </c>
      <c r="J28" s="414">
        <f t="shared" si="12"/>
        <v>0</v>
      </c>
      <c r="K28" s="414">
        <f t="shared" si="12"/>
        <v>0</v>
      </c>
      <c r="L28" s="414">
        <f t="shared" si="12"/>
        <v>0</v>
      </c>
      <c r="M28" s="385"/>
    </row>
    <row r="29" spans="1:13" ht="46.5" customHeight="1" x14ac:dyDescent="0.25">
      <c r="A29" s="386" t="s">
        <v>8</v>
      </c>
      <c r="B29" s="387" t="s">
        <v>26</v>
      </c>
      <c r="C29" s="383" t="s">
        <v>239</v>
      </c>
      <c r="D29" s="415">
        <f t="shared" si="2"/>
        <v>13863.15</v>
      </c>
      <c r="E29" s="415">
        <f>'B13-TDA1,DA9'!E6</f>
        <v>13203</v>
      </c>
      <c r="F29" s="415">
        <f>'B13-TDA1,DA9'!G6</f>
        <v>660.15000000000009</v>
      </c>
      <c r="G29" s="415">
        <f t="shared" si="3"/>
        <v>13863.15</v>
      </c>
      <c r="H29" s="415">
        <f>E29</f>
        <v>13203</v>
      </c>
      <c r="I29" s="415">
        <f>F29</f>
        <v>660.15000000000009</v>
      </c>
      <c r="J29" s="417">
        <f t="shared" si="4"/>
        <v>0</v>
      </c>
      <c r="K29" s="417">
        <f t="shared" si="5"/>
        <v>0</v>
      </c>
      <c r="L29" s="417">
        <f t="shared" si="6"/>
        <v>0</v>
      </c>
      <c r="M29" s="417" t="s">
        <v>313</v>
      </c>
    </row>
    <row r="30" spans="1:13" ht="46.5" customHeight="1" x14ac:dyDescent="0.25">
      <c r="A30" s="386" t="s">
        <v>8</v>
      </c>
      <c r="B30" s="385" t="s">
        <v>27</v>
      </c>
      <c r="C30" s="395" t="s">
        <v>271</v>
      </c>
      <c r="D30" s="415">
        <f t="shared" si="2"/>
        <v>5002</v>
      </c>
      <c r="E30" s="415">
        <f>'B14-TDA2,DA9'!D17</f>
        <v>4763</v>
      </c>
      <c r="F30" s="415">
        <f>'B14-TDA2,DA9'!D19</f>
        <v>239</v>
      </c>
      <c r="G30" s="415">
        <f t="shared" si="3"/>
        <v>5002</v>
      </c>
      <c r="H30" s="415">
        <f>E30</f>
        <v>4763</v>
      </c>
      <c r="I30" s="415">
        <f>F30</f>
        <v>239</v>
      </c>
      <c r="J30" s="417">
        <f t="shared" si="4"/>
        <v>0</v>
      </c>
      <c r="K30" s="417">
        <f t="shared" si="5"/>
        <v>0</v>
      </c>
      <c r="L30" s="417">
        <f t="shared" si="6"/>
        <v>0</v>
      </c>
      <c r="M30" s="417" t="s">
        <v>314</v>
      </c>
    </row>
    <row r="31" spans="1:13" s="381" customFormat="1" ht="64.5" customHeight="1" x14ac:dyDescent="0.25">
      <c r="A31" s="377">
        <v>9</v>
      </c>
      <c r="B31" s="382" t="s">
        <v>28</v>
      </c>
      <c r="C31" s="379"/>
      <c r="D31" s="418">
        <f>SUM(D32:D34)</f>
        <v>17554</v>
      </c>
      <c r="E31" s="418">
        <f t="shared" ref="E31:L31" si="13">SUM(E32:E34)</f>
        <v>16720</v>
      </c>
      <c r="F31" s="418">
        <f t="shared" si="13"/>
        <v>834</v>
      </c>
      <c r="G31" s="418">
        <f t="shared" si="13"/>
        <v>17554</v>
      </c>
      <c r="H31" s="418">
        <f t="shared" si="13"/>
        <v>16720</v>
      </c>
      <c r="I31" s="418">
        <f t="shared" si="13"/>
        <v>834</v>
      </c>
      <c r="J31" s="414">
        <f t="shared" si="13"/>
        <v>0</v>
      </c>
      <c r="K31" s="414">
        <f t="shared" si="13"/>
        <v>0</v>
      </c>
      <c r="L31" s="414">
        <f t="shared" si="13"/>
        <v>0</v>
      </c>
      <c r="M31" s="416"/>
    </row>
    <row r="32" spans="1:13" ht="120.75" customHeight="1" x14ac:dyDescent="0.25">
      <c r="A32" s="384" t="s">
        <v>8</v>
      </c>
      <c r="B32" s="385" t="s">
        <v>29</v>
      </c>
      <c r="C32" s="395" t="s">
        <v>269</v>
      </c>
      <c r="D32" s="415">
        <f t="shared" si="2"/>
        <v>11639</v>
      </c>
      <c r="E32" s="415">
        <f>'B15-TDA1,DA10'!D9</f>
        <v>11008</v>
      </c>
      <c r="F32" s="415">
        <f>'B15-TDA1,DA10'!D11</f>
        <v>631</v>
      </c>
      <c r="G32" s="415">
        <f t="shared" si="3"/>
        <v>11639</v>
      </c>
      <c r="H32" s="415">
        <f t="shared" ref="H32:I34" si="14">E32</f>
        <v>11008</v>
      </c>
      <c r="I32" s="415">
        <f t="shared" si="14"/>
        <v>631</v>
      </c>
      <c r="J32" s="417">
        <f t="shared" si="4"/>
        <v>0</v>
      </c>
      <c r="K32" s="417">
        <f t="shared" si="5"/>
        <v>0</v>
      </c>
      <c r="L32" s="417">
        <f t="shared" si="6"/>
        <v>0</v>
      </c>
      <c r="M32" s="417" t="s">
        <v>315</v>
      </c>
    </row>
    <row r="33" spans="1:13" ht="45" customHeight="1" x14ac:dyDescent="0.25">
      <c r="A33" s="384" t="s">
        <v>8</v>
      </c>
      <c r="B33" s="385" t="s">
        <v>267</v>
      </c>
      <c r="C33" s="395" t="s">
        <v>269</v>
      </c>
      <c r="D33" s="415">
        <f t="shared" si="2"/>
        <v>2120</v>
      </c>
      <c r="E33" s="415">
        <f>'B16-TDA2,DA10'!D11</f>
        <v>2120</v>
      </c>
      <c r="F33" s="415">
        <f>'B16-TDA2,DA10'!D13</f>
        <v>0</v>
      </c>
      <c r="G33" s="415">
        <f t="shared" si="3"/>
        <v>2120</v>
      </c>
      <c r="H33" s="415">
        <f t="shared" si="14"/>
        <v>2120</v>
      </c>
      <c r="I33" s="415">
        <f t="shared" si="14"/>
        <v>0</v>
      </c>
      <c r="J33" s="417">
        <f t="shared" si="4"/>
        <v>0</v>
      </c>
      <c r="K33" s="417">
        <f t="shared" si="5"/>
        <v>0</v>
      </c>
      <c r="L33" s="417">
        <f t="shared" si="6"/>
        <v>0</v>
      </c>
      <c r="M33" s="417" t="s">
        <v>316</v>
      </c>
    </row>
    <row r="34" spans="1:13" ht="45" customHeight="1" x14ac:dyDescent="0.25">
      <c r="A34" s="397" t="s">
        <v>8</v>
      </c>
      <c r="B34" s="398" t="s">
        <v>30</v>
      </c>
      <c r="C34" s="399" t="s">
        <v>239</v>
      </c>
      <c r="D34" s="420">
        <f t="shared" si="2"/>
        <v>3795</v>
      </c>
      <c r="E34" s="420">
        <f>'B17-TDA3,DA10'!D52</f>
        <v>3592</v>
      </c>
      <c r="F34" s="420">
        <f>'B17-TDA3,DA10'!E52</f>
        <v>203</v>
      </c>
      <c r="G34" s="420">
        <f t="shared" si="3"/>
        <v>3795</v>
      </c>
      <c r="H34" s="420">
        <f t="shared" si="14"/>
        <v>3592</v>
      </c>
      <c r="I34" s="420">
        <f t="shared" si="14"/>
        <v>203</v>
      </c>
      <c r="J34" s="422">
        <f t="shared" si="4"/>
        <v>0</v>
      </c>
      <c r="K34" s="422">
        <f t="shared" si="5"/>
        <v>0</v>
      </c>
      <c r="L34" s="422">
        <f t="shared" si="6"/>
        <v>0</v>
      </c>
      <c r="M34" s="398" t="s">
        <v>317</v>
      </c>
    </row>
    <row r="37" spans="1:13" x14ac:dyDescent="0.25">
      <c r="F37" s="388"/>
    </row>
  </sheetData>
  <mergeCells count="11">
    <mergeCell ref="K1:M1"/>
    <mergeCell ref="A6:A7"/>
    <mergeCell ref="B6:B7"/>
    <mergeCell ref="C6:C7"/>
    <mergeCell ref="M6:M7"/>
    <mergeCell ref="A2:M2"/>
    <mergeCell ref="A3:M3"/>
    <mergeCell ref="G6:I6"/>
    <mergeCell ref="J6:L6"/>
    <mergeCell ref="K5:M5"/>
    <mergeCell ref="D6:F6"/>
  </mergeCells>
  <pageMargins left="1.0369318181818199" right="0.39370078740157499" top="0.39370078740157499" bottom="0.39370078740157499" header="0.196850393700787" footer="0.39370078740157499"/>
  <pageSetup paperSize="8" scale="75" fitToHeight="0" orientation="landscape" verticalDpi="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1"/>
  <sheetViews>
    <sheetView tabSelected="1" view="pageLayout" topLeftCell="AG1" zoomScale="85" zoomScaleNormal="85" zoomScaleSheetLayoutView="55" zoomScalePageLayoutView="85" workbookViewId="0">
      <selection activeCell="AG20" sqref="AG20"/>
    </sheetView>
  </sheetViews>
  <sheetFormatPr defaultColWidth="9" defaultRowHeight="15.75" x14ac:dyDescent="0.25"/>
  <cols>
    <col min="1" max="1" width="6.75" style="6" customWidth="1"/>
    <col min="2" max="2" width="37.5" style="1" customWidth="1"/>
    <col min="3" max="3" width="10" style="1009" customWidth="1"/>
    <col min="4" max="4" width="10.125" style="1" customWidth="1"/>
    <col min="5" max="6" width="9" style="1" customWidth="1"/>
    <col min="7" max="7" width="8.875" style="1" customWidth="1"/>
    <col min="8" max="8" width="8.5" style="1" customWidth="1"/>
    <col min="9" max="9" width="9.5" style="1" customWidth="1"/>
    <col min="10" max="10" width="9.375" style="1" customWidth="1"/>
    <col min="11" max="11" width="10" style="1" customWidth="1"/>
    <col min="12" max="12" width="8.5" style="1" customWidth="1"/>
    <col min="13" max="13" width="7.75" style="1" customWidth="1"/>
    <col min="14" max="14" width="7.875" style="1" customWidth="1"/>
    <col min="15" max="15" width="10.375" style="1" customWidth="1"/>
    <col min="16" max="16" width="8.75" style="1" customWidth="1"/>
    <col min="17" max="17" width="8.5" style="1" customWidth="1"/>
    <col min="18" max="18" width="10" style="1" customWidth="1"/>
    <col min="19" max="19" width="8.875" style="1" customWidth="1"/>
    <col min="20" max="20" width="8.75" style="1" customWidth="1"/>
    <col min="21" max="21" width="9.5" style="1" customWidth="1"/>
    <col min="22" max="22" width="7.875" style="1" customWidth="1"/>
    <col min="23" max="23" width="8.875" style="1" customWidth="1"/>
    <col min="24" max="24" width="8.75" style="1" customWidth="1"/>
    <col min="25" max="25" width="8.5" style="1" customWidth="1"/>
    <col min="26" max="26" width="9" style="1" customWidth="1"/>
    <col min="27" max="27" width="9" style="1007" customWidth="1"/>
    <col min="28" max="28" width="11.25" style="1" customWidth="1"/>
    <col min="29" max="29" width="9.125" style="1" customWidth="1"/>
    <col min="30" max="30" width="8.25" style="1" customWidth="1"/>
    <col min="31" max="33" width="9" style="1" customWidth="1"/>
    <col min="34" max="34" width="9.625" style="1" customWidth="1"/>
    <col min="35" max="36" width="9" style="1" customWidth="1"/>
    <col min="37" max="37" width="9.625" style="1" customWidth="1"/>
    <col min="38" max="38" width="9" style="1" customWidth="1"/>
    <col min="39" max="39" width="8.75" style="1" customWidth="1"/>
    <col min="40" max="40" width="9.75" style="1" customWidth="1"/>
    <col min="41" max="42" width="8.125" style="1" customWidth="1"/>
    <col min="43" max="43" width="8.75" style="1" customWidth="1"/>
    <col min="44" max="44" width="10.625" style="1" customWidth="1"/>
    <col min="45" max="45" width="9.25" style="1" customWidth="1"/>
    <col min="46" max="47" width="9" style="1" customWidth="1"/>
    <col min="48" max="48" width="10.125" style="1" customWidth="1"/>
    <col min="49" max="49" width="7.875" style="1" customWidth="1"/>
    <col min="50" max="50" width="9" style="1" customWidth="1"/>
    <col min="51" max="51" width="8.25" style="1" customWidth="1"/>
    <col min="52" max="52" width="8.125" style="1" customWidth="1"/>
    <col min="53" max="54" width="9" style="1" customWidth="1"/>
    <col min="55" max="60" width="9" style="1" hidden="1" customWidth="1"/>
    <col min="61" max="61" width="9.625" style="1" hidden="1" customWidth="1"/>
    <col min="62" max="64" width="9" style="1" hidden="1" customWidth="1"/>
    <col min="65" max="65" width="9" style="1"/>
    <col min="66" max="67" width="0" style="1" hidden="1" customWidth="1"/>
    <col min="68" max="16384" width="9" style="1"/>
  </cols>
  <sheetData>
    <row r="1" spans="1:67" ht="63.75" customHeight="1" x14ac:dyDescent="0.25">
      <c r="A1" s="434"/>
      <c r="B1" s="434"/>
      <c r="C1" s="1140" t="s">
        <v>325</v>
      </c>
      <c r="D1" s="1140"/>
      <c r="E1" s="1140"/>
      <c r="F1" s="1140"/>
      <c r="G1" s="1140"/>
      <c r="H1" s="1140"/>
      <c r="I1" s="1140"/>
      <c r="J1" s="1140"/>
      <c r="K1" s="1140"/>
      <c r="L1" s="1140"/>
      <c r="M1" s="1140"/>
      <c r="N1" s="1140"/>
      <c r="O1" s="1140"/>
      <c r="P1" s="1141" t="s">
        <v>325</v>
      </c>
      <c r="Q1" s="1141"/>
      <c r="R1" s="1141"/>
      <c r="S1" s="1141"/>
      <c r="T1" s="1141"/>
      <c r="U1" s="1141"/>
      <c r="V1" s="1141"/>
      <c r="W1" s="1141"/>
      <c r="X1" s="1141"/>
      <c r="Y1" s="1141"/>
      <c r="Z1" s="1141"/>
      <c r="AA1" s="1141"/>
      <c r="AB1" s="1141"/>
      <c r="AC1" s="1141" t="s">
        <v>325</v>
      </c>
      <c r="AD1" s="1141"/>
      <c r="AE1" s="1141"/>
      <c r="AF1" s="1141"/>
      <c r="AG1" s="1141"/>
      <c r="AH1" s="1141"/>
      <c r="AI1" s="1141"/>
      <c r="AJ1" s="1141"/>
      <c r="AK1" s="1141"/>
      <c r="AL1" s="1141"/>
      <c r="AM1" s="1141"/>
      <c r="AN1" s="1141"/>
      <c r="AO1" s="1141"/>
      <c r="AP1" s="1141" t="s">
        <v>325</v>
      </c>
      <c r="AQ1" s="1141"/>
      <c r="AR1" s="1141"/>
      <c r="AS1" s="1141"/>
      <c r="AT1" s="1141"/>
      <c r="AU1" s="1141"/>
      <c r="AV1" s="1141"/>
      <c r="AW1" s="1141"/>
      <c r="AX1" s="1141"/>
      <c r="AY1" s="1141"/>
      <c r="AZ1" s="1141"/>
      <c r="BA1" s="1141"/>
      <c r="BB1" s="1141"/>
    </row>
    <row r="2" spans="1:67" ht="35.25" customHeight="1" x14ac:dyDescent="0.25">
      <c r="A2" s="435"/>
      <c r="B2" s="435"/>
      <c r="C2" s="1139" t="s">
        <v>1190</v>
      </c>
      <c r="D2" s="1139"/>
      <c r="E2" s="1139"/>
      <c r="F2" s="1139"/>
      <c r="G2" s="1139"/>
      <c r="H2" s="1139"/>
      <c r="I2" s="1139"/>
      <c r="J2" s="1139"/>
      <c r="K2" s="1139"/>
      <c r="L2" s="1139"/>
      <c r="M2" s="1139"/>
      <c r="N2" s="1139"/>
      <c r="O2" s="1139"/>
      <c r="P2" s="1139" t="str">
        <f>C2</f>
        <v>(Kèm theo Nghị quyết số           /NQ-HĐND ngày         /12/2022 của HĐND tỉnh Bắc Kạn)</v>
      </c>
      <c r="Q2" s="1139"/>
      <c r="R2" s="1139"/>
      <c r="S2" s="1139"/>
      <c r="T2" s="1139"/>
      <c r="U2" s="1139"/>
      <c r="V2" s="1139"/>
      <c r="W2" s="1139"/>
      <c r="X2" s="1139"/>
      <c r="Y2" s="1139"/>
      <c r="Z2" s="1139"/>
      <c r="AA2" s="1139"/>
      <c r="AB2" s="1139"/>
      <c r="AC2" s="1139" t="str">
        <f>P2</f>
        <v>(Kèm theo Nghị quyết số           /NQ-HĐND ngày         /12/2022 của HĐND tỉnh Bắc Kạn)</v>
      </c>
      <c r="AD2" s="1139"/>
      <c r="AE2" s="1139"/>
      <c r="AF2" s="1139"/>
      <c r="AG2" s="1139"/>
      <c r="AH2" s="1139"/>
      <c r="AI2" s="1139"/>
      <c r="AJ2" s="1139"/>
      <c r="AK2" s="1139"/>
      <c r="AL2" s="1139"/>
      <c r="AM2" s="1139"/>
      <c r="AN2" s="1139"/>
      <c r="AO2" s="1139"/>
      <c r="AP2" s="1139" t="str">
        <f>AC2</f>
        <v>(Kèm theo Nghị quyết số           /NQ-HĐND ngày         /12/2022 của HĐND tỉnh Bắc Kạn)</v>
      </c>
      <c r="AQ2" s="1139"/>
      <c r="AR2" s="1139"/>
      <c r="AS2" s="1139"/>
      <c r="AT2" s="1139"/>
      <c r="AU2" s="1139"/>
      <c r="AV2" s="1139"/>
      <c r="AW2" s="1139"/>
      <c r="AX2" s="1139"/>
      <c r="AY2" s="1139"/>
      <c r="AZ2" s="1139"/>
      <c r="BA2" s="1139"/>
      <c r="BB2" s="1139"/>
    </row>
    <row r="4" spans="1:67" ht="21" customHeight="1" x14ac:dyDescent="0.25">
      <c r="M4" s="437" t="s">
        <v>0</v>
      </c>
      <c r="Z4" s="437" t="s">
        <v>0</v>
      </c>
      <c r="AM4" s="437" t="s">
        <v>0</v>
      </c>
      <c r="AV4" s="437"/>
      <c r="AW4" s="437"/>
      <c r="AX4" s="437"/>
      <c r="AY4" s="437"/>
      <c r="AZ4" s="437" t="s">
        <v>0</v>
      </c>
      <c r="BA4" s="437"/>
      <c r="BB4" s="437"/>
    </row>
    <row r="5" spans="1:67" s="400" customFormat="1" ht="27.75" customHeight="1" x14ac:dyDescent="0.25">
      <c r="A5" s="1126" t="s">
        <v>1</v>
      </c>
      <c r="B5" s="1126" t="s">
        <v>272</v>
      </c>
      <c r="C5" s="1126" t="s">
        <v>302</v>
      </c>
      <c r="D5" s="1126"/>
      <c r="E5" s="1126"/>
      <c r="F5" s="1123" t="s">
        <v>273</v>
      </c>
      <c r="G5" s="1124"/>
      <c r="H5" s="1125"/>
      <c r="I5" s="1126" t="s">
        <v>274</v>
      </c>
      <c r="J5" s="1126"/>
      <c r="K5" s="1126"/>
      <c r="L5" s="1126"/>
      <c r="M5" s="1126"/>
      <c r="N5" s="1126"/>
      <c r="O5" s="1126"/>
      <c r="P5" s="1126" t="s">
        <v>275</v>
      </c>
      <c r="Q5" s="1126"/>
      <c r="R5" s="1126"/>
      <c r="S5" s="1126" t="s">
        <v>276</v>
      </c>
      <c r="T5" s="1126"/>
      <c r="U5" s="1126"/>
      <c r="V5" s="1126"/>
      <c r="W5" s="1126"/>
      <c r="X5" s="1126"/>
      <c r="Y5" s="1126"/>
      <c r="Z5" s="1126"/>
      <c r="AA5" s="1126"/>
      <c r="AB5" s="1126"/>
      <c r="AC5" s="1126" t="s">
        <v>184</v>
      </c>
      <c r="AD5" s="1126"/>
      <c r="AE5" s="1126"/>
      <c r="AF5" s="1126" t="s">
        <v>277</v>
      </c>
      <c r="AG5" s="1126"/>
      <c r="AH5" s="1126"/>
      <c r="AI5" s="1123" t="s">
        <v>194</v>
      </c>
      <c r="AJ5" s="1124"/>
      <c r="AK5" s="1125"/>
      <c r="AL5" s="1123" t="s">
        <v>278</v>
      </c>
      <c r="AM5" s="1124"/>
      <c r="AN5" s="1124"/>
      <c r="AO5" s="1125"/>
      <c r="AP5" s="1123" t="s">
        <v>278</v>
      </c>
      <c r="AQ5" s="1124"/>
      <c r="AR5" s="1125"/>
      <c r="AS5" s="1126" t="s">
        <v>279</v>
      </c>
      <c r="AT5" s="1126"/>
      <c r="AU5" s="1126"/>
      <c r="AV5" s="1126"/>
      <c r="AW5" s="1126"/>
      <c r="AX5" s="1126"/>
      <c r="AY5" s="1126"/>
      <c r="AZ5" s="1126"/>
      <c r="BA5" s="1126"/>
      <c r="BB5" s="1126"/>
    </row>
    <row r="6" spans="1:67" s="400" customFormat="1" ht="27.75" customHeight="1" x14ac:dyDescent="0.25">
      <c r="A6" s="1126"/>
      <c r="B6" s="1126"/>
      <c r="C6" s="1126"/>
      <c r="D6" s="1126"/>
      <c r="E6" s="1126"/>
      <c r="F6" s="1127" t="s">
        <v>239</v>
      </c>
      <c r="G6" s="1128"/>
      <c r="H6" s="1129"/>
      <c r="I6" s="1126" t="s">
        <v>281</v>
      </c>
      <c r="J6" s="1123" t="s">
        <v>282</v>
      </c>
      <c r="K6" s="1124"/>
      <c r="L6" s="1124"/>
      <c r="M6" s="1124"/>
      <c r="N6" s="1124"/>
      <c r="O6" s="1125"/>
      <c r="P6" s="1126" t="s">
        <v>239</v>
      </c>
      <c r="Q6" s="1126"/>
      <c r="R6" s="1126"/>
      <c r="S6" s="1126" t="s">
        <v>283</v>
      </c>
      <c r="T6" s="1126" t="s">
        <v>268</v>
      </c>
      <c r="U6" s="1126"/>
      <c r="V6" s="1126"/>
      <c r="W6" s="1126"/>
      <c r="X6" s="1126"/>
      <c r="Y6" s="1126"/>
      <c r="Z6" s="1126"/>
      <c r="AA6" s="1126"/>
      <c r="AB6" s="1126"/>
      <c r="AC6" s="1126" t="s">
        <v>269</v>
      </c>
      <c r="AD6" s="1126"/>
      <c r="AE6" s="1126"/>
      <c r="AF6" s="1126" t="s">
        <v>284</v>
      </c>
      <c r="AG6" s="1126"/>
      <c r="AH6" s="1126"/>
      <c r="AI6" s="1126" t="s">
        <v>286</v>
      </c>
      <c r="AJ6" s="1126"/>
      <c r="AK6" s="1126"/>
      <c r="AL6" s="1126" t="s">
        <v>293</v>
      </c>
      <c r="AM6" s="1126" t="s">
        <v>282</v>
      </c>
      <c r="AN6" s="1126"/>
      <c r="AO6" s="1126"/>
      <c r="AP6" s="1126" t="s">
        <v>271</v>
      </c>
      <c r="AQ6" s="1126"/>
      <c r="AR6" s="1126"/>
      <c r="AS6" s="1126" t="s">
        <v>287</v>
      </c>
      <c r="AT6" s="1126" t="s">
        <v>288</v>
      </c>
      <c r="AU6" s="1126"/>
      <c r="AV6" s="1126"/>
      <c r="AW6" s="1126"/>
      <c r="AX6" s="1126"/>
      <c r="AY6" s="1126"/>
      <c r="AZ6" s="1126" t="s">
        <v>239</v>
      </c>
      <c r="BA6" s="1126"/>
      <c r="BB6" s="1126"/>
    </row>
    <row r="7" spans="1:67" s="400" customFormat="1" ht="27.75" customHeight="1" x14ac:dyDescent="0.25">
      <c r="A7" s="1126"/>
      <c r="B7" s="1126"/>
      <c r="C7" s="1138" t="s">
        <v>33</v>
      </c>
      <c r="D7" s="1126" t="s">
        <v>240</v>
      </c>
      <c r="E7" s="1126"/>
      <c r="F7" s="1130"/>
      <c r="G7" s="1131"/>
      <c r="H7" s="1132"/>
      <c r="I7" s="1126"/>
      <c r="J7" s="1126" t="s">
        <v>170</v>
      </c>
      <c r="K7" s="1126"/>
      <c r="L7" s="1126"/>
      <c r="M7" s="1126" t="s">
        <v>201</v>
      </c>
      <c r="N7" s="1126"/>
      <c r="O7" s="1126"/>
      <c r="P7" s="1133" t="s">
        <v>289</v>
      </c>
      <c r="Q7" s="1123" t="s">
        <v>170</v>
      </c>
      <c r="R7" s="1125"/>
      <c r="S7" s="1126"/>
      <c r="T7" s="1126" t="s">
        <v>170</v>
      </c>
      <c r="U7" s="1126"/>
      <c r="V7" s="1126"/>
      <c r="W7" s="1126" t="s">
        <v>174</v>
      </c>
      <c r="X7" s="1126"/>
      <c r="Y7" s="1126"/>
      <c r="Z7" s="1126" t="s">
        <v>179</v>
      </c>
      <c r="AA7" s="1126"/>
      <c r="AB7" s="1126"/>
      <c r="AC7" s="1126"/>
      <c r="AD7" s="1126"/>
      <c r="AE7" s="1126"/>
      <c r="AF7" s="1126"/>
      <c r="AG7" s="1126"/>
      <c r="AH7" s="1126"/>
      <c r="AI7" s="1126"/>
      <c r="AJ7" s="1126"/>
      <c r="AK7" s="1126"/>
      <c r="AL7" s="1126"/>
      <c r="AM7" s="1126" t="s">
        <v>170</v>
      </c>
      <c r="AN7" s="1126"/>
      <c r="AO7" s="1126"/>
      <c r="AP7" s="1126" t="s">
        <v>201</v>
      </c>
      <c r="AQ7" s="1126"/>
      <c r="AR7" s="1126"/>
      <c r="AS7" s="1126"/>
      <c r="AT7" s="1126" t="s">
        <v>170</v>
      </c>
      <c r="AU7" s="1126"/>
      <c r="AV7" s="1126"/>
      <c r="AW7" s="1126" t="s">
        <v>201</v>
      </c>
      <c r="AX7" s="1126"/>
      <c r="AY7" s="1126"/>
      <c r="AZ7" s="1126" t="s">
        <v>174</v>
      </c>
      <c r="BA7" s="1126"/>
      <c r="BB7" s="1126"/>
    </row>
    <row r="8" spans="1:67" s="400" customFormat="1" ht="27.75" customHeight="1" x14ac:dyDescent="0.25">
      <c r="A8" s="1126"/>
      <c r="B8" s="1126"/>
      <c r="C8" s="1138"/>
      <c r="D8" s="1126"/>
      <c r="E8" s="1126"/>
      <c r="F8" s="1133" t="s">
        <v>280</v>
      </c>
      <c r="G8" s="1126" t="s">
        <v>240</v>
      </c>
      <c r="H8" s="1126"/>
      <c r="I8" s="1126"/>
      <c r="J8" s="1126" t="s">
        <v>33</v>
      </c>
      <c r="K8" s="1126" t="s">
        <v>240</v>
      </c>
      <c r="L8" s="1126"/>
      <c r="M8" s="1126" t="s">
        <v>33</v>
      </c>
      <c r="N8" s="1126" t="s">
        <v>240</v>
      </c>
      <c r="O8" s="1126"/>
      <c r="P8" s="1137"/>
      <c r="Q8" s="1126" t="s">
        <v>240</v>
      </c>
      <c r="R8" s="1126"/>
      <c r="S8" s="1126"/>
      <c r="T8" s="1126" t="s">
        <v>290</v>
      </c>
      <c r="U8" s="1126" t="s">
        <v>240</v>
      </c>
      <c r="V8" s="1126"/>
      <c r="W8" s="1126" t="s">
        <v>290</v>
      </c>
      <c r="X8" s="1126" t="s">
        <v>240</v>
      </c>
      <c r="Y8" s="1126"/>
      <c r="Z8" s="1126" t="s">
        <v>290</v>
      </c>
      <c r="AA8" s="1126" t="s">
        <v>240</v>
      </c>
      <c r="AB8" s="1126"/>
      <c r="AC8" s="1126" t="s">
        <v>291</v>
      </c>
      <c r="AD8" s="1126" t="s">
        <v>240</v>
      </c>
      <c r="AE8" s="1126"/>
      <c r="AF8" s="1126" t="s">
        <v>292</v>
      </c>
      <c r="AG8" s="1126" t="s">
        <v>240</v>
      </c>
      <c r="AH8" s="1126"/>
      <c r="AI8" s="1126" t="s">
        <v>285</v>
      </c>
      <c r="AJ8" s="1126" t="s">
        <v>240</v>
      </c>
      <c r="AK8" s="1126"/>
      <c r="AL8" s="1126"/>
      <c r="AM8" s="1126" t="s">
        <v>33</v>
      </c>
      <c r="AN8" s="1126" t="s">
        <v>240</v>
      </c>
      <c r="AO8" s="1126"/>
      <c r="AP8" s="1126" t="s">
        <v>33</v>
      </c>
      <c r="AQ8" s="1126" t="s">
        <v>240</v>
      </c>
      <c r="AR8" s="1126"/>
      <c r="AS8" s="1126"/>
      <c r="AT8" s="1126" t="s">
        <v>33</v>
      </c>
      <c r="AU8" s="1126" t="s">
        <v>240</v>
      </c>
      <c r="AV8" s="1126"/>
      <c r="AW8" s="1126" t="s">
        <v>33</v>
      </c>
      <c r="AX8" s="1126" t="s">
        <v>240</v>
      </c>
      <c r="AY8" s="1126"/>
      <c r="AZ8" s="1126" t="s">
        <v>33</v>
      </c>
      <c r="BA8" s="1126" t="s">
        <v>240</v>
      </c>
      <c r="BB8" s="1126"/>
    </row>
    <row r="9" spans="1:67" ht="47.25" customHeight="1" x14ac:dyDescent="0.25">
      <c r="A9" s="1126"/>
      <c r="B9" s="1126"/>
      <c r="C9" s="1138"/>
      <c r="D9" s="436" t="s">
        <v>218</v>
      </c>
      <c r="E9" s="436" t="s">
        <v>294</v>
      </c>
      <c r="F9" s="1134"/>
      <c r="G9" s="436" t="s">
        <v>218</v>
      </c>
      <c r="H9" s="436" t="s">
        <v>294</v>
      </c>
      <c r="I9" s="1126"/>
      <c r="J9" s="1126"/>
      <c r="K9" s="436" t="s">
        <v>218</v>
      </c>
      <c r="L9" s="436" t="s">
        <v>294</v>
      </c>
      <c r="M9" s="1126"/>
      <c r="N9" s="436" t="s">
        <v>218</v>
      </c>
      <c r="O9" s="436" t="s">
        <v>294</v>
      </c>
      <c r="P9" s="1134"/>
      <c r="Q9" s="436" t="s">
        <v>218</v>
      </c>
      <c r="R9" s="436" t="s">
        <v>294</v>
      </c>
      <c r="S9" s="1126"/>
      <c r="T9" s="1126"/>
      <c r="U9" s="436" t="s">
        <v>218</v>
      </c>
      <c r="V9" s="436" t="s">
        <v>294</v>
      </c>
      <c r="W9" s="1126"/>
      <c r="X9" s="436" t="s">
        <v>218</v>
      </c>
      <c r="Y9" s="436" t="s">
        <v>294</v>
      </c>
      <c r="Z9" s="1126"/>
      <c r="AA9" s="1008" t="s">
        <v>218</v>
      </c>
      <c r="AB9" s="436" t="s">
        <v>294</v>
      </c>
      <c r="AC9" s="1126"/>
      <c r="AD9" s="436" t="s">
        <v>218</v>
      </c>
      <c r="AE9" s="436" t="s">
        <v>294</v>
      </c>
      <c r="AF9" s="1126"/>
      <c r="AG9" s="436" t="s">
        <v>218</v>
      </c>
      <c r="AH9" s="436" t="s">
        <v>294</v>
      </c>
      <c r="AI9" s="1126"/>
      <c r="AJ9" s="436" t="s">
        <v>218</v>
      </c>
      <c r="AK9" s="436" t="s">
        <v>294</v>
      </c>
      <c r="AL9" s="1126"/>
      <c r="AM9" s="1126"/>
      <c r="AN9" s="436" t="s">
        <v>218</v>
      </c>
      <c r="AO9" s="436" t="s">
        <v>294</v>
      </c>
      <c r="AP9" s="1126"/>
      <c r="AQ9" s="436" t="s">
        <v>218</v>
      </c>
      <c r="AR9" s="436" t="s">
        <v>294</v>
      </c>
      <c r="AS9" s="1126"/>
      <c r="AT9" s="1126"/>
      <c r="AU9" s="436" t="s">
        <v>218</v>
      </c>
      <c r="AV9" s="436" t="s">
        <v>294</v>
      </c>
      <c r="AW9" s="1126"/>
      <c r="AX9" s="436" t="s">
        <v>218</v>
      </c>
      <c r="AY9" s="436" t="s">
        <v>294</v>
      </c>
      <c r="AZ9" s="1126"/>
      <c r="BA9" s="436" t="s">
        <v>218</v>
      </c>
      <c r="BB9" s="436" t="s">
        <v>294</v>
      </c>
    </row>
    <row r="10" spans="1:67" s="2" customFormat="1" ht="25.5" customHeight="1" x14ac:dyDescent="0.25">
      <c r="A10" s="401"/>
      <c r="B10" s="401" t="s">
        <v>6</v>
      </c>
      <c r="C10" s="1010">
        <f t="shared" ref="C10:AH10" si="0">C11+C37</f>
        <v>316291</v>
      </c>
      <c r="D10" s="1010">
        <f t="shared" si="0"/>
        <v>305065</v>
      </c>
      <c r="E10" s="1010">
        <f t="shared" si="0"/>
        <v>11226</v>
      </c>
      <c r="F10" s="1010">
        <f t="shared" si="0"/>
        <v>18830</v>
      </c>
      <c r="G10" s="1010">
        <f t="shared" si="0"/>
        <v>17933.000000000004</v>
      </c>
      <c r="H10" s="1010">
        <f t="shared" si="0"/>
        <v>897</v>
      </c>
      <c r="I10" s="1010">
        <f t="shared" si="0"/>
        <v>114249</v>
      </c>
      <c r="J10" s="1010">
        <f t="shared" si="0"/>
        <v>105576</v>
      </c>
      <c r="K10" s="1010">
        <f t="shared" si="0"/>
        <v>105576</v>
      </c>
      <c r="L10" s="1010">
        <f t="shared" si="0"/>
        <v>0</v>
      </c>
      <c r="M10" s="1010">
        <f t="shared" si="0"/>
        <v>8673</v>
      </c>
      <c r="N10" s="1010">
        <f t="shared" si="0"/>
        <v>7687</v>
      </c>
      <c r="O10" s="1010">
        <f t="shared" si="0"/>
        <v>986</v>
      </c>
      <c r="P10" s="1010">
        <f t="shared" si="0"/>
        <v>24456</v>
      </c>
      <c r="Q10" s="1010">
        <f t="shared" si="0"/>
        <v>23291</v>
      </c>
      <c r="R10" s="1010">
        <f t="shared" si="0"/>
        <v>1165</v>
      </c>
      <c r="S10" s="1010">
        <f t="shared" si="0"/>
        <v>77769</v>
      </c>
      <c r="T10" s="1010">
        <f t="shared" si="0"/>
        <v>13599</v>
      </c>
      <c r="U10" s="1010">
        <f t="shared" si="0"/>
        <v>12650</v>
      </c>
      <c r="V10" s="1010">
        <f t="shared" si="0"/>
        <v>949</v>
      </c>
      <c r="W10" s="1010">
        <f t="shared" si="0"/>
        <v>48356</v>
      </c>
      <c r="X10" s="1010">
        <f t="shared" si="0"/>
        <v>44984</v>
      </c>
      <c r="Y10" s="1010">
        <f t="shared" si="0"/>
        <v>3372</v>
      </c>
      <c r="Z10" s="1010">
        <f t="shared" si="0"/>
        <v>15814</v>
      </c>
      <c r="AA10" s="1011">
        <f t="shared" si="0"/>
        <v>15814</v>
      </c>
      <c r="AB10" s="1010">
        <f t="shared" si="0"/>
        <v>0</v>
      </c>
      <c r="AC10" s="1010">
        <f t="shared" si="0"/>
        <v>10151</v>
      </c>
      <c r="AD10" s="1010">
        <f t="shared" si="0"/>
        <v>9667</v>
      </c>
      <c r="AE10" s="1010">
        <f t="shared" si="0"/>
        <v>484</v>
      </c>
      <c r="AF10" s="1010">
        <f t="shared" si="0"/>
        <v>10063</v>
      </c>
      <c r="AG10" s="1010">
        <f t="shared" si="0"/>
        <v>9583</v>
      </c>
      <c r="AH10" s="1010">
        <f t="shared" si="0"/>
        <v>480</v>
      </c>
      <c r="AI10" s="1010">
        <f t="shared" ref="AI10:BB10" si="1">AI11+AI37</f>
        <v>24354</v>
      </c>
      <c r="AJ10" s="1010">
        <f t="shared" si="1"/>
        <v>23194</v>
      </c>
      <c r="AK10" s="1010">
        <f t="shared" si="1"/>
        <v>1160</v>
      </c>
      <c r="AL10" s="1010">
        <f t="shared" si="1"/>
        <v>18865</v>
      </c>
      <c r="AM10" s="1010">
        <f t="shared" si="1"/>
        <v>13863</v>
      </c>
      <c r="AN10" s="1010">
        <f t="shared" si="1"/>
        <v>13203</v>
      </c>
      <c r="AO10" s="1010">
        <f t="shared" si="1"/>
        <v>660</v>
      </c>
      <c r="AP10" s="1010">
        <f t="shared" si="1"/>
        <v>5002</v>
      </c>
      <c r="AQ10" s="1010">
        <f t="shared" si="1"/>
        <v>4763</v>
      </c>
      <c r="AR10" s="1010">
        <f t="shared" si="1"/>
        <v>239</v>
      </c>
      <c r="AS10" s="1010">
        <f t="shared" si="1"/>
        <v>17554</v>
      </c>
      <c r="AT10" s="1010">
        <f t="shared" si="1"/>
        <v>11639</v>
      </c>
      <c r="AU10" s="1010">
        <f t="shared" si="1"/>
        <v>11008</v>
      </c>
      <c r="AV10" s="1010">
        <f t="shared" si="1"/>
        <v>631</v>
      </c>
      <c r="AW10" s="1010">
        <f t="shared" si="1"/>
        <v>2120</v>
      </c>
      <c r="AX10" s="1010">
        <f t="shared" si="1"/>
        <v>2120</v>
      </c>
      <c r="AY10" s="1010">
        <f t="shared" si="1"/>
        <v>0</v>
      </c>
      <c r="AZ10" s="1010">
        <f t="shared" si="1"/>
        <v>3795</v>
      </c>
      <c r="BA10" s="1010">
        <f t="shared" si="1"/>
        <v>3592</v>
      </c>
      <c r="BB10" s="1010">
        <f t="shared" si="1"/>
        <v>203</v>
      </c>
      <c r="BC10" s="1136" t="s">
        <v>295</v>
      </c>
      <c r="BD10" s="1135"/>
      <c r="BE10" s="1135" t="s">
        <v>296</v>
      </c>
      <c r="BF10" s="1135"/>
      <c r="BG10" s="1135" t="s">
        <v>297</v>
      </c>
      <c r="BH10" s="1135"/>
      <c r="BI10" s="1135" t="s">
        <v>298</v>
      </c>
      <c r="BJ10" s="1135"/>
      <c r="BK10" s="1135" t="s">
        <v>299</v>
      </c>
      <c r="BL10" s="1135"/>
      <c r="BN10" s="99" t="e">
        <f>#REF!+L10+R10+#REF!+#REF!+BB10</f>
        <v>#REF!</v>
      </c>
      <c r="BO10" s="99">
        <f t="shared" ref="BO10:BO45" si="2">H10+AK10</f>
        <v>2057</v>
      </c>
    </row>
    <row r="11" spans="1:67" s="2" customFormat="1" ht="25.5" customHeight="1" x14ac:dyDescent="0.25">
      <c r="A11" s="237" t="s">
        <v>46</v>
      </c>
      <c r="B11" s="402" t="s">
        <v>241</v>
      </c>
      <c r="C11" s="1012">
        <f>SUM(C12:C36)</f>
        <v>57112</v>
      </c>
      <c r="D11" s="1012">
        <f t="shared" ref="D11:BB11" si="3">SUM(D12:D36)</f>
        <v>53852</v>
      </c>
      <c r="E11" s="1012">
        <f t="shared" si="3"/>
        <v>3260</v>
      </c>
      <c r="F11" s="1012">
        <f t="shared" si="3"/>
        <v>0</v>
      </c>
      <c r="G11" s="1012">
        <f t="shared" si="3"/>
        <v>0</v>
      </c>
      <c r="H11" s="1012">
        <f t="shared" si="3"/>
        <v>0</v>
      </c>
      <c r="I11" s="1012">
        <f t="shared" si="3"/>
        <v>9533</v>
      </c>
      <c r="J11" s="1012">
        <f t="shared" si="3"/>
        <v>860</v>
      </c>
      <c r="K11" s="1012">
        <f t="shared" si="3"/>
        <v>860</v>
      </c>
      <c r="L11" s="1012">
        <f t="shared" si="3"/>
        <v>0</v>
      </c>
      <c r="M11" s="1012">
        <f t="shared" si="3"/>
        <v>8673</v>
      </c>
      <c r="N11" s="1012">
        <f t="shared" si="3"/>
        <v>7687</v>
      </c>
      <c r="O11" s="1012">
        <f t="shared" si="3"/>
        <v>986</v>
      </c>
      <c r="P11" s="1012">
        <f t="shared" si="3"/>
        <v>0</v>
      </c>
      <c r="Q11" s="1012">
        <f t="shared" si="3"/>
        <v>0</v>
      </c>
      <c r="R11" s="1012">
        <f t="shared" si="3"/>
        <v>0</v>
      </c>
      <c r="S11" s="1012">
        <f t="shared" si="3"/>
        <v>3653</v>
      </c>
      <c r="T11" s="1012">
        <f t="shared" si="3"/>
        <v>1653</v>
      </c>
      <c r="U11" s="1012">
        <f t="shared" si="3"/>
        <v>1538</v>
      </c>
      <c r="V11" s="1012">
        <f t="shared" si="3"/>
        <v>115</v>
      </c>
      <c r="W11" s="1012">
        <f t="shared" si="3"/>
        <v>1209</v>
      </c>
      <c r="X11" s="1012">
        <f t="shared" si="3"/>
        <v>1125</v>
      </c>
      <c r="Y11" s="1012">
        <f t="shared" si="3"/>
        <v>84</v>
      </c>
      <c r="Z11" s="1012">
        <f t="shared" si="3"/>
        <v>791</v>
      </c>
      <c r="AA11" s="1013">
        <f t="shared" si="3"/>
        <v>791</v>
      </c>
      <c r="AB11" s="1012">
        <f t="shared" si="3"/>
        <v>0</v>
      </c>
      <c r="AC11" s="1012">
        <f t="shared" si="3"/>
        <v>7165</v>
      </c>
      <c r="AD11" s="1012">
        <f t="shared" si="3"/>
        <v>6823</v>
      </c>
      <c r="AE11" s="1012">
        <f t="shared" si="3"/>
        <v>342</v>
      </c>
      <c r="AF11" s="1012">
        <f t="shared" si="3"/>
        <v>10063</v>
      </c>
      <c r="AG11" s="1012">
        <f t="shared" si="3"/>
        <v>9583</v>
      </c>
      <c r="AH11" s="1012">
        <f t="shared" si="3"/>
        <v>480</v>
      </c>
      <c r="AI11" s="1012">
        <f t="shared" si="3"/>
        <v>2922</v>
      </c>
      <c r="AJ11" s="1012">
        <f t="shared" si="3"/>
        <v>2783</v>
      </c>
      <c r="AK11" s="1012">
        <f t="shared" si="3"/>
        <v>139</v>
      </c>
      <c r="AL11" s="1012">
        <f t="shared" si="3"/>
        <v>14864</v>
      </c>
      <c r="AM11" s="1012">
        <f t="shared" si="3"/>
        <v>13863</v>
      </c>
      <c r="AN11" s="1012">
        <f t="shared" si="3"/>
        <v>13203</v>
      </c>
      <c r="AO11" s="1012">
        <f t="shared" si="3"/>
        <v>660</v>
      </c>
      <c r="AP11" s="1012">
        <f t="shared" si="3"/>
        <v>1001</v>
      </c>
      <c r="AQ11" s="1012">
        <f t="shared" si="3"/>
        <v>953</v>
      </c>
      <c r="AR11" s="1012">
        <f t="shared" si="3"/>
        <v>48</v>
      </c>
      <c r="AS11" s="1012">
        <f t="shared" si="3"/>
        <v>8912</v>
      </c>
      <c r="AT11" s="1012">
        <f t="shared" si="3"/>
        <v>5820</v>
      </c>
      <c r="AU11" s="1012">
        <f t="shared" si="3"/>
        <v>5504</v>
      </c>
      <c r="AV11" s="1012">
        <f t="shared" si="3"/>
        <v>316</v>
      </c>
      <c r="AW11" s="1012">
        <f t="shared" si="3"/>
        <v>1420</v>
      </c>
      <c r="AX11" s="1012">
        <f t="shared" si="3"/>
        <v>1420</v>
      </c>
      <c r="AY11" s="1012">
        <f t="shared" si="3"/>
        <v>0</v>
      </c>
      <c r="AZ11" s="1012">
        <f t="shared" si="3"/>
        <v>1672</v>
      </c>
      <c r="BA11" s="1012">
        <f t="shared" si="3"/>
        <v>1582</v>
      </c>
      <c r="BB11" s="1012">
        <f t="shared" si="3"/>
        <v>90</v>
      </c>
      <c r="BC11" s="403" t="s">
        <v>300</v>
      </c>
      <c r="BD11" s="403" t="s">
        <v>301</v>
      </c>
      <c r="BE11" s="403" t="s">
        <v>300</v>
      </c>
      <c r="BF11" s="403" t="s">
        <v>301</v>
      </c>
      <c r="BG11" s="403" t="s">
        <v>300</v>
      </c>
      <c r="BH11" s="403" t="s">
        <v>301</v>
      </c>
      <c r="BI11" s="403" t="s">
        <v>300</v>
      </c>
      <c r="BJ11" s="403" t="s">
        <v>301</v>
      </c>
      <c r="BK11" s="403" t="s">
        <v>300</v>
      </c>
      <c r="BL11" s="403" t="s">
        <v>301</v>
      </c>
      <c r="BN11" s="404" t="e">
        <f>#REF!+L11+R11+#REF!+#REF!+BB11</f>
        <v>#REF!</v>
      </c>
      <c r="BO11" s="404">
        <f t="shared" si="2"/>
        <v>139</v>
      </c>
    </row>
    <row r="12" spans="1:67" ht="25.5" customHeight="1" x14ac:dyDescent="0.25">
      <c r="A12" s="405">
        <v>1</v>
      </c>
      <c r="B12" s="406" t="s">
        <v>129</v>
      </c>
      <c r="C12" s="1014">
        <f>SUM(D12:E12)</f>
        <v>5865</v>
      </c>
      <c r="D12" s="1014">
        <f>G12+K12+N12+Q12+U12+X12+AA12+AD12+AG12+AJ12+AN12+AQ12+AU12+AX12+BA12</f>
        <v>5593</v>
      </c>
      <c r="E12" s="1014">
        <f>H12+L12+O12+R12+V12+Y12+AB12+AE12+AH12+AK12+AO12+AR12+AV12+AY12+BB12</f>
        <v>272</v>
      </c>
      <c r="F12" s="1014">
        <f>SUM(G12:H12)</f>
        <v>0</v>
      </c>
      <c r="G12" s="1014"/>
      <c r="H12" s="1014"/>
      <c r="I12" s="1014">
        <f>J12+M12</f>
        <v>0</v>
      </c>
      <c r="J12" s="1014">
        <f>SUM(K12:L12)</f>
        <v>0</v>
      </c>
      <c r="K12" s="1014"/>
      <c r="L12" s="1014"/>
      <c r="M12" s="1014">
        <f>SUM(N12:O12)</f>
        <v>0</v>
      </c>
      <c r="N12" s="1014"/>
      <c r="O12" s="1014"/>
      <c r="P12" s="1014">
        <f>SUM(Q12:R12)</f>
        <v>0</v>
      </c>
      <c r="Q12" s="1014"/>
      <c r="R12" s="1014"/>
      <c r="S12" s="1014">
        <f>T12+W12+Z12</f>
        <v>791</v>
      </c>
      <c r="T12" s="1014">
        <f>SUM(U12:V12)</f>
        <v>0</v>
      </c>
      <c r="U12" s="1014"/>
      <c r="V12" s="1014"/>
      <c r="W12" s="1014">
        <f>SUM(X12:Y12)</f>
        <v>0</v>
      </c>
      <c r="X12" s="1014"/>
      <c r="Y12" s="1014"/>
      <c r="Z12" s="1014">
        <f>SUM(AA12:AB12)</f>
        <v>791</v>
      </c>
      <c r="AA12" s="1015">
        <v>791</v>
      </c>
      <c r="AB12" s="1014"/>
      <c r="AC12" s="1014">
        <f>SUM(AD12:AE12)</f>
        <v>0</v>
      </c>
      <c r="AD12" s="1014"/>
      <c r="AE12" s="1014"/>
      <c r="AF12" s="1014">
        <f>SUM(AG12:AH12)</f>
        <v>0</v>
      </c>
      <c r="AG12" s="1014"/>
      <c r="AH12" s="1014"/>
      <c r="AI12" s="1014">
        <f>SUM(AJ12:AK12)</f>
        <v>0</v>
      </c>
      <c r="AJ12" s="1014"/>
      <c r="AK12" s="1014"/>
      <c r="AL12" s="1014">
        <f>AM12+AP12</f>
        <v>601</v>
      </c>
      <c r="AM12" s="1014">
        <f>SUM(AN12:AO12)</f>
        <v>0</v>
      </c>
      <c r="AN12" s="1014"/>
      <c r="AO12" s="1014"/>
      <c r="AP12" s="1014">
        <f>SUM(AQ12:AR12)</f>
        <v>601</v>
      </c>
      <c r="AQ12" s="1014">
        <v>572</v>
      </c>
      <c r="AR12" s="1014">
        <v>29</v>
      </c>
      <c r="AS12" s="1014">
        <f>AT12+AW12+AZ12</f>
        <v>4473</v>
      </c>
      <c r="AT12" s="1014">
        <f>SUM(AU12:AV12)</f>
        <v>4074</v>
      </c>
      <c r="AU12" s="1014">
        <v>3853</v>
      </c>
      <c r="AV12" s="1014">
        <v>221</v>
      </c>
      <c r="AW12" s="1014">
        <f>SUM(AX12:AY12)</f>
        <v>0</v>
      </c>
      <c r="AX12" s="1014"/>
      <c r="AY12" s="1014"/>
      <c r="AZ12" s="1014">
        <f>SUM(BA12:BB12)</f>
        <v>399</v>
      </c>
      <c r="BA12" s="1014">
        <v>377</v>
      </c>
      <c r="BB12" s="1014">
        <v>22</v>
      </c>
      <c r="BC12" s="404" t="e">
        <f>U12+#REF!+X12+AA12</f>
        <v>#REF!</v>
      </c>
      <c r="BD12" s="404" t="e">
        <f>V12+#REF!+Y12+AB12</f>
        <v>#REF!</v>
      </c>
      <c r="BE12" s="404">
        <f t="shared" ref="BE12:BE33" si="4">N12+AG12</f>
        <v>0</v>
      </c>
      <c r="BF12" s="404">
        <f t="shared" ref="BF12:BF33" si="5">O12+AH12</f>
        <v>0</v>
      </c>
      <c r="BG12" s="408">
        <f t="shared" ref="BG12:BG33" si="6">AD12+AU12+AX12</f>
        <v>3853</v>
      </c>
      <c r="BH12" s="408">
        <f t="shared" ref="BH12:BH33" si="7">AE12+AV12+AY12</f>
        <v>221</v>
      </c>
      <c r="BI12" s="408" t="e">
        <f>#REF!+K12+#REF!+BA12+Q12+#REF!</f>
        <v>#REF!</v>
      </c>
      <c r="BJ12" s="408" t="e">
        <f>#REF!+L12+#REF!+BB12+R12+#REF!</f>
        <v>#REF!</v>
      </c>
      <c r="BK12" s="408">
        <f t="shared" ref="BK12:BK33" si="8">G12+AJ12</f>
        <v>0</v>
      </c>
      <c r="BL12" s="408">
        <f t="shared" ref="BL12:BL33" si="9">H12+AK12</f>
        <v>0</v>
      </c>
      <c r="BN12" s="404" t="e">
        <f>#REF!+L12+R12+#REF!+#REF!+BB12</f>
        <v>#REF!</v>
      </c>
      <c r="BO12" s="404">
        <f t="shared" si="2"/>
        <v>0</v>
      </c>
    </row>
    <row r="13" spans="1:67" ht="25.5" customHeight="1" x14ac:dyDescent="0.25">
      <c r="A13" s="405">
        <v>2</v>
      </c>
      <c r="B13" s="406" t="s">
        <v>219</v>
      </c>
      <c r="C13" s="1014">
        <f t="shared" ref="C13:C45" si="10">SUM(D13:E13)</f>
        <v>1098</v>
      </c>
      <c r="D13" s="1014">
        <f t="shared" ref="D13:D45" si="11">G13+K13+N13+Q13+U13+X13+AA13+AD13+AG13+AJ13+AN13+AQ13+AU13+AX13+BA13</f>
        <v>1096</v>
      </c>
      <c r="E13" s="1014">
        <f t="shared" ref="E13:E45" si="12">H13+L13+O13+R13+V13+Y13+AB13+AE13+AH13+AK13+AO13+AR13+AV13+AY13+BB13</f>
        <v>2</v>
      </c>
      <c r="F13" s="1014">
        <f t="shared" ref="F13:F45" si="13">SUM(G13:H13)</f>
        <v>0</v>
      </c>
      <c r="G13" s="1014"/>
      <c r="H13" s="1014"/>
      <c r="I13" s="1014">
        <f t="shared" ref="I13:I45" si="14">J13+M13</f>
        <v>0</v>
      </c>
      <c r="J13" s="1014">
        <f t="shared" ref="J13:J45" si="15">SUM(K13:L13)</f>
        <v>0</v>
      </c>
      <c r="K13" s="1014"/>
      <c r="L13" s="1014"/>
      <c r="M13" s="1014">
        <f t="shared" ref="M13:M45" si="16">SUM(N13:O13)</f>
        <v>0</v>
      </c>
      <c r="N13" s="1014"/>
      <c r="O13" s="1014"/>
      <c r="P13" s="1014">
        <f t="shared" ref="P13:P45" si="17">SUM(Q13:R13)</f>
        <v>0</v>
      </c>
      <c r="Q13" s="1014"/>
      <c r="R13" s="1014"/>
      <c r="S13" s="1014">
        <f t="shared" ref="S13:S45" si="18">T13+W13+Z13</f>
        <v>0</v>
      </c>
      <c r="T13" s="1014">
        <f t="shared" ref="T13:T45" si="19">SUM(U13:V13)</f>
        <v>0</v>
      </c>
      <c r="U13" s="1014"/>
      <c r="V13" s="1014"/>
      <c r="W13" s="1014">
        <f t="shared" ref="W13:W45" si="20">SUM(X13:Y13)</f>
        <v>0</v>
      </c>
      <c r="X13" s="1014"/>
      <c r="Y13" s="1014"/>
      <c r="Z13" s="1014">
        <f t="shared" ref="Z13:Z45" si="21">SUM(AA13:AB13)</f>
        <v>0</v>
      </c>
      <c r="AA13" s="1015"/>
      <c r="AB13" s="1014"/>
      <c r="AC13" s="1014">
        <f t="shared" ref="AC13:AC45" si="22">SUM(AD13:AE13)</f>
        <v>0</v>
      </c>
      <c r="AD13" s="1014"/>
      <c r="AE13" s="1014"/>
      <c r="AF13" s="1014">
        <f t="shared" ref="AF13:AF45" si="23">SUM(AG13:AH13)</f>
        <v>0</v>
      </c>
      <c r="AG13" s="1014"/>
      <c r="AH13" s="1014"/>
      <c r="AI13" s="1014">
        <f t="shared" ref="AI13:AI45" si="24">SUM(AJ13:AK13)</f>
        <v>0</v>
      </c>
      <c r="AJ13" s="1014"/>
      <c r="AK13" s="1014"/>
      <c r="AL13" s="1014">
        <f t="shared" ref="AL13:AL45" si="25">AM13+AP13</f>
        <v>0</v>
      </c>
      <c r="AM13" s="1014">
        <f t="shared" ref="AM13:AM45" si="26">SUM(AN13:AO13)</f>
        <v>0</v>
      </c>
      <c r="AN13" s="1014"/>
      <c r="AO13" s="1014"/>
      <c r="AP13" s="1014">
        <f t="shared" ref="AP13:AP45" si="27">SUM(AQ13:AR13)</f>
        <v>0</v>
      </c>
      <c r="AQ13" s="1014"/>
      <c r="AR13" s="1014"/>
      <c r="AS13" s="1014">
        <f t="shared" ref="AS13:AS45" si="28">AT13+AW13+AZ13</f>
        <v>1098</v>
      </c>
      <c r="AT13" s="1014">
        <f t="shared" ref="AT13:AT45" si="29">SUM(AU13:AV13)</f>
        <v>0</v>
      </c>
      <c r="AU13" s="1014"/>
      <c r="AV13" s="1014"/>
      <c r="AW13" s="1014">
        <f t="shared" ref="AW13:AW45" si="30">SUM(AX13:AY13)</f>
        <v>1060</v>
      </c>
      <c r="AX13" s="1014">
        <v>1060</v>
      </c>
      <c r="AY13" s="1014"/>
      <c r="AZ13" s="1014">
        <f t="shared" ref="AZ13:AZ45" si="31">SUM(BA13:BB13)</f>
        <v>38</v>
      </c>
      <c r="BA13" s="1014">
        <v>36</v>
      </c>
      <c r="BB13" s="1014">
        <v>2</v>
      </c>
      <c r="BC13" s="404" t="e">
        <f>U13+#REF!+X13+AA13</f>
        <v>#REF!</v>
      </c>
      <c r="BD13" s="404" t="e">
        <f>V13+#REF!+Y13+AB13</f>
        <v>#REF!</v>
      </c>
      <c r="BE13" s="404">
        <f t="shared" si="4"/>
        <v>0</v>
      </c>
      <c r="BF13" s="404">
        <f t="shared" si="5"/>
        <v>0</v>
      </c>
      <c r="BG13" s="408">
        <f t="shared" si="6"/>
        <v>1060</v>
      </c>
      <c r="BH13" s="408">
        <f t="shared" si="7"/>
        <v>0</v>
      </c>
      <c r="BI13" s="408" t="e">
        <f>#REF!+K13+#REF!+BA13+Q13+#REF!</f>
        <v>#REF!</v>
      </c>
      <c r="BJ13" s="408" t="e">
        <f>#REF!+L13+#REF!+BB13+R13+#REF!</f>
        <v>#REF!</v>
      </c>
      <c r="BK13" s="408">
        <f t="shared" si="8"/>
        <v>0</v>
      </c>
      <c r="BL13" s="408">
        <f t="shared" si="9"/>
        <v>0</v>
      </c>
      <c r="BN13" s="404" t="e">
        <f>#REF!+L13+R13+#REF!+#REF!+BB13</f>
        <v>#REF!</v>
      </c>
      <c r="BO13" s="404">
        <f t="shared" si="2"/>
        <v>0</v>
      </c>
    </row>
    <row r="14" spans="1:67" ht="25.5" customHeight="1" x14ac:dyDescent="0.25">
      <c r="A14" s="405">
        <v>3</v>
      </c>
      <c r="B14" s="406" t="s">
        <v>220</v>
      </c>
      <c r="C14" s="1014">
        <f t="shared" si="10"/>
        <v>8768</v>
      </c>
      <c r="D14" s="1014">
        <f t="shared" si="11"/>
        <v>7777</v>
      </c>
      <c r="E14" s="1014">
        <f t="shared" si="12"/>
        <v>991</v>
      </c>
      <c r="F14" s="1014">
        <f t="shared" si="13"/>
        <v>0</v>
      </c>
      <c r="G14" s="1014"/>
      <c r="H14" s="1014"/>
      <c r="I14" s="1014">
        <f t="shared" si="14"/>
        <v>8673</v>
      </c>
      <c r="J14" s="1014">
        <f t="shared" si="15"/>
        <v>0</v>
      </c>
      <c r="K14" s="1014"/>
      <c r="L14" s="1014"/>
      <c r="M14" s="1014">
        <f t="shared" si="16"/>
        <v>8673</v>
      </c>
      <c r="N14" s="1014">
        <v>7687</v>
      </c>
      <c r="O14" s="1014">
        <v>986</v>
      </c>
      <c r="P14" s="1014">
        <f t="shared" si="17"/>
        <v>0</v>
      </c>
      <c r="Q14" s="1014"/>
      <c r="R14" s="1014"/>
      <c r="S14" s="1014">
        <f t="shared" si="18"/>
        <v>0</v>
      </c>
      <c r="T14" s="1014">
        <f t="shared" si="19"/>
        <v>0</v>
      </c>
      <c r="U14" s="1014"/>
      <c r="V14" s="1014"/>
      <c r="W14" s="1014">
        <f t="shared" si="20"/>
        <v>0</v>
      </c>
      <c r="X14" s="1014"/>
      <c r="Y14" s="1014"/>
      <c r="Z14" s="1014">
        <f t="shared" si="21"/>
        <v>0</v>
      </c>
      <c r="AA14" s="1015"/>
      <c r="AB14" s="1014"/>
      <c r="AC14" s="1014">
        <f t="shared" si="22"/>
        <v>0</v>
      </c>
      <c r="AD14" s="1014"/>
      <c r="AE14" s="1014"/>
      <c r="AF14" s="1014">
        <f t="shared" si="23"/>
        <v>0</v>
      </c>
      <c r="AG14" s="1014"/>
      <c r="AH14" s="1014"/>
      <c r="AI14" s="1014">
        <f t="shared" si="24"/>
        <v>0</v>
      </c>
      <c r="AJ14" s="1014"/>
      <c r="AK14" s="1014"/>
      <c r="AL14" s="1014">
        <f t="shared" si="25"/>
        <v>0</v>
      </c>
      <c r="AM14" s="1014">
        <f t="shared" si="26"/>
        <v>0</v>
      </c>
      <c r="AN14" s="1014"/>
      <c r="AO14" s="1014"/>
      <c r="AP14" s="1014">
        <f t="shared" si="27"/>
        <v>0</v>
      </c>
      <c r="AQ14" s="1014"/>
      <c r="AR14" s="1014"/>
      <c r="AS14" s="1014">
        <f t="shared" si="28"/>
        <v>95</v>
      </c>
      <c r="AT14" s="1014">
        <f t="shared" si="29"/>
        <v>0</v>
      </c>
      <c r="AU14" s="1014"/>
      <c r="AV14" s="1014"/>
      <c r="AW14" s="1014">
        <f t="shared" si="30"/>
        <v>0</v>
      </c>
      <c r="AX14" s="1014"/>
      <c r="AY14" s="1014"/>
      <c r="AZ14" s="1014">
        <f t="shared" si="31"/>
        <v>95</v>
      </c>
      <c r="BA14" s="1014">
        <v>90</v>
      </c>
      <c r="BB14" s="1014">
        <v>5</v>
      </c>
      <c r="BC14" s="404" t="e">
        <f>U14+#REF!+X14+AA14</f>
        <v>#REF!</v>
      </c>
      <c r="BD14" s="404" t="e">
        <f>V14+#REF!+Y14+AB14</f>
        <v>#REF!</v>
      </c>
      <c r="BE14" s="404">
        <f t="shared" si="4"/>
        <v>7687</v>
      </c>
      <c r="BF14" s="404">
        <f t="shared" si="5"/>
        <v>986</v>
      </c>
      <c r="BG14" s="408">
        <f t="shared" si="6"/>
        <v>0</v>
      </c>
      <c r="BH14" s="408">
        <f t="shared" si="7"/>
        <v>0</v>
      </c>
      <c r="BI14" s="408" t="e">
        <f>#REF!+K14+#REF!+BA14+Q14+#REF!</f>
        <v>#REF!</v>
      </c>
      <c r="BJ14" s="408" t="e">
        <f>#REF!+L14+#REF!+BB14+R14+#REF!</f>
        <v>#REF!</v>
      </c>
      <c r="BK14" s="408">
        <f t="shared" si="8"/>
        <v>0</v>
      </c>
      <c r="BL14" s="408">
        <f t="shared" si="9"/>
        <v>0</v>
      </c>
      <c r="BN14" s="404" t="e">
        <f>#REF!+L14+R14+#REF!+#REF!+BB14</f>
        <v>#REF!</v>
      </c>
      <c r="BO14" s="404">
        <f t="shared" si="2"/>
        <v>0</v>
      </c>
    </row>
    <row r="15" spans="1:67" ht="25.5" customHeight="1" x14ac:dyDescent="0.25">
      <c r="A15" s="405">
        <v>4</v>
      </c>
      <c r="B15" s="406" t="s">
        <v>221</v>
      </c>
      <c r="C15" s="1014">
        <f t="shared" si="10"/>
        <v>1691</v>
      </c>
      <c r="D15" s="1014">
        <f t="shared" si="11"/>
        <v>1574</v>
      </c>
      <c r="E15" s="1014">
        <f t="shared" si="12"/>
        <v>117</v>
      </c>
      <c r="F15" s="1014">
        <f t="shared" si="13"/>
        <v>0</v>
      </c>
      <c r="G15" s="1014"/>
      <c r="H15" s="1014"/>
      <c r="I15" s="1014">
        <f t="shared" si="14"/>
        <v>0</v>
      </c>
      <c r="J15" s="1014">
        <f t="shared" si="15"/>
        <v>0</v>
      </c>
      <c r="K15" s="1014"/>
      <c r="L15" s="1014"/>
      <c r="M15" s="1014">
        <f t="shared" si="16"/>
        <v>0</v>
      </c>
      <c r="N15" s="1014"/>
      <c r="O15" s="1014"/>
      <c r="P15" s="1014">
        <f t="shared" si="17"/>
        <v>0</v>
      </c>
      <c r="Q15" s="1014"/>
      <c r="R15" s="1014"/>
      <c r="S15" s="1014">
        <f t="shared" si="18"/>
        <v>1653</v>
      </c>
      <c r="T15" s="1014">
        <f t="shared" si="19"/>
        <v>1653</v>
      </c>
      <c r="U15" s="1014">
        <v>1538</v>
      </c>
      <c r="V15" s="1014">
        <v>115</v>
      </c>
      <c r="W15" s="1014">
        <f t="shared" si="20"/>
        <v>0</v>
      </c>
      <c r="X15" s="1014"/>
      <c r="Y15" s="1014"/>
      <c r="Z15" s="1014">
        <f t="shared" si="21"/>
        <v>0</v>
      </c>
      <c r="AA15" s="1015"/>
      <c r="AB15" s="1014"/>
      <c r="AC15" s="1014">
        <f t="shared" si="22"/>
        <v>0</v>
      </c>
      <c r="AD15" s="1014"/>
      <c r="AE15" s="1014"/>
      <c r="AF15" s="1014">
        <f t="shared" si="23"/>
        <v>0</v>
      </c>
      <c r="AG15" s="1014"/>
      <c r="AH15" s="1014"/>
      <c r="AI15" s="1014">
        <f t="shared" si="24"/>
        <v>0</v>
      </c>
      <c r="AJ15" s="1014"/>
      <c r="AK15" s="1014"/>
      <c r="AL15" s="1014">
        <f t="shared" si="25"/>
        <v>0</v>
      </c>
      <c r="AM15" s="1014">
        <f t="shared" si="26"/>
        <v>0</v>
      </c>
      <c r="AN15" s="1014"/>
      <c r="AO15" s="1014"/>
      <c r="AP15" s="1014">
        <f t="shared" si="27"/>
        <v>0</v>
      </c>
      <c r="AQ15" s="1014"/>
      <c r="AR15" s="1014"/>
      <c r="AS15" s="1014">
        <f t="shared" si="28"/>
        <v>38</v>
      </c>
      <c r="AT15" s="1014">
        <f t="shared" si="29"/>
        <v>0</v>
      </c>
      <c r="AU15" s="1014"/>
      <c r="AV15" s="1014"/>
      <c r="AW15" s="1014">
        <f t="shared" si="30"/>
        <v>0</v>
      </c>
      <c r="AX15" s="1014"/>
      <c r="AY15" s="1014"/>
      <c r="AZ15" s="1014">
        <f t="shared" si="31"/>
        <v>38</v>
      </c>
      <c r="BA15" s="1014">
        <v>36</v>
      </c>
      <c r="BB15" s="1014">
        <v>2</v>
      </c>
      <c r="BC15" s="404" t="e">
        <f>U15+#REF!+X15+AA15</f>
        <v>#REF!</v>
      </c>
      <c r="BD15" s="404" t="e">
        <f>V15+#REF!+Y15+AB15</f>
        <v>#REF!</v>
      </c>
      <c r="BE15" s="404">
        <f t="shared" si="4"/>
        <v>0</v>
      </c>
      <c r="BF15" s="404">
        <f t="shared" si="5"/>
        <v>0</v>
      </c>
      <c r="BG15" s="408">
        <f t="shared" si="6"/>
        <v>0</v>
      </c>
      <c r="BH15" s="408">
        <f t="shared" si="7"/>
        <v>0</v>
      </c>
      <c r="BI15" s="408" t="e">
        <f>#REF!+K15+#REF!+BA15+Q15+#REF!</f>
        <v>#REF!</v>
      </c>
      <c r="BJ15" s="408" t="e">
        <f>#REF!+L15+#REF!+BB15+R15+#REF!</f>
        <v>#REF!</v>
      </c>
      <c r="BK15" s="408">
        <f t="shared" si="8"/>
        <v>0</v>
      </c>
      <c r="BL15" s="408">
        <f t="shared" si="9"/>
        <v>0</v>
      </c>
      <c r="BN15" s="404" t="e">
        <f>#REF!+L15+R15+#REF!+#REF!+BB15</f>
        <v>#REF!</v>
      </c>
      <c r="BO15" s="404">
        <f t="shared" si="2"/>
        <v>0</v>
      </c>
    </row>
    <row r="16" spans="1:67" ht="25.5" customHeight="1" x14ac:dyDescent="0.25">
      <c r="A16" s="405">
        <v>5</v>
      </c>
      <c r="B16" s="406" t="s">
        <v>222</v>
      </c>
      <c r="C16" s="1014">
        <f t="shared" si="10"/>
        <v>38</v>
      </c>
      <c r="D16" s="1014">
        <f t="shared" si="11"/>
        <v>36</v>
      </c>
      <c r="E16" s="1014">
        <f t="shared" si="12"/>
        <v>2</v>
      </c>
      <c r="F16" s="1014">
        <f t="shared" si="13"/>
        <v>0</v>
      </c>
      <c r="G16" s="1014"/>
      <c r="H16" s="1014"/>
      <c r="I16" s="1014">
        <f t="shared" si="14"/>
        <v>0</v>
      </c>
      <c r="J16" s="1014">
        <f t="shared" si="15"/>
        <v>0</v>
      </c>
      <c r="K16" s="1014"/>
      <c r="L16" s="1014"/>
      <c r="M16" s="1014">
        <f t="shared" si="16"/>
        <v>0</v>
      </c>
      <c r="N16" s="1014"/>
      <c r="O16" s="1014"/>
      <c r="P16" s="1014">
        <f t="shared" si="17"/>
        <v>0</v>
      </c>
      <c r="Q16" s="1014"/>
      <c r="R16" s="1014"/>
      <c r="S16" s="1014">
        <f t="shared" si="18"/>
        <v>0</v>
      </c>
      <c r="T16" s="1014">
        <f t="shared" si="19"/>
        <v>0</v>
      </c>
      <c r="U16" s="1014"/>
      <c r="V16" s="1014"/>
      <c r="W16" s="1014">
        <f t="shared" si="20"/>
        <v>0</v>
      </c>
      <c r="X16" s="1014"/>
      <c r="Y16" s="1014"/>
      <c r="Z16" s="1014">
        <f t="shared" si="21"/>
        <v>0</v>
      </c>
      <c r="AA16" s="1015"/>
      <c r="AB16" s="1014"/>
      <c r="AC16" s="1014">
        <f t="shared" si="22"/>
        <v>0</v>
      </c>
      <c r="AD16" s="1014"/>
      <c r="AE16" s="1014"/>
      <c r="AF16" s="1014">
        <f t="shared" si="23"/>
        <v>0</v>
      </c>
      <c r="AG16" s="1014"/>
      <c r="AH16" s="1014"/>
      <c r="AI16" s="1014">
        <f t="shared" si="24"/>
        <v>0</v>
      </c>
      <c r="AJ16" s="1014"/>
      <c r="AK16" s="1014"/>
      <c r="AL16" s="1014">
        <f t="shared" si="25"/>
        <v>0</v>
      </c>
      <c r="AM16" s="1014">
        <f t="shared" si="26"/>
        <v>0</v>
      </c>
      <c r="AN16" s="1014"/>
      <c r="AO16" s="1014"/>
      <c r="AP16" s="1014">
        <f t="shared" si="27"/>
        <v>0</v>
      </c>
      <c r="AQ16" s="1014"/>
      <c r="AR16" s="1014"/>
      <c r="AS16" s="1014">
        <f t="shared" si="28"/>
        <v>38</v>
      </c>
      <c r="AT16" s="1014">
        <f t="shared" si="29"/>
        <v>0</v>
      </c>
      <c r="AU16" s="1014"/>
      <c r="AV16" s="1014"/>
      <c r="AW16" s="1014">
        <f t="shared" si="30"/>
        <v>0</v>
      </c>
      <c r="AX16" s="1014"/>
      <c r="AY16" s="1014"/>
      <c r="AZ16" s="1014">
        <f t="shared" si="31"/>
        <v>38</v>
      </c>
      <c r="BA16" s="1014">
        <v>36</v>
      </c>
      <c r="BB16" s="1014">
        <v>2</v>
      </c>
      <c r="BC16" s="404" t="e">
        <f>U16+#REF!+X16+AA16</f>
        <v>#REF!</v>
      </c>
      <c r="BD16" s="404" t="e">
        <f>V16+#REF!+Y16+AB16</f>
        <v>#REF!</v>
      </c>
      <c r="BE16" s="404">
        <f t="shared" si="4"/>
        <v>0</v>
      </c>
      <c r="BF16" s="404">
        <f t="shared" si="5"/>
        <v>0</v>
      </c>
      <c r="BG16" s="408">
        <f t="shared" si="6"/>
        <v>0</v>
      </c>
      <c r="BH16" s="408">
        <f t="shared" si="7"/>
        <v>0</v>
      </c>
      <c r="BI16" s="408" t="e">
        <f>#REF!+K16+#REF!+BA16+Q16+#REF!</f>
        <v>#REF!</v>
      </c>
      <c r="BJ16" s="408" t="e">
        <f>#REF!+L16+#REF!+BB16+R16+#REF!</f>
        <v>#REF!</v>
      </c>
      <c r="BK16" s="408">
        <f t="shared" si="8"/>
        <v>0</v>
      </c>
      <c r="BL16" s="408">
        <f t="shared" si="9"/>
        <v>0</v>
      </c>
      <c r="BN16" s="404" t="e">
        <f>#REF!+L16+R16+#REF!+#REF!+BB16</f>
        <v>#REF!</v>
      </c>
      <c r="BO16" s="404">
        <f t="shared" si="2"/>
        <v>0</v>
      </c>
    </row>
    <row r="17" spans="1:67" ht="25.5" customHeight="1" x14ac:dyDescent="0.25">
      <c r="A17" s="405">
        <v>6</v>
      </c>
      <c r="B17" s="406" t="s">
        <v>92</v>
      </c>
      <c r="C17" s="1014">
        <f t="shared" si="10"/>
        <v>1247</v>
      </c>
      <c r="D17" s="1014">
        <f t="shared" si="11"/>
        <v>1161</v>
      </c>
      <c r="E17" s="1014">
        <f t="shared" si="12"/>
        <v>86</v>
      </c>
      <c r="F17" s="1014">
        <f t="shared" si="13"/>
        <v>0</v>
      </c>
      <c r="G17" s="1014"/>
      <c r="H17" s="1014"/>
      <c r="I17" s="1014">
        <f t="shared" si="14"/>
        <v>0</v>
      </c>
      <c r="J17" s="1014">
        <f t="shared" si="15"/>
        <v>0</v>
      </c>
      <c r="K17" s="1014"/>
      <c r="L17" s="1014"/>
      <c r="M17" s="1014">
        <f t="shared" si="16"/>
        <v>0</v>
      </c>
      <c r="N17" s="1014"/>
      <c r="O17" s="1014"/>
      <c r="P17" s="1014">
        <f t="shared" si="17"/>
        <v>0</v>
      </c>
      <c r="Q17" s="1014"/>
      <c r="R17" s="1014"/>
      <c r="S17" s="1014">
        <f t="shared" si="18"/>
        <v>1209</v>
      </c>
      <c r="T17" s="1014">
        <f t="shared" si="19"/>
        <v>0</v>
      </c>
      <c r="U17" s="1014"/>
      <c r="V17" s="1014"/>
      <c r="W17" s="1014">
        <f t="shared" si="20"/>
        <v>1209</v>
      </c>
      <c r="X17" s="1014">
        <v>1125</v>
      </c>
      <c r="Y17" s="1014">
        <v>84</v>
      </c>
      <c r="Z17" s="1014">
        <f t="shared" si="21"/>
        <v>0</v>
      </c>
      <c r="AA17" s="1015"/>
      <c r="AB17" s="1014"/>
      <c r="AC17" s="1014">
        <f t="shared" si="22"/>
        <v>0</v>
      </c>
      <c r="AD17" s="1014"/>
      <c r="AE17" s="1014"/>
      <c r="AF17" s="1014">
        <f t="shared" si="23"/>
        <v>0</v>
      </c>
      <c r="AG17" s="1014"/>
      <c r="AH17" s="1014"/>
      <c r="AI17" s="1014">
        <f t="shared" si="24"/>
        <v>0</v>
      </c>
      <c r="AJ17" s="1014"/>
      <c r="AK17" s="1014"/>
      <c r="AL17" s="1014">
        <f t="shared" si="25"/>
        <v>0</v>
      </c>
      <c r="AM17" s="1014">
        <f t="shared" si="26"/>
        <v>0</v>
      </c>
      <c r="AN17" s="1014"/>
      <c r="AO17" s="1014"/>
      <c r="AP17" s="1014">
        <f t="shared" si="27"/>
        <v>0</v>
      </c>
      <c r="AQ17" s="1014"/>
      <c r="AR17" s="1014"/>
      <c r="AS17" s="1014">
        <f t="shared" si="28"/>
        <v>38</v>
      </c>
      <c r="AT17" s="1014">
        <f t="shared" si="29"/>
        <v>0</v>
      </c>
      <c r="AU17" s="1014"/>
      <c r="AV17" s="1014"/>
      <c r="AW17" s="1014">
        <f t="shared" si="30"/>
        <v>0</v>
      </c>
      <c r="AX17" s="1014"/>
      <c r="AY17" s="1014"/>
      <c r="AZ17" s="1014">
        <f t="shared" si="31"/>
        <v>38</v>
      </c>
      <c r="BA17" s="1014">
        <v>36</v>
      </c>
      <c r="BB17" s="1014">
        <v>2</v>
      </c>
      <c r="BC17" s="404" t="e">
        <f>U17+#REF!+X17+AA17</f>
        <v>#REF!</v>
      </c>
      <c r="BD17" s="404" t="e">
        <f>V17+#REF!+Y17+AB17</f>
        <v>#REF!</v>
      </c>
      <c r="BE17" s="404">
        <f t="shared" si="4"/>
        <v>0</v>
      </c>
      <c r="BF17" s="404">
        <f t="shared" si="5"/>
        <v>0</v>
      </c>
      <c r="BG17" s="408">
        <f t="shared" si="6"/>
        <v>0</v>
      </c>
      <c r="BH17" s="408">
        <f t="shared" si="7"/>
        <v>0</v>
      </c>
      <c r="BI17" s="408" t="e">
        <f>#REF!+K17+#REF!+BA17+Q17+#REF!</f>
        <v>#REF!</v>
      </c>
      <c r="BJ17" s="408" t="e">
        <f>#REF!+L17+#REF!+BB17+R17+#REF!</f>
        <v>#REF!</v>
      </c>
      <c r="BK17" s="408">
        <f t="shared" si="8"/>
        <v>0</v>
      </c>
      <c r="BL17" s="408">
        <f t="shared" si="9"/>
        <v>0</v>
      </c>
      <c r="BN17" s="404" t="e">
        <f>#REF!+L17+R17+#REF!+#REF!+BB17</f>
        <v>#REF!</v>
      </c>
      <c r="BO17" s="404">
        <f t="shared" si="2"/>
        <v>0</v>
      </c>
    </row>
    <row r="18" spans="1:67" ht="25.5" customHeight="1" x14ac:dyDescent="0.25">
      <c r="A18" s="405">
        <v>7</v>
      </c>
      <c r="B18" s="406" t="s">
        <v>182</v>
      </c>
      <c r="C18" s="1014">
        <f t="shared" si="10"/>
        <v>7203</v>
      </c>
      <c r="D18" s="1014">
        <f t="shared" si="11"/>
        <v>6859</v>
      </c>
      <c r="E18" s="1014">
        <f t="shared" si="12"/>
        <v>344</v>
      </c>
      <c r="F18" s="1014">
        <f t="shared" si="13"/>
        <v>0</v>
      </c>
      <c r="G18" s="1014"/>
      <c r="H18" s="1014"/>
      <c r="I18" s="1014">
        <f t="shared" si="14"/>
        <v>0</v>
      </c>
      <c r="J18" s="1014">
        <f t="shared" si="15"/>
        <v>0</v>
      </c>
      <c r="K18" s="1014"/>
      <c r="L18" s="1014"/>
      <c r="M18" s="1014">
        <f t="shared" si="16"/>
        <v>0</v>
      </c>
      <c r="N18" s="1014"/>
      <c r="O18" s="1014"/>
      <c r="P18" s="1014">
        <f t="shared" si="17"/>
        <v>0</v>
      </c>
      <c r="Q18" s="1014"/>
      <c r="R18" s="1014"/>
      <c r="S18" s="1014">
        <f t="shared" si="18"/>
        <v>0</v>
      </c>
      <c r="T18" s="1014">
        <f t="shared" si="19"/>
        <v>0</v>
      </c>
      <c r="U18" s="1014"/>
      <c r="V18" s="1014"/>
      <c r="W18" s="1014">
        <f t="shared" si="20"/>
        <v>0</v>
      </c>
      <c r="X18" s="1014"/>
      <c r="Y18" s="1014"/>
      <c r="Z18" s="1014">
        <f t="shared" si="21"/>
        <v>0</v>
      </c>
      <c r="AA18" s="1015"/>
      <c r="AB18" s="1014"/>
      <c r="AC18" s="1014">
        <f t="shared" si="22"/>
        <v>7165</v>
      </c>
      <c r="AD18" s="1014">
        <v>6823</v>
      </c>
      <c r="AE18" s="1014">
        <v>342</v>
      </c>
      <c r="AF18" s="1014">
        <f t="shared" si="23"/>
        <v>0</v>
      </c>
      <c r="AG18" s="1014"/>
      <c r="AH18" s="1014"/>
      <c r="AI18" s="1014">
        <f t="shared" si="24"/>
        <v>0</v>
      </c>
      <c r="AJ18" s="1014"/>
      <c r="AK18" s="1014"/>
      <c r="AL18" s="1014">
        <f t="shared" si="25"/>
        <v>0</v>
      </c>
      <c r="AM18" s="1014">
        <f t="shared" si="26"/>
        <v>0</v>
      </c>
      <c r="AN18" s="1014"/>
      <c r="AO18" s="1014"/>
      <c r="AP18" s="1014">
        <f t="shared" si="27"/>
        <v>0</v>
      </c>
      <c r="AQ18" s="1014"/>
      <c r="AR18" s="1014"/>
      <c r="AS18" s="1014">
        <f t="shared" si="28"/>
        <v>38</v>
      </c>
      <c r="AT18" s="1014">
        <f t="shared" si="29"/>
        <v>0</v>
      </c>
      <c r="AU18" s="1014"/>
      <c r="AV18" s="1014"/>
      <c r="AW18" s="1014">
        <f t="shared" si="30"/>
        <v>0</v>
      </c>
      <c r="AX18" s="1014"/>
      <c r="AY18" s="1014"/>
      <c r="AZ18" s="1014">
        <f t="shared" si="31"/>
        <v>38</v>
      </c>
      <c r="BA18" s="1014">
        <v>36</v>
      </c>
      <c r="BB18" s="1014">
        <v>2</v>
      </c>
      <c r="BC18" s="404" t="e">
        <f>U18+#REF!+X18+AA18</f>
        <v>#REF!</v>
      </c>
      <c r="BD18" s="404" t="e">
        <f>V18+#REF!+Y18+AB18</f>
        <v>#REF!</v>
      </c>
      <c r="BE18" s="404">
        <f t="shared" si="4"/>
        <v>0</v>
      </c>
      <c r="BF18" s="404">
        <f t="shared" si="5"/>
        <v>0</v>
      </c>
      <c r="BG18" s="408">
        <f t="shared" si="6"/>
        <v>6823</v>
      </c>
      <c r="BH18" s="408">
        <f t="shared" si="7"/>
        <v>342</v>
      </c>
      <c r="BI18" s="408" t="e">
        <f>#REF!+K18+#REF!+BA18+Q18+#REF!</f>
        <v>#REF!</v>
      </c>
      <c r="BJ18" s="408" t="e">
        <f>#REF!+L18+#REF!+BB18+R18+#REF!</f>
        <v>#REF!</v>
      </c>
      <c r="BK18" s="408">
        <f t="shared" si="8"/>
        <v>0</v>
      </c>
      <c r="BL18" s="408">
        <f t="shared" si="9"/>
        <v>0</v>
      </c>
      <c r="BN18" s="404" t="e">
        <f>#REF!+L18+R18+#REF!+#REF!+BB18</f>
        <v>#REF!</v>
      </c>
      <c r="BO18" s="404">
        <f t="shared" si="2"/>
        <v>0</v>
      </c>
    </row>
    <row r="19" spans="1:67" ht="25.5" customHeight="1" x14ac:dyDescent="0.25">
      <c r="A19" s="405">
        <v>8</v>
      </c>
      <c r="B19" s="406" t="s">
        <v>117</v>
      </c>
      <c r="C19" s="1014">
        <f t="shared" si="10"/>
        <v>10501</v>
      </c>
      <c r="D19" s="1014">
        <f t="shared" si="11"/>
        <v>10000</v>
      </c>
      <c r="E19" s="1014">
        <f t="shared" si="12"/>
        <v>501</v>
      </c>
      <c r="F19" s="1014">
        <f t="shared" si="13"/>
        <v>0</v>
      </c>
      <c r="G19" s="1014"/>
      <c r="H19" s="1014"/>
      <c r="I19" s="1014">
        <f t="shared" si="14"/>
        <v>0</v>
      </c>
      <c r="J19" s="1014">
        <f t="shared" si="15"/>
        <v>0</v>
      </c>
      <c r="K19" s="1014"/>
      <c r="L19" s="1014"/>
      <c r="M19" s="1014">
        <f t="shared" si="16"/>
        <v>0</v>
      </c>
      <c r="N19" s="1014"/>
      <c r="O19" s="1014"/>
      <c r="P19" s="1014">
        <f t="shared" si="17"/>
        <v>0</v>
      </c>
      <c r="Q19" s="1014"/>
      <c r="R19" s="1014"/>
      <c r="S19" s="1014">
        <f t="shared" si="18"/>
        <v>0</v>
      </c>
      <c r="T19" s="1014">
        <f t="shared" si="19"/>
        <v>0</v>
      </c>
      <c r="U19" s="1014"/>
      <c r="V19" s="1014"/>
      <c r="W19" s="1014">
        <f t="shared" si="20"/>
        <v>0</v>
      </c>
      <c r="X19" s="1014"/>
      <c r="Y19" s="1014"/>
      <c r="Z19" s="1014">
        <f t="shared" si="21"/>
        <v>0</v>
      </c>
      <c r="AA19" s="1015"/>
      <c r="AB19" s="1014"/>
      <c r="AC19" s="1014">
        <f t="shared" si="22"/>
        <v>0</v>
      </c>
      <c r="AD19" s="1014"/>
      <c r="AE19" s="1014"/>
      <c r="AF19" s="1014">
        <f t="shared" si="23"/>
        <v>10063</v>
      </c>
      <c r="AG19" s="1014">
        <v>9583</v>
      </c>
      <c r="AH19" s="1014">
        <v>480</v>
      </c>
      <c r="AI19" s="1014">
        <f t="shared" si="24"/>
        <v>0</v>
      </c>
      <c r="AJ19" s="1014"/>
      <c r="AK19" s="1014"/>
      <c r="AL19" s="1014">
        <f t="shared" si="25"/>
        <v>400</v>
      </c>
      <c r="AM19" s="1014">
        <f t="shared" si="26"/>
        <v>0</v>
      </c>
      <c r="AN19" s="1014"/>
      <c r="AO19" s="1014"/>
      <c r="AP19" s="1014">
        <f t="shared" si="27"/>
        <v>400</v>
      </c>
      <c r="AQ19" s="1014">
        <v>381</v>
      </c>
      <c r="AR19" s="1014">
        <v>19</v>
      </c>
      <c r="AS19" s="1014">
        <f t="shared" si="28"/>
        <v>38</v>
      </c>
      <c r="AT19" s="1014">
        <f t="shared" si="29"/>
        <v>0</v>
      </c>
      <c r="AU19" s="1014"/>
      <c r="AV19" s="1014"/>
      <c r="AW19" s="1014">
        <f t="shared" si="30"/>
        <v>0</v>
      </c>
      <c r="AX19" s="1014"/>
      <c r="AY19" s="1014"/>
      <c r="AZ19" s="1014">
        <f t="shared" si="31"/>
        <v>38</v>
      </c>
      <c r="BA19" s="1014">
        <v>36</v>
      </c>
      <c r="BB19" s="1014">
        <v>2</v>
      </c>
      <c r="BC19" s="404" t="e">
        <f>U19+#REF!+X19+AA19</f>
        <v>#REF!</v>
      </c>
      <c r="BD19" s="404" t="e">
        <f>V19+#REF!+Y19+AB19</f>
        <v>#REF!</v>
      </c>
      <c r="BE19" s="404">
        <f t="shared" si="4"/>
        <v>9583</v>
      </c>
      <c r="BF19" s="404">
        <f t="shared" si="5"/>
        <v>480</v>
      </c>
      <c r="BG19" s="408">
        <f t="shared" si="6"/>
        <v>0</v>
      </c>
      <c r="BH19" s="408">
        <f t="shared" si="7"/>
        <v>0</v>
      </c>
      <c r="BI19" s="408" t="e">
        <f>#REF!+K19+#REF!+BA19+Q19+#REF!</f>
        <v>#REF!</v>
      </c>
      <c r="BJ19" s="408" t="e">
        <f>#REF!+L19+#REF!+BB19+R19+#REF!</f>
        <v>#REF!</v>
      </c>
      <c r="BK19" s="408">
        <f t="shared" si="8"/>
        <v>0</v>
      </c>
      <c r="BL19" s="408">
        <f t="shared" si="9"/>
        <v>0</v>
      </c>
      <c r="BN19" s="404" t="e">
        <f>#REF!+L19+R19+#REF!+#REF!+BB19</f>
        <v>#REF!</v>
      </c>
      <c r="BO19" s="404">
        <f t="shared" si="2"/>
        <v>0</v>
      </c>
    </row>
    <row r="20" spans="1:67" ht="25.5" customHeight="1" x14ac:dyDescent="0.25">
      <c r="A20" s="405">
        <v>9</v>
      </c>
      <c r="B20" s="406" t="s">
        <v>121</v>
      </c>
      <c r="C20" s="1014">
        <f t="shared" si="10"/>
        <v>2960</v>
      </c>
      <c r="D20" s="1014">
        <f t="shared" si="11"/>
        <v>2819</v>
      </c>
      <c r="E20" s="1014">
        <f t="shared" si="12"/>
        <v>141</v>
      </c>
      <c r="F20" s="1014">
        <f t="shared" si="13"/>
        <v>0</v>
      </c>
      <c r="G20" s="1014"/>
      <c r="H20" s="1014"/>
      <c r="I20" s="1014">
        <f t="shared" si="14"/>
        <v>0</v>
      </c>
      <c r="J20" s="1014">
        <f t="shared" si="15"/>
        <v>0</v>
      </c>
      <c r="K20" s="1014"/>
      <c r="L20" s="1014"/>
      <c r="M20" s="1014">
        <f t="shared" si="16"/>
        <v>0</v>
      </c>
      <c r="N20" s="1014"/>
      <c r="O20" s="1014"/>
      <c r="P20" s="1014">
        <f t="shared" si="17"/>
        <v>0</v>
      </c>
      <c r="Q20" s="1014"/>
      <c r="R20" s="1014"/>
      <c r="S20" s="1014">
        <f t="shared" si="18"/>
        <v>0</v>
      </c>
      <c r="T20" s="1014">
        <f t="shared" si="19"/>
        <v>0</v>
      </c>
      <c r="U20" s="1014"/>
      <c r="V20" s="1014"/>
      <c r="W20" s="1014">
        <f t="shared" si="20"/>
        <v>0</v>
      </c>
      <c r="X20" s="1014"/>
      <c r="Y20" s="1014"/>
      <c r="Z20" s="1014">
        <f t="shared" si="21"/>
        <v>0</v>
      </c>
      <c r="AA20" s="1015"/>
      <c r="AB20" s="1014"/>
      <c r="AC20" s="1014">
        <f t="shared" si="22"/>
        <v>0</v>
      </c>
      <c r="AD20" s="1014"/>
      <c r="AE20" s="1014"/>
      <c r="AF20" s="1014">
        <f t="shared" si="23"/>
        <v>0</v>
      </c>
      <c r="AG20" s="1014"/>
      <c r="AH20" s="1014"/>
      <c r="AI20" s="1014">
        <f t="shared" si="24"/>
        <v>2922</v>
      </c>
      <c r="AJ20" s="1014">
        <v>2783</v>
      </c>
      <c r="AK20" s="1014">
        <v>139</v>
      </c>
      <c r="AL20" s="1014">
        <f t="shared" si="25"/>
        <v>0</v>
      </c>
      <c r="AM20" s="1014">
        <f t="shared" si="26"/>
        <v>0</v>
      </c>
      <c r="AN20" s="1014"/>
      <c r="AO20" s="1014"/>
      <c r="AP20" s="1014">
        <f t="shared" si="27"/>
        <v>0</v>
      </c>
      <c r="AQ20" s="1014"/>
      <c r="AR20" s="1014"/>
      <c r="AS20" s="1014">
        <f t="shared" si="28"/>
        <v>38</v>
      </c>
      <c r="AT20" s="1014">
        <f t="shared" si="29"/>
        <v>0</v>
      </c>
      <c r="AU20" s="1014"/>
      <c r="AV20" s="1014"/>
      <c r="AW20" s="1014">
        <f t="shared" si="30"/>
        <v>0</v>
      </c>
      <c r="AX20" s="1014"/>
      <c r="AY20" s="1014"/>
      <c r="AZ20" s="1014">
        <f t="shared" si="31"/>
        <v>38</v>
      </c>
      <c r="BA20" s="1014">
        <v>36</v>
      </c>
      <c r="BB20" s="1014">
        <v>2</v>
      </c>
      <c r="BC20" s="404" t="e">
        <f>U20+#REF!+X20+AA20</f>
        <v>#REF!</v>
      </c>
      <c r="BD20" s="404" t="e">
        <f>V20+#REF!+Y20+AB20</f>
        <v>#REF!</v>
      </c>
      <c r="BE20" s="404">
        <f t="shared" si="4"/>
        <v>0</v>
      </c>
      <c r="BF20" s="404">
        <f t="shared" si="5"/>
        <v>0</v>
      </c>
      <c r="BG20" s="408">
        <f t="shared" si="6"/>
        <v>0</v>
      </c>
      <c r="BH20" s="408">
        <f t="shared" si="7"/>
        <v>0</v>
      </c>
      <c r="BI20" s="408" t="e">
        <f>#REF!+K20+#REF!+BA20+Q20+#REF!</f>
        <v>#REF!</v>
      </c>
      <c r="BJ20" s="408" t="e">
        <f>#REF!+L20+#REF!+BB20+R20+#REF!</f>
        <v>#REF!</v>
      </c>
      <c r="BK20" s="408">
        <f t="shared" si="8"/>
        <v>2783</v>
      </c>
      <c r="BL20" s="408">
        <f t="shared" si="9"/>
        <v>139</v>
      </c>
      <c r="BN20" s="404" t="e">
        <f>#REF!+L20+R20+#REF!+#REF!+BB20</f>
        <v>#REF!</v>
      </c>
      <c r="BO20" s="404">
        <f t="shared" si="2"/>
        <v>139</v>
      </c>
    </row>
    <row r="21" spans="1:67" ht="25.5" customHeight="1" x14ac:dyDescent="0.25">
      <c r="A21" s="405">
        <v>10</v>
      </c>
      <c r="B21" s="406" t="s">
        <v>223</v>
      </c>
      <c r="C21" s="1014">
        <f t="shared" si="10"/>
        <v>38</v>
      </c>
      <c r="D21" s="1014">
        <f t="shared" si="11"/>
        <v>36</v>
      </c>
      <c r="E21" s="1014">
        <f t="shared" si="12"/>
        <v>2</v>
      </c>
      <c r="F21" s="1014">
        <f t="shared" si="13"/>
        <v>0</v>
      </c>
      <c r="G21" s="1014"/>
      <c r="H21" s="1014"/>
      <c r="I21" s="1014">
        <f t="shared" si="14"/>
        <v>0</v>
      </c>
      <c r="J21" s="1014">
        <f t="shared" si="15"/>
        <v>0</v>
      </c>
      <c r="K21" s="1014"/>
      <c r="L21" s="1014"/>
      <c r="M21" s="1014">
        <f t="shared" si="16"/>
        <v>0</v>
      </c>
      <c r="N21" s="1014"/>
      <c r="O21" s="1014"/>
      <c r="P21" s="1014">
        <f t="shared" si="17"/>
        <v>0</v>
      </c>
      <c r="Q21" s="1014"/>
      <c r="R21" s="1014"/>
      <c r="S21" s="1014">
        <f t="shared" si="18"/>
        <v>0</v>
      </c>
      <c r="T21" s="1014">
        <f t="shared" si="19"/>
        <v>0</v>
      </c>
      <c r="U21" s="1014"/>
      <c r="V21" s="1014"/>
      <c r="W21" s="1014">
        <f t="shared" si="20"/>
        <v>0</v>
      </c>
      <c r="X21" s="1014"/>
      <c r="Y21" s="1014"/>
      <c r="Z21" s="1014">
        <f t="shared" si="21"/>
        <v>0</v>
      </c>
      <c r="AA21" s="1015"/>
      <c r="AB21" s="1014"/>
      <c r="AC21" s="1014">
        <f t="shared" si="22"/>
        <v>0</v>
      </c>
      <c r="AD21" s="1014"/>
      <c r="AE21" s="1014"/>
      <c r="AF21" s="1014">
        <f t="shared" si="23"/>
        <v>0</v>
      </c>
      <c r="AG21" s="1014"/>
      <c r="AH21" s="1014"/>
      <c r="AI21" s="1014">
        <f t="shared" si="24"/>
        <v>0</v>
      </c>
      <c r="AJ21" s="1014"/>
      <c r="AK21" s="1014"/>
      <c r="AL21" s="1014">
        <f t="shared" si="25"/>
        <v>0</v>
      </c>
      <c r="AM21" s="1014">
        <f t="shared" si="26"/>
        <v>0</v>
      </c>
      <c r="AN21" s="1014"/>
      <c r="AO21" s="1014"/>
      <c r="AP21" s="1014">
        <f t="shared" si="27"/>
        <v>0</v>
      </c>
      <c r="AQ21" s="1014"/>
      <c r="AR21" s="1014"/>
      <c r="AS21" s="1014">
        <f t="shared" si="28"/>
        <v>38</v>
      </c>
      <c r="AT21" s="1014">
        <f t="shared" si="29"/>
        <v>0</v>
      </c>
      <c r="AU21" s="1014"/>
      <c r="AV21" s="1014"/>
      <c r="AW21" s="1014">
        <f t="shared" si="30"/>
        <v>0</v>
      </c>
      <c r="AX21" s="1014"/>
      <c r="AY21" s="1014"/>
      <c r="AZ21" s="1014">
        <f t="shared" si="31"/>
        <v>38</v>
      </c>
      <c r="BA21" s="1014">
        <v>36</v>
      </c>
      <c r="BB21" s="1014">
        <v>2</v>
      </c>
      <c r="BC21" s="404" t="e">
        <f>U21+#REF!+X21+AA21</f>
        <v>#REF!</v>
      </c>
      <c r="BD21" s="404" t="e">
        <f>V21+#REF!+Y21+AB21</f>
        <v>#REF!</v>
      </c>
      <c r="BE21" s="404">
        <f t="shared" si="4"/>
        <v>0</v>
      </c>
      <c r="BF21" s="404">
        <f t="shared" si="5"/>
        <v>0</v>
      </c>
      <c r="BG21" s="408">
        <f t="shared" si="6"/>
        <v>0</v>
      </c>
      <c r="BH21" s="408">
        <f t="shared" si="7"/>
        <v>0</v>
      </c>
      <c r="BI21" s="408" t="e">
        <f>#REF!+K21+#REF!+BA21+Q21+#REF!</f>
        <v>#REF!</v>
      </c>
      <c r="BJ21" s="408" t="e">
        <f>#REF!+L21+#REF!+BB21+R21+#REF!</f>
        <v>#REF!</v>
      </c>
      <c r="BK21" s="408">
        <f t="shared" si="8"/>
        <v>0</v>
      </c>
      <c r="BL21" s="408">
        <f t="shared" si="9"/>
        <v>0</v>
      </c>
      <c r="BN21" s="404" t="e">
        <f>#REF!+L21+R21+#REF!+#REF!+BB21</f>
        <v>#REF!</v>
      </c>
      <c r="BO21" s="404">
        <f t="shared" si="2"/>
        <v>0</v>
      </c>
    </row>
    <row r="22" spans="1:67" ht="25.5" customHeight="1" x14ac:dyDescent="0.25">
      <c r="A22" s="405">
        <v>11</v>
      </c>
      <c r="B22" s="406" t="s">
        <v>224</v>
      </c>
      <c r="C22" s="1014">
        <f t="shared" si="10"/>
        <v>380</v>
      </c>
      <c r="D22" s="1014">
        <f t="shared" si="11"/>
        <v>359</v>
      </c>
      <c r="E22" s="1014">
        <f t="shared" si="12"/>
        <v>21</v>
      </c>
      <c r="F22" s="1014">
        <f t="shared" si="13"/>
        <v>0</v>
      </c>
      <c r="G22" s="1014"/>
      <c r="H22" s="1014"/>
      <c r="I22" s="1014">
        <f t="shared" si="14"/>
        <v>0</v>
      </c>
      <c r="J22" s="1014">
        <f t="shared" si="15"/>
        <v>0</v>
      </c>
      <c r="K22" s="1014"/>
      <c r="L22" s="1014"/>
      <c r="M22" s="1014">
        <f t="shared" si="16"/>
        <v>0</v>
      </c>
      <c r="N22" s="1014"/>
      <c r="O22" s="1014"/>
      <c r="P22" s="1014">
        <f t="shared" si="17"/>
        <v>0</v>
      </c>
      <c r="Q22" s="1014"/>
      <c r="R22" s="1014"/>
      <c r="S22" s="1014">
        <f t="shared" si="18"/>
        <v>0</v>
      </c>
      <c r="T22" s="1014">
        <f t="shared" si="19"/>
        <v>0</v>
      </c>
      <c r="U22" s="1014"/>
      <c r="V22" s="1014"/>
      <c r="W22" s="1014">
        <f t="shared" si="20"/>
        <v>0</v>
      </c>
      <c r="X22" s="1014"/>
      <c r="Y22" s="1014"/>
      <c r="Z22" s="1014">
        <f t="shared" si="21"/>
        <v>0</v>
      </c>
      <c r="AA22" s="1015"/>
      <c r="AB22" s="1014"/>
      <c r="AC22" s="1014">
        <f t="shared" si="22"/>
        <v>0</v>
      </c>
      <c r="AD22" s="1014"/>
      <c r="AE22" s="1014"/>
      <c r="AF22" s="1014">
        <f t="shared" si="23"/>
        <v>0</v>
      </c>
      <c r="AG22" s="1014"/>
      <c r="AH22" s="1014"/>
      <c r="AI22" s="1014">
        <f t="shared" si="24"/>
        <v>0</v>
      </c>
      <c r="AJ22" s="1014"/>
      <c r="AK22" s="1014"/>
      <c r="AL22" s="1014">
        <f t="shared" si="25"/>
        <v>0</v>
      </c>
      <c r="AM22" s="1014">
        <f t="shared" si="26"/>
        <v>0</v>
      </c>
      <c r="AN22" s="1014"/>
      <c r="AO22" s="1014"/>
      <c r="AP22" s="1014">
        <f t="shared" si="27"/>
        <v>0</v>
      </c>
      <c r="AQ22" s="1014"/>
      <c r="AR22" s="1014"/>
      <c r="AS22" s="1014">
        <f t="shared" si="28"/>
        <v>380</v>
      </c>
      <c r="AT22" s="1014">
        <f t="shared" si="29"/>
        <v>0</v>
      </c>
      <c r="AU22" s="1014"/>
      <c r="AV22" s="1014"/>
      <c r="AW22" s="1014">
        <f t="shared" si="30"/>
        <v>0</v>
      </c>
      <c r="AX22" s="1014"/>
      <c r="AY22" s="1014"/>
      <c r="AZ22" s="1014">
        <f t="shared" si="31"/>
        <v>380</v>
      </c>
      <c r="BA22" s="1014">
        <v>359</v>
      </c>
      <c r="BB22" s="1014">
        <v>21</v>
      </c>
      <c r="BC22" s="404" t="e">
        <f>U22+#REF!+X22+AA22</f>
        <v>#REF!</v>
      </c>
      <c r="BD22" s="404" t="e">
        <f>V22+#REF!+Y22+AB22</f>
        <v>#REF!</v>
      </c>
      <c r="BE22" s="404">
        <f t="shared" si="4"/>
        <v>0</v>
      </c>
      <c r="BF22" s="404">
        <f t="shared" si="5"/>
        <v>0</v>
      </c>
      <c r="BG22" s="408">
        <f t="shared" si="6"/>
        <v>0</v>
      </c>
      <c r="BH22" s="408">
        <f t="shared" si="7"/>
        <v>0</v>
      </c>
      <c r="BI22" s="408" t="e">
        <f>#REF!+K22+#REF!+BA22+Q22+#REF!</f>
        <v>#REF!</v>
      </c>
      <c r="BJ22" s="408" t="e">
        <f>#REF!+L22+#REF!+BB22+R22+#REF!</f>
        <v>#REF!</v>
      </c>
      <c r="BK22" s="408">
        <f t="shared" si="8"/>
        <v>0</v>
      </c>
      <c r="BL22" s="408">
        <f t="shared" si="9"/>
        <v>0</v>
      </c>
      <c r="BN22" s="404" t="e">
        <f>#REF!+L22+R22+#REF!+#REF!+BB22</f>
        <v>#REF!</v>
      </c>
      <c r="BO22" s="404">
        <f t="shared" si="2"/>
        <v>0</v>
      </c>
    </row>
    <row r="23" spans="1:67" ht="25.5" customHeight="1" x14ac:dyDescent="0.25">
      <c r="A23" s="405">
        <v>12</v>
      </c>
      <c r="B23" s="406" t="s">
        <v>225</v>
      </c>
      <c r="C23" s="1014">
        <f t="shared" si="10"/>
        <v>38</v>
      </c>
      <c r="D23" s="1014">
        <f t="shared" si="11"/>
        <v>36</v>
      </c>
      <c r="E23" s="1014">
        <f t="shared" si="12"/>
        <v>2</v>
      </c>
      <c r="F23" s="1014">
        <f t="shared" si="13"/>
        <v>0</v>
      </c>
      <c r="G23" s="1014"/>
      <c r="H23" s="1014"/>
      <c r="I23" s="1014">
        <f t="shared" si="14"/>
        <v>0</v>
      </c>
      <c r="J23" s="1014">
        <f t="shared" si="15"/>
        <v>0</v>
      </c>
      <c r="K23" s="1014"/>
      <c r="L23" s="1014"/>
      <c r="M23" s="1014">
        <f t="shared" si="16"/>
        <v>0</v>
      </c>
      <c r="N23" s="1014"/>
      <c r="O23" s="1014"/>
      <c r="P23" s="1014">
        <f t="shared" si="17"/>
        <v>0</v>
      </c>
      <c r="Q23" s="1014"/>
      <c r="R23" s="1014"/>
      <c r="S23" s="1014">
        <f t="shared" si="18"/>
        <v>0</v>
      </c>
      <c r="T23" s="1014">
        <f t="shared" si="19"/>
        <v>0</v>
      </c>
      <c r="U23" s="1014"/>
      <c r="V23" s="1014"/>
      <c r="W23" s="1014">
        <f t="shared" si="20"/>
        <v>0</v>
      </c>
      <c r="X23" s="1014"/>
      <c r="Y23" s="1014"/>
      <c r="Z23" s="1014">
        <f t="shared" si="21"/>
        <v>0</v>
      </c>
      <c r="AA23" s="1015"/>
      <c r="AB23" s="1014"/>
      <c r="AC23" s="1014">
        <f t="shared" si="22"/>
        <v>0</v>
      </c>
      <c r="AD23" s="1014"/>
      <c r="AE23" s="1014"/>
      <c r="AF23" s="1014">
        <f t="shared" si="23"/>
        <v>0</v>
      </c>
      <c r="AG23" s="1014"/>
      <c r="AH23" s="1014"/>
      <c r="AI23" s="1014">
        <f t="shared" si="24"/>
        <v>0</v>
      </c>
      <c r="AJ23" s="1014"/>
      <c r="AK23" s="1014"/>
      <c r="AL23" s="1014">
        <f t="shared" si="25"/>
        <v>0</v>
      </c>
      <c r="AM23" s="1014">
        <f t="shared" si="26"/>
        <v>0</v>
      </c>
      <c r="AN23" s="1014"/>
      <c r="AO23" s="1014"/>
      <c r="AP23" s="1014">
        <f t="shared" si="27"/>
        <v>0</v>
      </c>
      <c r="AQ23" s="1014"/>
      <c r="AR23" s="1014"/>
      <c r="AS23" s="1014">
        <f t="shared" si="28"/>
        <v>38</v>
      </c>
      <c r="AT23" s="1014">
        <f t="shared" si="29"/>
        <v>0</v>
      </c>
      <c r="AU23" s="1014"/>
      <c r="AV23" s="1014"/>
      <c r="AW23" s="1014">
        <f t="shared" si="30"/>
        <v>0</v>
      </c>
      <c r="AX23" s="1014"/>
      <c r="AY23" s="1014"/>
      <c r="AZ23" s="1014">
        <f t="shared" si="31"/>
        <v>38</v>
      </c>
      <c r="BA23" s="1014">
        <v>36</v>
      </c>
      <c r="BB23" s="1014">
        <v>2</v>
      </c>
      <c r="BC23" s="404" t="e">
        <f>U23+#REF!+X23+AA23</f>
        <v>#REF!</v>
      </c>
      <c r="BD23" s="404" t="e">
        <f>V23+#REF!+Y23+AB23</f>
        <v>#REF!</v>
      </c>
      <c r="BE23" s="404">
        <f t="shared" si="4"/>
        <v>0</v>
      </c>
      <c r="BF23" s="404">
        <f t="shared" si="5"/>
        <v>0</v>
      </c>
      <c r="BG23" s="408">
        <f t="shared" si="6"/>
        <v>0</v>
      </c>
      <c r="BH23" s="408">
        <f t="shared" si="7"/>
        <v>0</v>
      </c>
      <c r="BI23" s="408" t="e">
        <f>#REF!+K23+#REF!+BA23+Q23+#REF!</f>
        <v>#REF!</v>
      </c>
      <c r="BJ23" s="408" t="e">
        <f>#REF!+L23+#REF!+BB23+R23+#REF!</f>
        <v>#REF!</v>
      </c>
      <c r="BK23" s="408">
        <f t="shared" si="8"/>
        <v>0</v>
      </c>
      <c r="BL23" s="408">
        <f t="shared" si="9"/>
        <v>0</v>
      </c>
      <c r="BN23" s="404" t="e">
        <f>#REF!+L23+R23+#REF!+#REF!+BB23</f>
        <v>#REF!</v>
      </c>
      <c r="BO23" s="404">
        <f t="shared" si="2"/>
        <v>0</v>
      </c>
    </row>
    <row r="24" spans="1:67" ht="25.5" customHeight="1" x14ac:dyDescent="0.25">
      <c r="A24" s="405">
        <v>13</v>
      </c>
      <c r="B24" s="406" t="s">
        <v>144</v>
      </c>
      <c r="C24" s="1014">
        <f t="shared" si="10"/>
        <v>38</v>
      </c>
      <c r="D24" s="1014">
        <f t="shared" si="11"/>
        <v>36</v>
      </c>
      <c r="E24" s="1014">
        <f t="shared" si="12"/>
        <v>2</v>
      </c>
      <c r="F24" s="1014">
        <f t="shared" si="13"/>
        <v>0</v>
      </c>
      <c r="G24" s="1014"/>
      <c r="H24" s="1014"/>
      <c r="I24" s="1014">
        <f t="shared" si="14"/>
        <v>0</v>
      </c>
      <c r="J24" s="1014">
        <f t="shared" si="15"/>
        <v>0</v>
      </c>
      <c r="K24" s="1014"/>
      <c r="L24" s="1014"/>
      <c r="M24" s="1014">
        <f t="shared" si="16"/>
        <v>0</v>
      </c>
      <c r="N24" s="1014"/>
      <c r="O24" s="1014"/>
      <c r="P24" s="1014">
        <f t="shared" si="17"/>
        <v>0</v>
      </c>
      <c r="Q24" s="1014"/>
      <c r="R24" s="1014"/>
      <c r="S24" s="1014">
        <f t="shared" si="18"/>
        <v>0</v>
      </c>
      <c r="T24" s="1014">
        <f t="shared" si="19"/>
        <v>0</v>
      </c>
      <c r="U24" s="1014"/>
      <c r="V24" s="1014"/>
      <c r="W24" s="1014">
        <f t="shared" si="20"/>
        <v>0</v>
      </c>
      <c r="X24" s="1014"/>
      <c r="Y24" s="1014"/>
      <c r="Z24" s="1014">
        <f t="shared" si="21"/>
        <v>0</v>
      </c>
      <c r="AA24" s="1015"/>
      <c r="AB24" s="1014"/>
      <c r="AC24" s="1014">
        <f t="shared" si="22"/>
        <v>0</v>
      </c>
      <c r="AD24" s="1014"/>
      <c r="AE24" s="1014"/>
      <c r="AF24" s="1014">
        <f t="shared" si="23"/>
        <v>0</v>
      </c>
      <c r="AG24" s="1014"/>
      <c r="AH24" s="1014"/>
      <c r="AI24" s="1014">
        <f t="shared" si="24"/>
        <v>0</v>
      </c>
      <c r="AJ24" s="1014"/>
      <c r="AK24" s="1014"/>
      <c r="AL24" s="1014">
        <f t="shared" si="25"/>
        <v>0</v>
      </c>
      <c r="AM24" s="1014">
        <f t="shared" si="26"/>
        <v>0</v>
      </c>
      <c r="AN24" s="1014"/>
      <c r="AO24" s="1014"/>
      <c r="AP24" s="1014">
        <f t="shared" si="27"/>
        <v>0</v>
      </c>
      <c r="AQ24" s="1014"/>
      <c r="AR24" s="1014"/>
      <c r="AS24" s="1014">
        <f t="shared" si="28"/>
        <v>38</v>
      </c>
      <c r="AT24" s="1014">
        <f t="shared" si="29"/>
        <v>0</v>
      </c>
      <c r="AU24" s="1014"/>
      <c r="AV24" s="1014"/>
      <c r="AW24" s="1014">
        <f t="shared" si="30"/>
        <v>0</v>
      </c>
      <c r="AX24" s="1014"/>
      <c r="AY24" s="1014"/>
      <c r="AZ24" s="1014">
        <f t="shared" si="31"/>
        <v>38</v>
      </c>
      <c r="BA24" s="1014">
        <v>36</v>
      </c>
      <c r="BB24" s="1014">
        <v>2</v>
      </c>
      <c r="BC24" s="404" t="e">
        <f>U24+#REF!+X24+AA24</f>
        <v>#REF!</v>
      </c>
      <c r="BD24" s="404" t="e">
        <f>V24+#REF!+Y24+AB24</f>
        <v>#REF!</v>
      </c>
      <c r="BE24" s="404">
        <f t="shared" si="4"/>
        <v>0</v>
      </c>
      <c r="BF24" s="404">
        <f t="shared" si="5"/>
        <v>0</v>
      </c>
      <c r="BG24" s="408">
        <f t="shared" si="6"/>
        <v>0</v>
      </c>
      <c r="BH24" s="408">
        <f t="shared" si="7"/>
        <v>0</v>
      </c>
      <c r="BI24" s="408" t="e">
        <f>#REF!+K24+#REF!+BA24+Q24+#REF!</f>
        <v>#REF!</v>
      </c>
      <c r="BJ24" s="408" t="e">
        <f>#REF!+L24+#REF!+BB24+R24+#REF!</f>
        <v>#REF!</v>
      </c>
      <c r="BK24" s="408">
        <f t="shared" si="8"/>
        <v>0</v>
      </c>
      <c r="BL24" s="408">
        <f t="shared" si="9"/>
        <v>0</v>
      </c>
      <c r="BN24" s="404" t="e">
        <f>#REF!+L24+R24+#REF!+#REF!+BB24</f>
        <v>#REF!</v>
      </c>
      <c r="BO24" s="404">
        <f t="shared" si="2"/>
        <v>0</v>
      </c>
    </row>
    <row r="25" spans="1:67" ht="25.5" customHeight="1" x14ac:dyDescent="0.25">
      <c r="A25" s="405">
        <v>14</v>
      </c>
      <c r="B25" s="406" t="s">
        <v>226</v>
      </c>
      <c r="C25" s="1014">
        <f t="shared" si="10"/>
        <v>38</v>
      </c>
      <c r="D25" s="1014">
        <f t="shared" si="11"/>
        <v>36</v>
      </c>
      <c r="E25" s="1014">
        <f t="shared" si="12"/>
        <v>2</v>
      </c>
      <c r="F25" s="1014">
        <f t="shared" si="13"/>
        <v>0</v>
      </c>
      <c r="G25" s="1014"/>
      <c r="H25" s="1014"/>
      <c r="I25" s="1014">
        <f t="shared" si="14"/>
        <v>0</v>
      </c>
      <c r="J25" s="1014">
        <f t="shared" si="15"/>
        <v>0</v>
      </c>
      <c r="K25" s="1014"/>
      <c r="L25" s="1014"/>
      <c r="M25" s="1014">
        <f t="shared" si="16"/>
        <v>0</v>
      </c>
      <c r="N25" s="1014"/>
      <c r="O25" s="1014"/>
      <c r="P25" s="1014">
        <f t="shared" si="17"/>
        <v>0</v>
      </c>
      <c r="Q25" s="1014"/>
      <c r="R25" s="1014"/>
      <c r="S25" s="1014">
        <f t="shared" si="18"/>
        <v>0</v>
      </c>
      <c r="T25" s="1014">
        <f t="shared" si="19"/>
        <v>0</v>
      </c>
      <c r="U25" s="1014"/>
      <c r="V25" s="1014"/>
      <c r="W25" s="1014">
        <f t="shared" si="20"/>
        <v>0</v>
      </c>
      <c r="X25" s="1014"/>
      <c r="Y25" s="1014"/>
      <c r="Z25" s="1014">
        <f t="shared" si="21"/>
        <v>0</v>
      </c>
      <c r="AA25" s="1015"/>
      <c r="AB25" s="1014"/>
      <c r="AC25" s="1014">
        <f t="shared" si="22"/>
        <v>0</v>
      </c>
      <c r="AD25" s="1014"/>
      <c r="AE25" s="1014"/>
      <c r="AF25" s="1014">
        <f t="shared" si="23"/>
        <v>0</v>
      </c>
      <c r="AG25" s="1014"/>
      <c r="AH25" s="1014"/>
      <c r="AI25" s="1014">
        <f t="shared" si="24"/>
        <v>0</v>
      </c>
      <c r="AJ25" s="1014"/>
      <c r="AK25" s="1014"/>
      <c r="AL25" s="1014">
        <f t="shared" si="25"/>
        <v>0</v>
      </c>
      <c r="AM25" s="1014">
        <f t="shared" si="26"/>
        <v>0</v>
      </c>
      <c r="AN25" s="1014"/>
      <c r="AO25" s="1014"/>
      <c r="AP25" s="1014">
        <f t="shared" si="27"/>
        <v>0</v>
      </c>
      <c r="AQ25" s="1014"/>
      <c r="AR25" s="1014"/>
      <c r="AS25" s="1014">
        <f t="shared" si="28"/>
        <v>38</v>
      </c>
      <c r="AT25" s="1014">
        <f t="shared" si="29"/>
        <v>0</v>
      </c>
      <c r="AU25" s="1014"/>
      <c r="AV25" s="1014"/>
      <c r="AW25" s="1014">
        <f t="shared" si="30"/>
        <v>0</v>
      </c>
      <c r="AX25" s="1014"/>
      <c r="AY25" s="1014"/>
      <c r="AZ25" s="1014">
        <f t="shared" si="31"/>
        <v>38</v>
      </c>
      <c r="BA25" s="1014">
        <v>36</v>
      </c>
      <c r="BB25" s="1014">
        <v>2</v>
      </c>
      <c r="BC25" s="404" t="e">
        <f>U25+#REF!+X25+AA25</f>
        <v>#REF!</v>
      </c>
      <c r="BD25" s="404" t="e">
        <f>V25+#REF!+Y25+AB25</f>
        <v>#REF!</v>
      </c>
      <c r="BE25" s="404">
        <f t="shared" si="4"/>
        <v>0</v>
      </c>
      <c r="BF25" s="404">
        <f t="shared" si="5"/>
        <v>0</v>
      </c>
      <c r="BG25" s="408">
        <f t="shared" si="6"/>
        <v>0</v>
      </c>
      <c r="BH25" s="408">
        <f t="shared" si="7"/>
        <v>0</v>
      </c>
      <c r="BI25" s="408" t="e">
        <f>#REF!+K25+#REF!+BA25+Q25+#REF!</f>
        <v>#REF!</v>
      </c>
      <c r="BJ25" s="408" t="e">
        <f>#REF!+L25+#REF!+BB25+R25+#REF!</f>
        <v>#REF!</v>
      </c>
      <c r="BK25" s="408">
        <f t="shared" si="8"/>
        <v>0</v>
      </c>
      <c r="BL25" s="408">
        <f t="shared" si="9"/>
        <v>0</v>
      </c>
      <c r="BN25" s="404" t="e">
        <f>#REF!+L25+R25+#REF!+#REF!+BB25</f>
        <v>#REF!</v>
      </c>
      <c r="BO25" s="404">
        <f t="shared" si="2"/>
        <v>0</v>
      </c>
    </row>
    <row r="26" spans="1:67" ht="25.5" customHeight="1" x14ac:dyDescent="0.25">
      <c r="A26" s="405">
        <v>15</v>
      </c>
      <c r="B26" s="406" t="s">
        <v>227</v>
      </c>
      <c r="C26" s="1014">
        <f t="shared" si="10"/>
        <v>38</v>
      </c>
      <c r="D26" s="1014">
        <f t="shared" si="11"/>
        <v>36</v>
      </c>
      <c r="E26" s="1014">
        <f t="shared" si="12"/>
        <v>2</v>
      </c>
      <c r="F26" s="1014">
        <f t="shared" si="13"/>
        <v>0</v>
      </c>
      <c r="G26" s="1014"/>
      <c r="H26" s="1014"/>
      <c r="I26" s="1014">
        <f t="shared" si="14"/>
        <v>0</v>
      </c>
      <c r="J26" s="1014">
        <f t="shared" si="15"/>
        <v>0</v>
      </c>
      <c r="K26" s="1014"/>
      <c r="L26" s="1014"/>
      <c r="M26" s="1014">
        <f t="shared" si="16"/>
        <v>0</v>
      </c>
      <c r="N26" s="1014"/>
      <c r="O26" s="1014"/>
      <c r="P26" s="1014">
        <f t="shared" si="17"/>
        <v>0</v>
      </c>
      <c r="Q26" s="1014"/>
      <c r="R26" s="1014"/>
      <c r="S26" s="1014">
        <f t="shared" si="18"/>
        <v>0</v>
      </c>
      <c r="T26" s="1014">
        <f t="shared" si="19"/>
        <v>0</v>
      </c>
      <c r="U26" s="1014"/>
      <c r="V26" s="1014"/>
      <c r="W26" s="1014">
        <f t="shared" si="20"/>
        <v>0</v>
      </c>
      <c r="X26" s="1014"/>
      <c r="Y26" s="1014"/>
      <c r="Z26" s="1014">
        <f t="shared" si="21"/>
        <v>0</v>
      </c>
      <c r="AA26" s="1015"/>
      <c r="AB26" s="1014"/>
      <c r="AC26" s="1014">
        <f t="shared" si="22"/>
        <v>0</v>
      </c>
      <c r="AD26" s="1014"/>
      <c r="AE26" s="1014"/>
      <c r="AF26" s="1014">
        <f t="shared" si="23"/>
        <v>0</v>
      </c>
      <c r="AG26" s="1014"/>
      <c r="AH26" s="1014"/>
      <c r="AI26" s="1014">
        <f t="shared" si="24"/>
        <v>0</v>
      </c>
      <c r="AJ26" s="1014"/>
      <c r="AK26" s="1014"/>
      <c r="AL26" s="1014">
        <f t="shared" si="25"/>
        <v>0</v>
      </c>
      <c r="AM26" s="1014">
        <f t="shared" si="26"/>
        <v>0</v>
      </c>
      <c r="AN26" s="1014"/>
      <c r="AO26" s="1014"/>
      <c r="AP26" s="1014">
        <f t="shared" si="27"/>
        <v>0</v>
      </c>
      <c r="AQ26" s="1014"/>
      <c r="AR26" s="1014"/>
      <c r="AS26" s="1014">
        <f t="shared" si="28"/>
        <v>38</v>
      </c>
      <c r="AT26" s="1014">
        <f t="shared" si="29"/>
        <v>0</v>
      </c>
      <c r="AU26" s="1014"/>
      <c r="AV26" s="1014"/>
      <c r="AW26" s="1014">
        <f t="shared" si="30"/>
        <v>0</v>
      </c>
      <c r="AX26" s="1014"/>
      <c r="AY26" s="1014"/>
      <c r="AZ26" s="1014">
        <f t="shared" si="31"/>
        <v>38</v>
      </c>
      <c r="BA26" s="1014">
        <v>36</v>
      </c>
      <c r="BB26" s="1014">
        <v>2</v>
      </c>
      <c r="BC26" s="404" t="e">
        <f>U26+#REF!+X26+AA26</f>
        <v>#REF!</v>
      </c>
      <c r="BD26" s="404" t="e">
        <f>V26+#REF!+Y26+AB26</f>
        <v>#REF!</v>
      </c>
      <c r="BE26" s="404">
        <f t="shared" si="4"/>
        <v>0</v>
      </c>
      <c r="BF26" s="404">
        <f t="shared" si="5"/>
        <v>0</v>
      </c>
      <c r="BG26" s="408">
        <f t="shared" si="6"/>
        <v>0</v>
      </c>
      <c r="BH26" s="408">
        <f t="shared" si="7"/>
        <v>0</v>
      </c>
      <c r="BI26" s="408" t="e">
        <f>#REF!+K26+#REF!+BA26+Q26+#REF!</f>
        <v>#REF!</v>
      </c>
      <c r="BJ26" s="408" t="e">
        <f>#REF!+L26+#REF!+BB26+R26+#REF!</f>
        <v>#REF!</v>
      </c>
      <c r="BK26" s="408">
        <f t="shared" si="8"/>
        <v>0</v>
      </c>
      <c r="BL26" s="408">
        <f t="shared" si="9"/>
        <v>0</v>
      </c>
      <c r="BN26" s="404" t="e">
        <f>#REF!+L26+R26+#REF!+#REF!+BB26</f>
        <v>#REF!</v>
      </c>
      <c r="BO26" s="404">
        <f t="shared" si="2"/>
        <v>0</v>
      </c>
    </row>
    <row r="27" spans="1:67" ht="25.5" customHeight="1" x14ac:dyDescent="0.25">
      <c r="A27" s="405">
        <v>16</v>
      </c>
      <c r="B27" s="406" t="s">
        <v>228</v>
      </c>
      <c r="C27" s="1014">
        <f t="shared" si="10"/>
        <v>13901</v>
      </c>
      <c r="D27" s="1014">
        <f t="shared" si="11"/>
        <v>13239</v>
      </c>
      <c r="E27" s="1014">
        <f t="shared" si="12"/>
        <v>662</v>
      </c>
      <c r="F27" s="1014">
        <f t="shared" si="13"/>
        <v>0</v>
      </c>
      <c r="G27" s="1014"/>
      <c r="H27" s="1014"/>
      <c r="I27" s="1014">
        <f t="shared" si="14"/>
        <v>0</v>
      </c>
      <c r="J27" s="1014">
        <f t="shared" si="15"/>
        <v>0</v>
      </c>
      <c r="K27" s="1014"/>
      <c r="L27" s="1014"/>
      <c r="M27" s="1014">
        <f t="shared" si="16"/>
        <v>0</v>
      </c>
      <c r="N27" s="1014"/>
      <c r="O27" s="1014"/>
      <c r="P27" s="1014">
        <f t="shared" si="17"/>
        <v>0</v>
      </c>
      <c r="Q27" s="1014"/>
      <c r="R27" s="1014"/>
      <c r="S27" s="1014">
        <f t="shared" si="18"/>
        <v>0</v>
      </c>
      <c r="T27" s="1014">
        <f t="shared" si="19"/>
        <v>0</v>
      </c>
      <c r="U27" s="1014"/>
      <c r="V27" s="1014"/>
      <c r="W27" s="1014">
        <f t="shared" si="20"/>
        <v>0</v>
      </c>
      <c r="X27" s="1014"/>
      <c r="Y27" s="1014"/>
      <c r="Z27" s="1014">
        <f t="shared" si="21"/>
        <v>0</v>
      </c>
      <c r="AA27" s="1015"/>
      <c r="AB27" s="1014"/>
      <c r="AC27" s="1014">
        <f t="shared" si="22"/>
        <v>0</v>
      </c>
      <c r="AD27" s="1014"/>
      <c r="AE27" s="1014"/>
      <c r="AF27" s="1014">
        <f t="shared" si="23"/>
        <v>0</v>
      </c>
      <c r="AG27" s="1014"/>
      <c r="AH27" s="1014"/>
      <c r="AI27" s="1014">
        <f t="shared" si="24"/>
        <v>0</v>
      </c>
      <c r="AJ27" s="1014"/>
      <c r="AK27" s="1014"/>
      <c r="AL27" s="1014">
        <f t="shared" si="25"/>
        <v>13863</v>
      </c>
      <c r="AM27" s="1014">
        <f t="shared" si="26"/>
        <v>13863</v>
      </c>
      <c r="AN27" s="1014">
        <v>13203</v>
      </c>
      <c r="AO27" s="1014">
        <v>660</v>
      </c>
      <c r="AP27" s="1014">
        <f t="shared" si="27"/>
        <v>0</v>
      </c>
      <c r="AQ27" s="1014"/>
      <c r="AR27" s="1014"/>
      <c r="AS27" s="1014">
        <f t="shared" si="28"/>
        <v>38</v>
      </c>
      <c r="AT27" s="1014">
        <f t="shared" si="29"/>
        <v>0</v>
      </c>
      <c r="AU27" s="1014"/>
      <c r="AV27" s="1014"/>
      <c r="AW27" s="1014">
        <f t="shared" si="30"/>
        <v>0</v>
      </c>
      <c r="AX27" s="1014"/>
      <c r="AY27" s="1014"/>
      <c r="AZ27" s="1014">
        <f t="shared" si="31"/>
        <v>38</v>
      </c>
      <c r="BA27" s="1014">
        <v>36</v>
      </c>
      <c r="BB27" s="1014">
        <v>2</v>
      </c>
      <c r="BC27" s="404" t="e">
        <f>U27+#REF!+X27+AA27</f>
        <v>#REF!</v>
      </c>
      <c r="BD27" s="404" t="e">
        <f>V27+#REF!+Y27+AB27</f>
        <v>#REF!</v>
      </c>
      <c r="BE27" s="404">
        <f t="shared" si="4"/>
        <v>0</v>
      </c>
      <c r="BF27" s="404">
        <f t="shared" si="5"/>
        <v>0</v>
      </c>
      <c r="BG27" s="408">
        <f t="shared" si="6"/>
        <v>0</v>
      </c>
      <c r="BH27" s="408">
        <f t="shared" si="7"/>
        <v>0</v>
      </c>
      <c r="BI27" s="408" t="e">
        <f>#REF!+K27+#REF!+BA27+Q27+#REF!</f>
        <v>#REF!</v>
      </c>
      <c r="BJ27" s="408" t="e">
        <f>#REF!+L27+#REF!+BB27+R27+#REF!</f>
        <v>#REF!</v>
      </c>
      <c r="BK27" s="408">
        <f t="shared" si="8"/>
        <v>0</v>
      </c>
      <c r="BL27" s="408">
        <f t="shared" si="9"/>
        <v>0</v>
      </c>
      <c r="BN27" s="404" t="e">
        <f>#REF!+L27+R27+#REF!+#REF!+BB27</f>
        <v>#REF!</v>
      </c>
      <c r="BO27" s="404">
        <f t="shared" si="2"/>
        <v>0</v>
      </c>
    </row>
    <row r="28" spans="1:67" ht="25.5" customHeight="1" x14ac:dyDescent="0.25">
      <c r="A28" s="405">
        <v>17</v>
      </c>
      <c r="B28" s="406" t="s">
        <v>89</v>
      </c>
      <c r="C28" s="1014">
        <f t="shared" si="10"/>
        <v>38</v>
      </c>
      <c r="D28" s="1014">
        <f t="shared" si="11"/>
        <v>36</v>
      </c>
      <c r="E28" s="1014">
        <f t="shared" si="12"/>
        <v>2</v>
      </c>
      <c r="F28" s="1014">
        <f t="shared" si="13"/>
        <v>0</v>
      </c>
      <c r="G28" s="1014"/>
      <c r="H28" s="1014"/>
      <c r="I28" s="1014">
        <f t="shared" si="14"/>
        <v>0</v>
      </c>
      <c r="J28" s="1014">
        <f t="shared" si="15"/>
        <v>0</v>
      </c>
      <c r="K28" s="1014"/>
      <c r="L28" s="1014"/>
      <c r="M28" s="1014">
        <f t="shared" si="16"/>
        <v>0</v>
      </c>
      <c r="N28" s="1014"/>
      <c r="O28" s="1014"/>
      <c r="P28" s="1014">
        <f t="shared" si="17"/>
        <v>0</v>
      </c>
      <c r="Q28" s="1014"/>
      <c r="R28" s="1014"/>
      <c r="S28" s="1014">
        <f t="shared" si="18"/>
        <v>0</v>
      </c>
      <c r="T28" s="1014">
        <f t="shared" si="19"/>
        <v>0</v>
      </c>
      <c r="U28" s="1014"/>
      <c r="V28" s="1014"/>
      <c r="W28" s="1014">
        <f t="shared" si="20"/>
        <v>0</v>
      </c>
      <c r="X28" s="1014"/>
      <c r="Y28" s="1014"/>
      <c r="Z28" s="1014">
        <f t="shared" si="21"/>
        <v>0</v>
      </c>
      <c r="AA28" s="1015"/>
      <c r="AB28" s="1014"/>
      <c r="AC28" s="1014">
        <f t="shared" si="22"/>
        <v>0</v>
      </c>
      <c r="AD28" s="1014"/>
      <c r="AE28" s="1014"/>
      <c r="AF28" s="1014">
        <f t="shared" si="23"/>
        <v>0</v>
      </c>
      <c r="AG28" s="1014"/>
      <c r="AH28" s="1014"/>
      <c r="AI28" s="1014">
        <f t="shared" si="24"/>
        <v>0</v>
      </c>
      <c r="AJ28" s="1014"/>
      <c r="AK28" s="1014"/>
      <c r="AL28" s="1014">
        <f t="shared" si="25"/>
        <v>0</v>
      </c>
      <c r="AM28" s="1014">
        <f t="shared" si="26"/>
        <v>0</v>
      </c>
      <c r="AN28" s="1014"/>
      <c r="AO28" s="1014"/>
      <c r="AP28" s="1014">
        <f t="shared" si="27"/>
        <v>0</v>
      </c>
      <c r="AQ28" s="1014"/>
      <c r="AR28" s="1014"/>
      <c r="AS28" s="1014">
        <f t="shared" si="28"/>
        <v>38</v>
      </c>
      <c r="AT28" s="1014">
        <f t="shared" si="29"/>
        <v>0</v>
      </c>
      <c r="AU28" s="1014"/>
      <c r="AV28" s="1014"/>
      <c r="AW28" s="1014">
        <f t="shared" si="30"/>
        <v>0</v>
      </c>
      <c r="AX28" s="1014"/>
      <c r="AY28" s="1014"/>
      <c r="AZ28" s="1014">
        <f t="shared" si="31"/>
        <v>38</v>
      </c>
      <c r="BA28" s="1014">
        <v>36</v>
      </c>
      <c r="BB28" s="1014">
        <v>2</v>
      </c>
      <c r="BC28" s="404" t="e">
        <f>U28+#REF!+X28+AA28</f>
        <v>#REF!</v>
      </c>
      <c r="BD28" s="404" t="e">
        <f>V28+#REF!+Y28+AB28</f>
        <v>#REF!</v>
      </c>
      <c r="BE28" s="404">
        <f t="shared" si="4"/>
        <v>0</v>
      </c>
      <c r="BF28" s="404">
        <f t="shared" si="5"/>
        <v>0</v>
      </c>
      <c r="BG28" s="408">
        <f t="shared" si="6"/>
        <v>0</v>
      </c>
      <c r="BH28" s="408">
        <f t="shared" si="7"/>
        <v>0</v>
      </c>
      <c r="BI28" s="408" t="e">
        <f>#REF!+K28+#REF!+BA28+Q28+#REF!</f>
        <v>#REF!</v>
      </c>
      <c r="BJ28" s="408" t="e">
        <f>#REF!+L28+#REF!+BB28+R28+#REF!</f>
        <v>#REF!</v>
      </c>
      <c r="BK28" s="408">
        <f t="shared" si="8"/>
        <v>0</v>
      </c>
      <c r="BL28" s="408">
        <f t="shared" si="9"/>
        <v>0</v>
      </c>
      <c r="BN28" s="404" t="e">
        <f>#REF!+L28+R28+#REF!+#REF!+BB28</f>
        <v>#REF!</v>
      </c>
      <c r="BO28" s="404">
        <f t="shared" si="2"/>
        <v>0</v>
      </c>
    </row>
    <row r="29" spans="1:67" ht="25.5" customHeight="1" x14ac:dyDescent="0.25">
      <c r="A29" s="405">
        <v>18</v>
      </c>
      <c r="B29" s="406" t="s">
        <v>229</v>
      </c>
      <c r="C29" s="1014">
        <f t="shared" si="10"/>
        <v>38</v>
      </c>
      <c r="D29" s="1014">
        <f t="shared" si="11"/>
        <v>36</v>
      </c>
      <c r="E29" s="1014">
        <f t="shared" si="12"/>
        <v>2</v>
      </c>
      <c r="F29" s="1014">
        <f t="shared" si="13"/>
        <v>0</v>
      </c>
      <c r="G29" s="1014"/>
      <c r="H29" s="1014"/>
      <c r="I29" s="1014">
        <f t="shared" si="14"/>
        <v>0</v>
      </c>
      <c r="J29" s="1014">
        <f t="shared" si="15"/>
        <v>0</v>
      </c>
      <c r="K29" s="1014"/>
      <c r="L29" s="1014"/>
      <c r="M29" s="1014">
        <f t="shared" si="16"/>
        <v>0</v>
      </c>
      <c r="N29" s="1014"/>
      <c r="O29" s="1014"/>
      <c r="P29" s="1014">
        <f t="shared" si="17"/>
        <v>0</v>
      </c>
      <c r="Q29" s="1014"/>
      <c r="R29" s="1014"/>
      <c r="S29" s="1014">
        <f t="shared" si="18"/>
        <v>0</v>
      </c>
      <c r="T29" s="1014">
        <f t="shared" si="19"/>
        <v>0</v>
      </c>
      <c r="U29" s="1014"/>
      <c r="V29" s="1014"/>
      <c r="W29" s="1014">
        <f t="shared" si="20"/>
        <v>0</v>
      </c>
      <c r="X29" s="1014"/>
      <c r="Y29" s="1014"/>
      <c r="Z29" s="1014">
        <f t="shared" si="21"/>
        <v>0</v>
      </c>
      <c r="AA29" s="1015"/>
      <c r="AB29" s="1014"/>
      <c r="AC29" s="1014">
        <f t="shared" si="22"/>
        <v>0</v>
      </c>
      <c r="AD29" s="1014"/>
      <c r="AE29" s="1014"/>
      <c r="AF29" s="1014">
        <f t="shared" si="23"/>
        <v>0</v>
      </c>
      <c r="AG29" s="1014"/>
      <c r="AH29" s="1014"/>
      <c r="AI29" s="1014">
        <f t="shared" si="24"/>
        <v>0</v>
      </c>
      <c r="AJ29" s="1014"/>
      <c r="AK29" s="1014"/>
      <c r="AL29" s="1014">
        <f t="shared" si="25"/>
        <v>0</v>
      </c>
      <c r="AM29" s="1014">
        <f t="shared" si="26"/>
        <v>0</v>
      </c>
      <c r="AN29" s="1014"/>
      <c r="AO29" s="1014"/>
      <c r="AP29" s="1014">
        <f t="shared" si="27"/>
        <v>0</v>
      </c>
      <c r="AQ29" s="1014"/>
      <c r="AR29" s="1014"/>
      <c r="AS29" s="1014">
        <f t="shared" si="28"/>
        <v>38</v>
      </c>
      <c r="AT29" s="1014">
        <f t="shared" si="29"/>
        <v>0</v>
      </c>
      <c r="AU29" s="1014"/>
      <c r="AV29" s="1014"/>
      <c r="AW29" s="1014">
        <f t="shared" si="30"/>
        <v>0</v>
      </c>
      <c r="AX29" s="1014"/>
      <c r="AY29" s="1014"/>
      <c r="AZ29" s="1014">
        <f t="shared" si="31"/>
        <v>38</v>
      </c>
      <c r="BA29" s="1014">
        <v>36</v>
      </c>
      <c r="BB29" s="1014">
        <v>2</v>
      </c>
      <c r="BC29" s="404" t="e">
        <f>U29+#REF!+X29+AA29</f>
        <v>#REF!</v>
      </c>
      <c r="BD29" s="404" t="e">
        <f>V29+#REF!+Y29+AB29</f>
        <v>#REF!</v>
      </c>
      <c r="BE29" s="404">
        <f t="shared" si="4"/>
        <v>0</v>
      </c>
      <c r="BF29" s="404">
        <f t="shared" si="5"/>
        <v>0</v>
      </c>
      <c r="BG29" s="408">
        <f t="shared" si="6"/>
        <v>0</v>
      </c>
      <c r="BH29" s="408">
        <f t="shared" si="7"/>
        <v>0</v>
      </c>
      <c r="BI29" s="408" t="e">
        <f>#REF!+K29+#REF!+BA29+Q29+#REF!</f>
        <v>#REF!</v>
      </c>
      <c r="BJ29" s="408" t="e">
        <f>#REF!+L29+#REF!+BB29+R29+#REF!</f>
        <v>#REF!</v>
      </c>
      <c r="BK29" s="408">
        <f t="shared" si="8"/>
        <v>0</v>
      </c>
      <c r="BL29" s="408">
        <f t="shared" si="9"/>
        <v>0</v>
      </c>
      <c r="BN29" s="404" t="e">
        <f>#REF!+L29+R29+#REF!+#REF!+BB29</f>
        <v>#REF!</v>
      </c>
      <c r="BO29" s="404">
        <f t="shared" si="2"/>
        <v>0</v>
      </c>
    </row>
    <row r="30" spans="1:67" ht="25.5" customHeight="1" x14ac:dyDescent="0.25">
      <c r="A30" s="405">
        <v>19</v>
      </c>
      <c r="B30" s="369" t="s">
        <v>248</v>
      </c>
      <c r="C30" s="1014">
        <f t="shared" si="10"/>
        <v>38</v>
      </c>
      <c r="D30" s="1014">
        <f t="shared" si="11"/>
        <v>36</v>
      </c>
      <c r="E30" s="1014">
        <f t="shared" si="12"/>
        <v>2</v>
      </c>
      <c r="F30" s="1014">
        <f t="shared" si="13"/>
        <v>0</v>
      </c>
      <c r="G30" s="1014"/>
      <c r="H30" s="1014"/>
      <c r="I30" s="1014">
        <f t="shared" si="14"/>
        <v>0</v>
      </c>
      <c r="J30" s="1014">
        <f t="shared" si="15"/>
        <v>0</v>
      </c>
      <c r="K30" s="1014"/>
      <c r="L30" s="1014"/>
      <c r="M30" s="1014">
        <f t="shared" si="16"/>
        <v>0</v>
      </c>
      <c r="N30" s="1014"/>
      <c r="O30" s="1014"/>
      <c r="P30" s="1014">
        <f t="shared" si="17"/>
        <v>0</v>
      </c>
      <c r="Q30" s="1014"/>
      <c r="R30" s="1014"/>
      <c r="S30" s="1014">
        <f t="shared" si="18"/>
        <v>0</v>
      </c>
      <c r="T30" s="1014">
        <f t="shared" si="19"/>
        <v>0</v>
      </c>
      <c r="U30" s="1014"/>
      <c r="V30" s="1014"/>
      <c r="W30" s="1014">
        <f t="shared" si="20"/>
        <v>0</v>
      </c>
      <c r="X30" s="1014"/>
      <c r="Y30" s="1014"/>
      <c r="Z30" s="1014">
        <f t="shared" si="21"/>
        <v>0</v>
      </c>
      <c r="AA30" s="1015"/>
      <c r="AB30" s="1014"/>
      <c r="AC30" s="1014">
        <f t="shared" si="22"/>
        <v>0</v>
      </c>
      <c r="AD30" s="1014"/>
      <c r="AE30" s="1014"/>
      <c r="AF30" s="1014">
        <f t="shared" si="23"/>
        <v>0</v>
      </c>
      <c r="AG30" s="1014"/>
      <c r="AH30" s="1014"/>
      <c r="AI30" s="1014">
        <f t="shared" si="24"/>
        <v>0</v>
      </c>
      <c r="AJ30" s="1014"/>
      <c r="AK30" s="1014"/>
      <c r="AL30" s="1014">
        <f t="shared" si="25"/>
        <v>0</v>
      </c>
      <c r="AM30" s="1014">
        <f t="shared" si="26"/>
        <v>0</v>
      </c>
      <c r="AN30" s="1014"/>
      <c r="AO30" s="1014"/>
      <c r="AP30" s="1014">
        <f t="shared" si="27"/>
        <v>0</v>
      </c>
      <c r="AQ30" s="1014"/>
      <c r="AR30" s="1014"/>
      <c r="AS30" s="1014">
        <f t="shared" si="28"/>
        <v>38</v>
      </c>
      <c r="AT30" s="1014">
        <f t="shared" si="29"/>
        <v>0</v>
      </c>
      <c r="AU30" s="1014"/>
      <c r="AV30" s="1014"/>
      <c r="AW30" s="1014">
        <f t="shared" si="30"/>
        <v>0</v>
      </c>
      <c r="AX30" s="1014"/>
      <c r="AY30" s="1014"/>
      <c r="AZ30" s="1014">
        <f t="shared" si="31"/>
        <v>38</v>
      </c>
      <c r="BA30" s="1014">
        <v>36</v>
      </c>
      <c r="BB30" s="1014">
        <v>2</v>
      </c>
      <c r="BC30" s="404" t="e">
        <f>U30+#REF!+X30+AA30</f>
        <v>#REF!</v>
      </c>
      <c r="BD30" s="404" t="e">
        <f>V30+#REF!+Y30+AB30</f>
        <v>#REF!</v>
      </c>
      <c r="BE30" s="404">
        <f t="shared" si="4"/>
        <v>0</v>
      </c>
      <c r="BF30" s="404">
        <f t="shared" si="5"/>
        <v>0</v>
      </c>
      <c r="BG30" s="408">
        <f t="shared" si="6"/>
        <v>0</v>
      </c>
      <c r="BH30" s="408">
        <f t="shared" si="7"/>
        <v>0</v>
      </c>
      <c r="BI30" s="408" t="e">
        <f>#REF!+K30+#REF!+BA30+Q30+#REF!</f>
        <v>#REF!</v>
      </c>
      <c r="BJ30" s="408" t="e">
        <f>#REF!+L30+#REF!+BB30+R30+#REF!</f>
        <v>#REF!</v>
      </c>
      <c r="BK30" s="408">
        <f t="shared" si="8"/>
        <v>0</v>
      </c>
      <c r="BL30" s="408">
        <f t="shared" si="9"/>
        <v>0</v>
      </c>
      <c r="BN30" s="404" t="e">
        <f>#REF!+L30+R30+#REF!+#REF!+BB30</f>
        <v>#REF!</v>
      </c>
      <c r="BO30" s="404">
        <f t="shared" si="2"/>
        <v>0</v>
      </c>
    </row>
    <row r="31" spans="1:67" ht="25.5" customHeight="1" x14ac:dyDescent="0.25">
      <c r="A31" s="405">
        <v>20</v>
      </c>
      <c r="B31" s="406" t="s">
        <v>131</v>
      </c>
      <c r="C31" s="1014">
        <f t="shared" si="10"/>
        <v>1784</v>
      </c>
      <c r="D31" s="1014">
        <f t="shared" si="11"/>
        <v>1687</v>
      </c>
      <c r="E31" s="1014">
        <f t="shared" si="12"/>
        <v>97</v>
      </c>
      <c r="F31" s="1014">
        <f t="shared" si="13"/>
        <v>0</v>
      </c>
      <c r="G31" s="1014"/>
      <c r="H31" s="1014"/>
      <c r="I31" s="1014">
        <f t="shared" si="14"/>
        <v>0</v>
      </c>
      <c r="J31" s="1014">
        <f t="shared" si="15"/>
        <v>0</v>
      </c>
      <c r="K31" s="1014"/>
      <c r="L31" s="1014"/>
      <c r="M31" s="1014">
        <f t="shared" si="16"/>
        <v>0</v>
      </c>
      <c r="N31" s="1014"/>
      <c r="O31" s="1014"/>
      <c r="P31" s="1014">
        <f t="shared" si="17"/>
        <v>0</v>
      </c>
      <c r="Q31" s="1014"/>
      <c r="R31" s="1014"/>
      <c r="S31" s="1014">
        <f t="shared" si="18"/>
        <v>0</v>
      </c>
      <c r="T31" s="1014">
        <f t="shared" si="19"/>
        <v>0</v>
      </c>
      <c r="U31" s="1014"/>
      <c r="V31" s="1014"/>
      <c r="W31" s="1014">
        <f t="shared" si="20"/>
        <v>0</v>
      </c>
      <c r="X31" s="1014"/>
      <c r="Y31" s="1014"/>
      <c r="Z31" s="1014">
        <f t="shared" si="21"/>
        <v>0</v>
      </c>
      <c r="AA31" s="1015"/>
      <c r="AB31" s="1014"/>
      <c r="AC31" s="1014">
        <f t="shared" si="22"/>
        <v>0</v>
      </c>
      <c r="AD31" s="1014"/>
      <c r="AE31" s="1014"/>
      <c r="AF31" s="1014">
        <f t="shared" si="23"/>
        <v>0</v>
      </c>
      <c r="AG31" s="1014"/>
      <c r="AH31" s="1014"/>
      <c r="AI31" s="1014">
        <f t="shared" si="24"/>
        <v>0</v>
      </c>
      <c r="AJ31" s="1014"/>
      <c r="AK31" s="1014"/>
      <c r="AL31" s="1014">
        <f t="shared" si="25"/>
        <v>0</v>
      </c>
      <c r="AM31" s="1014">
        <f t="shared" si="26"/>
        <v>0</v>
      </c>
      <c r="AN31" s="1014"/>
      <c r="AO31" s="1014"/>
      <c r="AP31" s="1014">
        <f t="shared" si="27"/>
        <v>0</v>
      </c>
      <c r="AQ31" s="1014"/>
      <c r="AR31" s="1014"/>
      <c r="AS31" s="1014">
        <f t="shared" si="28"/>
        <v>1784</v>
      </c>
      <c r="AT31" s="1014">
        <f t="shared" si="29"/>
        <v>1746</v>
      </c>
      <c r="AU31" s="1014">
        <v>1651</v>
      </c>
      <c r="AV31" s="1014">
        <v>95</v>
      </c>
      <c r="AW31" s="1014">
        <f t="shared" si="30"/>
        <v>0</v>
      </c>
      <c r="AX31" s="1014"/>
      <c r="AY31" s="1014"/>
      <c r="AZ31" s="1014">
        <f t="shared" si="31"/>
        <v>38</v>
      </c>
      <c r="BA31" s="1014">
        <v>36</v>
      </c>
      <c r="BB31" s="1014">
        <v>2</v>
      </c>
      <c r="BC31" s="404" t="e">
        <f>U31+#REF!+X31+AA31</f>
        <v>#REF!</v>
      </c>
      <c r="BD31" s="404" t="e">
        <f>V31+#REF!+Y31+AB31</f>
        <v>#REF!</v>
      </c>
      <c r="BE31" s="404">
        <f t="shared" si="4"/>
        <v>0</v>
      </c>
      <c r="BF31" s="404">
        <f t="shared" si="5"/>
        <v>0</v>
      </c>
      <c r="BG31" s="408">
        <f t="shared" si="6"/>
        <v>1651</v>
      </c>
      <c r="BH31" s="408">
        <f t="shared" si="7"/>
        <v>95</v>
      </c>
      <c r="BI31" s="408" t="e">
        <f>#REF!+K31+#REF!+BA31+Q31+#REF!</f>
        <v>#REF!</v>
      </c>
      <c r="BJ31" s="408" t="e">
        <f>#REF!+L31+#REF!+BB31+R31+#REF!</f>
        <v>#REF!</v>
      </c>
      <c r="BK31" s="408">
        <f t="shared" si="8"/>
        <v>0</v>
      </c>
      <c r="BL31" s="408">
        <f t="shared" si="9"/>
        <v>0</v>
      </c>
      <c r="BN31" s="404" t="e">
        <f>#REF!+L31+R31+#REF!+#REF!+BB31</f>
        <v>#REF!</v>
      </c>
      <c r="BO31" s="404">
        <f t="shared" si="2"/>
        <v>0</v>
      </c>
    </row>
    <row r="32" spans="1:67" ht="25.5" customHeight="1" x14ac:dyDescent="0.25">
      <c r="A32" s="405">
        <v>21</v>
      </c>
      <c r="B32" s="406" t="s">
        <v>230</v>
      </c>
      <c r="C32" s="1014">
        <f t="shared" si="10"/>
        <v>398</v>
      </c>
      <c r="D32" s="1014">
        <f t="shared" si="11"/>
        <v>396</v>
      </c>
      <c r="E32" s="1014">
        <f t="shared" si="12"/>
        <v>2</v>
      </c>
      <c r="F32" s="1014">
        <f t="shared" si="13"/>
        <v>0</v>
      </c>
      <c r="G32" s="1014"/>
      <c r="H32" s="1014"/>
      <c r="I32" s="1014">
        <f t="shared" si="14"/>
        <v>0</v>
      </c>
      <c r="J32" s="1014">
        <f t="shared" si="15"/>
        <v>0</v>
      </c>
      <c r="K32" s="1014"/>
      <c r="L32" s="1014"/>
      <c r="M32" s="1014">
        <f t="shared" si="16"/>
        <v>0</v>
      </c>
      <c r="N32" s="1014"/>
      <c r="O32" s="1014"/>
      <c r="P32" s="1014">
        <f t="shared" si="17"/>
        <v>0</v>
      </c>
      <c r="Q32" s="1014"/>
      <c r="R32" s="1014"/>
      <c r="S32" s="1014">
        <f t="shared" si="18"/>
        <v>0</v>
      </c>
      <c r="T32" s="1014">
        <f t="shared" si="19"/>
        <v>0</v>
      </c>
      <c r="U32" s="1014"/>
      <c r="V32" s="1014"/>
      <c r="W32" s="1014">
        <f t="shared" si="20"/>
        <v>0</v>
      </c>
      <c r="X32" s="1014"/>
      <c r="Y32" s="1014"/>
      <c r="Z32" s="1014">
        <f t="shared" si="21"/>
        <v>0</v>
      </c>
      <c r="AA32" s="1015"/>
      <c r="AB32" s="1014"/>
      <c r="AC32" s="1014">
        <f t="shared" si="22"/>
        <v>0</v>
      </c>
      <c r="AD32" s="1014"/>
      <c r="AE32" s="1014"/>
      <c r="AF32" s="1014">
        <f t="shared" si="23"/>
        <v>0</v>
      </c>
      <c r="AG32" s="1014"/>
      <c r="AH32" s="1014"/>
      <c r="AI32" s="1014">
        <f t="shared" si="24"/>
        <v>0</v>
      </c>
      <c r="AJ32" s="1014"/>
      <c r="AK32" s="1014"/>
      <c r="AL32" s="1014">
        <f t="shared" si="25"/>
        <v>0</v>
      </c>
      <c r="AM32" s="1014">
        <f t="shared" si="26"/>
        <v>0</v>
      </c>
      <c r="AN32" s="1014"/>
      <c r="AO32" s="1014"/>
      <c r="AP32" s="1014">
        <f t="shared" si="27"/>
        <v>0</v>
      </c>
      <c r="AQ32" s="1014"/>
      <c r="AR32" s="1014"/>
      <c r="AS32" s="1014">
        <f t="shared" si="28"/>
        <v>398</v>
      </c>
      <c r="AT32" s="1014">
        <f t="shared" si="29"/>
        <v>0</v>
      </c>
      <c r="AU32" s="1014"/>
      <c r="AV32" s="1014"/>
      <c r="AW32" s="1014">
        <f t="shared" si="30"/>
        <v>360</v>
      </c>
      <c r="AX32" s="1014">
        <v>360</v>
      </c>
      <c r="AY32" s="1014"/>
      <c r="AZ32" s="1014">
        <f t="shared" si="31"/>
        <v>38</v>
      </c>
      <c r="BA32" s="1014">
        <v>36</v>
      </c>
      <c r="BB32" s="1014">
        <v>2</v>
      </c>
      <c r="BC32" s="404" t="e">
        <f>U32+#REF!+X32+AA32</f>
        <v>#REF!</v>
      </c>
      <c r="BD32" s="404" t="e">
        <f>V32+#REF!+Y32+AB32</f>
        <v>#REF!</v>
      </c>
      <c r="BE32" s="404">
        <f t="shared" si="4"/>
        <v>0</v>
      </c>
      <c r="BF32" s="404">
        <f t="shared" si="5"/>
        <v>0</v>
      </c>
      <c r="BG32" s="408">
        <f t="shared" si="6"/>
        <v>360</v>
      </c>
      <c r="BH32" s="408">
        <f t="shared" si="7"/>
        <v>0</v>
      </c>
      <c r="BI32" s="408" t="e">
        <f>#REF!+K32+#REF!+BA32+Q32+#REF!</f>
        <v>#REF!</v>
      </c>
      <c r="BJ32" s="408" t="e">
        <f>#REF!+L32+#REF!+BB32+R32+#REF!</f>
        <v>#REF!</v>
      </c>
      <c r="BK32" s="408">
        <f t="shared" si="8"/>
        <v>0</v>
      </c>
      <c r="BL32" s="408">
        <f t="shared" si="9"/>
        <v>0</v>
      </c>
      <c r="BN32" s="404" t="e">
        <f>#REF!+L32+R32+#REF!+#REF!+BB32</f>
        <v>#REF!</v>
      </c>
      <c r="BO32" s="404">
        <f t="shared" si="2"/>
        <v>0</v>
      </c>
    </row>
    <row r="33" spans="1:67" ht="25.5" customHeight="1" x14ac:dyDescent="0.25">
      <c r="A33" s="405">
        <v>22</v>
      </c>
      <c r="B33" s="406" t="s">
        <v>231</v>
      </c>
      <c r="C33" s="1014">
        <f t="shared" si="10"/>
        <v>38</v>
      </c>
      <c r="D33" s="1014">
        <f t="shared" si="11"/>
        <v>36</v>
      </c>
      <c r="E33" s="1014">
        <f t="shared" si="12"/>
        <v>2</v>
      </c>
      <c r="F33" s="1014">
        <f t="shared" si="13"/>
        <v>0</v>
      </c>
      <c r="G33" s="1014"/>
      <c r="H33" s="1014"/>
      <c r="I33" s="1014">
        <f t="shared" si="14"/>
        <v>0</v>
      </c>
      <c r="J33" s="1014">
        <f t="shared" si="15"/>
        <v>0</v>
      </c>
      <c r="K33" s="1014"/>
      <c r="L33" s="1014"/>
      <c r="M33" s="1014">
        <f t="shared" si="16"/>
        <v>0</v>
      </c>
      <c r="N33" s="1014"/>
      <c r="O33" s="1014"/>
      <c r="P33" s="1014">
        <f t="shared" si="17"/>
        <v>0</v>
      </c>
      <c r="Q33" s="1014"/>
      <c r="R33" s="1014"/>
      <c r="S33" s="1014">
        <f t="shared" si="18"/>
        <v>0</v>
      </c>
      <c r="T33" s="1014">
        <f t="shared" si="19"/>
        <v>0</v>
      </c>
      <c r="U33" s="1014"/>
      <c r="V33" s="1014"/>
      <c r="W33" s="1014">
        <f t="shared" si="20"/>
        <v>0</v>
      </c>
      <c r="X33" s="1014"/>
      <c r="Y33" s="1014"/>
      <c r="Z33" s="1014">
        <f t="shared" si="21"/>
        <v>0</v>
      </c>
      <c r="AA33" s="1015"/>
      <c r="AB33" s="1014"/>
      <c r="AC33" s="1014">
        <f t="shared" si="22"/>
        <v>0</v>
      </c>
      <c r="AD33" s="1014"/>
      <c r="AE33" s="1014"/>
      <c r="AF33" s="1014">
        <f t="shared" si="23"/>
        <v>0</v>
      </c>
      <c r="AG33" s="1014"/>
      <c r="AH33" s="1014"/>
      <c r="AI33" s="1014">
        <f t="shared" si="24"/>
        <v>0</v>
      </c>
      <c r="AJ33" s="1014"/>
      <c r="AK33" s="1014"/>
      <c r="AL33" s="1014">
        <f t="shared" si="25"/>
        <v>0</v>
      </c>
      <c r="AM33" s="1014">
        <f t="shared" si="26"/>
        <v>0</v>
      </c>
      <c r="AN33" s="1014"/>
      <c r="AO33" s="1014"/>
      <c r="AP33" s="1014">
        <f t="shared" si="27"/>
        <v>0</v>
      </c>
      <c r="AQ33" s="1014"/>
      <c r="AR33" s="1014"/>
      <c r="AS33" s="1014">
        <f t="shared" si="28"/>
        <v>38</v>
      </c>
      <c r="AT33" s="1014">
        <f t="shared" si="29"/>
        <v>0</v>
      </c>
      <c r="AU33" s="1014"/>
      <c r="AV33" s="1014"/>
      <c r="AW33" s="1014">
        <f t="shared" si="30"/>
        <v>0</v>
      </c>
      <c r="AX33" s="1014"/>
      <c r="AY33" s="1014"/>
      <c r="AZ33" s="1014">
        <f t="shared" si="31"/>
        <v>38</v>
      </c>
      <c r="BA33" s="1014">
        <v>36</v>
      </c>
      <c r="BB33" s="1014">
        <v>2</v>
      </c>
      <c r="BC33" s="404" t="e">
        <f>U33+#REF!+X33+AA33</f>
        <v>#REF!</v>
      </c>
      <c r="BD33" s="404" t="e">
        <f>V33+#REF!+Y33+AB33</f>
        <v>#REF!</v>
      </c>
      <c r="BE33" s="404">
        <f t="shared" si="4"/>
        <v>0</v>
      </c>
      <c r="BF33" s="404">
        <f t="shared" si="5"/>
        <v>0</v>
      </c>
      <c r="BG33" s="408">
        <f t="shared" si="6"/>
        <v>0</v>
      </c>
      <c r="BH33" s="408">
        <f t="shared" si="7"/>
        <v>0</v>
      </c>
      <c r="BI33" s="408" t="e">
        <f>#REF!+K33+#REF!+BA33+Q33+#REF!</f>
        <v>#REF!</v>
      </c>
      <c r="BJ33" s="408" t="e">
        <f>#REF!+L33+#REF!+BB33+R33+#REF!</f>
        <v>#REF!</v>
      </c>
      <c r="BK33" s="408">
        <f t="shared" si="8"/>
        <v>0</v>
      </c>
      <c r="BL33" s="408">
        <f t="shared" si="9"/>
        <v>0</v>
      </c>
      <c r="BN33" s="404" t="e">
        <f>#REF!+L33+R33+#REF!+#REF!+BB33</f>
        <v>#REF!</v>
      </c>
      <c r="BO33" s="404">
        <f t="shared" si="2"/>
        <v>0</v>
      </c>
    </row>
    <row r="34" spans="1:67" ht="25.5" customHeight="1" x14ac:dyDescent="0.25">
      <c r="A34" s="405">
        <v>23</v>
      </c>
      <c r="B34" s="406" t="s">
        <v>143</v>
      </c>
      <c r="C34" s="1014">
        <f t="shared" si="10"/>
        <v>38</v>
      </c>
      <c r="D34" s="1014">
        <f t="shared" si="11"/>
        <v>36</v>
      </c>
      <c r="E34" s="1014">
        <f t="shared" si="12"/>
        <v>2</v>
      </c>
      <c r="F34" s="1014">
        <f t="shared" si="13"/>
        <v>0</v>
      </c>
      <c r="G34" s="1014"/>
      <c r="H34" s="1014"/>
      <c r="I34" s="1014">
        <f t="shared" si="14"/>
        <v>0</v>
      </c>
      <c r="J34" s="1014">
        <f t="shared" si="15"/>
        <v>0</v>
      </c>
      <c r="K34" s="1014"/>
      <c r="L34" s="1014"/>
      <c r="M34" s="1014">
        <f t="shared" si="16"/>
        <v>0</v>
      </c>
      <c r="N34" s="1014"/>
      <c r="O34" s="1014"/>
      <c r="P34" s="1014">
        <f t="shared" si="17"/>
        <v>0</v>
      </c>
      <c r="Q34" s="1014"/>
      <c r="R34" s="1014"/>
      <c r="S34" s="1014">
        <f t="shared" si="18"/>
        <v>0</v>
      </c>
      <c r="T34" s="1014">
        <f t="shared" si="19"/>
        <v>0</v>
      </c>
      <c r="U34" s="1014"/>
      <c r="V34" s="1014"/>
      <c r="W34" s="1014">
        <f t="shared" si="20"/>
        <v>0</v>
      </c>
      <c r="X34" s="1014"/>
      <c r="Y34" s="1014"/>
      <c r="Z34" s="1014">
        <f t="shared" si="21"/>
        <v>0</v>
      </c>
      <c r="AA34" s="1015"/>
      <c r="AB34" s="1014"/>
      <c r="AC34" s="1014">
        <f t="shared" si="22"/>
        <v>0</v>
      </c>
      <c r="AD34" s="1014"/>
      <c r="AE34" s="1014"/>
      <c r="AF34" s="1014">
        <f t="shared" si="23"/>
        <v>0</v>
      </c>
      <c r="AG34" s="1014"/>
      <c r="AH34" s="1014"/>
      <c r="AI34" s="1014">
        <f t="shared" si="24"/>
        <v>0</v>
      </c>
      <c r="AJ34" s="1014"/>
      <c r="AK34" s="1014"/>
      <c r="AL34" s="1014">
        <f t="shared" si="25"/>
        <v>0</v>
      </c>
      <c r="AM34" s="1014">
        <f t="shared" si="26"/>
        <v>0</v>
      </c>
      <c r="AN34" s="1014"/>
      <c r="AO34" s="1014"/>
      <c r="AP34" s="1014">
        <f t="shared" si="27"/>
        <v>0</v>
      </c>
      <c r="AQ34" s="1014"/>
      <c r="AR34" s="1014"/>
      <c r="AS34" s="1014">
        <f t="shared" si="28"/>
        <v>38</v>
      </c>
      <c r="AT34" s="1014">
        <f t="shared" si="29"/>
        <v>0</v>
      </c>
      <c r="AU34" s="1014"/>
      <c r="AV34" s="1014"/>
      <c r="AW34" s="1014">
        <f t="shared" si="30"/>
        <v>0</v>
      </c>
      <c r="AX34" s="1014"/>
      <c r="AY34" s="1014"/>
      <c r="AZ34" s="1014">
        <f t="shared" si="31"/>
        <v>38</v>
      </c>
      <c r="BA34" s="1014">
        <v>36</v>
      </c>
      <c r="BB34" s="1014">
        <v>2</v>
      </c>
      <c r="BC34" s="407">
        <f>'B17-TDA3,DA10'!F76</f>
        <v>0</v>
      </c>
      <c r="BD34" s="407">
        <f>'B17-TDA3,DA10'!G76</f>
        <v>0</v>
      </c>
      <c r="BE34" s="407">
        <f>'B17-TDA3,DA10'!H76</f>
        <v>0</v>
      </c>
      <c r="BF34" s="407">
        <f>'B17-TDA3,DA10'!I76</f>
        <v>0</v>
      </c>
      <c r="BG34" s="407">
        <f>'B17-TDA3,DA10'!J76</f>
        <v>0</v>
      </c>
      <c r="BH34" s="407">
        <f>'B17-TDA3,DA10'!K76</f>
        <v>0</v>
      </c>
      <c r="BI34" s="407">
        <f>'B17-TDA3,DA10'!L76</f>
        <v>0</v>
      </c>
      <c r="BJ34" s="407">
        <f>'B17-TDA3,DA10'!M76</f>
        <v>0</v>
      </c>
      <c r="BK34" s="407">
        <f>'B17-TDA3,DA10'!N76</f>
        <v>0</v>
      </c>
      <c r="BL34" s="407">
        <f>'B17-TDA3,DA10'!O76</f>
        <v>0</v>
      </c>
      <c r="BN34" s="404" t="e">
        <f>#REF!+L34+R34+#REF!+#REF!+BB34</f>
        <v>#REF!</v>
      </c>
      <c r="BO34" s="404">
        <f t="shared" si="2"/>
        <v>0</v>
      </c>
    </row>
    <row r="35" spans="1:67" ht="25.5" customHeight="1" x14ac:dyDescent="0.25">
      <c r="A35" s="405">
        <v>24</v>
      </c>
      <c r="B35" s="406" t="s">
        <v>249</v>
      </c>
      <c r="C35" s="1014">
        <f t="shared" si="10"/>
        <v>38</v>
      </c>
      <c r="D35" s="1014">
        <f t="shared" si="11"/>
        <v>36</v>
      </c>
      <c r="E35" s="1014">
        <f t="shared" si="12"/>
        <v>2</v>
      </c>
      <c r="F35" s="1014">
        <f t="shared" si="13"/>
        <v>0</v>
      </c>
      <c r="G35" s="1014"/>
      <c r="H35" s="1014"/>
      <c r="I35" s="1014">
        <f t="shared" si="14"/>
        <v>0</v>
      </c>
      <c r="J35" s="1014">
        <f t="shared" si="15"/>
        <v>0</v>
      </c>
      <c r="K35" s="1014"/>
      <c r="L35" s="1014"/>
      <c r="M35" s="1014">
        <f t="shared" si="16"/>
        <v>0</v>
      </c>
      <c r="N35" s="1014"/>
      <c r="O35" s="1014"/>
      <c r="P35" s="1014">
        <f t="shared" si="17"/>
        <v>0</v>
      </c>
      <c r="Q35" s="1014"/>
      <c r="R35" s="1014"/>
      <c r="S35" s="1014">
        <f t="shared" si="18"/>
        <v>0</v>
      </c>
      <c r="T35" s="1014">
        <f t="shared" si="19"/>
        <v>0</v>
      </c>
      <c r="U35" s="1014"/>
      <c r="V35" s="1014"/>
      <c r="W35" s="1014">
        <f t="shared" si="20"/>
        <v>0</v>
      </c>
      <c r="X35" s="1014"/>
      <c r="Y35" s="1014"/>
      <c r="Z35" s="1014">
        <f t="shared" si="21"/>
        <v>0</v>
      </c>
      <c r="AA35" s="1015"/>
      <c r="AB35" s="1014"/>
      <c r="AC35" s="1014">
        <f t="shared" si="22"/>
        <v>0</v>
      </c>
      <c r="AD35" s="1014"/>
      <c r="AE35" s="1014"/>
      <c r="AF35" s="1014">
        <f t="shared" si="23"/>
        <v>0</v>
      </c>
      <c r="AG35" s="1014"/>
      <c r="AH35" s="1014"/>
      <c r="AI35" s="1014">
        <f t="shared" si="24"/>
        <v>0</v>
      </c>
      <c r="AJ35" s="1014"/>
      <c r="AK35" s="1014"/>
      <c r="AL35" s="1014">
        <f t="shared" si="25"/>
        <v>0</v>
      </c>
      <c r="AM35" s="1014">
        <f t="shared" si="26"/>
        <v>0</v>
      </c>
      <c r="AN35" s="1014"/>
      <c r="AO35" s="1014"/>
      <c r="AP35" s="1014">
        <f t="shared" si="27"/>
        <v>0</v>
      </c>
      <c r="AQ35" s="1014"/>
      <c r="AR35" s="1014"/>
      <c r="AS35" s="1014">
        <f t="shared" si="28"/>
        <v>38</v>
      </c>
      <c r="AT35" s="1014">
        <f t="shared" si="29"/>
        <v>0</v>
      </c>
      <c r="AU35" s="1014"/>
      <c r="AV35" s="1014"/>
      <c r="AW35" s="1014">
        <f t="shared" si="30"/>
        <v>0</v>
      </c>
      <c r="AX35" s="1014"/>
      <c r="AY35" s="1014"/>
      <c r="AZ35" s="1014">
        <f t="shared" si="31"/>
        <v>38</v>
      </c>
      <c r="BA35" s="1014">
        <v>36</v>
      </c>
      <c r="BB35" s="1014">
        <v>2</v>
      </c>
      <c r="BC35" s="407">
        <f>'B17-TDA3,DA10'!F77</f>
        <v>0</v>
      </c>
      <c r="BD35" s="407">
        <f>'B17-TDA3,DA10'!G77</f>
        <v>0</v>
      </c>
      <c r="BE35" s="407">
        <f>'B17-TDA3,DA10'!H77</f>
        <v>0</v>
      </c>
      <c r="BF35" s="407">
        <f>'B17-TDA3,DA10'!I77</f>
        <v>0</v>
      </c>
      <c r="BG35" s="407">
        <f>'B17-TDA3,DA10'!J77</f>
        <v>0</v>
      </c>
      <c r="BH35" s="407">
        <f>'B17-TDA3,DA10'!K77</f>
        <v>0</v>
      </c>
      <c r="BI35" s="407">
        <f>'B17-TDA3,DA10'!L77</f>
        <v>0</v>
      </c>
      <c r="BJ35" s="407">
        <f>'B17-TDA3,DA10'!M77</f>
        <v>0</v>
      </c>
      <c r="BK35" s="407">
        <f>'B17-TDA3,DA10'!N77</f>
        <v>0</v>
      </c>
      <c r="BL35" s="407">
        <f>'B17-TDA3,DA10'!O77</f>
        <v>0</v>
      </c>
      <c r="BN35" s="404" t="e">
        <f>#REF!+L35+R35+#REF!+#REF!+BB35</f>
        <v>#REF!</v>
      </c>
      <c r="BO35" s="404">
        <f t="shared" si="2"/>
        <v>0</v>
      </c>
    </row>
    <row r="36" spans="1:67" ht="39" customHeight="1" x14ac:dyDescent="0.25">
      <c r="A36" s="429">
        <v>25</v>
      </c>
      <c r="B36" s="430" t="s">
        <v>319</v>
      </c>
      <c r="C36" s="1016">
        <f t="shared" ref="C36" si="32">SUM(D36:E36)</f>
        <v>860</v>
      </c>
      <c r="D36" s="1016">
        <f t="shared" ref="D36" si="33">G36+K36+N36+Q36+U36+X36+AA36+AD36+AG36+AJ36+AN36+AQ36+AU36+AX36+BA36</f>
        <v>860</v>
      </c>
      <c r="E36" s="1016">
        <f t="shared" ref="E36" si="34">H36+L36+O36+R36+V36+Y36+AB36+AE36+AH36+AK36+AO36+AR36+AV36+AY36+BB36</f>
        <v>0</v>
      </c>
      <c r="F36" s="1016">
        <f t="shared" ref="F36" si="35">SUM(G36:H36)</f>
        <v>0</v>
      </c>
      <c r="G36" s="1016"/>
      <c r="H36" s="1016"/>
      <c r="I36" s="1016">
        <f t="shared" ref="I36" si="36">J36+M36</f>
        <v>860</v>
      </c>
      <c r="J36" s="1016">
        <f t="shared" ref="J36" si="37">SUM(K36:L36)</f>
        <v>860</v>
      </c>
      <c r="K36" s="1016">
        <v>860</v>
      </c>
      <c r="L36" s="1016">
        <v>0</v>
      </c>
      <c r="M36" s="1016">
        <f t="shared" ref="M36" si="38">SUM(N36:O36)</f>
        <v>0</v>
      </c>
      <c r="N36" s="1016"/>
      <c r="O36" s="1016"/>
      <c r="P36" s="1016">
        <f t="shared" ref="P36" si="39">SUM(Q36:R36)</f>
        <v>0</v>
      </c>
      <c r="Q36" s="1016"/>
      <c r="R36" s="1016"/>
      <c r="S36" s="1016">
        <f t="shared" ref="S36" si="40">T36+W36+Z36</f>
        <v>0</v>
      </c>
      <c r="T36" s="1016">
        <f t="shared" ref="T36" si="41">SUM(U36:V36)</f>
        <v>0</v>
      </c>
      <c r="U36" s="1016"/>
      <c r="V36" s="1016"/>
      <c r="W36" s="1016">
        <f t="shared" ref="W36" si="42">SUM(X36:Y36)</f>
        <v>0</v>
      </c>
      <c r="X36" s="1016"/>
      <c r="Y36" s="1016"/>
      <c r="Z36" s="1016">
        <f t="shared" ref="Z36" si="43">SUM(AA36:AB36)</f>
        <v>0</v>
      </c>
      <c r="AA36" s="1017"/>
      <c r="AB36" s="1016"/>
      <c r="AC36" s="1016">
        <f t="shared" ref="AC36" si="44">SUM(AD36:AE36)</f>
        <v>0</v>
      </c>
      <c r="AD36" s="1016"/>
      <c r="AE36" s="1016"/>
      <c r="AF36" s="1016">
        <f t="shared" ref="AF36" si="45">SUM(AG36:AH36)</f>
        <v>0</v>
      </c>
      <c r="AG36" s="1016"/>
      <c r="AH36" s="1016"/>
      <c r="AI36" s="1016">
        <f t="shared" ref="AI36" si="46">SUM(AJ36:AK36)</f>
        <v>0</v>
      </c>
      <c r="AJ36" s="1016"/>
      <c r="AK36" s="1016"/>
      <c r="AL36" s="1016">
        <f t="shared" ref="AL36" si="47">AM36+AP36</f>
        <v>0</v>
      </c>
      <c r="AM36" s="1016">
        <f t="shared" ref="AM36" si="48">SUM(AN36:AO36)</f>
        <v>0</v>
      </c>
      <c r="AN36" s="1016"/>
      <c r="AO36" s="1016"/>
      <c r="AP36" s="1016">
        <f t="shared" ref="AP36" si="49">SUM(AQ36:AR36)</f>
        <v>0</v>
      </c>
      <c r="AQ36" s="1016"/>
      <c r="AR36" s="1016"/>
      <c r="AS36" s="1016">
        <f t="shared" ref="AS36" si="50">AT36+AW36+AZ36</f>
        <v>0</v>
      </c>
      <c r="AT36" s="1016">
        <f t="shared" ref="AT36" si="51">SUM(AU36:AV36)</f>
        <v>0</v>
      </c>
      <c r="AU36" s="1016"/>
      <c r="AV36" s="1016"/>
      <c r="AW36" s="1016">
        <f t="shared" ref="AW36" si="52">SUM(AX36:AY36)</f>
        <v>0</v>
      </c>
      <c r="AX36" s="1016"/>
      <c r="AY36" s="1016"/>
      <c r="AZ36" s="1016">
        <f t="shared" ref="AZ36" si="53">SUM(BA36:BB36)</f>
        <v>0</v>
      </c>
      <c r="BA36" s="1016"/>
      <c r="BB36" s="1016"/>
      <c r="BC36" s="404" t="e">
        <f>U36+#REF!+X36+AA36</f>
        <v>#REF!</v>
      </c>
      <c r="BD36" s="404" t="e">
        <f>V36+#REF!+Y36+AB36</f>
        <v>#REF!</v>
      </c>
      <c r="BE36" s="404">
        <f>N36+AG36</f>
        <v>0</v>
      </c>
      <c r="BF36" s="404">
        <f>O36+AH36</f>
        <v>0</v>
      </c>
      <c r="BG36" s="408">
        <f>AD36+AU36+AX36</f>
        <v>0</v>
      </c>
      <c r="BH36" s="408">
        <f>AE36+AV36+AY36</f>
        <v>0</v>
      </c>
      <c r="BI36" s="408" t="e">
        <f>#REF!+K36+#REF!+BA36+Q36+#REF!</f>
        <v>#REF!</v>
      </c>
      <c r="BJ36" s="408" t="e">
        <f>#REF!+L36+#REF!+BB36+R36+#REF!</f>
        <v>#REF!</v>
      </c>
      <c r="BK36" s="408">
        <f>G36+AJ36</f>
        <v>0</v>
      </c>
      <c r="BL36" s="408">
        <f>H36+AK36</f>
        <v>0</v>
      </c>
      <c r="BN36" s="404" t="e">
        <f>#REF!+L36+R36+#REF!+#REF!+BB36</f>
        <v>#REF!</v>
      </c>
      <c r="BO36" s="404">
        <f t="shared" si="2"/>
        <v>0</v>
      </c>
    </row>
    <row r="37" spans="1:67" s="2" customFormat="1" ht="24" customHeight="1" x14ac:dyDescent="0.25">
      <c r="A37" s="426" t="s">
        <v>31</v>
      </c>
      <c r="B37" s="433" t="s">
        <v>242</v>
      </c>
      <c r="C37" s="1018">
        <f>SUM(C38:C45)</f>
        <v>259179</v>
      </c>
      <c r="D37" s="1018">
        <f t="shared" ref="D37:AZ37" si="54">SUM(D38:D45)</f>
        <v>251213</v>
      </c>
      <c r="E37" s="1018">
        <f t="shared" si="54"/>
        <v>7966</v>
      </c>
      <c r="F37" s="1018">
        <f t="shared" si="54"/>
        <v>18830</v>
      </c>
      <c r="G37" s="1018">
        <v>17933.000000000004</v>
      </c>
      <c r="H37" s="1018">
        <v>897</v>
      </c>
      <c r="I37" s="1018">
        <f t="shared" si="54"/>
        <v>104716</v>
      </c>
      <c r="J37" s="1018">
        <f t="shared" si="54"/>
        <v>104716</v>
      </c>
      <c r="K37" s="1018">
        <v>104716</v>
      </c>
      <c r="L37" s="1018">
        <v>0</v>
      </c>
      <c r="M37" s="1018">
        <f t="shared" si="54"/>
        <v>0</v>
      </c>
      <c r="N37" s="1018">
        <v>0</v>
      </c>
      <c r="O37" s="1018">
        <v>0</v>
      </c>
      <c r="P37" s="1018">
        <f t="shared" si="54"/>
        <v>24456</v>
      </c>
      <c r="Q37" s="1018">
        <v>23291</v>
      </c>
      <c r="R37" s="1018">
        <v>1165</v>
      </c>
      <c r="S37" s="1018">
        <f t="shared" si="54"/>
        <v>74116</v>
      </c>
      <c r="T37" s="1018">
        <f t="shared" si="54"/>
        <v>11946</v>
      </c>
      <c r="U37" s="1018">
        <v>11112</v>
      </c>
      <c r="V37" s="1018">
        <v>834</v>
      </c>
      <c r="W37" s="1018">
        <f t="shared" si="54"/>
        <v>47147</v>
      </c>
      <c r="X37" s="1018">
        <v>43859</v>
      </c>
      <c r="Y37" s="1018">
        <v>3288</v>
      </c>
      <c r="Z37" s="1018">
        <f t="shared" si="54"/>
        <v>15023</v>
      </c>
      <c r="AA37" s="1019">
        <f t="shared" si="54"/>
        <v>15023</v>
      </c>
      <c r="AB37" s="1018">
        <v>0</v>
      </c>
      <c r="AC37" s="1018">
        <f t="shared" si="54"/>
        <v>2986</v>
      </c>
      <c r="AD37" s="1018">
        <v>2844</v>
      </c>
      <c r="AE37" s="1018">
        <v>142</v>
      </c>
      <c r="AF37" s="1018">
        <f t="shared" si="54"/>
        <v>0</v>
      </c>
      <c r="AG37" s="1018">
        <v>0</v>
      </c>
      <c r="AH37" s="1018">
        <v>0</v>
      </c>
      <c r="AI37" s="1018">
        <f t="shared" si="54"/>
        <v>21432</v>
      </c>
      <c r="AJ37" s="1018">
        <v>20411</v>
      </c>
      <c r="AK37" s="1018">
        <v>1021</v>
      </c>
      <c r="AL37" s="1018">
        <f t="shared" si="54"/>
        <v>4001</v>
      </c>
      <c r="AM37" s="1018">
        <f t="shared" si="54"/>
        <v>0</v>
      </c>
      <c r="AN37" s="1018">
        <v>0</v>
      </c>
      <c r="AO37" s="1018">
        <v>0</v>
      </c>
      <c r="AP37" s="1018">
        <f t="shared" si="54"/>
        <v>4001</v>
      </c>
      <c r="AQ37" s="1018">
        <v>3810</v>
      </c>
      <c r="AR37" s="1018">
        <v>191</v>
      </c>
      <c r="AS37" s="1018">
        <f t="shared" si="54"/>
        <v>8642</v>
      </c>
      <c r="AT37" s="1018">
        <f t="shared" si="54"/>
        <v>5819</v>
      </c>
      <c r="AU37" s="1018">
        <v>5504</v>
      </c>
      <c r="AV37" s="1018">
        <v>315</v>
      </c>
      <c r="AW37" s="1018">
        <f t="shared" si="54"/>
        <v>700</v>
      </c>
      <c r="AX37" s="1018">
        <v>700</v>
      </c>
      <c r="AY37" s="1018">
        <v>0</v>
      </c>
      <c r="AZ37" s="1018">
        <f t="shared" si="54"/>
        <v>2123</v>
      </c>
      <c r="BA37" s="1018">
        <v>2010</v>
      </c>
      <c r="BB37" s="1018">
        <v>113</v>
      </c>
      <c r="BC37" s="404"/>
      <c r="BD37" s="404"/>
      <c r="BE37" s="404"/>
      <c r="BF37" s="404"/>
      <c r="BG37" s="408"/>
      <c r="BH37" s="408"/>
      <c r="BI37" s="408"/>
      <c r="BJ37" s="408"/>
      <c r="BK37" s="408"/>
      <c r="BL37" s="408"/>
      <c r="BN37" s="99" t="e">
        <f>#REF!+L37+R37+#REF!+#REF!+BB37</f>
        <v>#REF!</v>
      </c>
      <c r="BO37" s="99">
        <f t="shared" si="2"/>
        <v>1918</v>
      </c>
    </row>
    <row r="38" spans="1:67" ht="24" customHeight="1" x14ac:dyDescent="0.25">
      <c r="A38" s="431">
        <v>1</v>
      </c>
      <c r="B38" s="432" t="s">
        <v>38</v>
      </c>
      <c r="C38" s="1020">
        <f t="shared" si="10"/>
        <v>32737</v>
      </c>
      <c r="D38" s="1020">
        <f t="shared" si="11"/>
        <v>31776</v>
      </c>
      <c r="E38" s="1020">
        <f t="shared" si="12"/>
        <v>961</v>
      </c>
      <c r="F38" s="1020">
        <f t="shared" si="13"/>
        <v>3173</v>
      </c>
      <c r="G38" s="1021">
        <v>3022</v>
      </c>
      <c r="H38" s="1021">
        <v>151</v>
      </c>
      <c r="I38" s="1020">
        <f t="shared" si="14"/>
        <v>13828</v>
      </c>
      <c r="J38" s="1020">
        <f t="shared" si="15"/>
        <v>13828</v>
      </c>
      <c r="K38" s="1020">
        <v>13828</v>
      </c>
      <c r="L38" s="1020">
        <v>0</v>
      </c>
      <c r="M38" s="1020">
        <f t="shared" si="16"/>
        <v>0</v>
      </c>
      <c r="N38" s="1020"/>
      <c r="O38" s="1020"/>
      <c r="P38" s="1020">
        <f t="shared" si="17"/>
        <v>2932</v>
      </c>
      <c r="Q38" s="1020">
        <v>2792</v>
      </c>
      <c r="R38" s="1020">
        <v>140</v>
      </c>
      <c r="S38" s="1020">
        <f t="shared" si="18"/>
        <v>8275</v>
      </c>
      <c r="T38" s="1020">
        <f t="shared" si="19"/>
        <v>587</v>
      </c>
      <c r="U38" s="1020">
        <v>546</v>
      </c>
      <c r="V38" s="1020">
        <v>41</v>
      </c>
      <c r="W38" s="1020">
        <f t="shared" si="20"/>
        <v>5893</v>
      </c>
      <c r="X38" s="1020">
        <v>5482</v>
      </c>
      <c r="Y38" s="1020">
        <v>411</v>
      </c>
      <c r="Z38" s="1020">
        <f t="shared" si="21"/>
        <v>1795</v>
      </c>
      <c r="AA38" s="1022">
        <v>1795</v>
      </c>
      <c r="AB38" s="1020"/>
      <c r="AC38" s="1020">
        <f t="shared" si="22"/>
        <v>366</v>
      </c>
      <c r="AD38" s="1020">
        <v>349</v>
      </c>
      <c r="AE38" s="1020">
        <v>17</v>
      </c>
      <c r="AF38" s="1020">
        <f t="shared" si="23"/>
        <v>0</v>
      </c>
      <c r="AG38" s="1020"/>
      <c r="AH38" s="1020"/>
      <c r="AI38" s="1020">
        <f t="shared" si="24"/>
        <v>2625</v>
      </c>
      <c r="AJ38" s="1020">
        <v>2500</v>
      </c>
      <c r="AK38" s="1020">
        <v>125</v>
      </c>
      <c r="AL38" s="1020">
        <f t="shared" si="25"/>
        <v>434</v>
      </c>
      <c r="AM38" s="1020">
        <f t="shared" si="26"/>
        <v>0</v>
      </c>
      <c r="AN38" s="1020"/>
      <c r="AO38" s="1020"/>
      <c r="AP38" s="1020">
        <f t="shared" si="27"/>
        <v>434</v>
      </c>
      <c r="AQ38" s="1020">
        <v>413</v>
      </c>
      <c r="AR38" s="1020">
        <v>21</v>
      </c>
      <c r="AS38" s="1020">
        <f t="shared" si="28"/>
        <v>1104</v>
      </c>
      <c r="AT38" s="1020">
        <f t="shared" si="29"/>
        <v>754</v>
      </c>
      <c r="AU38" s="1020">
        <v>713</v>
      </c>
      <c r="AV38" s="1020">
        <v>41</v>
      </c>
      <c r="AW38" s="1020">
        <f t="shared" si="30"/>
        <v>85</v>
      </c>
      <c r="AX38" s="1020">
        <v>85</v>
      </c>
      <c r="AY38" s="1020"/>
      <c r="AZ38" s="1020">
        <f t="shared" si="31"/>
        <v>265</v>
      </c>
      <c r="BA38" s="1020">
        <v>251</v>
      </c>
      <c r="BB38" s="1020">
        <v>14</v>
      </c>
      <c r="BC38" s="407">
        <f>'B17-TDA3,DA10'!F79</f>
        <v>0</v>
      </c>
      <c r="BD38" s="407">
        <f>'B17-TDA3,DA10'!G79</f>
        <v>0</v>
      </c>
      <c r="BE38" s="407">
        <f>'B17-TDA3,DA10'!H79</f>
        <v>0</v>
      </c>
      <c r="BF38" s="407">
        <f>'B17-TDA3,DA10'!I79</f>
        <v>0</v>
      </c>
      <c r="BG38" s="407">
        <f>'B17-TDA3,DA10'!J79</f>
        <v>0</v>
      </c>
      <c r="BH38" s="407">
        <f>'B17-TDA3,DA10'!K79</f>
        <v>0</v>
      </c>
      <c r="BI38" s="407">
        <f>'B17-TDA3,DA10'!L79</f>
        <v>0</v>
      </c>
      <c r="BJ38" s="407">
        <f>'B17-TDA3,DA10'!M79</f>
        <v>0</v>
      </c>
      <c r="BK38" s="407">
        <f>'B17-TDA3,DA10'!N79</f>
        <v>0</v>
      </c>
      <c r="BL38" s="407">
        <f>'B17-TDA3,DA10'!O79</f>
        <v>0</v>
      </c>
      <c r="BN38" s="404" t="e">
        <f>#REF!+L38+R38+#REF!+#REF!+BB38</f>
        <v>#REF!</v>
      </c>
      <c r="BO38" s="404">
        <f t="shared" si="2"/>
        <v>276</v>
      </c>
    </row>
    <row r="39" spans="1:67" ht="24" customHeight="1" x14ac:dyDescent="0.25">
      <c r="A39" s="405">
        <v>2</v>
      </c>
      <c r="B39" s="3" t="s">
        <v>39</v>
      </c>
      <c r="C39" s="1014">
        <f t="shared" si="10"/>
        <v>30501</v>
      </c>
      <c r="D39" s="1014">
        <f t="shared" si="11"/>
        <v>29418</v>
      </c>
      <c r="E39" s="1014">
        <f t="shared" si="12"/>
        <v>1083</v>
      </c>
      <c r="F39" s="1014">
        <f t="shared" si="13"/>
        <v>1675</v>
      </c>
      <c r="G39" s="1023">
        <v>1595</v>
      </c>
      <c r="H39" s="1023">
        <v>80</v>
      </c>
      <c r="I39" s="1014">
        <f t="shared" si="14"/>
        <v>9176</v>
      </c>
      <c r="J39" s="1014">
        <f t="shared" si="15"/>
        <v>9176</v>
      </c>
      <c r="K39" s="1014">
        <v>9176</v>
      </c>
      <c r="L39" s="1014">
        <v>0</v>
      </c>
      <c r="M39" s="1014">
        <f t="shared" si="16"/>
        <v>0</v>
      </c>
      <c r="N39" s="1014"/>
      <c r="O39" s="1014"/>
      <c r="P39" s="1014">
        <f t="shared" si="17"/>
        <v>3764</v>
      </c>
      <c r="Q39" s="1014">
        <v>3585</v>
      </c>
      <c r="R39" s="1014">
        <v>179</v>
      </c>
      <c r="S39" s="1014">
        <f t="shared" si="18"/>
        <v>10016</v>
      </c>
      <c r="T39" s="1014">
        <f t="shared" si="19"/>
        <v>1844</v>
      </c>
      <c r="U39" s="1014">
        <v>1715</v>
      </c>
      <c r="V39" s="1014">
        <v>129</v>
      </c>
      <c r="W39" s="1014">
        <f t="shared" si="20"/>
        <v>5893</v>
      </c>
      <c r="X39" s="1014">
        <v>5482</v>
      </c>
      <c r="Y39" s="1014">
        <v>411</v>
      </c>
      <c r="Z39" s="1014">
        <f t="shared" si="21"/>
        <v>2279</v>
      </c>
      <c r="AA39" s="1015">
        <v>2279</v>
      </c>
      <c r="AB39" s="1014"/>
      <c r="AC39" s="1014">
        <f t="shared" si="22"/>
        <v>394</v>
      </c>
      <c r="AD39" s="1014">
        <v>375</v>
      </c>
      <c r="AE39" s="1014">
        <v>19</v>
      </c>
      <c r="AF39" s="1014">
        <f t="shared" si="23"/>
        <v>0</v>
      </c>
      <c r="AG39" s="1014"/>
      <c r="AH39" s="1014"/>
      <c r="AI39" s="1014">
        <f t="shared" si="24"/>
        <v>3376</v>
      </c>
      <c r="AJ39" s="1014">
        <v>3215</v>
      </c>
      <c r="AK39" s="1014">
        <v>161</v>
      </c>
      <c r="AL39" s="1014">
        <f t="shared" si="25"/>
        <v>638</v>
      </c>
      <c r="AM39" s="1014">
        <f t="shared" si="26"/>
        <v>0</v>
      </c>
      <c r="AN39" s="1014"/>
      <c r="AO39" s="1014"/>
      <c r="AP39" s="1014">
        <f t="shared" si="27"/>
        <v>638</v>
      </c>
      <c r="AQ39" s="1014">
        <v>608</v>
      </c>
      <c r="AR39" s="1014">
        <v>30</v>
      </c>
      <c r="AS39" s="1014">
        <f t="shared" si="28"/>
        <v>1462</v>
      </c>
      <c r="AT39" s="1014">
        <f t="shared" si="29"/>
        <v>1077</v>
      </c>
      <c r="AU39" s="1014">
        <v>1019</v>
      </c>
      <c r="AV39" s="1014">
        <v>58</v>
      </c>
      <c r="AW39" s="1014">
        <f t="shared" si="30"/>
        <v>86</v>
      </c>
      <c r="AX39" s="1014">
        <v>86</v>
      </c>
      <c r="AY39" s="1014"/>
      <c r="AZ39" s="1014">
        <f t="shared" si="31"/>
        <v>299</v>
      </c>
      <c r="BA39" s="1014">
        <v>283</v>
      </c>
      <c r="BB39" s="1014">
        <v>16</v>
      </c>
      <c r="BC39" s="407">
        <f>'B17-TDA3,DA10'!F80</f>
        <v>0</v>
      </c>
      <c r="BD39" s="407">
        <f>'B17-TDA3,DA10'!G80</f>
        <v>0</v>
      </c>
      <c r="BE39" s="407">
        <f>'B17-TDA3,DA10'!H80</f>
        <v>0</v>
      </c>
      <c r="BF39" s="407">
        <f>'B17-TDA3,DA10'!I80</f>
        <v>0</v>
      </c>
      <c r="BG39" s="407">
        <f>'B17-TDA3,DA10'!J80</f>
        <v>0</v>
      </c>
      <c r="BH39" s="407">
        <f>'B17-TDA3,DA10'!K80</f>
        <v>0</v>
      </c>
      <c r="BI39" s="407">
        <f>'B17-TDA3,DA10'!L80</f>
        <v>0</v>
      </c>
      <c r="BJ39" s="407">
        <f>'B17-TDA3,DA10'!M80</f>
        <v>0</v>
      </c>
      <c r="BK39" s="407">
        <f>'B17-TDA3,DA10'!N80</f>
        <v>0</v>
      </c>
      <c r="BL39" s="407">
        <f>'B17-TDA3,DA10'!O80</f>
        <v>0</v>
      </c>
      <c r="BN39" s="404" t="e">
        <f>#REF!+L39+R39+#REF!+#REF!+BB39</f>
        <v>#REF!</v>
      </c>
      <c r="BO39" s="404">
        <f t="shared" si="2"/>
        <v>241</v>
      </c>
    </row>
    <row r="40" spans="1:67" ht="24" customHeight="1" x14ac:dyDescent="0.25">
      <c r="A40" s="405">
        <v>3</v>
      </c>
      <c r="B40" s="3" t="s">
        <v>40</v>
      </c>
      <c r="C40" s="1014">
        <f t="shared" si="10"/>
        <v>38012</v>
      </c>
      <c r="D40" s="1014">
        <f t="shared" si="11"/>
        <v>37028</v>
      </c>
      <c r="E40" s="1014">
        <f t="shared" si="12"/>
        <v>984</v>
      </c>
      <c r="F40" s="1014">
        <f t="shared" si="13"/>
        <v>1140</v>
      </c>
      <c r="G40" s="1023">
        <v>1086</v>
      </c>
      <c r="H40" s="1023">
        <v>54</v>
      </c>
      <c r="I40" s="1014">
        <f t="shared" si="14"/>
        <v>19421</v>
      </c>
      <c r="J40" s="1014">
        <f t="shared" si="15"/>
        <v>19421</v>
      </c>
      <c r="K40" s="1014">
        <v>19421</v>
      </c>
      <c r="L40" s="1014">
        <v>0</v>
      </c>
      <c r="M40" s="1014">
        <f t="shared" si="16"/>
        <v>0</v>
      </c>
      <c r="N40" s="1014"/>
      <c r="O40" s="1014"/>
      <c r="P40" s="1014">
        <f t="shared" si="17"/>
        <v>2765</v>
      </c>
      <c r="Q40" s="1014">
        <v>2633</v>
      </c>
      <c r="R40" s="1014">
        <v>132</v>
      </c>
      <c r="S40" s="1014">
        <f t="shared" si="18"/>
        <v>10218</v>
      </c>
      <c r="T40" s="1014">
        <f t="shared" si="19"/>
        <v>2489</v>
      </c>
      <c r="U40" s="1014">
        <v>2315</v>
      </c>
      <c r="V40" s="1014">
        <v>174</v>
      </c>
      <c r="W40" s="1014">
        <f t="shared" si="20"/>
        <v>5894</v>
      </c>
      <c r="X40" s="1014">
        <v>5483</v>
      </c>
      <c r="Y40" s="1014">
        <v>411</v>
      </c>
      <c r="Z40" s="1014">
        <f t="shared" si="21"/>
        <v>1835</v>
      </c>
      <c r="AA40" s="1015">
        <v>1835</v>
      </c>
      <c r="AB40" s="1014"/>
      <c r="AC40" s="1014">
        <f t="shared" si="22"/>
        <v>453</v>
      </c>
      <c r="AD40" s="1014">
        <v>431</v>
      </c>
      <c r="AE40" s="1014">
        <v>22</v>
      </c>
      <c r="AF40" s="1014">
        <f t="shared" si="23"/>
        <v>0</v>
      </c>
      <c r="AG40" s="1014"/>
      <c r="AH40" s="1014"/>
      <c r="AI40" s="1014">
        <f t="shared" si="24"/>
        <v>2464</v>
      </c>
      <c r="AJ40" s="1014">
        <v>2347</v>
      </c>
      <c r="AK40" s="1014">
        <v>117</v>
      </c>
      <c r="AL40" s="1014">
        <f t="shared" si="25"/>
        <v>658</v>
      </c>
      <c r="AM40" s="1014">
        <f t="shared" si="26"/>
        <v>0</v>
      </c>
      <c r="AN40" s="1014"/>
      <c r="AO40" s="1014"/>
      <c r="AP40" s="1014">
        <f t="shared" si="27"/>
        <v>658</v>
      </c>
      <c r="AQ40" s="1014">
        <v>627</v>
      </c>
      <c r="AR40" s="1014">
        <v>31</v>
      </c>
      <c r="AS40" s="1014">
        <f t="shared" si="28"/>
        <v>893</v>
      </c>
      <c r="AT40" s="1014">
        <f t="shared" si="29"/>
        <v>539</v>
      </c>
      <c r="AU40" s="1014">
        <v>510</v>
      </c>
      <c r="AV40" s="1014">
        <v>29</v>
      </c>
      <c r="AW40" s="1014">
        <f t="shared" si="30"/>
        <v>94</v>
      </c>
      <c r="AX40" s="1014">
        <v>94</v>
      </c>
      <c r="AY40" s="1014"/>
      <c r="AZ40" s="1014">
        <f t="shared" si="31"/>
        <v>260</v>
      </c>
      <c r="BA40" s="1014">
        <v>246</v>
      </c>
      <c r="BB40" s="1014">
        <v>14</v>
      </c>
      <c r="BC40" s="407">
        <f>'B17-TDA3,DA10'!F81</f>
        <v>0</v>
      </c>
      <c r="BD40" s="407">
        <f>'B17-TDA3,DA10'!G81</f>
        <v>0</v>
      </c>
      <c r="BE40" s="407">
        <f>'B17-TDA3,DA10'!H81</f>
        <v>0</v>
      </c>
      <c r="BF40" s="407">
        <f>'B17-TDA3,DA10'!I81</f>
        <v>0</v>
      </c>
      <c r="BG40" s="407">
        <f>'B17-TDA3,DA10'!J81</f>
        <v>0</v>
      </c>
      <c r="BH40" s="407">
        <f>'B17-TDA3,DA10'!K81</f>
        <v>0</v>
      </c>
      <c r="BI40" s="407">
        <f>'B17-TDA3,DA10'!L81</f>
        <v>0</v>
      </c>
      <c r="BJ40" s="407">
        <f>'B17-TDA3,DA10'!M81</f>
        <v>0</v>
      </c>
      <c r="BK40" s="407">
        <f>'B17-TDA3,DA10'!N81</f>
        <v>0</v>
      </c>
      <c r="BL40" s="407">
        <f>'B17-TDA3,DA10'!O81</f>
        <v>0</v>
      </c>
      <c r="BN40" s="404" t="e">
        <f>#REF!+L40+R40+#REF!+#REF!+BB40</f>
        <v>#REF!</v>
      </c>
      <c r="BO40" s="404">
        <f t="shared" si="2"/>
        <v>171</v>
      </c>
    </row>
    <row r="41" spans="1:67" ht="24" customHeight="1" x14ac:dyDescent="0.25">
      <c r="A41" s="405">
        <v>4</v>
      </c>
      <c r="B41" s="3" t="s">
        <v>41</v>
      </c>
      <c r="C41" s="1014">
        <f t="shared" si="10"/>
        <v>24145</v>
      </c>
      <c r="D41" s="1014">
        <f t="shared" si="11"/>
        <v>23331</v>
      </c>
      <c r="E41" s="1014">
        <f t="shared" si="12"/>
        <v>814</v>
      </c>
      <c r="F41" s="1014">
        <f t="shared" si="13"/>
        <v>753</v>
      </c>
      <c r="G41" s="1023">
        <v>717</v>
      </c>
      <c r="H41" s="1023">
        <v>36</v>
      </c>
      <c r="I41" s="1014">
        <f t="shared" si="14"/>
        <v>8049</v>
      </c>
      <c r="J41" s="1014">
        <f t="shared" si="15"/>
        <v>8049</v>
      </c>
      <c r="K41" s="1014">
        <v>8049</v>
      </c>
      <c r="L41" s="1014">
        <v>0</v>
      </c>
      <c r="M41" s="1014">
        <f t="shared" si="16"/>
        <v>0</v>
      </c>
      <c r="N41" s="1014"/>
      <c r="O41" s="1014"/>
      <c r="P41" s="1014">
        <f t="shared" si="17"/>
        <v>3173</v>
      </c>
      <c r="Q41" s="1014">
        <v>3022</v>
      </c>
      <c r="R41" s="1014">
        <v>151</v>
      </c>
      <c r="S41" s="1014">
        <f t="shared" si="18"/>
        <v>7721</v>
      </c>
      <c r="T41" s="1014">
        <f t="shared" si="19"/>
        <v>12</v>
      </c>
      <c r="U41" s="1014">
        <v>11</v>
      </c>
      <c r="V41" s="1014">
        <v>1</v>
      </c>
      <c r="W41" s="1014">
        <f t="shared" si="20"/>
        <v>5894</v>
      </c>
      <c r="X41" s="1014">
        <v>5483</v>
      </c>
      <c r="Y41" s="1014">
        <v>411</v>
      </c>
      <c r="Z41" s="1014">
        <f t="shared" si="21"/>
        <v>1815</v>
      </c>
      <c r="AA41" s="1015">
        <v>1815</v>
      </c>
      <c r="AB41" s="1014"/>
      <c r="AC41" s="1014">
        <f t="shared" si="22"/>
        <v>371</v>
      </c>
      <c r="AD41" s="1014">
        <v>353</v>
      </c>
      <c r="AE41" s="1014">
        <v>18</v>
      </c>
      <c r="AF41" s="1014">
        <f t="shared" si="23"/>
        <v>0</v>
      </c>
      <c r="AG41" s="1014"/>
      <c r="AH41" s="1014"/>
      <c r="AI41" s="1014">
        <f t="shared" si="24"/>
        <v>2679</v>
      </c>
      <c r="AJ41" s="1014">
        <v>2551</v>
      </c>
      <c r="AK41" s="1014">
        <v>128</v>
      </c>
      <c r="AL41" s="1014">
        <f t="shared" si="25"/>
        <v>295</v>
      </c>
      <c r="AM41" s="1014">
        <f t="shared" si="26"/>
        <v>0</v>
      </c>
      <c r="AN41" s="1014"/>
      <c r="AO41" s="1014"/>
      <c r="AP41" s="1014">
        <f t="shared" si="27"/>
        <v>295</v>
      </c>
      <c r="AQ41" s="1014">
        <v>281</v>
      </c>
      <c r="AR41" s="1014">
        <v>14</v>
      </c>
      <c r="AS41" s="1014">
        <f t="shared" si="28"/>
        <v>1104</v>
      </c>
      <c r="AT41" s="1014">
        <f t="shared" si="29"/>
        <v>754</v>
      </c>
      <c r="AU41" s="1014">
        <v>713</v>
      </c>
      <c r="AV41" s="1014">
        <v>41</v>
      </c>
      <c r="AW41" s="1014">
        <f t="shared" si="30"/>
        <v>85</v>
      </c>
      <c r="AX41" s="1014">
        <v>85</v>
      </c>
      <c r="AY41" s="1014"/>
      <c r="AZ41" s="1014">
        <f t="shared" si="31"/>
        <v>265</v>
      </c>
      <c r="BA41" s="1014">
        <v>251</v>
      </c>
      <c r="BB41" s="1014">
        <v>14</v>
      </c>
      <c r="BC41" s="407">
        <f>'B17-TDA3,DA10'!F82</f>
        <v>0</v>
      </c>
      <c r="BD41" s="407">
        <f>'B17-TDA3,DA10'!G82</f>
        <v>0</v>
      </c>
      <c r="BE41" s="407">
        <f>'B17-TDA3,DA10'!H82</f>
        <v>0</v>
      </c>
      <c r="BF41" s="407">
        <f>'B17-TDA3,DA10'!I82</f>
        <v>0</v>
      </c>
      <c r="BG41" s="407">
        <f>'B17-TDA3,DA10'!J82</f>
        <v>0</v>
      </c>
      <c r="BH41" s="407">
        <f>'B17-TDA3,DA10'!K82</f>
        <v>0</v>
      </c>
      <c r="BI41" s="407">
        <f>'B17-TDA3,DA10'!L82</f>
        <v>0</v>
      </c>
      <c r="BJ41" s="407">
        <f>'B17-TDA3,DA10'!M82</f>
        <v>0</v>
      </c>
      <c r="BK41" s="407">
        <f>'B17-TDA3,DA10'!N82</f>
        <v>0</v>
      </c>
      <c r="BL41" s="407">
        <f>'B17-TDA3,DA10'!O82</f>
        <v>0</v>
      </c>
      <c r="BN41" s="404" t="e">
        <f>#REF!+L41+R41+#REF!+#REF!+BB41</f>
        <v>#REF!</v>
      </c>
      <c r="BO41" s="404">
        <f t="shared" si="2"/>
        <v>164</v>
      </c>
    </row>
    <row r="42" spans="1:67" ht="24" customHeight="1" x14ac:dyDescent="0.25">
      <c r="A42" s="405">
        <v>5</v>
      </c>
      <c r="B42" s="3" t="s">
        <v>42</v>
      </c>
      <c r="C42" s="1014">
        <f t="shared" si="10"/>
        <v>45371</v>
      </c>
      <c r="D42" s="1014">
        <f t="shared" si="11"/>
        <v>44179</v>
      </c>
      <c r="E42" s="1014">
        <f t="shared" si="12"/>
        <v>1192</v>
      </c>
      <c r="F42" s="1014">
        <f t="shared" si="13"/>
        <v>2255</v>
      </c>
      <c r="G42" s="1023">
        <v>2148</v>
      </c>
      <c r="H42" s="1023">
        <v>107</v>
      </c>
      <c r="I42" s="1014">
        <f t="shared" si="14"/>
        <v>20950</v>
      </c>
      <c r="J42" s="1014">
        <f t="shared" si="15"/>
        <v>20950</v>
      </c>
      <c r="K42" s="1014">
        <v>20950</v>
      </c>
      <c r="L42" s="1014">
        <v>0</v>
      </c>
      <c r="M42" s="1014">
        <f t="shared" si="16"/>
        <v>0</v>
      </c>
      <c r="N42" s="1014"/>
      <c r="O42" s="1014"/>
      <c r="P42" s="1014">
        <f t="shared" si="17"/>
        <v>4941</v>
      </c>
      <c r="Q42" s="1014">
        <v>4706</v>
      </c>
      <c r="R42" s="1014">
        <v>235</v>
      </c>
      <c r="S42" s="1014">
        <f t="shared" si="18"/>
        <v>10619</v>
      </c>
      <c r="T42" s="1014">
        <f t="shared" si="19"/>
        <v>1763</v>
      </c>
      <c r="U42" s="1014">
        <v>1640</v>
      </c>
      <c r="V42" s="1014">
        <v>123</v>
      </c>
      <c r="W42" s="1014">
        <f t="shared" si="20"/>
        <v>5893</v>
      </c>
      <c r="X42" s="1014">
        <v>5482</v>
      </c>
      <c r="Y42" s="1014">
        <v>411</v>
      </c>
      <c r="Z42" s="1014">
        <f t="shared" si="21"/>
        <v>2963</v>
      </c>
      <c r="AA42" s="1015">
        <v>2963</v>
      </c>
      <c r="AB42" s="1014"/>
      <c r="AC42" s="1014">
        <f t="shared" si="22"/>
        <v>466</v>
      </c>
      <c r="AD42" s="1014">
        <v>444</v>
      </c>
      <c r="AE42" s="1014">
        <v>22</v>
      </c>
      <c r="AF42" s="1014">
        <f t="shared" si="23"/>
        <v>0</v>
      </c>
      <c r="AG42" s="1014"/>
      <c r="AH42" s="1014"/>
      <c r="AI42" s="1014">
        <f t="shared" si="24"/>
        <v>4125</v>
      </c>
      <c r="AJ42" s="1014">
        <v>3929</v>
      </c>
      <c r="AK42" s="1014">
        <v>196</v>
      </c>
      <c r="AL42" s="1014">
        <f t="shared" si="25"/>
        <v>566</v>
      </c>
      <c r="AM42" s="1014">
        <f t="shared" si="26"/>
        <v>0</v>
      </c>
      <c r="AN42" s="1014"/>
      <c r="AO42" s="1014"/>
      <c r="AP42" s="1014">
        <f t="shared" si="27"/>
        <v>566</v>
      </c>
      <c r="AQ42" s="1014">
        <v>539</v>
      </c>
      <c r="AR42" s="1014">
        <v>27</v>
      </c>
      <c r="AS42" s="1014">
        <f t="shared" si="28"/>
        <v>1449</v>
      </c>
      <c r="AT42" s="1014">
        <f t="shared" si="29"/>
        <v>916</v>
      </c>
      <c r="AU42" s="1014">
        <v>866</v>
      </c>
      <c r="AV42" s="1014">
        <v>50</v>
      </c>
      <c r="AW42" s="1014">
        <f t="shared" si="30"/>
        <v>138</v>
      </c>
      <c r="AX42" s="1014">
        <v>138</v>
      </c>
      <c r="AY42" s="1014"/>
      <c r="AZ42" s="1014">
        <f t="shared" si="31"/>
        <v>395</v>
      </c>
      <c r="BA42" s="1014">
        <v>374</v>
      </c>
      <c r="BB42" s="1014">
        <v>21</v>
      </c>
      <c r="BC42" s="407">
        <f>'B17-TDA3,DA10'!F83</f>
        <v>0</v>
      </c>
      <c r="BD42" s="407">
        <f>'B17-TDA3,DA10'!G83</f>
        <v>0</v>
      </c>
      <c r="BE42" s="407">
        <f>'B17-TDA3,DA10'!H83</f>
        <v>0</v>
      </c>
      <c r="BF42" s="407">
        <f>'B17-TDA3,DA10'!I83</f>
        <v>0</v>
      </c>
      <c r="BG42" s="407">
        <f>'B17-TDA3,DA10'!J83</f>
        <v>0</v>
      </c>
      <c r="BH42" s="407">
        <f>'B17-TDA3,DA10'!K83</f>
        <v>0</v>
      </c>
      <c r="BI42" s="407">
        <f>'B17-TDA3,DA10'!L83</f>
        <v>0</v>
      </c>
      <c r="BJ42" s="407">
        <f>'B17-TDA3,DA10'!M83</f>
        <v>0</v>
      </c>
      <c r="BK42" s="407">
        <f>'B17-TDA3,DA10'!N83</f>
        <v>0</v>
      </c>
      <c r="BL42" s="407">
        <f>'B17-TDA3,DA10'!O83</f>
        <v>0</v>
      </c>
      <c r="BN42" s="404" t="e">
        <f>#REF!+L42+R42+#REF!+#REF!+BB42</f>
        <v>#REF!</v>
      </c>
      <c r="BO42" s="404">
        <f t="shared" si="2"/>
        <v>303</v>
      </c>
    </row>
    <row r="43" spans="1:67" ht="24" customHeight="1" x14ac:dyDescent="0.25">
      <c r="A43" s="405">
        <v>6</v>
      </c>
      <c r="B43" s="3" t="s">
        <v>43</v>
      </c>
      <c r="C43" s="1014">
        <f t="shared" si="10"/>
        <v>42742</v>
      </c>
      <c r="D43" s="1014">
        <f t="shared" si="11"/>
        <v>41407</v>
      </c>
      <c r="E43" s="1014">
        <f t="shared" si="12"/>
        <v>1335</v>
      </c>
      <c r="F43" s="1014">
        <f t="shared" si="13"/>
        <v>6891</v>
      </c>
      <c r="G43" s="1023">
        <v>6562</v>
      </c>
      <c r="H43" s="1023">
        <v>329</v>
      </c>
      <c r="I43" s="1014">
        <f t="shared" si="14"/>
        <v>16944</v>
      </c>
      <c r="J43" s="1014">
        <f t="shared" si="15"/>
        <v>16944</v>
      </c>
      <c r="K43" s="1014">
        <v>16944</v>
      </c>
      <c r="L43" s="1014">
        <v>0</v>
      </c>
      <c r="M43" s="1014">
        <f t="shared" si="16"/>
        <v>0</v>
      </c>
      <c r="N43" s="1014"/>
      <c r="O43" s="1014"/>
      <c r="P43" s="1014">
        <f t="shared" si="17"/>
        <v>2998</v>
      </c>
      <c r="Q43" s="1014">
        <v>2855</v>
      </c>
      <c r="R43" s="1014">
        <v>143</v>
      </c>
      <c r="S43" s="1014">
        <f t="shared" si="18"/>
        <v>11107</v>
      </c>
      <c r="T43" s="1014">
        <f t="shared" si="19"/>
        <v>3196</v>
      </c>
      <c r="U43" s="1014">
        <v>2973</v>
      </c>
      <c r="V43" s="1014">
        <v>223</v>
      </c>
      <c r="W43" s="1014">
        <f t="shared" si="20"/>
        <v>5894</v>
      </c>
      <c r="X43" s="1014">
        <v>5483</v>
      </c>
      <c r="Y43" s="1014">
        <v>411</v>
      </c>
      <c r="Z43" s="1014">
        <f t="shared" si="21"/>
        <v>2017</v>
      </c>
      <c r="AA43" s="1015">
        <v>2017</v>
      </c>
      <c r="AB43" s="1014"/>
      <c r="AC43" s="1014">
        <f t="shared" si="22"/>
        <v>425</v>
      </c>
      <c r="AD43" s="1014">
        <v>405</v>
      </c>
      <c r="AE43" s="1014">
        <v>20</v>
      </c>
      <c r="AF43" s="1014">
        <f t="shared" si="23"/>
        <v>0</v>
      </c>
      <c r="AG43" s="1014"/>
      <c r="AH43" s="1014"/>
      <c r="AI43" s="1014">
        <f t="shared" si="24"/>
        <v>2680</v>
      </c>
      <c r="AJ43" s="1014">
        <v>2552</v>
      </c>
      <c r="AK43" s="1014">
        <v>128</v>
      </c>
      <c r="AL43" s="1014">
        <f t="shared" si="25"/>
        <v>769</v>
      </c>
      <c r="AM43" s="1014">
        <f t="shared" si="26"/>
        <v>0</v>
      </c>
      <c r="AN43" s="1014"/>
      <c r="AO43" s="1014"/>
      <c r="AP43" s="1014">
        <f t="shared" si="27"/>
        <v>769</v>
      </c>
      <c r="AQ43" s="1014">
        <v>732</v>
      </c>
      <c r="AR43" s="1014">
        <v>37</v>
      </c>
      <c r="AS43" s="1014">
        <f t="shared" si="28"/>
        <v>928</v>
      </c>
      <c r="AT43" s="1014">
        <f t="shared" si="29"/>
        <v>540</v>
      </c>
      <c r="AU43" s="1014">
        <v>511</v>
      </c>
      <c r="AV43" s="1014">
        <v>29</v>
      </c>
      <c r="AW43" s="1014">
        <f t="shared" si="30"/>
        <v>105</v>
      </c>
      <c r="AX43" s="1014">
        <v>105</v>
      </c>
      <c r="AY43" s="1014"/>
      <c r="AZ43" s="1014">
        <f t="shared" si="31"/>
        <v>283</v>
      </c>
      <c r="BA43" s="1014">
        <v>268</v>
      </c>
      <c r="BB43" s="1014">
        <v>15</v>
      </c>
      <c r="BC43" s="407">
        <f>'B17-TDA3,DA10'!F84</f>
        <v>0</v>
      </c>
      <c r="BD43" s="407">
        <f>'B17-TDA3,DA10'!G84</f>
        <v>0</v>
      </c>
      <c r="BE43" s="407">
        <f>'B17-TDA3,DA10'!H84</f>
        <v>0</v>
      </c>
      <c r="BF43" s="407">
        <f>'B17-TDA3,DA10'!I84</f>
        <v>0</v>
      </c>
      <c r="BG43" s="407">
        <f>'B17-TDA3,DA10'!J84</f>
        <v>0</v>
      </c>
      <c r="BH43" s="407">
        <f>'B17-TDA3,DA10'!K84</f>
        <v>0</v>
      </c>
      <c r="BI43" s="407">
        <f>'B17-TDA3,DA10'!L84</f>
        <v>0</v>
      </c>
      <c r="BJ43" s="407">
        <f>'B17-TDA3,DA10'!M84</f>
        <v>0</v>
      </c>
      <c r="BK43" s="407">
        <f>'B17-TDA3,DA10'!N84</f>
        <v>0</v>
      </c>
      <c r="BL43" s="407">
        <f>'B17-TDA3,DA10'!O84</f>
        <v>0</v>
      </c>
      <c r="BN43" s="404" t="e">
        <f>#REF!+L43+R43+#REF!+#REF!+BB43</f>
        <v>#REF!</v>
      </c>
      <c r="BO43" s="404">
        <f t="shared" si="2"/>
        <v>457</v>
      </c>
    </row>
    <row r="44" spans="1:67" ht="24" customHeight="1" x14ac:dyDescent="0.25">
      <c r="A44" s="405">
        <v>7</v>
      </c>
      <c r="B44" s="3" t="s">
        <v>44</v>
      </c>
      <c r="C44" s="1014">
        <f t="shared" si="10"/>
        <v>39025</v>
      </c>
      <c r="D44" s="1014">
        <f t="shared" si="11"/>
        <v>37877</v>
      </c>
      <c r="E44" s="1014">
        <f t="shared" si="12"/>
        <v>1148</v>
      </c>
      <c r="F44" s="1014">
        <f t="shared" si="13"/>
        <v>2926</v>
      </c>
      <c r="G44" s="1023">
        <v>2787</v>
      </c>
      <c r="H44" s="1023">
        <v>139</v>
      </c>
      <c r="I44" s="1014">
        <f t="shared" si="14"/>
        <v>16348</v>
      </c>
      <c r="J44" s="1014">
        <f t="shared" si="15"/>
        <v>16348</v>
      </c>
      <c r="K44" s="1014">
        <v>16348</v>
      </c>
      <c r="L44" s="1014">
        <v>0</v>
      </c>
      <c r="M44" s="1014">
        <f t="shared" si="16"/>
        <v>0</v>
      </c>
      <c r="N44" s="1014"/>
      <c r="O44" s="1014"/>
      <c r="P44" s="1014">
        <f t="shared" si="17"/>
        <v>3824</v>
      </c>
      <c r="Q44" s="1014">
        <v>3642</v>
      </c>
      <c r="R44" s="1014">
        <v>182</v>
      </c>
      <c r="S44" s="1014">
        <f t="shared" si="18"/>
        <v>10247</v>
      </c>
      <c r="T44" s="1014">
        <f t="shared" si="19"/>
        <v>2055</v>
      </c>
      <c r="U44" s="1014">
        <v>1912</v>
      </c>
      <c r="V44" s="1014">
        <v>143</v>
      </c>
      <c r="W44" s="1014">
        <f t="shared" si="20"/>
        <v>5893</v>
      </c>
      <c r="X44" s="1014">
        <v>5482</v>
      </c>
      <c r="Y44" s="1014">
        <v>411</v>
      </c>
      <c r="Z44" s="1014">
        <f t="shared" si="21"/>
        <v>2299</v>
      </c>
      <c r="AA44" s="1015">
        <v>2299</v>
      </c>
      <c r="AB44" s="1014"/>
      <c r="AC44" s="1014">
        <f t="shared" si="22"/>
        <v>462</v>
      </c>
      <c r="AD44" s="1014">
        <v>440</v>
      </c>
      <c r="AE44" s="1014">
        <v>22</v>
      </c>
      <c r="AF44" s="1014">
        <f t="shared" si="23"/>
        <v>0</v>
      </c>
      <c r="AG44" s="1014"/>
      <c r="AH44" s="1014"/>
      <c r="AI44" s="1014">
        <f t="shared" si="24"/>
        <v>3429</v>
      </c>
      <c r="AJ44" s="1014">
        <v>3266</v>
      </c>
      <c r="AK44" s="1014">
        <v>163</v>
      </c>
      <c r="AL44" s="1014">
        <f t="shared" si="25"/>
        <v>563</v>
      </c>
      <c r="AM44" s="1014">
        <f t="shared" si="26"/>
        <v>0</v>
      </c>
      <c r="AN44" s="1014"/>
      <c r="AO44" s="1014"/>
      <c r="AP44" s="1014">
        <f t="shared" si="27"/>
        <v>563</v>
      </c>
      <c r="AQ44" s="1014">
        <v>536</v>
      </c>
      <c r="AR44" s="1014">
        <v>27</v>
      </c>
      <c r="AS44" s="1014">
        <f t="shared" si="28"/>
        <v>1226</v>
      </c>
      <c r="AT44" s="1014">
        <f t="shared" si="29"/>
        <v>808</v>
      </c>
      <c r="AU44" s="1014">
        <v>764</v>
      </c>
      <c r="AV44" s="1014">
        <v>44</v>
      </c>
      <c r="AW44" s="1014">
        <f t="shared" si="30"/>
        <v>107</v>
      </c>
      <c r="AX44" s="1014">
        <v>107</v>
      </c>
      <c r="AY44" s="1014"/>
      <c r="AZ44" s="1014">
        <f t="shared" si="31"/>
        <v>311</v>
      </c>
      <c r="BA44" s="1014">
        <v>294</v>
      </c>
      <c r="BB44" s="1014">
        <v>17</v>
      </c>
      <c r="BC44" s="407">
        <f>'B17-TDA3,DA10'!F85</f>
        <v>0</v>
      </c>
      <c r="BD44" s="407">
        <f>'B17-TDA3,DA10'!G85</f>
        <v>0</v>
      </c>
      <c r="BE44" s="407">
        <f>'B17-TDA3,DA10'!H85</f>
        <v>0</v>
      </c>
      <c r="BF44" s="407">
        <f>'B17-TDA3,DA10'!I85</f>
        <v>0</v>
      </c>
      <c r="BG44" s="407">
        <f>'B17-TDA3,DA10'!J85</f>
        <v>0</v>
      </c>
      <c r="BH44" s="407">
        <f>'B17-TDA3,DA10'!K85</f>
        <v>0</v>
      </c>
      <c r="BI44" s="407">
        <f>'B17-TDA3,DA10'!L85</f>
        <v>0</v>
      </c>
      <c r="BJ44" s="407">
        <f>'B17-TDA3,DA10'!M85</f>
        <v>0</v>
      </c>
      <c r="BK44" s="407">
        <f>'B17-TDA3,DA10'!N85</f>
        <v>0</v>
      </c>
      <c r="BL44" s="407">
        <f>'B17-TDA3,DA10'!O85</f>
        <v>0</v>
      </c>
      <c r="BN44" s="404" t="e">
        <f>#REF!+L44+R44+#REF!+#REF!+BB44</f>
        <v>#REF!</v>
      </c>
      <c r="BO44" s="404">
        <f t="shared" si="2"/>
        <v>302</v>
      </c>
    </row>
    <row r="45" spans="1:67" ht="24" customHeight="1" x14ac:dyDescent="0.25">
      <c r="A45" s="409">
        <v>8</v>
      </c>
      <c r="B45" s="410" t="s">
        <v>45</v>
      </c>
      <c r="C45" s="1024">
        <f t="shared" si="10"/>
        <v>6646</v>
      </c>
      <c r="D45" s="1024">
        <f t="shared" si="11"/>
        <v>6197</v>
      </c>
      <c r="E45" s="1024">
        <f t="shared" si="12"/>
        <v>449</v>
      </c>
      <c r="F45" s="1024">
        <f t="shared" si="13"/>
        <v>17</v>
      </c>
      <c r="G45" s="1025">
        <v>16</v>
      </c>
      <c r="H45" s="1025">
        <v>1</v>
      </c>
      <c r="I45" s="1024">
        <f t="shared" si="14"/>
        <v>0</v>
      </c>
      <c r="J45" s="1024">
        <f t="shared" si="15"/>
        <v>0</v>
      </c>
      <c r="K45" s="1024">
        <v>0</v>
      </c>
      <c r="L45" s="1024">
        <v>0</v>
      </c>
      <c r="M45" s="1024">
        <f t="shared" si="16"/>
        <v>0</v>
      </c>
      <c r="N45" s="1024"/>
      <c r="O45" s="1024"/>
      <c r="P45" s="1024">
        <f t="shared" si="17"/>
        <v>59</v>
      </c>
      <c r="Q45" s="1024">
        <v>56</v>
      </c>
      <c r="R45" s="1024">
        <v>3</v>
      </c>
      <c r="S45" s="1024">
        <f t="shared" si="18"/>
        <v>5913</v>
      </c>
      <c r="T45" s="1024">
        <f t="shared" si="19"/>
        <v>0</v>
      </c>
      <c r="U45" s="1024">
        <v>0</v>
      </c>
      <c r="V45" s="1024">
        <v>0</v>
      </c>
      <c r="W45" s="1024">
        <f t="shared" si="20"/>
        <v>5893</v>
      </c>
      <c r="X45" s="1024">
        <v>5482</v>
      </c>
      <c r="Y45" s="1024">
        <v>411</v>
      </c>
      <c r="Z45" s="1024">
        <f t="shared" si="21"/>
        <v>20</v>
      </c>
      <c r="AA45" s="1026">
        <v>20</v>
      </c>
      <c r="AB45" s="1024"/>
      <c r="AC45" s="1024">
        <f t="shared" si="22"/>
        <v>49</v>
      </c>
      <c r="AD45" s="1024">
        <v>47</v>
      </c>
      <c r="AE45" s="1024">
        <v>2</v>
      </c>
      <c r="AF45" s="1024">
        <f t="shared" si="23"/>
        <v>0</v>
      </c>
      <c r="AG45" s="1024"/>
      <c r="AH45" s="1024"/>
      <c r="AI45" s="1024">
        <f t="shared" si="24"/>
        <v>54</v>
      </c>
      <c r="AJ45" s="1024">
        <v>51</v>
      </c>
      <c r="AK45" s="1024">
        <v>3</v>
      </c>
      <c r="AL45" s="1024">
        <f t="shared" si="25"/>
        <v>78</v>
      </c>
      <c r="AM45" s="1024">
        <f t="shared" si="26"/>
        <v>0</v>
      </c>
      <c r="AN45" s="1024"/>
      <c r="AO45" s="1024"/>
      <c r="AP45" s="1024">
        <f t="shared" si="27"/>
        <v>78</v>
      </c>
      <c r="AQ45" s="1024">
        <v>74</v>
      </c>
      <c r="AR45" s="1024">
        <v>4</v>
      </c>
      <c r="AS45" s="1024">
        <f t="shared" si="28"/>
        <v>476</v>
      </c>
      <c r="AT45" s="1024">
        <f t="shared" si="29"/>
        <v>431</v>
      </c>
      <c r="AU45" s="1024">
        <v>408</v>
      </c>
      <c r="AV45" s="1024">
        <v>23</v>
      </c>
      <c r="AW45" s="1024">
        <f t="shared" si="30"/>
        <v>0</v>
      </c>
      <c r="AX45" s="1024">
        <v>0</v>
      </c>
      <c r="AY45" s="1024"/>
      <c r="AZ45" s="1024">
        <f t="shared" si="31"/>
        <v>45</v>
      </c>
      <c r="BA45" s="1024">
        <v>43</v>
      </c>
      <c r="BB45" s="1024">
        <v>2</v>
      </c>
      <c r="BC45" s="411">
        <f>'B17-TDA3,DA10'!F86</f>
        <v>0</v>
      </c>
      <c r="BD45" s="411">
        <f>'B17-TDA3,DA10'!G86</f>
        <v>0</v>
      </c>
      <c r="BE45" s="411">
        <f>'B17-TDA3,DA10'!H86</f>
        <v>0</v>
      </c>
      <c r="BF45" s="411">
        <f>'B17-TDA3,DA10'!I86</f>
        <v>0</v>
      </c>
      <c r="BG45" s="411">
        <f>'B17-TDA3,DA10'!J86</f>
        <v>0</v>
      </c>
      <c r="BH45" s="411">
        <f>'B17-TDA3,DA10'!K86</f>
        <v>0</v>
      </c>
      <c r="BI45" s="411">
        <f>'B17-TDA3,DA10'!L86</f>
        <v>0</v>
      </c>
      <c r="BJ45" s="411">
        <f>'B17-TDA3,DA10'!M86</f>
        <v>0</v>
      </c>
      <c r="BK45" s="411">
        <f>'B17-TDA3,DA10'!N86</f>
        <v>0</v>
      </c>
      <c r="BL45" s="411">
        <f>'B17-TDA3,DA10'!O86</f>
        <v>0</v>
      </c>
      <c r="BN45" s="404" t="e">
        <f>#REF!+L45+R45+#REF!+#REF!+BB45</f>
        <v>#REF!</v>
      </c>
      <c r="BO45" s="404">
        <f t="shared" si="2"/>
        <v>4</v>
      </c>
    </row>
    <row r="47" spans="1:67" x14ac:dyDescent="0.25">
      <c r="AF47" s="404"/>
      <c r="AG47" s="404"/>
      <c r="AH47" s="404"/>
    </row>
    <row r="48" spans="1:67" x14ac:dyDescent="0.25">
      <c r="P48" s="404"/>
      <c r="Q48" s="404"/>
      <c r="R48" s="404"/>
      <c r="S48" s="412"/>
      <c r="T48" s="99"/>
      <c r="U48" s="99"/>
      <c r="V48" s="99"/>
      <c r="W48" s="413"/>
      <c r="X48" s="404"/>
      <c r="Y48" s="404"/>
      <c r="AF48" s="404"/>
      <c r="AG48" s="404"/>
      <c r="AH48" s="404"/>
      <c r="AT48" s="99"/>
      <c r="AU48" s="99"/>
      <c r="AV48" s="99"/>
      <c r="AW48" s="99"/>
      <c r="AX48" s="99"/>
      <c r="AZ48" s="99"/>
      <c r="BA48" s="99"/>
      <c r="BB48" s="99"/>
    </row>
    <row r="49" spans="16:54" x14ac:dyDescent="0.25">
      <c r="P49" s="404"/>
      <c r="Q49" s="404"/>
      <c r="R49" s="404"/>
      <c r="S49" s="412"/>
      <c r="T49" s="404"/>
      <c r="U49" s="404"/>
      <c r="V49" s="404"/>
      <c r="W49" s="413"/>
      <c r="X49" s="404"/>
      <c r="Y49" s="404"/>
      <c r="AF49" s="404"/>
      <c r="AG49" s="404"/>
      <c r="AH49" s="404"/>
      <c r="AT49" s="404"/>
      <c r="AU49" s="404"/>
      <c r="AV49" s="404"/>
      <c r="AW49" s="404"/>
      <c r="AX49" s="404"/>
      <c r="AZ49" s="404"/>
      <c r="BA49" s="404"/>
      <c r="BB49" s="404"/>
    </row>
    <row r="50" spans="16:54" x14ac:dyDescent="0.25">
      <c r="P50" s="404"/>
      <c r="Q50" s="404"/>
      <c r="R50" s="404"/>
      <c r="S50" s="412"/>
      <c r="T50" s="404"/>
      <c r="U50" s="404"/>
      <c r="V50" s="404"/>
      <c r="W50" s="413"/>
      <c r="X50" s="404"/>
      <c r="Y50" s="404"/>
      <c r="AF50" s="404"/>
      <c r="AG50" s="404"/>
      <c r="AH50" s="404"/>
      <c r="AT50" s="404"/>
      <c r="AU50" s="404"/>
      <c r="AV50" s="404"/>
      <c r="AW50" s="404"/>
      <c r="AX50" s="404"/>
      <c r="AZ50" s="404"/>
      <c r="BA50" s="404"/>
      <c r="BB50" s="404"/>
    </row>
    <row r="51" spans="16:54" x14ac:dyDescent="0.25">
      <c r="P51" s="404"/>
      <c r="Q51" s="404"/>
      <c r="R51" s="404"/>
      <c r="S51" s="412"/>
      <c r="T51" s="404"/>
      <c r="U51" s="404"/>
      <c r="V51" s="404"/>
      <c r="W51" s="413"/>
      <c r="X51" s="404"/>
      <c r="Y51" s="404"/>
      <c r="AF51" s="404"/>
      <c r="AG51" s="404"/>
      <c r="AH51" s="404"/>
      <c r="AT51" s="404"/>
      <c r="AU51" s="404"/>
      <c r="AV51" s="404"/>
      <c r="AW51" s="404"/>
      <c r="AX51" s="404"/>
      <c r="AZ51" s="404"/>
      <c r="BA51" s="404"/>
      <c r="BB51" s="404"/>
    </row>
  </sheetData>
  <mergeCells count="84">
    <mergeCell ref="AC2:AO2"/>
    <mergeCell ref="AP2:BB2"/>
    <mergeCell ref="C1:O1"/>
    <mergeCell ref="C2:O2"/>
    <mergeCell ref="P1:AB1"/>
    <mergeCell ref="P2:AB2"/>
    <mergeCell ref="AC1:AO1"/>
    <mergeCell ref="AP1:BB1"/>
    <mergeCell ref="A5:A9"/>
    <mergeCell ref="B5:B9"/>
    <mergeCell ref="C5:E6"/>
    <mergeCell ref="I5:O5"/>
    <mergeCell ref="AS5:BB5"/>
    <mergeCell ref="I6:I9"/>
    <mergeCell ref="P6:R6"/>
    <mergeCell ref="S6:S9"/>
    <mergeCell ref="T6:AB6"/>
    <mergeCell ref="P5:R5"/>
    <mergeCell ref="S5:AB5"/>
    <mergeCell ref="AC5:AE5"/>
    <mergeCell ref="AF5:AH5"/>
    <mergeCell ref="AS6:AS9"/>
    <mergeCell ref="AT6:AY6"/>
    <mergeCell ref="C7:C9"/>
    <mergeCell ref="D7:E8"/>
    <mergeCell ref="J7:L7"/>
    <mergeCell ref="AC6:AE7"/>
    <mergeCell ref="AF6:AH7"/>
    <mergeCell ref="AG8:AH8"/>
    <mergeCell ref="J8:J9"/>
    <mergeCell ref="K8:L8"/>
    <mergeCell ref="M8:M9"/>
    <mergeCell ref="N8:O8"/>
    <mergeCell ref="Q8:R8"/>
    <mergeCell ref="T8:T9"/>
    <mergeCell ref="M7:O7"/>
    <mergeCell ref="P7:P9"/>
    <mergeCell ref="Q7:R7"/>
    <mergeCell ref="T7:V7"/>
    <mergeCell ref="W7:Y7"/>
    <mergeCell ref="U8:V8"/>
    <mergeCell ref="W8:W9"/>
    <mergeCell ref="AA8:AB8"/>
    <mergeCell ref="AC8:AC9"/>
    <mergeCell ref="AD8:AE8"/>
    <mergeCell ref="X8:Y8"/>
    <mergeCell ref="Z8:Z9"/>
    <mergeCell ref="AF8:AF9"/>
    <mergeCell ref="Z7:AB7"/>
    <mergeCell ref="BI10:BJ10"/>
    <mergeCell ref="BK10:BL10"/>
    <mergeCell ref="BA8:BB8"/>
    <mergeCell ref="BC10:BD10"/>
    <mergeCell ref="BE10:BF10"/>
    <mergeCell ref="BG10:BH10"/>
    <mergeCell ref="AI6:AK7"/>
    <mergeCell ref="AI8:AI9"/>
    <mergeCell ref="AT7:AV7"/>
    <mergeCell ref="AW7:AY7"/>
    <mergeCell ref="AZ7:BB7"/>
    <mergeCell ref="AT8:AT9"/>
    <mergeCell ref="AU8:AV8"/>
    <mergeCell ref="AW8:AW9"/>
    <mergeCell ref="F5:H5"/>
    <mergeCell ref="J6:O6"/>
    <mergeCell ref="F6:H7"/>
    <mergeCell ref="F8:F9"/>
    <mergeCell ref="G8:H8"/>
    <mergeCell ref="AI5:AK5"/>
    <mergeCell ref="AL6:AL9"/>
    <mergeCell ref="AX8:AY8"/>
    <mergeCell ref="AZ8:AZ9"/>
    <mergeCell ref="AZ6:BB6"/>
    <mergeCell ref="AL5:AO5"/>
    <mergeCell ref="AP5:AR5"/>
    <mergeCell ref="AM7:AO7"/>
    <mergeCell ref="AP7:AR7"/>
    <mergeCell ref="AM8:AM9"/>
    <mergeCell ref="AN8:AO8"/>
    <mergeCell ref="AP8:AP9"/>
    <mergeCell ref="AQ8:AR8"/>
    <mergeCell ref="AM6:AO6"/>
    <mergeCell ref="AP6:AR6"/>
    <mergeCell ref="AJ8:AK8"/>
  </mergeCells>
  <pageMargins left="0.78740157480314998" right="0.39370078740157499" top="0.78740157480314998" bottom="0.78740157480314998" header="0.31496062992126" footer="0.31496062992126"/>
  <pageSetup paperSize="9" scale="52" firstPageNumber="40" orientation="portrait" useFirstPageNumber="1" r:id="rId1"/>
  <headerFooter>
    <oddHeader>&amp;RPhụ lục số 01</oddHeader>
    <oddFooter>&amp;R&amp;P</oddFooter>
  </headerFooter>
  <colBreaks count="1" manualBreakCount="1">
    <brk id="15" max="4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Layout" topLeftCell="A7" zoomScale="70" zoomScaleNormal="100" zoomScalePageLayoutView="70" workbookViewId="0">
      <selection activeCell="A3" sqref="A3:P3"/>
    </sheetView>
  </sheetViews>
  <sheetFormatPr defaultColWidth="7.75" defaultRowHeight="18.75" x14ac:dyDescent="0.3"/>
  <cols>
    <col min="1" max="1" width="5" style="375" customWidth="1"/>
    <col min="2" max="2" width="42.75" style="568" customWidth="1"/>
    <col min="3" max="3" width="12.75" style="568" customWidth="1"/>
    <col min="4" max="5" width="10.75" style="568" customWidth="1"/>
    <col min="6" max="6" width="12.75" style="568" hidden="1" customWidth="1"/>
    <col min="7" max="8" width="10.75" style="568" hidden="1" customWidth="1"/>
    <col min="9" max="14" width="10.75" style="568" customWidth="1"/>
    <col min="15" max="15" width="16.875" style="375" customWidth="1"/>
    <col min="16" max="16" width="12.5" style="568" customWidth="1"/>
    <col min="17" max="17" width="9.5" style="568" hidden="1" customWidth="1"/>
    <col min="18" max="256" width="7.75" style="568"/>
    <col min="257" max="257" width="5" style="568" customWidth="1"/>
    <col min="258" max="258" width="35.125" style="568" customWidth="1"/>
    <col min="259" max="259" width="12.75" style="568" customWidth="1"/>
    <col min="260" max="261" width="10.75" style="568" customWidth="1"/>
    <col min="262" max="264" width="0" style="568" hidden="1" customWidth="1"/>
    <col min="265" max="270" width="10.75" style="568" customWidth="1"/>
    <col min="271" max="271" width="16.875" style="568" customWidth="1"/>
    <col min="272" max="272" width="12.5" style="568" customWidth="1"/>
    <col min="273" max="273" width="9.5" style="568" bestFit="1" customWidth="1"/>
    <col min="274" max="512" width="7.75" style="568"/>
    <col min="513" max="513" width="5" style="568" customWidth="1"/>
    <col min="514" max="514" width="35.125" style="568" customWidth="1"/>
    <col min="515" max="515" width="12.75" style="568" customWidth="1"/>
    <col min="516" max="517" width="10.75" style="568" customWidth="1"/>
    <col min="518" max="520" width="0" style="568" hidden="1" customWidth="1"/>
    <col min="521" max="526" width="10.75" style="568" customWidth="1"/>
    <col min="527" max="527" width="16.875" style="568" customWidth="1"/>
    <col min="528" max="528" width="12.5" style="568" customWidth="1"/>
    <col min="529" max="529" width="9.5" style="568" bestFit="1" customWidth="1"/>
    <col min="530" max="768" width="7.75" style="568"/>
    <col min="769" max="769" width="5" style="568" customWidth="1"/>
    <col min="770" max="770" width="35.125" style="568" customWidth="1"/>
    <col min="771" max="771" width="12.75" style="568" customWidth="1"/>
    <col min="772" max="773" width="10.75" style="568" customWidth="1"/>
    <col min="774" max="776" width="0" style="568" hidden="1" customWidth="1"/>
    <col min="777" max="782" width="10.75" style="568" customWidth="1"/>
    <col min="783" max="783" width="16.875" style="568" customWidth="1"/>
    <col min="784" max="784" width="12.5" style="568" customWidth="1"/>
    <col min="785" max="785" width="9.5" style="568" bestFit="1" customWidth="1"/>
    <col min="786" max="1024" width="7.75" style="568"/>
    <col min="1025" max="1025" width="5" style="568" customWidth="1"/>
    <col min="1026" max="1026" width="35.125" style="568" customWidth="1"/>
    <col min="1027" max="1027" width="12.75" style="568" customWidth="1"/>
    <col min="1028" max="1029" width="10.75" style="568" customWidth="1"/>
    <col min="1030" max="1032" width="0" style="568" hidden="1" customWidth="1"/>
    <col min="1033" max="1038" width="10.75" style="568" customWidth="1"/>
    <col min="1039" max="1039" width="16.875" style="568" customWidth="1"/>
    <col min="1040" max="1040" width="12.5" style="568" customWidth="1"/>
    <col min="1041" max="1041" width="9.5" style="568" bestFit="1" customWidth="1"/>
    <col min="1042" max="1280" width="7.75" style="568"/>
    <col min="1281" max="1281" width="5" style="568" customWidth="1"/>
    <col min="1282" max="1282" width="35.125" style="568" customWidth="1"/>
    <col min="1283" max="1283" width="12.75" style="568" customWidth="1"/>
    <col min="1284" max="1285" width="10.75" style="568" customWidth="1"/>
    <col min="1286" max="1288" width="0" style="568" hidden="1" customWidth="1"/>
    <col min="1289" max="1294" width="10.75" style="568" customWidth="1"/>
    <col min="1295" max="1295" width="16.875" style="568" customWidth="1"/>
    <col min="1296" max="1296" width="12.5" style="568" customWidth="1"/>
    <col min="1297" max="1297" width="9.5" style="568" bestFit="1" customWidth="1"/>
    <col min="1298" max="1536" width="7.75" style="568"/>
    <col min="1537" max="1537" width="5" style="568" customWidth="1"/>
    <col min="1538" max="1538" width="35.125" style="568" customWidth="1"/>
    <col min="1539" max="1539" width="12.75" style="568" customWidth="1"/>
    <col min="1540" max="1541" width="10.75" style="568" customWidth="1"/>
    <col min="1542" max="1544" width="0" style="568" hidden="1" customWidth="1"/>
    <col min="1545" max="1550" width="10.75" style="568" customWidth="1"/>
    <col min="1551" max="1551" width="16.875" style="568" customWidth="1"/>
    <col min="1552" max="1552" width="12.5" style="568" customWidth="1"/>
    <col min="1553" max="1553" width="9.5" style="568" bestFit="1" customWidth="1"/>
    <col min="1554" max="1792" width="7.75" style="568"/>
    <col min="1793" max="1793" width="5" style="568" customWidth="1"/>
    <col min="1794" max="1794" width="35.125" style="568" customWidth="1"/>
    <col min="1795" max="1795" width="12.75" style="568" customWidth="1"/>
    <col min="1796" max="1797" width="10.75" style="568" customWidth="1"/>
    <col min="1798" max="1800" width="0" style="568" hidden="1" customWidth="1"/>
    <col min="1801" max="1806" width="10.75" style="568" customWidth="1"/>
    <col min="1807" max="1807" width="16.875" style="568" customWidth="1"/>
    <col min="1808" max="1808" width="12.5" style="568" customWidth="1"/>
    <col min="1809" max="1809" width="9.5" style="568" bestFit="1" customWidth="1"/>
    <col min="1810" max="2048" width="7.75" style="568"/>
    <col min="2049" max="2049" width="5" style="568" customWidth="1"/>
    <col min="2050" max="2050" width="35.125" style="568" customWidth="1"/>
    <col min="2051" max="2051" width="12.75" style="568" customWidth="1"/>
    <col min="2052" max="2053" width="10.75" style="568" customWidth="1"/>
    <col min="2054" max="2056" width="0" style="568" hidden="1" customWidth="1"/>
    <col min="2057" max="2062" width="10.75" style="568" customWidth="1"/>
    <col min="2063" max="2063" width="16.875" style="568" customWidth="1"/>
    <col min="2064" max="2064" width="12.5" style="568" customWidth="1"/>
    <col min="2065" max="2065" width="9.5" style="568" bestFit="1" customWidth="1"/>
    <col min="2066" max="2304" width="7.75" style="568"/>
    <col min="2305" max="2305" width="5" style="568" customWidth="1"/>
    <col min="2306" max="2306" width="35.125" style="568" customWidth="1"/>
    <col min="2307" max="2307" width="12.75" style="568" customWidth="1"/>
    <col min="2308" max="2309" width="10.75" style="568" customWidth="1"/>
    <col min="2310" max="2312" width="0" style="568" hidden="1" customWidth="1"/>
    <col min="2313" max="2318" width="10.75" style="568" customWidth="1"/>
    <col min="2319" max="2319" width="16.875" style="568" customWidth="1"/>
    <col min="2320" max="2320" width="12.5" style="568" customWidth="1"/>
    <col min="2321" max="2321" width="9.5" style="568" bestFit="1" customWidth="1"/>
    <col min="2322" max="2560" width="7.75" style="568"/>
    <col min="2561" max="2561" width="5" style="568" customWidth="1"/>
    <col min="2562" max="2562" width="35.125" style="568" customWidth="1"/>
    <col min="2563" max="2563" width="12.75" style="568" customWidth="1"/>
    <col min="2564" max="2565" width="10.75" style="568" customWidth="1"/>
    <col min="2566" max="2568" width="0" style="568" hidden="1" customWidth="1"/>
    <col min="2569" max="2574" width="10.75" style="568" customWidth="1"/>
    <col min="2575" max="2575" width="16.875" style="568" customWidth="1"/>
    <col min="2576" max="2576" width="12.5" style="568" customWidth="1"/>
    <col min="2577" max="2577" width="9.5" style="568" bestFit="1" customWidth="1"/>
    <col min="2578" max="2816" width="7.75" style="568"/>
    <col min="2817" max="2817" width="5" style="568" customWidth="1"/>
    <col min="2818" max="2818" width="35.125" style="568" customWidth="1"/>
    <col min="2819" max="2819" width="12.75" style="568" customWidth="1"/>
    <col min="2820" max="2821" width="10.75" style="568" customWidth="1"/>
    <col min="2822" max="2824" width="0" style="568" hidden="1" customWidth="1"/>
    <col min="2825" max="2830" width="10.75" style="568" customWidth="1"/>
    <col min="2831" max="2831" width="16.875" style="568" customWidth="1"/>
    <col min="2832" max="2832" width="12.5" style="568" customWidth="1"/>
    <col min="2833" max="2833" width="9.5" style="568" bestFit="1" customWidth="1"/>
    <col min="2834" max="3072" width="7.75" style="568"/>
    <col min="3073" max="3073" width="5" style="568" customWidth="1"/>
    <col min="3074" max="3074" width="35.125" style="568" customWidth="1"/>
    <col min="3075" max="3075" width="12.75" style="568" customWidth="1"/>
    <col min="3076" max="3077" width="10.75" style="568" customWidth="1"/>
    <col min="3078" max="3080" width="0" style="568" hidden="1" customWidth="1"/>
    <col min="3081" max="3086" width="10.75" style="568" customWidth="1"/>
    <col min="3087" max="3087" width="16.875" style="568" customWidth="1"/>
    <col min="3088" max="3088" width="12.5" style="568" customWidth="1"/>
    <col min="3089" max="3089" width="9.5" style="568" bestFit="1" customWidth="1"/>
    <col min="3090" max="3328" width="7.75" style="568"/>
    <col min="3329" max="3329" width="5" style="568" customWidth="1"/>
    <col min="3330" max="3330" width="35.125" style="568" customWidth="1"/>
    <col min="3331" max="3331" width="12.75" style="568" customWidth="1"/>
    <col min="3332" max="3333" width="10.75" style="568" customWidth="1"/>
    <col min="3334" max="3336" width="0" style="568" hidden="1" customWidth="1"/>
    <col min="3337" max="3342" width="10.75" style="568" customWidth="1"/>
    <col min="3343" max="3343" width="16.875" style="568" customWidth="1"/>
    <col min="3344" max="3344" width="12.5" style="568" customWidth="1"/>
    <col min="3345" max="3345" width="9.5" style="568" bestFit="1" customWidth="1"/>
    <col min="3346" max="3584" width="7.75" style="568"/>
    <col min="3585" max="3585" width="5" style="568" customWidth="1"/>
    <col min="3586" max="3586" width="35.125" style="568" customWidth="1"/>
    <col min="3587" max="3587" width="12.75" style="568" customWidth="1"/>
    <col min="3588" max="3589" width="10.75" style="568" customWidth="1"/>
    <col min="3590" max="3592" width="0" style="568" hidden="1" customWidth="1"/>
    <col min="3593" max="3598" width="10.75" style="568" customWidth="1"/>
    <col min="3599" max="3599" width="16.875" style="568" customWidth="1"/>
    <col min="3600" max="3600" width="12.5" style="568" customWidth="1"/>
    <col min="3601" max="3601" width="9.5" style="568" bestFit="1" customWidth="1"/>
    <col min="3602" max="3840" width="7.75" style="568"/>
    <col min="3841" max="3841" width="5" style="568" customWidth="1"/>
    <col min="3842" max="3842" width="35.125" style="568" customWidth="1"/>
    <col min="3843" max="3843" width="12.75" style="568" customWidth="1"/>
    <col min="3844" max="3845" width="10.75" style="568" customWidth="1"/>
    <col min="3846" max="3848" width="0" style="568" hidden="1" customWidth="1"/>
    <col min="3849" max="3854" width="10.75" style="568" customWidth="1"/>
    <col min="3855" max="3855" width="16.875" style="568" customWidth="1"/>
    <col min="3856" max="3856" width="12.5" style="568" customWidth="1"/>
    <col min="3857" max="3857" width="9.5" style="568" bestFit="1" customWidth="1"/>
    <col min="3858" max="4096" width="7.75" style="568"/>
    <col min="4097" max="4097" width="5" style="568" customWidth="1"/>
    <col min="4098" max="4098" width="35.125" style="568" customWidth="1"/>
    <col min="4099" max="4099" width="12.75" style="568" customWidth="1"/>
    <col min="4100" max="4101" width="10.75" style="568" customWidth="1"/>
    <col min="4102" max="4104" width="0" style="568" hidden="1" customWidth="1"/>
    <col min="4105" max="4110" width="10.75" style="568" customWidth="1"/>
    <col min="4111" max="4111" width="16.875" style="568" customWidth="1"/>
    <col min="4112" max="4112" width="12.5" style="568" customWidth="1"/>
    <col min="4113" max="4113" width="9.5" style="568" bestFit="1" customWidth="1"/>
    <col min="4114" max="4352" width="7.75" style="568"/>
    <col min="4353" max="4353" width="5" style="568" customWidth="1"/>
    <col min="4354" max="4354" width="35.125" style="568" customWidth="1"/>
    <col min="4355" max="4355" width="12.75" style="568" customWidth="1"/>
    <col min="4356" max="4357" width="10.75" style="568" customWidth="1"/>
    <col min="4358" max="4360" width="0" style="568" hidden="1" customWidth="1"/>
    <col min="4361" max="4366" width="10.75" style="568" customWidth="1"/>
    <col min="4367" max="4367" width="16.875" style="568" customWidth="1"/>
    <col min="4368" max="4368" width="12.5" style="568" customWidth="1"/>
    <col min="4369" max="4369" width="9.5" style="568" bestFit="1" customWidth="1"/>
    <col min="4370" max="4608" width="7.75" style="568"/>
    <col min="4609" max="4609" width="5" style="568" customWidth="1"/>
    <col min="4610" max="4610" width="35.125" style="568" customWidth="1"/>
    <col min="4611" max="4611" width="12.75" style="568" customWidth="1"/>
    <col min="4612" max="4613" width="10.75" style="568" customWidth="1"/>
    <col min="4614" max="4616" width="0" style="568" hidden="1" customWidth="1"/>
    <col min="4617" max="4622" width="10.75" style="568" customWidth="1"/>
    <col min="4623" max="4623" width="16.875" style="568" customWidth="1"/>
    <col min="4624" max="4624" width="12.5" style="568" customWidth="1"/>
    <col min="4625" max="4625" width="9.5" style="568" bestFit="1" customWidth="1"/>
    <col min="4626" max="4864" width="7.75" style="568"/>
    <col min="4865" max="4865" width="5" style="568" customWidth="1"/>
    <col min="4866" max="4866" width="35.125" style="568" customWidth="1"/>
    <col min="4867" max="4867" width="12.75" style="568" customWidth="1"/>
    <col min="4868" max="4869" width="10.75" style="568" customWidth="1"/>
    <col min="4870" max="4872" width="0" style="568" hidden="1" customWidth="1"/>
    <col min="4873" max="4878" width="10.75" style="568" customWidth="1"/>
    <col min="4879" max="4879" width="16.875" style="568" customWidth="1"/>
    <col min="4880" max="4880" width="12.5" style="568" customWidth="1"/>
    <col min="4881" max="4881" width="9.5" style="568" bestFit="1" customWidth="1"/>
    <col min="4882" max="5120" width="7.75" style="568"/>
    <col min="5121" max="5121" width="5" style="568" customWidth="1"/>
    <col min="5122" max="5122" width="35.125" style="568" customWidth="1"/>
    <col min="5123" max="5123" width="12.75" style="568" customWidth="1"/>
    <col min="5124" max="5125" width="10.75" style="568" customWidth="1"/>
    <col min="5126" max="5128" width="0" style="568" hidden="1" customWidth="1"/>
    <col min="5129" max="5134" width="10.75" style="568" customWidth="1"/>
    <col min="5135" max="5135" width="16.875" style="568" customWidth="1"/>
    <col min="5136" max="5136" width="12.5" style="568" customWidth="1"/>
    <col min="5137" max="5137" width="9.5" style="568" bestFit="1" customWidth="1"/>
    <col min="5138" max="5376" width="7.75" style="568"/>
    <col min="5377" max="5377" width="5" style="568" customWidth="1"/>
    <col min="5378" max="5378" width="35.125" style="568" customWidth="1"/>
    <col min="5379" max="5379" width="12.75" style="568" customWidth="1"/>
    <col min="5380" max="5381" width="10.75" style="568" customWidth="1"/>
    <col min="5382" max="5384" width="0" style="568" hidden="1" customWidth="1"/>
    <col min="5385" max="5390" width="10.75" style="568" customWidth="1"/>
    <col min="5391" max="5391" width="16.875" style="568" customWidth="1"/>
    <col min="5392" max="5392" width="12.5" style="568" customWidth="1"/>
    <col min="5393" max="5393" width="9.5" style="568" bestFit="1" customWidth="1"/>
    <col min="5394" max="5632" width="7.75" style="568"/>
    <col min="5633" max="5633" width="5" style="568" customWidth="1"/>
    <col min="5634" max="5634" width="35.125" style="568" customWidth="1"/>
    <col min="5635" max="5635" width="12.75" style="568" customWidth="1"/>
    <col min="5636" max="5637" width="10.75" style="568" customWidth="1"/>
    <col min="5638" max="5640" width="0" style="568" hidden="1" customWidth="1"/>
    <col min="5641" max="5646" width="10.75" style="568" customWidth="1"/>
    <col min="5647" max="5647" width="16.875" style="568" customWidth="1"/>
    <col min="5648" max="5648" width="12.5" style="568" customWidth="1"/>
    <col min="5649" max="5649" width="9.5" style="568" bestFit="1" customWidth="1"/>
    <col min="5650" max="5888" width="7.75" style="568"/>
    <col min="5889" max="5889" width="5" style="568" customWidth="1"/>
    <col min="5890" max="5890" width="35.125" style="568" customWidth="1"/>
    <col min="5891" max="5891" width="12.75" style="568" customWidth="1"/>
    <col min="5892" max="5893" width="10.75" style="568" customWidth="1"/>
    <col min="5894" max="5896" width="0" style="568" hidden="1" customWidth="1"/>
    <col min="5897" max="5902" width="10.75" style="568" customWidth="1"/>
    <col min="5903" max="5903" width="16.875" style="568" customWidth="1"/>
    <col min="5904" max="5904" width="12.5" style="568" customWidth="1"/>
    <col min="5905" max="5905" width="9.5" style="568" bestFit="1" customWidth="1"/>
    <col min="5906" max="6144" width="7.75" style="568"/>
    <col min="6145" max="6145" width="5" style="568" customWidth="1"/>
    <col min="6146" max="6146" width="35.125" style="568" customWidth="1"/>
    <col min="6147" max="6147" width="12.75" style="568" customWidth="1"/>
    <col min="6148" max="6149" width="10.75" style="568" customWidth="1"/>
    <col min="6150" max="6152" width="0" style="568" hidden="1" customWidth="1"/>
    <col min="6153" max="6158" width="10.75" style="568" customWidth="1"/>
    <col min="6159" max="6159" width="16.875" style="568" customWidth="1"/>
    <col min="6160" max="6160" width="12.5" style="568" customWidth="1"/>
    <col min="6161" max="6161" width="9.5" style="568" bestFit="1" customWidth="1"/>
    <col min="6162" max="6400" width="7.75" style="568"/>
    <col min="6401" max="6401" width="5" style="568" customWidth="1"/>
    <col min="6402" max="6402" width="35.125" style="568" customWidth="1"/>
    <col min="6403" max="6403" width="12.75" style="568" customWidth="1"/>
    <col min="6404" max="6405" width="10.75" style="568" customWidth="1"/>
    <col min="6406" max="6408" width="0" style="568" hidden="1" customWidth="1"/>
    <col min="6409" max="6414" width="10.75" style="568" customWidth="1"/>
    <col min="6415" max="6415" width="16.875" style="568" customWidth="1"/>
    <col min="6416" max="6416" width="12.5" style="568" customWidth="1"/>
    <col min="6417" max="6417" width="9.5" style="568" bestFit="1" customWidth="1"/>
    <col min="6418" max="6656" width="7.75" style="568"/>
    <col min="6657" max="6657" width="5" style="568" customWidth="1"/>
    <col min="6658" max="6658" width="35.125" style="568" customWidth="1"/>
    <col min="6659" max="6659" width="12.75" style="568" customWidth="1"/>
    <col min="6660" max="6661" width="10.75" style="568" customWidth="1"/>
    <col min="6662" max="6664" width="0" style="568" hidden="1" customWidth="1"/>
    <col min="6665" max="6670" width="10.75" style="568" customWidth="1"/>
    <col min="6671" max="6671" width="16.875" style="568" customWidth="1"/>
    <col min="6672" max="6672" width="12.5" style="568" customWidth="1"/>
    <col min="6673" max="6673" width="9.5" style="568" bestFit="1" customWidth="1"/>
    <col min="6674" max="6912" width="7.75" style="568"/>
    <col min="6913" max="6913" width="5" style="568" customWidth="1"/>
    <col min="6914" max="6914" width="35.125" style="568" customWidth="1"/>
    <col min="6915" max="6915" width="12.75" style="568" customWidth="1"/>
    <col min="6916" max="6917" width="10.75" style="568" customWidth="1"/>
    <col min="6918" max="6920" width="0" style="568" hidden="1" customWidth="1"/>
    <col min="6921" max="6926" width="10.75" style="568" customWidth="1"/>
    <col min="6927" max="6927" width="16.875" style="568" customWidth="1"/>
    <col min="6928" max="6928" width="12.5" style="568" customWidth="1"/>
    <col min="6929" max="6929" width="9.5" style="568" bestFit="1" customWidth="1"/>
    <col min="6930" max="7168" width="7.75" style="568"/>
    <col min="7169" max="7169" width="5" style="568" customWidth="1"/>
    <col min="7170" max="7170" width="35.125" style="568" customWidth="1"/>
    <col min="7171" max="7171" width="12.75" style="568" customWidth="1"/>
    <col min="7172" max="7173" width="10.75" style="568" customWidth="1"/>
    <col min="7174" max="7176" width="0" style="568" hidden="1" customWidth="1"/>
    <col min="7177" max="7182" width="10.75" style="568" customWidth="1"/>
    <col min="7183" max="7183" width="16.875" style="568" customWidth="1"/>
    <col min="7184" max="7184" width="12.5" style="568" customWidth="1"/>
    <col min="7185" max="7185" width="9.5" style="568" bestFit="1" customWidth="1"/>
    <col min="7186" max="7424" width="7.75" style="568"/>
    <col min="7425" max="7425" width="5" style="568" customWidth="1"/>
    <col min="7426" max="7426" width="35.125" style="568" customWidth="1"/>
    <col min="7427" max="7427" width="12.75" style="568" customWidth="1"/>
    <col min="7428" max="7429" width="10.75" style="568" customWidth="1"/>
    <col min="7430" max="7432" width="0" style="568" hidden="1" customWidth="1"/>
    <col min="7433" max="7438" width="10.75" style="568" customWidth="1"/>
    <col min="7439" max="7439" width="16.875" style="568" customWidth="1"/>
    <col min="7440" max="7440" width="12.5" style="568" customWidth="1"/>
    <col min="7441" max="7441" width="9.5" style="568" bestFit="1" customWidth="1"/>
    <col min="7442" max="7680" width="7.75" style="568"/>
    <col min="7681" max="7681" width="5" style="568" customWidth="1"/>
    <col min="7682" max="7682" width="35.125" style="568" customWidth="1"/>
    <col min="7683" max="7683" width="12.75" style="568" customWidth="1"/>
    <col min="7684" max="7685" width="10.75" style="568" customWidth="1"/>
    <col min="7686" max="7688" width="0" style="568" hidden="1" customWidth="1"/>
    <col min="7689" max="7694" width="10.75" style="568" customWidth="1"/>
    <col min="7695" max="7695" width="16.875" style="568" customWidth="1"/>
    <col min="7696" max="7696" width="12.5" style="568" customWidth="1"/>
    <col min="7697" max="7697" width="9.5" style="568" bestFit="1" customWidth="1"/>
    <col min="7698" max="7936" width="7.75" style="568"/>
    <col min="7937" max="7937" width="5" style="568" customWidth="1"/>
    <col min="7938" max="7938" width="35.125" style="568" customWidth="1"/>
    <col min="7939" max="7939" width="12.75" style="568" customWidth="1"/>
    <col min="7940" max="7941" width="10.75" style="568" customWidth="1"/>
    <col min="7942" max="7944" width="0" style="568" hidden="1" customWidth="1"/>
    <col min="7945" max="7950" width="10.75" style="568" customWidth="1"/>
    <col min="7951" max="7951" width="16.875" style="568" customWidth="1"/>
    <col min="7952" max="7952" width="12.5" style="568" customWidth="1"/>
    <col min="7953" max="7953" width="9.5" style="568" bestFit="1" customWidth="1"/>
    <col min="7954" max="8192" width="7.75" style="568"/>
    <col min="8193" max="8193" width="5" style="568" customWidth="1"/>
    <col min="8194" max="8194" width="35.125" style="568" customWidth="1"/>
    <col min="8195" max="8195" width="12.75" style="568" customWidth="1"/>
    <col min="8196" max="8197" width="10.75" style="568" customWidth="1"/>
    <col min="8198" max="8200" width="0" style="568" hidden="1" customWidth="1"/>
    <col min="8201" max="8206" width="10.75" style="568" customWidth="1"/>
    <col min="8207" max="8207" width="16.875" style="568" customWidth="1"/>
    <col min="8208" max="8208" width="12.5" style="568" customWidth="1"/>
    <col min="8209" max="8209" width="9.5" style="568" bestFit="1" customWidth="1"/>
    <col min="8210" max="8448" width="7.75" style="568"/>
    <col min="8449" max="8449" width="5" style="568" customWidth="1"/>
    <col min="8450" max="8450" width="35.125" style="568" customWidth="1"/>
    <col min="8451" max="8451" width="12.75" style="568" customWidth="1"/>
    <col min="8452" max="8453" width="10.75" style="568" customWidth="1"/>
    <col min="8454" max="8456" width="0" style="568" hidden="1" customWidth="1"/>
    <col min="8457" max="8462" width="10.75" style="568" customWidth="1"/>
    <col min="8463" max="8463" width="16.875" style="568" customWidth="1"/>
    <col min="8464" max="8464" width="12.5" style="568" customWidth="1"/>
    <col min="8465" max="8465" width="9.5" style="568" bestFit="1" customWidth="1"/>
    <col min="8466" max="8704" width="7.75" style="568"/>
    <col min="8705" max="8705" width="5" style="568" customWidth="1"/>
    <col min="8706" max="8706" width="35.125" style="568" customWidth="1"/>
    <col min="8707" max="8707" width="12.75" style="568" customWidth="1"/>
    <col min="8708" max="8709" width="10.75" style="568" customWidth="1"/>
    <col min="8710" max="8712" width="0" style="568" hidden="1" customWidth="1"/>
    <col min="8713" max="8718" width="10.75" style="568" customWidth="1"/>
    <col min="8719" max="8719" width="16.875" style="568" customWidth="1"/>
    <col min="8720" max="8720" width="12.5" style="568" customWidth="1"/>
    <col min="8721" max="8721" width="9.5" style="568" bestFit="1" customWidth="1"/>
    <col min="8722" max="8960" width="7.75" style="568"/>
    <col min="8961" max="8961" width="5" style="568" customWidth="1"/>
    <col min="8962" max="8962" width="35.125" style="568" customWidth="1"/>
    <col min="8963" max="8963" width="12.75" style="568" customWidth="1"/>
    <col min="8964" max="8965" width="10.75" style="568" customWidth="1"/>
    <col min="8966" max="8968" width="0" style="568" hidden="1" customWidth="1"/>
    <col min="8969" max="8974" width="10.75" style="568" customWidth="1"/>
    <col min="8975" max="8975" width="16.875" style="568" customWidth="1"/>
    <col min="8976" max="8976" width="12.5" style="568" customWidth="1"/>
    <col min="8977" max="8977" width="9.5" style="568" bestFit="1" customWidth="1"/>
    <col min="8978" max="9216" width="7.75" style="568"/>
    <col min="9217" max="9217" width="5" style="568" customWidth="1"/>
    <col min="9218" max="9218" width="35.125" style="568" customWidth="1"/>
    <col min="9219" max="9219" width="12.75" style="568" customWidth="1"/>
    <col min="9220" max="9221" width="10.75" style="568" customWidth="1"/>
    <col min="9222" max="9224" width="0" style="568" hidden="1" customWidth="1"/>
    <col min="9225" max="9230" width="10.75" style="568" customWidth="1"/>
    <col min="9231" max="9231" width="16.875" style="568" customWidth="1"/>
    <col min="9232" max="9232" width="12.5" style="568" customWidth="1"/>
    <col min="9233" max="9233" width="9.5" style="568" bestFit="1" customWidth="1"/>
    <col min="9234" max="9472" width="7.75" style="568"/>
    <col min="9473" max="9473" width="5" style="568" customWidth="1"/>
    <col min="9474" max="9474" width="35.125" style="568" customWidth="1"/>
    <col min="9475" max="9475" width="12.75" style="568" customWidth="1"/>
    <col min="9476" max="9477" width="10.75" style="568" customWidth="1"/>
    <col min="9478" max="9480" width="0" style="568" hidden="1" customWidth="1"/>
    <col min="9481" max="9486" width="10.75" style="568" customWidth="1"/>
    <col min="9487" max="9487" width="16.875" style="568" customWidth="1"/>
    <col min="9488" max="9488" width="12.5" style="568" customWidth="1"/>
    <col min="9489" max="9489" width="9.5" style="568" bestFit="1" customWidth="1"/>
    <col min="9490" max="9728" width="7.75" style="568"/>
    <col min="9729" max="9729" width="5" style="568" customWidth="1"/>
    <col min="9730" max="9730" width="35.125" style="568" customWidth="1"/>
    <col min="9731" max="9731" width="12.75" style="568" customWidth="1"/>
    <col min="9732" max="9733" width="10.75" style="568" customWidth="1"/>
    <col min="9734" max="9736" width="0" style="568" hidden="1" customWidth="1"/>
    <col min="9737" max="9742" width="10.75" style="568" customWidth="1"/>
    <col min="9743" max="9743" width="16.875" style="568" customWidth="1"/>
    <col min="9744" max="9744" width="12.5" style="568" customWidth="1"/>
    <col min="9745" max="9745" width="9.5" style="568" bestFit="1" customWidth="1"/>
    <col min="9746" max="9984" width="7.75" style="568"/>
    <col min="9985" max="9985" width="5" style="568" customWidth="1"/>
    <col min="9986" max="9986" width="35.125" style="568" customWidth="1"/>
    <col min="9987" max="9987" width="12.75" style="568" customWidth="1"/>
    <col min="9988" max="9989" width="10.75" style="568" customWidth="1"/>
    <col min="9990" max="9992" width="0" style="568" hidden="1" customWidth="1"/>
    <col min="9993" max="9998" width="10.75" style="568" customWidth="1"/>
    <col min="9999" max="9999" width="16.875" style="568" customWidth="1"/>
    <col min="10000" max="10000" width="12.5" style="568" customWidth="1"/>
    <col min="10001" max="10001" width="9.5" style="568" bestFit="1" customWidth="1"/>
    <col min="10002" max="10240" width="7.75" style="568"/>
    <col min="10241" max="10241" width="5" style="568" customWidth="1"/>
    <col min="10242" max="10242" width="35.125" style="568" customWidth="1"/>
    <col min="10243" max="10243" width="12.75" style="568" customWidth="1"/>
    <col min="10244" max="10245" width="10.75" style="568" customWidth="1"/>
    <col min="10246" max="10248" width="0" style="568" hidden="1" customWidth="1"/>
    <col min="10249" max="10254" width="10.75" style="568" customWidth="1"/>
    <col min="10255" max="10255" width="16.875" style="568" customWidth="1"/>
    <col min="10256" max="10256" width="12.5" style="568" customWidth="1"/>
    <col min="10257" max="10257" width="9.5" style="568" bestFit="1" customWidth="1"/>
    <col min="10258" max="10496" width="7.75" style="568"/>
    <col min="10497" max="10497" width="5" style="568" customWidth="1"/>
    <col min="10498" max="10498" width="35.125" style="568" customWidth="1"/>
    <col min="10499" max="10499" width="12.75" style="568" customWidth="1"/>
    <col min="10500" max="10501" width="10.75" style="568" customWidth="1"/>
    <col min="10502" max="10504" width="0" style="568" hidden="1" customWidth="1"/>
    <col min="10505" max="10510" width="10.75" style="568" customWidth="1"/>
    <col min="10511" max="10511" width="16.875" style="568" customWidth="1"/>
    <col min="10512" max="10512" width="12.5" style="568" customWidth="1"/>
    <col min="10513" max="10513" width="9.5" style="568" bestFit="1" customWidth="1"/>
    <col min="10514" max="10752" width="7.75" style="568"/>
    <col min="10753" max="10753" width="5" style="568" customWidth="1"/>
    <col min="10754" max="10754" width="35.125" style="568" customWidth="1"/>
    <col min="10755" max="10755" width="12.75" style="568" customWidth="1"/>
    <col min="10756" max="10757" width="10.75" style="568" customWidth="1"/>
    <col min="10758" max="10760" width="0" style="568" hidden="1" customWidth="1"/>
    <col min="10761" max="10766" width="10.75" style="568" customWidth="1"/>
    <col min="10767" max="10767" width="16.875" style="568" customWidth="1"/>
    <col min="10768" max="10768" width="12.5" style="568" customWidth="1"/>
    <col min="10769" max="10769" width="9.5" style="568" bestFit="1" customWidth="1"/>
    <col min="10770" max="11008" width="7.75" style="568"/>
    <col min="11009" max="11009" width="5" style="568" customWidth="1"/>
    <col min="11010" max="11010" width="35.125" style="568" customWidth="1"/>
    <col min="11011" max="11011" width="12.75" style="568" customWidth="1"/>
    <col min="11012" max="11013" width="10.75" style="568" customWidth="1"/>
    <col min="11014" max="11016" width="0" style="568" hidden="1" customWidth="1"/>
    <col min="11017" max="11022" width="10.75" style="568" customWidth="1"/>
    <col min="11023" max="11023" width="16.875" style="568" customWidth="1"/>
    <col min="11024" max="11024" width="12.5" style="568" customWidth="1"/>
    <col min="11025" max="11025" width="9.5" style="568" bestFit="1" customWidth="1"/>
    <col min="11026" max="11264" width="7.75" style="568"/>
    <col min="11265" max="11265" width="5" style="568" customWidth="1"/>
    <col min="11266" max="11266" width="35.125" style="568" customWidth="1"/>
    <col min="11267" max="11267" width="12.75" style="568" customWidth="1"/>
    <col min="11268" max="11269" width="10.75" style="568" customWidth="1"/>
    <col min="11270" max="11272" width="0" style="568" hidden="1" customWidth="1"/>
    <col min="11273" max="11278" width="10.75" style="568" customWidth="1"/>
    <col min="11279" max="11279" width="16.875" style="568" customWidth="1"/>
    <col min="11280" max="11280" width="12.5" style="568" customWidth="1"/>
    <col min="11281" max="11281" width="9.5" style="568" bestFit="1" customWidth="1"/>
    <col min="11282" max="11520" width="7.75" style="568"/>
    <col min="11521" max="11521" width="5" style="568" customWidth="1"/>
    <col min="11522" max="11522" width="35.125" style="568" customWidth="1"/>
    <col min="11523" max="11523" width="12.75" style="568" customWidth="1"/>
    <col min="11524" max="11525" width="10.75" style="568" customWidth="1"/>
    <col min="11526" max="11528" width="0" style="568" hidden="1" customWidth="1"/>
    <col min="11529" max="11534" width="10.75" style="568" customWidth="1"/>
    <col min="11535" max="11535" width="16.875" style="568" customWidth="1"/>
    <col min="11536" max="11536" width="12.5" style="568" customWidth="1"/>
    <col min="11537" max="11537" width="9.5" style="568" bestFit="1" customWidth="1"/>
    <col min="11538" max="11776" width="7.75" style="568"/>
    <col min="11777" max="11777" width="5" style="568" customWidth="1"/>
    <col min="11778" max="11778" width="35.125" style="568" customWidth="1"/>
    <col min="11779" max="11779" width="12.75" style="568" customWidth="1"/>
    <col min="11780" max="11781" width="10.75" style="568" customWidth="1"/>
    <col min="11782" max="11784" width="0" style="568" hidden="1" customWidth="1"/>
    <col min="11785" max="11790" width="10.75" style="568" customWidth="1"/>
    <col min="11791" max="11791" width="16.875" style="568" customWidth="1"/>
    <col min="11792" max="11792" width="12.5" style="568" customWidth="1"/>
    <col min="11793" max="11793" width="9.5" style="568" bestFit="1" customWidth="1"/>
    <col min="11794" max="12032" width="7.75" style="568"/>
    <col min="12033" max="12033" width="5" style="568" customWidth="1"/>
    <col min="12034" max="12034" width="35.125" style="568" customWidth="1"/>
    <col min="12035" max="12035" width="12.75" style="568" customWidth="1"/>
    <col min="12036" max="12037" width="10.75" style="568" customWidth="1"/>
    <col min="12038" max="12040" width="0" style="568" hidden="1" customWidth="1"/>
    <col min="12041" max="12046" width="10.75" style="568" customWidth="1"/>
    <col min="12047" max="12047" width="16.875" style="568" customWidth="1"/>
    <col min="12048" max="12048" width="12.5" style="568" customWidth="1"/>
    <col min="12049" max="12049" width="9.5" style="568" bestFit="1" customWidth="1"/>
    <col min="12050" max="12288" width="7.75" style="568"/>
    <col min="12289" max="12289" width="5" style="568" customWidth="1"/>
    <col min="12290" max="12290" width="35.125" style="568" customWidth="1"/>
    <col min="12291" max="12291" width="12.75" style="568" customWidth="1"/>
    <col min="12292" max="12293" width="10.75" style="568" customWidth="1"/>
    <col min="12294" max="12296" width="0" style="568" hidden="1" customWidth="1"/>
    <col min="12297" max="12302" width="10.75" style="568" customWidth="1"/>
    <col min="12303" max="12303" width="16.875" style="568" customWidth="1"/>
    <col min="12304" max="12304" width="12.5" style="568" customWidth="1"/>
    <col min="12305" max="12305" width="9.5" style="568" bestFit="1" customWidth="1"/>
    <col min="12306" max="12544" width="7.75" style="568"/>
    <col min="12545" max="12545" width="5" style="568" customWidth="1"/>
    <col min="12546" max="12546" width="35.125" style="568" customWidth="1"/>
    <col min="12547" max="12547" width="12.75" style="568" customWidth="1"/>
    <col min="12548" max="12549" width="10.75" style="568" customWidth="1"/>
    <col min="12550" max="12552" width="0" style="568" hidden="1" customWidth="1"/>
    <col min="12553" max="12558" width="10.75" style="568" customWidth="1"/>
    <col min="12559" max="12559" width="16.875" style="568" customWidth="1"/>
    <col min="12560" max="12560" width="12.5" style="568" customWidth="1"/>
    <col min="12561" max="12561" width="9.5" style="568" bestFit="1" customWidth="1"/>
    <col min="12562" max="12800" width="7.75" style="568"/>
    <col min="12801" max="12801" width="5" style="568" customWidth="1"/>
    <col min="12802" max="12802" width="35.125" style="568" customWidth="1"/>
    <col min="12803" max="12803" width="12.75" style="568" customWidth="1"/>
    <col min="12804" max="12805" width="10.75" style="568" customWidth="1"/>
    <col min="12806" max="12808" width="0" style="568" hidden="1" customWidth="1"/>
    <col min="12809" max="12814" width="10.75" style="568" customWidth="1"/>
    <col min="12815" max="12815" width="16.875" style="568" customWidth="1"/>
    <col min="12816" max="12816" width="12.5" style="568" customWidth="1"/>
    <col min="12817" max="12817" width="9.5" style="568" bestFit="1" customWidth="1"/>
    <col min="12818" max="13056" width="7.75" style="568"/>
    <col min="13057" max="13057" width="5" style="568" customWidth="1"/>
    <col min="13058" max="13058" width="35.125" style="568" customWidth="1"/>
    <col min="13059" max="13059" width="12.75" style="568" customWidth="1"/>
    <col min="13060" max="13061" width="10.75" style="568" customWidth="1"/>
    <col min="13062" max="13064" width="0" style="568" hidden="1" customWidth="1"/>
    <col min="13065" max="13070" width="10.75" style="568" customWidth="1"/>
    <col min="13071" max="13071" width="16.875" style="568" customWidth="1"/>
    <col min="13072" max="13072" width="12.5" style="568" customWidth="1"/>
    <col min="13073" max="13073" width="9.5" style="568" bestFit="1" customWidth="1"/>
    <col min="13074" max="13312" width="7.75" style="568"/>
    <col min="13313" max="13313" width="5" style="568" customWidth="1"/>
    <col min="13314" max="13314" width="35.125" style="568" customWidth="1"/>
    <col min="13315" max="13315" width="12.75" style="568" customWidth="1"/>
    <col min="13316" max="13317" width="10.75" style="568" customWidth="1"/>
    <col min="13318" max="13320" width="0" style="568" hidden="1" customWidth="1"/>
    <col min="13321" max="13326" width="10.75" style="568" customWidth="1"/>
    <col min="13327" max="13327" width="16.875" style="568" customWidth="1"/>
    <col min="13328" max="13328" width="12.5" style="568" customWidth="1"/>
    <col min="13329" max="13329" width="9.5" style="568" bestFit="1" customWidth="1"/>
    <col min="13330" max="13568" width="7.75" style="568"/>
    <col min="13569" max="13569" width="5" style="568" customWidth="1"/>
    <col min="13570" max="13570" width="35.125" style="568" customWidth="1"/>
    <col min="13571" max="13571" width="12.75" style="568" customWidth="1"/>
    <col min="13572" max="13573" width="10.75" style="568" customWidth="1"/>
    <col min="13574" max="13576" width="0" style="568" hidden="1" customWidth="1"/>
    <col min="13577" max="13582" width="10.75" style="568" customWidth="1"/>
    <col min="13583" max="13583" width="16.875" style="568" customWidth="1"/>
    <col min="13584" max="13584" width="12.5" style="568" customWidth="1"/>
    <col min="13585" max="13585" width="9.5" style="568" bestFit="1" customWidth="1"/>
    <col min="13586" max="13824" width="7.75" style="568"/>
    <col min="13825" max="13825" width="5" style="568" customWidth="1"/>
    <col min="13826" max="13826" width="35.125" style="568" customWidth="1"/>
    <col min="13827" max="13827" width="12.75" style="568" customWidth="1"/>
    <col min="13828" max="13829" width="10.75" style="568" customWidth="1"/>
    <col min="13830" max="13832" width="0" style="568" hidden="1" customWidth="1"/>
    <col min="13833" max="13838" width="10.75" style="568" customWidth="1"/>
    <col min="13839" max="13839" width="16.875" style="568" customWidth="1"/>
    <col min="13840" max="13840" width="12.5" style="568" customWidth="1"/>
    <col min="13841" max="13841" width="9.5" style="568" bestFit="1" customWidth="1"/>
    <col min="13842" max="14080" width="7.75" style="568"/>
    <col min="14081" max="14081" width="5" style="568" customWidth="1"/>
    <col min="14082" max="14082" width="35.125" style="568" customWidth="1"/>
    <col min="14083" max="14083" width="12.75" style="568" customWidth="1"/>
    <col min="14084" max="14085" width="10.75" style="568" customWidth="1"/>
    <col min="14086" max="14088" width="0" style="568" hidden="1" customWidth="1"/>
    <col min="14089" max="14094" width="10.75" style="568" customWidth="1"/>
    <col min="14095" max="14095" width="16.875" style="568" customWidth="1"/>
    <col min="14096" max="14096" width="12.5" style="568" customWidth="1"/>
    <col min="14097" max="14097" width="9.5" style="568" bestFit="1" customWidth="1"/>
    <col min="14098" max="14336" width="7.75" style="568"/>
    <col min="14337" max="14337" width="5" style="568" customWidth="1"/>
    <col min="14338" max="14338" width="35.125" style="568" customWidth="1"/>
    <col min="14339" max="14339" width="12.75" style="568" customWidth="1"/>
    <col min="14340" max="14341" width="10.75" style="568" customWidth="1"/>
    <col min="14342" max="14344" width="0" style="568" hidden="1" customWidth="1"/>
    <col min="14345" max="14350" width="10.75" style="568" customWidth="1"/>
    <col min="14351" max="14351" width="16.875" style="568" customWidth="1"/>
    <col min="14352" max="14352" width="12.5" style="568" customWidth="1"/>
    <col min="14353" max="14353" width="9.5" style="568" bestFit="1" customWidth="1"/>
    <col min="14354" max="14592" width="7.75" style="568"/>
    <col min="14593" max="14593" width="5" style="568" customWidth="1"/>
    <col min="14594" max="14594" width="35.125" style="568" customWidth="1"/>
    <col min="14595" max="14595" width="12.75" style="568" customWidth="1"/>
    <col min="14596" max="14597" width="10.75" style="568" customWidth="1"/>
    <col min="14598" max="14600" width="0" style="568" hidden="1" customWidth="1"/>
    <col min="14601" max="14606" width="10.75" style="568" customWidth="1"/>
    <col min="14607" max="14607" width="16.875" style="568" customWidth="1"/>
    <col min="14608" max="14608" width="12.5" style="568" customWidth="1"/>
    <col min="14609" max="14609" width="9.5" style="568" bestFit="1" customWidth="1"/>
    <col min="14610" max="14848" width="7.75" style="568"/>
    <col min="14849" max="14849" width="5" style="568" customWidth="1"/>
    <col min="14850" max="14850" width="35.125" style="568" customWidth="1"/>
    <col min="14851" max="14851" width="12.75" style="568" customWidth="1"/>
    <col min="14852" max="14853" width="10.75" style="568" customWidth="1"/>
    <col min="14854" max="14856" width="0" style="568" hidden="1" customWidth="1"/>
    <col min="14857" max="14862" width="10.75" style="568" customWidth="1"/>
    <col min="14863" max="14863" width="16.875" style="568" customWidth="1"/>
    <col min="14864" max="14864" width="12.5" style="568" customWidth="1"/>
    <col min="14865" max="14865" width="9.5" style="568" bestFit="1" customWidth="1"/>
    <col min="14866" max="15104" width="7.75" style="568"/>
    <col min="15105" max="15105" width="5" style="568" customWidth="1"/>
    <col min="15106" max="15106" width="35.125" style="568" customWidth="1"/>
    <col min="15107" max="15107" width="12.75" style="568" customWidth="1"/>
    <col min="15108" max="15109" width="10.75" style="568" customWidth="1"/>
    <col min="15110" max="15112" width="0" style="568" hidden="1" customWidth="1"/>
    <col min="15113" max="15118" width="10.75" style="568" customWidth="1"/>
    <col min="15119" max="15119" width="16.875" style="568" customWidth="1"/>
    <col min="15120" max="15120" width="12.5" style="568" customWidth="1"/>
    <col min="15121" max="15121" width="9.5" style="568" bestFit="1" customWidth="1"/>
    <col min="15122" max="15360" width="7.75" style="568"/>
    <col min="15361" max="15361" width="5" style="568" customWidth="1"/>
    <col min="15362" max="15362" width="35.125" style="568" customWidth="1"/>
    <col min="15363" max="15363" width="12.75" style="568" customWidth="1"/>
    <col min="15364" max="15365" width="10.75" style="568" customWidth="1"/>
    <col min="15366" max="15368" width="0" style="568" hidden="1" customWidth="1"/>
    <col min="15369" max="15374" width="10.75" style="568" customWidth="1"/>
    <col min="15375" max="15375" width="16.875" style="568" customWidth="1"/>
    <col min="15376" max="15376" width="12.5" style="568" customWidth="1"/>
    <col min="15377" max="15377" width="9.5" style="568" bestFit="1" customWidth="1"/>
    <col min="15378" max="15616" width="7.75" style="568"/>
    <col min="15617" max="15617" width="5" style="568" customWidth="1"/>
    <col min="15618" max="15618" width="35.125" style="568" customWidth="1"/>
    <col min="15619" max="15619" width="12.75" style="568" customWidth="1"/>
    <col min="15620" max="15621" width="10.75" style="568" customWidth="1"/>
    <col min="15622" max="15624" width="0" style="568" hidden="1" customWidth="1"/>
    <col min="15625" max="15630" width="10.75" style="568" customWidth="1"/>
    <col min="15631" max="15631" width="16.875" style="568" customWidth="1"/>
    <col min="15632" max="15632" width="12.5" style="568" customWidth="1"/>
    <col min="15633" max="15633" width="9.5" style="568" bestFit="1" customWidth="1"/>
    <col min="15634" max="15872" width="7.75" style="568"/>
    <col min="15873" max="15873" width="5" style="568" customWidth="1"/>
    <col min="15874" max="15874" width="35.125" style="568" customWidth="1"/>
    <col min="15875" max="15875" width="12.75" style="568" customWidth="1"/>
    <col min="15876" max="15877" width="10.75" style="568" customWidth="1"/>
    <col min="15878" max="15880" width="0" style="568" hidden="1" customWidth="1"/>
    <col min="15881" max="15886" width="10.75" style="568" customWidth="1"/>
    <col min="15887" max="15887" width="16.875" style="568" customWidth="1"/>
    <col min="15888" max="15888" width="12.5" style="568" customWidth="1"/>
    <col min="15889" max="15889" width="9.5" style="568" bestFit="1" customWidth="1"/>
    <col min="15890" max="16128" width="7.75" style="568"/>
    <col min="16129" max="16129" width="5" style="568" customWidth="1"/>
    <col min="16130" max="16130" width="35.125" style="568" customWidth="1"/>
    <col min="16131" max="16131" width="12.75" style="568" customWidth="1"/>
    <col min="16132" max="16133" width="10.75" style="568" customWidth="1"/>
    <col min="16134" max="16136" width="0" style="568" hidden="1" customWidth="1"/>
    <col min="16137" max="16142" width="10.75" style="568" customWidth="1"/>
    <col min="16143" max="16143" width="16.875" style="568" customWidth="1"/>
    <col min="16144" max="16144" width="12.5" style="568" customWidth="1"/>
    <col min="16145" max="16145" width="9.5" style="568" bestFit="1" customWidth="1"/>
    <col min="16146" max="16384" width="7.75" style="568"/>
  </cols>
  <sheetData>
    <row r="1" spans="1:17" s="477" customFormat="1" ht="15" x14ac:dyDescent="0.25">
      <c r="A1" s="1144"/>
      <c r="B1" s="1144"/>
      <c r="C1" s="1144"/>
      <c r="D1" s="1144"/>
      <c r="E1" s="1144"/>
      <c r="F1" s="1144"/>
      <c r="G1" s="1144"/>
      <c r="H1" s="1144"/>
      <c r="I1" s="1144"/>
      <c r="J1" s="1144"/>
      <c r="K1" s="1144"/>
      <c r="L1" s="1144"/>
      <c r="M1" s="1144"/>
      <c r="N1" s="1144"/>
      <c r="O1" s="1144"/>
      <c r="P1" s="1144"/>
    </row>
    <row r="2" spans="1:17" s="477" customFormat="1" ht="15" x14ac:dyDescent="0.25">
      <c r="A2" s="1145" t="s">
        <v>473</v>
      </c>
      <c r="B2" s="1145"/>
      <c r="C2" s="1145"/>
      <c r="D2" s="1145"/>
      <c r="E2" s="1145"/>
      <c r="F2" s="1145"/>
      <c r="G2" s="1145"/>
      <c r="H2" s="1145"/>
      <c r="I2" s="1145"/>
      <c r="J2" s="1145"/>
      <c r="K2" s="1145"/>
      <c r="L2" s="1145"/>
      <c r="M2" s="1145"/>
      <c r="N2" s="1145"/>
      <c r="O2" s="1145"/>
      <c r="P2" s="1145"/>
    </row>
    <row r="3" spans="1:17" s="477" customFormat="1" ht="15" x14ac:dyDescent="0.25">
      <c r="A3" s="1146" t="s">
        <v>1191</v>
      </c>
      <c r="B3" s="1147"/>
      <c r="C3" s="1147"/>
      <c r="D3" s="1147"/>
      <c r="E3" s="1147"/>
      <c r="F3" s="1147"/>
      <c r="G3" s="1147"/>
      <c r="H3" s="1147"/>
      <c r="I3" s="1147"/>
      <c r="J3" s="1147"/>
      <c r="K3" s="1147"/>
      <c r="L3" s="1147"/>
      <c r="M3" s="1147"/>
      <c r="N3" s="1147"/>
      <c r="O3" s="1147"/>
      <c r="P3" s="1147"/>
    </row>
    <row r="4" spans="1:17" s="477" customFormat="1" ht="15" x14ac:dyDescent="0.25">
      <c r="A4" s="478"/>
      <c r="B4" s="479"/>
      <c r="C4" s="480"/>
      <c r="D4" s="478"/>
      <c r="E4" s="478"/>
      <c r="F4" s="478"/>
      <c r="G4" s="478"/>
      <c r="H4" s="1148" t="s">
        <v>327</v>
      </c>
      <c r="I4" s="1148"/>
      <c r="J4" s="1148"/>
      <c r="K4" s="1148"/>
      <c r="L4" s="1148"/>
      <c r="M4" s="1148"/>
      <c r="N4" s="1148"/>
      <c r="O4" s="1148"/>
      <c r="P4" s="1148"/>
    </row>
    <row r="5" spans="1:17" ht="35.25" customHeight="1" x14ac:dyDescent="0.3">
      <c r="A5" s="1149" t="s">
        <v>1</v>
      </c>
      <c r="B5" s="1149" t="s">
        <v>474</v>
      </c>
      <c r="C5" s="1150" t="s">
        <v>374</v>
      </c>
      <c r="D5" s="1151"/>
      <c r="E5" s="1152"/>
      <c r="F5" s="1150" t="s">
        <v>475</v>
      </c>
      <c r="G5" s="1151"/>
      <c r="H5" s="1152"/>
      <c r="I5" s="1153" t="s">
        <v>476</v>
      </c>
      <c r="J5" s="1154"/>
      <c r="K5" s="1155"/>
      <c r="L5" s="1153" t="s">
        <v>477</v>
      </c>
      <c r="M5" s="1154"/>
      <c r="N5" s="1155"/>
      <c r="O5" s="1142" t="s">
        <v>378</v>
      </c>
      <c r="P5" s="1142" t="s">
        <v>3</v>
      </c>
    </row>
    <row r="6" spans="1:17" ht="61.5" customHeight="1" x14ac:dyDescent="0.3">
      <c r="A6" s="1149"/>
      <c r="B6" s="1149"/>
      <c r="C6" s="569" t="s">
        <v>358</v>
      </c>
      <c r="D6" s="570" t="s">
        <v>218</v>
      </c>
      <c r="E6" s="569" t="s">
        <v>382</v>
      </c>
      <c r="F6" s="569" t="s">
        <v>358</v>
      </c>
      <c r="G6" s="570" t="s">
        <v>218</v>
      </c>
      <c r="H6" s="569" t="s">
        <v>382</v>
      </c>
      <c r="I6" s="569" t="s">
        <v>358</v>
      </c>
      <c r="J6" s="570" t="s">
        <v>218</v>
      </c>
      <c r="K6" s="569" t="s">
        <v>382</v>
      </c>
      <c r="L6" s="569" t="s">
        <v>358</v>
      </c>
      <c r="M6" s="570" t="s">
        <v>218</v>
      </c>
      <c r="N6" s="569" t="s">
        <v>382</v>
      </c>
      <c r="O6" s="1143"/>
      <c r="P6" s="1143"/>
    </row>
    <row r="7" spans="1:17" ht="25.5" customHeight="1" x14ac:dyDescent="0.3">
      <c r="A7" s="571"/>
      <c r="B7" s="571" t="s">
        <v>34</v>
      </c>
      <c r="C7" s="572">
        <f t="shared" ref="C7:N7" si="0">C8+C13</f>
        <v>487904</v>
      </c>
      <c r="D7" s="572">
        <f t="shared" si="0"/>
        <v>473693</v>
      </c>
      <c r="E7" s="572">
        <f t="shared" si="0"/>
        <v>14211</v>
      </c>
      <c r="F7" s="572">
        <f t="shared" si="0"/>
        <v>162022</v>
      </c>
      <c r="G7" s="572">
        <f t="shared" si="0"/>
        <v>157302</v>
      </c>
      <c r="H7" s="572">
        <f t="shared" si="0"/>
        <v>4720</v>
      </c>
      <c r="I7" s="572">
        <f t="shared" si="0"/>
        <v>325882</v>
      </c>
      <c r="J7" s="572">
        <f t="shared" si="0"/>
        <v>316391</v>
      </c>
      <c r="K7" s="572">
        <f t="shared" si="0"/>
        <v>9491</v>
      </c>
      <c r="L7" s="572">
        <f t="shared" si="0"/>
        <v>108626</v>
      </c>
      <c r="M7" s="572">
        <f t="shared" si="0"/>
        <v>105463</v>
      </c>
      <c r="N7" s="572">
        <f t="shared" si="0"/>
        <v>3163</v>
      </c>
      <c r="O7" s="572"/>
      <c r="P7" s="376"/>
    </row>
    <row r="8" spans="1:17" ht="25.5" customHeight="1" x14ac:dyDescent="0.3">
      <c r="A8" s="571" t="s">
        <v>4</v>
      </c>
      <c r="B8" s="438" t="s">
        <v>383</v>
      </c>
      <c r="C8" s="572">
        <f>C9</f>
        <v>86584</v>
      </c>
      <c r="D8" s="572">
        <f>D9</f>
        <v>84062</v>
      </c>
      <c r="E8" s="572">
        <f>E9</f>
        <v>2522</v>
      </c>
      <c r="F8" s="572">
        <f>F9</f>
        <v>23980</v>
      </c>
      <c r="G8" s="572">
        <f>G9</f>
        <v>23281</v>
      </c>
      <c r="H8" s="572">
        <f t="shared" ref="H8:N8" si="1">H9</f>
        <v>699</v>
      </c>
      <c r="I8" s="572">
        <f t="shared" si="1"/>
        <v>62604</v>
      </c>
      <c r="J8" s="572">
        <f t="shared" si="1"/>
        <v>60781</v>
      </c>
      <c r="K8" s="572">
        <f t="shared" si="1"/>
        <v>1823</v>
      </c>
      <c r="L8" s="572">
        <f t="shared" si="1"/>
        <v>20869</v>
      </c>
      <c r="M8" s="572">
        <f t="shared" si="1"/>
        <v>20262</v>
      </c>
      <c r="N8" s="572">
        <f t="shared" si="1"/>
        <v>607</v>
      </c>
      <c r="O8" s="572"/>
      <c r="P8" s="376"/>
    </row>
    <row r="9" spans="1:17" s="575" customFormat="1" ht="49.5" customHeight="1" x14ac:dyDescent="0.25">
      <c r="A9" s="571" t="s">
        <v>46</v>
      </c>
      <c r="B9" s="573" t="s">
        <v>333</v>
      </c>
      <c r="C9" s="574">
        <f t="shared" ref="C9:N9" si="2">C10+C12</f>
        <v>86584</v>
      </c>
      <c r="D9" s="574">
        <f t="shared" si="2"/>
        <v>84062</v>
      </c>
      <c r="E9" s="574">
        <f>E10+E12</f>
        <v>2522</v>
      </c>
      <c r="F9" s="574">
        <f t="shared" si="2"/>
        <v>23980</v>
      </c>
      <c r="G9" s="574">
        <f t="shared" si="2"/>
        <v>23281</v>
      </c>
      <c r="H9" s="574">
        <f t="shared" si="2"/>
        <v>699</v>
      </c>
      <c r="I9" s="574">
        <f t="shared" si="2"/>
        <v>62604</v>
      </c>
      <c r="J9" s="574">
        <f t="shared" si="2"/>
        <v>60781</v>
      </c>
      <c r="K9" s="574">
        <f t="shared" si="2"/>
        <v>1823</v>
      </c>
      <c r="L9" s="574">
        <f t="shared" si="2"/>
        <v>20869</v>
      </c>
      <c r="M9" s="574">
        <f t="shared" si="2"/>
        <v>20262</v>
      </c>
      <c r="N9" s="574">
        <f t="shared" si="2"/>
        <v>607</v>
      </c>
      <c r="O9" s="574"/>
      <c r="P9" s="571"/>
    </row>
    <row r="10" spans="1:17" s="580" customFormat="1" ht="58.5" x14ac:dyDescent="0.35">
      <c r="A10" s="576" t="s">
        <v>478</v>
      </c>
      <c r="B10" s="577" t="s">
        <v>479</v>
      </c>
      <c r="C10" s="578">
        <f t="shared" ref="C10:N10" si="3">C11</f>
        <v>77228</v>
      </c>
      <c r="D10" s="578">
        <f t="shared" si="3"/>
        <v>74979</v>
      </c>
      <c r="E10" s="578">
        <f t="shared" si="3"/>
        <v>2249</v>
      </c>
      <c r="F10" s="578">
        <f t="shared" si="3"/>
        <v>23169</v>
      </c>
      <c r="G10" s="578">
        <f t="shared" si="3"/>
        <v>22494</v>
      </c>
      <c r="H10" s="578">
        <f t="shared" si="3"/>
        <v>675</v>
      </c>
      <c r="I10" s="578">
        <f t="shared" si="3"/>
        <v>54059</v>
      </c>
      <c r="J10" s="578">
        <f t="shared" si="3"/>
        <v>52485</v>
      </c>
      <c r="K10" s="578">
        <f t="shared" si="3"/>
        <v>1574</v>
      </c>
      <c r="L10" s="578">
        <f t="shared" si="3"/>
        <v>18020</v>
      </c>
      <c r="M10" s="578">
        <f t="shared" si="3"/>
        <v>17496</v>
      </c>
      <c r="N10" s="578">
        <f t="shared" si="3"/>
        <v>524</v>
      </c>
      <c r="O10" s="578"/>
      <c r="P10" s="579">
        <f>D16-199294</f>
        <v>0</v>
      </c>
    </row>
    <row r="11" spans="1:17" ht="141" customHeight="1" x14ac:dyDescent="0.3">
      <c r="A11" s="581">
        <v>1</v>
      </c>
      <c r="B11" s="582" t="s">
        <v>480</v>
      </c>
      <c r="C11" s="583">
        <f>D11+E11</f>
        <v>77228</v>
      </c>
      <c r="D11" s="583">
        <v>74979</v>
      </c>
      <c r="E11" s="583">
        <v>2249</v>
      </c>
      <c r="F11" s="583">
        <f>G11+H11</f>
        <v>23169</v>
      </c>
      <c r="G11" s="584">
        <v>22494</v>
      </c>
      <c r="H11" s="584">
        <v>675</v>
      </c>
      <c r="I11" s="584">
        <f t="shared" ref="I11:K12" si="4">C11-F11</f>
        <v>54059</v>
      </c>
      <c r="J11" s="584">
        <f t="shared" si="4"/>
        <v>52485</v>
      </c>
      <c r="K11" s="584">
        <f t="shared" si="4"/>
        <v>1574</v>
      </c>
      <c r="L11" s="584">
        <f>M11+N11</f>
        <v>18020</v>
      </c>
      <c r="M11" s="584">
        <v>17496</v>
      </c>
      <c r="N11" s="584">
        <v>524</v>
      </c>
      <c r="O11" s="585" t="s">
        <v>412</v>
      </c>
      <c r="P11" s="581"/>
    </row>
    <row r="12" spans="1:17" s="593" customFormat="1" ht="39" x14ac:dyDescent="0.3">
      <c r="A12" s="586" t="s">
        <v>481</v>
      </c>
      <c r="B12" s="587" t="s">
        <v>342</v>
      </c>
      <c r="C12" s="588">
        <f>D12+E12</f>
        <v>9356</v>
      </c>
      <c r="D12" s="588">
        <v>9083</v>
      </c>
      <c r="E12" s="588">
        <f>27+246</f>
        <v>273</v>
      </c>
      <c r="F12" s="588">
        <f>G12+H12</f>
        <v>811</v>
      </c>
      <c r="G12" s="588">
        <f>79+708</f>
        <v>787</v>
      </c>
      <c r="H12" s="588">
        <f>2+22</f>
        <v>24</v>
      </c>
      <c r="I12" s="589">
        <f t="shared" si="4"/>
        <v>8545</v>
      </c>
      <c r="J12" s="589">
        <f t="shared" si="4"/>
        <v>8296</v>
      </c>
      <c r="K12" s="589">
        <f t="shared" si="4"/>
        <v>249</v>
      </c>
      <c r="L12" s="589">
        <f>M12+N12</f>
        <v>2849</v>
      </c>
      <c r="M12" s="588">
        <v>2766</v>
      </c>
      <c r="N12" s="588">
        <v>83</v>
      </c>
      <c r="O12" s="590" t="s">
        <v>482</v>
      </c>
      <c r="P12" s="591"/>
      <c r="Q12" s="592"/>
    </row>
    <row r="13" spans="1:17" s="595" customFormat="1" x14ac:dyDescent="0.3">
      <c r="A13" s="571" t="s">
        <v>5</v>
      </c>
      <c r="B13" s="573" t="s">
        <v>460</v>
      </c>
      <c r="C13" s="594">
        <f t="shared" ref="C13:N13" si="5">C14</f>
        <v>401320</v>
      </c>
      <c r="D13" s="594">
        <f t="shared" si="5"/>
        <v>389631</v>
      </c>
      <c r="E13" s="594">
        <f t="shared" si="5"/>
        <v>11689</v>
      </c>
      <c r="F13" s="594">
        <f t="shared" si="5"/>
        <v>138042</v>
      </c>
      <c r="G13" s="594">
        <f t="shared" si="5"/>
        <v>134021</v>
      </c>
      <c r="H13" s="594">
        <f t="shared" si="5"/>
        <v>4021</v>
      </c>
      <c r="I13" s="594">
        <f t="shared" si="5"/>
        <v>263278</v>
      </c>
      <c r="J13" s="594">
        <f t="shared" si="5"/>
        <v>255610</v>
      </c>
      <c r="K13" s="594">
        <f t="shared" si="5"/>
        <v>7668</v>
      </c>
      <c r="L13" s="594">
        <f t="shared" si="5"/>
        <v>87757</v>
      </c>
      <c r="M13" s="594">
        <f t="shared" si="5"/>
        <v>85201</v>
      </c>
      <c r="N13" s="594">
        <f t="shared" si="5"/>
        <v>2556</v>
      </c>
      <c r="O13" s="572"/>
      <c r="P13" s="571"/>
    </row>
    <row r="14" spans="1:17" ht="37.5" x14ac:dyDescent="0.3">
      <c r="A14" s="571"/>
      <c r="B14" s="573" t="s">
        <v>483</v>
      </c>
      <c r="C14" s="572">
        <f t="shared" ref="C14:N14" si="6">C15+C16</f>
        <v>401320</v>
      </c>
      <c r="D14" s="572">
        <f t="shared" si="6"/>
        <v>389631</v>
      </c>
      <c r="E14" s="572">
        <f t="shared" si="6"/>
        <v>11689</v>
      </c>
      <c r="F14" s="572">
        <f t="shared" si="6"/>
        <v>138042</v>
      </c>
      <c r="G14" s="572">
        <f t="shared" si="6"/>
        <v>134021</v>
      </c>
      <c r="H14" s="572">
        <f t="shared" si="6"/>
        <v>4021</v>
      </c>
      <c r="I14" s="572">
        <f t="shared" si="6"/>
        <v>263278</v>
      </c>
      <c r="J14" s="572">
        <f t="shared" si="6"/>
        <v>255610</v>
      </c>
      <c r="K14" s="572">
        <f t="shared" si="6"/>
        <v>7668</v>
      </c>
      <c r="L14" s="572">
        <f t="shared" si="6"/>
        <v>87757</v>
      </c>
      <c r="M14" s="572">
        <f t="shared" si="6"/>
        <v>85201</v>
      </c>
      <c r="N14" s="572">
        <f t="shared" si="6"/>
        <v>2556</v>
      </c>
      <c r="O14" s="572"/>
      <c r="P14" s="376"/>
      <c r="Q14" s="596"/>
    </row>
    <row r="15" spans="1:17" ht="47.25" customHeight="1" x14ac:dyDescent="0.3">
      <c r="A15" s="581">
        <v>1</v>
      </c>
      <c r="B15" s="597" t="s">
        <v>40</v>
      </c>
      <c r="C15" s="583">
        <v>196047</v>
      </c>
      <c r="D15" s="598">
        <v>190337</v>
      </c>
      <c r="E15" s="598">
        <v>5710</v>
      </c>
      <c r="F15" s="583">
        <v>67434</v>
      </c>
      <c r="G15" s="598">
        <v>65470</v>
      </c>
      <c r="H15" s="598">
        <v>1964</v>
      </c>
      <c r="I15" s="584">
        <f t="shared" ref="I15:K16" si="7">C15-F15</f>
        <v>128613</v>
      </c>
      <c r="J15" s="584">
        <f t="shared" si="7"/>
        <v>124867</v>
      </c>
      <c r="K15" s="584">
        <f t="shared" si="7"/>
        <v>3746</v>
      </c>
      <c r="L15" s="584">
        <f>M15+N15</f>
        <v>42870</v>
      </c>
      <c r="M15" s="598">
        <v>41621</v>
      </c>
      <c r="N15" s="598">
        <v>1249</v>
      </c>
      <c r="O15" s="585" t="s">
        <v>465</v>
      </c>
      <c r="P15" s="599"/>
      <c r="Q15" s="596"/>
    </row>
    <row r="16" spans="1:17" ht="45" customHeight="1" x14ac:dyDescent="0.3">
      <c r="A16" s="581">
        <v>2</v>
      </c>
      <c r="B16" s="582" t="s">
        <v>43</v>
      </c>
      <c r="C16" s="600">
        <v>205273</v>
      </c>
      <c r="D16" s="600">
        <v>199294</v>
      </c>
      <c r="E16" s="600">
        <v>5979</v>
      </c>
      <c r="F16" s="600">
        <v>70608</v>
      </c>
      <c r="G16" s="600">
        <v>68551</v>
      </c>
      <c r="H16" s="600">
        <v>2057</v>
      </c>
      <c r="I16" s="601">
        <f t="shared" si="7"/>
        <v>134665</v>
      </c>
      <c r="J16" s="601">
        <f t="shared" si="7"/>
        <v>130743</v>
      </c>
      <c r="K16" s="601">
        <f t="shared" si="7"/>
        <v>3922</v>
      </c>
      <c r="L16" s="601">
        <f>M16+N16</f>
        <v>44887</v>
      </c>
      <c r="M16" s="600">
        <v>43580</v>
      </c>
      <c r="N16" s="600">
        <v>1307</v>
      </c>
      <c r="O16" s="602" t="s">
        <v>467</v>
      </c>
      <c r="P16" s="603"/>
    </row>
  </sheetData>
  <mergeCells count="12">
    <mergeCell ref="O5:O6"/>
    <mergeCell ref="P5:P6"/>
    <mergeCell ref="A1:P1"/>
    <mergeCell ref="A2:P2"/>
    <mergeCell ref="A3:P3"/>
    <mergeCell ref="H4:P4"/>
    <mergeCell ref="A5:A6"/>
    <mergeCell ref="B5:B6"/>
    <mergeCell ref="C5:E5"/>
    <mergeCell ref="F5:H5"/>
    <mergeCell ref="I5:K5"/>
    <mergeCell ref="L5:N5"/>
  </mergeCells>
  <pageMargins left="0.78740157480314965" right="0.39370078740157483" top="0.78740157480314965" bottom="0.78740157480314965" header="0.31496062992125984" footer="0.31496062992125984"/>
  <pageSetup paperSize="9" scale="71" firstPageNumber="72" orientation="landscape" useFirstPageNumber="1" r:id="rId1"/>
  <headerFooter>
    <oddHeader>&amp;RPhụ lục số 8A</oddHeader>
    <oddFooter>&amp;R&amp;P</oddFooter>
  </headerFooter>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
  <sheetViews>
    <sheetView zoomScale="85" zoomScaleNormal="85" zoomScaleSheetLayoutView="85" zoomScalePageLayoutView="85" workbookViewId="0">
      <pane xSplit="1" ySplit="29" topLeftCell="B30" activePane="bottomRight" state="frozen"/>
      <selection pane="topRight" activeCell="B1" sqref="B1"/>
      <selection pane="bottomLeft" activeCell="A30" sqref="A30"/>
      <selection pane="bottomRight" activeCell="B30" sqref="B30"/>
    </sheetView>
  </sheetViews>
  <sheetFormatPr defaultColWidth="7.75" defaultRowHeight="18.75" x14ac:dyDescent="0.25"/>
  <cols>
    <col min="1" max="1" width="4.625" style="442" customWidth="1"/>
    <col min="2" max="2" width="29.625" style="442" customWidth="1"/>
    <col min="3" max="3" width="6.5" style="442" customWidth="1"/>
    <col min="4" max="4" width="7.125" style="442" customWidth="1"/>
    <col min="5" max="5" width="5.75" style="442" customWidth="1"/>
    <col min="6" max="6" width="5.625" style="442" customWidth="1"/>
    <col min="7" max="7" width="6.75" style="442" customWidth="1"/>
    <col min="8" max="8" width="6" style="442" customWidth="1"/>
    <col min="9" max="9" width="6.5" style="442" customWidth="1"/>
    <col min="10" max="10" width="6.25" style="442" customWidth="1"/>
    <col min="11" max="11" width="5.5" style="442" customWidth="1"/>
    <col min="12" max="13" width="6.625" style="442" customWidth="1"/>
    <col min="14" max="14" width="5.625" style="442" customWidth="1"/>
    <col min="15" max="15" width="6" style="442" customWidth="1"/>
    <col min="16" max="16" width="6.125" style="442" customWidth="1"/>
    <col min="17" max="17" width="5.5" style="442" customWidth="1"/>
    <col min="18" max="20" width="5.75" style="442" hidden="1" customWidth="1"/>
    <col min="21" max="23" width="6" style="442" hidden="1" customWidth="1"/>
    <col min="24" max="24" width="7.375" style="442" hidden="1" customWidth="1"/>
    <col min="25" max="25" width="6.75" style="442" hidden="1" customWidth="1"/>
    <col min="26" max="26" width="6.625" style="442" customWidth="1"/>
    <col min="27" max="27" width="6.375" style="442" customWidth="1"/>
    <col min="28" max="28" width="5.375" style="442" customWidth="1"/>
    <col min="29" max="29" width="6.5" style="442" customWidth="1"/>
    <col min="30" max="30" width="6.25" style="442" customWidth="1"/>
    <col min="31" max="31" width="6.125" style="442" customWidth="1"/>
    <col min="32" max="36" width="6.375" style="442" customWidth="1"/>
    <col min="37" max="37" width="5.125" style="442" customWidth="1"/>
    <col min="38" max="40" width="5.5" style="442" customWidth="1"/>
    <col min="41" max="41" width="6" style="442" hidden="1" customWidth="1"/>
    <col min="42" max="42" width="6.375" style="442" hidden="1" customWidth="1"/>
    <col min="43" max="43" width="5.375" style="442" hidden="1" customWidth="1"/>
    <col min="44" max="46" width="5.875" style="442" customWidth="1"/>
    <col min="47" max="49" width="5.5" style="442" customWidth="1"/>
    <col min="50" max="52" width="5.625" style="442" hidden="1" customWidth="1"/>
    <col min="53" max="58" width="6.375" style="442" customWidth="1"/>
    <col min="59" max="16384" width="7.75" style="442"/>
  </cols>
  <sheetData>
    <row r="1" spans="1:58" s="440" customFormat="1" ht="26.25" x14ac:dyDescent="0.25">
      <c r="A1" s="439"/>
      <c r="B1" s="439"/>
      <c r="C1" s="1164" t="s">
        <v>326</v>
      </c>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t="s">
        <v>326</v>
      </c>
      <c r="AG1" s="1164"/>
      <c r="AH1" s="1164"/>
      <c r="AI1" s="1164"/>
      <c r="AJ1" s="1164"/>
      <c r="AK1" s="1164"/>
      <c r="AL1" s="1164"/>
      <c r="AM1" s="1164"/>
      <c r="AN1" s="1164"/>
      <c r="AO1" s="1164"/>
      <c r="AP1" s="1164"/>
      <c r="AQ1" s="1164"/>
      <c r="AR1" s="1164"/>
      <c r="AS1" s="1164"/>
      <c r="AT1" s="1164"/>
      <c r="AU1" s="1164"/>
      <c r="AV1" s="1164"/>
      <c r="AW1" s="1164"/>
      <c r="AX1" s="1164"/>
      <c r="AY1" s="1164"/>
      <c r="AZ1" s="1164"/>
      <c r="BA1" s="1164"/>
      <c r="BB1" s="1164"/>
      <c r="BC1" s="1164"/>
      <c r="BD1" s="1164"/>
      <c r="BE1" s="1164"/>
      <c r="BF1" s="1164"/>
    </row>
    <row r="2" spans="1:58" s="440" customFormat="1" ht="26.25" x14ac:dyDescent="0.25">
      <c r="A2" s="441"/>
      <c r="B2" s="441"/>
      <c r="C2" s="1042" t="s">
        <v>1191</v>
      </c>
      <c r="D2" s="1042"/>
      <c r="E2" s="1042"/>
      <c r="F2" s="1042"/>
      <c r="G2" s="1042"/>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c r="AF2" s="1042" t="s">
        <v>1191</v>
      </c>
      <c r="AG2" s="1042"/>
      <c r="AH2" s="1042"/>
      <c r="AI2" s="1042"/>
      <c r="AJ2" s="1042"/>
      <c r="AK2" s="1042"/>
      <c r="AL2" s="1042"/>
      <c r="AM2" s="1042"/>
      <c r="AN2" s="1042"/>
      <c r="AO2" s="1042"/>
      <c r="AP2" s="1042"/>
      <c r="AQ2" s="1042"/>
      <c r="AR2" s="1042"/>
      <c r="AS2" s="1042"/>
      <c r="AT2" s="1042"/>
      <c r="AU2" s="1042"/>
      <c r="AV2" s="1042"/>
      <c r="AW2" s="1042"/>
      <c r="AX2" s="1042"/>
      <c r="AY2" s="1042"/>
      <c r="AZ2" s="1042"/>
      <c r="BA2" s="1042"/>
      <c r="BB2" s="1042"/>
      <c r="BC2" s="1042"/>
      <c r="BD2" s="1042"/>
      <c r="BE2" s="1042"/>
      <c r="BF2" s="1042"/>
    </row>
    <row r="3" spans="1:58" ht="23.25" x14ac:dyDescent="0.25">
      <c r="J3" s="443"/>
      <c r="K3" s="443"/>
      <c r="L3" s="443"/>
      <c r="M3" s="443"/>
      <c r="N3" s="443"/>
      <c r="O3" s="443"/>
      <c r="P3" s="443"/>
      <c r="Q3" s="443"/>
      <c r="R3" s="443"/>
      <c r="S3" s="443"/>
      <c r="T3" s="443"/>
      <c r="U3" s="443"/>
      <c r="V3" s="443"/>
      <c r="W3" s="443"/>
      <c r="X3" s="443"/>
      <c r="Y3" s="443"/>
      <c r="Z3" s="1165" t="s">
        <v>327</v>
      </c>
      <c r="AA3" s="1165"/>
      <c r="AB3" s="1165"/>
      <c r="AC3" s="1165"/>
      <c r="AD3" s="1165"/>
      <c r="AE3" s="443"/>
      <c r="AF3" s="443"/>
      <c r="BB3" s="1165" t="s">
        <v>327</v>
      </c>
      <c r="BC3" s="1165"/>
      <c r="BD3" s="1165"/>
      <c r="BE3" s="1165"/>
      <c r="BF3" s="1165"/>
    </row>
    <row r="4" spans="1:58" s="444" customFormat="1" ht="15.75" customHeight="1" x14ac:dyDescent="0.25">
      <c r="A4" s="1162" t="s">
        <v>1</v>
      </c>
      <c r="B4" s="1162" t="s">
        <v>36</v>
      </c>
      <c r="C4" s="1162" t="s">
        <v>328</v>
      </c>
      <c r="D4" s="1162"/>
      <c r="E4" s="1162"/>
      <c r="F4" s="1162" t="s">
        <v>329</v>
      </c>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t="s">
        <v>329</v>
      </c>
      <c r="AG4" s="1162"/>
      <c r="AH4" s="1162"/>
      <c r="AI4" s="1162"/>
      <c r="AJ4" s="1162"/>
      <c r="AK4" s="1162"/>
      <c r="AL4" s="1162"/>
      <c r="AM4" s="1162"/>
      <c r="AN4" s="1162"/>
      <c r="AO4" s="1162"/>
      <c r="AP4" s="1162"/>
      <c r="AQ4" s="1162"/>
      <c r="AR4" s="1162"/>
      <c r="AS4" s="1162"/>
      <c r="AT4" s="1162"/>
      <c r="AU4" s="1162"/>
      <c r="AV4" s="1162"/>
      <c r="AW4" s="1162"/>
      <c r="AX4" s="1162"/>
      <c r="AY4" s="1162"/>
      <c r="AZ4" s="1162"/>
      <c r="BA4" s="1162"/>
      <c r="BB4" s="1162"/>
      <c r="BC4" s="1162"/>
      <c r="BD4" s="1162"/>
      <c r="BE4" s="1162"/>
      <c r="BF4" s="1162"/>
    </row>
    <row r="5" spans="1:58" s="444" customFormat="1" ht="29.25" customHeight="1" x14ac:dyDescent="0.25">
      <c r="A5" s="1162"/>
      <c r="B5" s="1162"/>
      <c r="C5" s="1162"/>
      <c r="D5" s="1162"/>
      <c r="E5" s="1162"/>
      <c r="F5" s="1157" t="s">
        <v>330</v>
      </c>
      <c r="G5" s="1157"/>
      <c r="H5" s="1157"/>
      <c r="I5" s="1157" t="s">
        <v>331</v>
      </c>
      <c r="J5" s="1157"/>
      <c r="K5" s="1157"/>
      <c r="L5" s="1163" t="s">
        <v>332</v>
      </c>
      <c r="M5" s="1163"/>
      <c r="N5" s="1163"/>
      <c r="O5" s="1163"/>
      <c r="P5" s="1163"/>
      <c r="Q5" s="1163"/>
      <c r="R5" s="1157" t="s">
        <v>333</v>
      </c>
      <c r="S5" s="1157"/>
      <c r="T5" s="1157"/>
      <c r="U5" s="1157"/>
      <c r="V5" s="1157"/>
      <c r="W5" s="1157"/>
      <c r="X5" s="1157"/>
      <c r="Y5" s="1157"/>
      <c r="Z5" s="1157"/>
      <c r="AA5" s="1157"/>
      <c r="AB5" s="1157"/>
      <c r="AC5" s="1157"/>
      <c r="AD5" s="1157"/>
      <c r="AE5" s="1157"/>
      <c r="AF5" s="1157" t="s">
        <v>333</v>
      </c>
      <c r="AG5" s="1157"/>
      <c r="AH5" s="1157"/>
      <c r="AI5" s="1157"/>
      <c r="AJ5" s="1157"/>
      <c r="AK5" s="1157"/>
      <c r="AL5" s="1157" t="s">
        <v>334</v>
      </c>
      <c r="AM5" s="1157"/>
      <c r="AN5" s="1157"/>
      <c r="AO5" s="1157" t="s">
        <v>335</v>
      </c>
      <c r="AP5" s="1157"/>
      <c r="AQ5" s="1157"/>
      <c r="AR5" s="1157"/>
      <c r="AS5" s="1157"/>
      <c r="AT5" s="1157"/>
      <c r="AU5" s="1157"/>
      <c r="AV5" s="1157"/>
      <c r="AW5" s="1157"/>
      <c r="AX5" s="1157" t="s">
        <v>336</v>
      </c>
      <c r="AY5" s="1157"/>
      <c r="AZ5" s="1157"/>
      <c r="BA5" s="1157"/>
      <c r="BB5" s="1157"/>
      <c r="BC5" s="1157"/>
      <c r="BD5" s="1157"/>
      <c r="BE5" s="1157"/>
      <c r="BF5" s="1157"/>
    </row>
    <row r="6" spans="1:58" s="444" customFormat="1" ht="29.25" customHeight="1" x14ac:dyDescent="0.25">
      <c r="A6" s="1162"/>
      <c r="B6" s="1162"/>
      <c r="C6" s="1162"/>
      <c r="D6" s="1162"/>
      <c r="E6" s="1162"/>
      <c r="F6" s="1157"/>
      <c r="G6" s="1157"/>
      <c r="H6" s="1157"/>
      <c r="I6" s="1157"/>
      <c r="J6" s="1157"/>
      <c r="K6" s="1157"/>
      <c r="L6" s="1157" t="s">
        <v>337</v>
      </c>
      <c r="M6" s="1157"/>
      <c r="N6" s="1157"/>
      <c r="O6" s="1157" t="s">
        <v>338</v>
      </c>
      <c r="P6" s="1157"/>
      <c r="Q6" s="1157"/>
      <c r="R6" s="1162" t="s">
        <v>339</v>
      </c>
      <c r="S6" s="1162"/>
      <c r="T6" s="1162"/>
      <c r="U6" s="1156" t="s">
        <v>340</v>
      </c>
      <c r="V6" s="1156"/>
      <c r="W6" s="1156"/>
      <c r="X6" s="1156"/>
      <c r="Y6" s="1156"/>
      <c r="Z6" s="1156"/>
      <c r="AA6" s="1156"/>
      <c r="AB6" s="1156"/>
      <c r="AC6" s="1156"/>
      <c r="AD6" s="1156"/>
      <c r="AE6" s="1156"/>
      <c r="AF6" s="1156" t="s">
        <v>341</v>
      </c>
      <c r="AG6" s="1156"/>
      <c r="AH6" s="1156"/>
      <c r="AI6" s="1156" t="s">
        <v>342</v>
      </c>
      <c r="AJ6" s="1156"/>
      <c r="AK6" s="1156"/>
      <c r="AL6" s="1157"/>
      <c r="AM6" s="1157"/>
      <c r="AN6" s="1157"/>
      <c r="AO6" s="1156" t="s">
        <v>343</v>
      </c>
      <c r="AP6" s="1156"/>
      <c r="AQ6" s="1156"/>
      <c r="AR6" s="1157" t="s">
        <v>344</v>
      </c>
      <c r="AS6" s="1157"/>
      <c r="AT6" s="1157"/>
      <c r="AU6" s="1157" t="s">
        <v>345</v>
      </c>
      <c r="AV6" s="1157"/>
      <c r="AW6" s="1157"/>
      <c r="AX6" s="1157" t="s">
        <v>346</v>
      </c>
      <c r="AY6" s="1157"/>
      <c r="AZ6" s="1157"/>
      <c r="BA6" s="1157" t="s">
        <v>347</v>
      </c>
      <c r="BB6" s="1157"/>
      <c r="BC6" s="1157"/>
      <c r="BD6" s="1157" t="s">
        <v>348</v>
      </c>
      <c r="BE6" s="1157"/>
      <c r="BF6" s="1157"/>
    </row>
    <row r="7" spans="1:58" s="444" customFormat="1" ht="12.75" hidden="1" x14ac:dyDescent="0.2">
      <c r="A7" s="1162"/>
      <c r="B7" s="1162"/>
      <c r="C7" s="1162"/>
      <c r="D7" s="1162"/>
      <c r="E7" s="1162"/>
      <c r="F7" s="1157"/>
      <c r="G7" s="1157"/>
      <c r="H7" s="1157"/>
      <c r="I7" s="1157"/>
      <c r="J7" s="1157"/>
      <c r="K7" s="1157"/>
      <c r="L7" s="1157"/>
      <c r="M7" s="1157"/>
      <c r="N7" s="1157"/>
      <c r="O7" s="1157"/>
      <c r="P7" s="1157"/>
      <c r="Q7" s="1157"/>
      <c r="R7" s="1162"/>
      <c r="S7" s="1162"/>
      <c r="T7" s="1162"/>
      <c r="U7" s="1156" t="s">
        <v>349</v>
      </c>
      <c r="V7" s="1156"/>
      <c r="W7" s="1156"/>
      <c r="X7" s="1158" t="s">
        <v>350</v>
      </c>
      <c r="Y7" s="1159"/>
      <c r="Z7" s="1159"/>
      <c r="AA7" s="1159"/>
      <c r="AB7" s="1159"/>
      <c r="AC7" s="1159"/>
      <c r="AD7" s="1159"/>
      <c r="AE7" s="1160"/>
      <c r="AF7" s="1156"/>
      <c r="AG7" s="1156"/>
      <c r="AH7" s="1156"/>
      <c r="AI7" s="1156"/>
      <c r="AJ7" s="1156"/>
      <c r="AK7" s="1156"/>
      <c r="AL7" s="1157"/>
      <c r="AM7" s="1157"/>
      <c r="AN7" s="1157"/>
      <c r="AO7" s="1156"/>
      <c r="AP7" s="1156"/>
      <c r="AQ7" s="1156"/>
      <c r="AR7" s="1157"/>
      <c r="AS7" s="1157"/>
      <c r="AT7" s="1157"/>
      <c r="AU7" s="1157"/>
      <c r="AV7" s="1157"/>
      <c r="AW7" s="1157"/>
      <c r="AX7" s="1157"/>
      <c r="AY7" s="1157"/>
      <c r="AZ7" s="1157"/>
      <c r="BA7" s="1157"/>
      <c r="BB7" s="1157"/>
      <c r="BC7" s="1157"/>
      <c r="BD7" s="1157"/>
      <c r="BE7" s="1157"/>
      <c r="BF7" s="1157"/>
    </row>
    <row r="8" spans="1:58" s="444" customFormat="1" ht="80.25" customHeight="1" x14ac:dyDescent="0.25">
      <c r="A8" s="1162"/>
      <c r="B8" s="1162"/>
      <c r="C8" s="1162"/>
      <c r="D8" s="1162"/>
      <c r="E8" s="1162"/>
      <c r="F8" s="1157"/>
      <c r="G8" s="1157"/>
      <c r="H8" s="1157"/>
      <c r="I8" s="1157"/>
      <c r="J8" s="1157"/>
      <c r="K8" s="1157"/>
      <c r="L8" s="1157"/>
      <c r="M8" s="1157"/>
      <c r="N8" s="1157"/>
      <c r="O8" s="1157"/>
      <c r="P8" s="1157"/>
      <c r="Q8" s="1157"/>
      <c r="R8" s="1162"/>
      <c r="S8" s="1162"/>
      <c r="T8" s="1162"/>
      <c r="U8" s="1156"/>
      <c r="V8" s="1156"/>
      <c r="W8" s="1156"/>
      <c r="X8" s="1161" t="s">
        <v>351</v>
      </c>
      <c r="Y8" s="1161"/>
      <c r="Z8" s="1157" t="s">
        <v>352</v>
      </c>
      <c r="AA8" s="1157"/>
      <c r="AB8" s="1157"/>
      <c r="AC8" s="1157" t="s">
        <v>353</v>
      </c>
      <c r="AD8" s="1157"/>
      <c r="AE8" s="1157"/>
      <c r="AF8" s="1156"/>
      <c r="AG8" s="1156"/>
      <c r="AH8" s="1156"/>
      <c r="AI8" s="1156"/>
      <c r="AJ8" s="1156"/>
      <c r="AK8" s="1156"/>
      <c r="AL8" s="1157"/>
      <c r="AM8" s="1157"/>
      <c r="AN8" s="1157"/>
      <c r="AO8" s="1156"/>
      <c r="AP8" s="1156"/>
      <c r="AQ8" s="1156"/>
      <c r="AR8" s="1157"/>
      <c r="AS8" s="1157"/>
      <c r="AT8" s="1157"/>
      <c r="AU8" s="1157"/>
      <c r="AV8" s="1157"/>
      <c r="AW8" s="1157"/>
      <c r="AX8" s="1157"/>
      <c r="AY8" s="1157"/>
      <c r="AZ8" s="1157"/>
      <c r="BA8" s="1157"/>
      <c r="BB8" s="1157"/>
      <c r="BC8" s="1157"/>
      <c r="BD8" s="1157"/>
      <c r="BE8" s="1157"/>
      <c r="BF8" s="1157"/>
    </row>
    <row r="9" spans="1:58" s="445" customFormat="1" ht="30.75" customHeight="1" x14ac:dyDescent="0.25">
      <c r="A9" s="1162"/>
      <c r="B9" s="1162"/>
      <c r="C9" s="1162"/>
      <c r="D9" s="1162"/>
      <c r="E9" s="1162"/>
      <c r="F9" s="1156" t="s">
        <v>354</v>
      </c>
      <c r="G9" s="1156"/>
      <c r="H9" s="1156"/>
      <c r="I9" s="1156" t="s">
        <v>354</v>
      </c>
      <c r="J9" s="1156"/>
      <c r="K9" s="1156"/>
      <c r="L9" s="1156" t="s">
        <v>354</v>
      </c>
      <c r="M9" s="1156"/>
      <c r="N9" s="1156"/>
      <c r="O9" s="1156" t="s">
        <v>355</v>
      </c>
      <c r="P9" s="1156"/>
      <c r="Q9" s="1156"/>
      <c r="R9" s="1162"/>
      <c r="S9" s="1162"/>
      <c r="T9" s="1162"/>
      <c r="U9" s="1156" t="s">
        <v>356</v>
      </c>
      <c r="V9" s="1156"/>
      <c r="W9" s="1156"/>
      <c r="X9" s="1156"/>
      <c r="Y9" s="1156"/>
      <c r="Z9" s="1156"/>
      <c r="AA9" s="1156"/>
      <c r="AB9" s="1156"/>
      <c r="AC9" s="1156"/>
      <c r="AD9" s="1156"/>
      <c r="AE9" s="1156"/>
      <c r="AF9" s="1156" t="s">
        <v>354</v>
      </c>
      <c r="AG9" s="1156"/>
      <c r="AH9" s="1156"/>
      <c r="AI9" s="1156" t="s">
        <v>354</v>
      </c>
      <c r="AJ9" s="1156"/>
      <c r="AK9" s="1156"/>
      <c r="AL9" s="1156" t="s">
        <v>354</v>
      </c>
      <c r="AM9" s="1156"/>
      <c r="AN9" s="1156"/>
      <c r="AO9" s="1156"/>
      <c r="AP9" s="1156"/>
      <c r="AQ9" s="1156"/>
      <c r="AR9" s="1156" t="s">
        <v>357</v>
      </c>
      <c r="AS9" s="1156"/>
      <c r="AT9" s="1156"/>
      <c r="AU9" s="1156" t="s">
        <v>357</v>
      </c>
      <c r="AV9" s="1156"/>
      <c r="AW9" s="1156"/>
      <c r="AX9" s="1157"/>
      <c r="AY9" s="1157"/>
      <c r="AZ9" s="1157"/>
      <c r="BA9" s="1156" t="s">
        <v>356</v>
      </c>
      <c r="BB9" s="1156"/>
      <c r="BC9" s="1156"/>
      <c r="BD9" s="1156" t="s">
        <v>356</v>
      </c>
      <c r="BE9" s="1156"/>
      <c r="BF9" s="1156"/>
    </row>
    <row r="10" spans="1:58" s="444" customFormat="1" ht="19.5" customHeight="1" x14ac:dyDescent="0.25">
      <c r="A10" s="1162"/>
      <c r="B10" s="1162"/>
      <c r="C10" s="446" t="s">
        <v>358</v>
      </c>
      <c r="D10" s="446" t="s">
        <v>218</v>
      </c>
      <c r="E10" s="446" t="s">
        <v>359</v>
      </c>
      <c r="F10" s="446" t="s">
        <v>358</v>
      </c>
      <c r="G10" s="446" t="s">
        <v>218</v>
      </c>
      <c r="H10" s="446" t="s">
        <v>359</v>
      </c>
      <c r="I10" s="446" t="s">
        <v>358</v>
      </c>
      <c r="J10" s="447" t="s">
        <v>218</v>
      </c>
      <c r="K10" s="447" t="s">
        <v>359</v>
      </c>
      <c r="L10" s="446" t="s">
        <v>37</v>
      </c>
      <c r="M10" s="447" t="s">
        <v>218</v>
      </c>
      <c r="N10" s="447" t="s">
        <v>359</v>
      </c>
      <c r="O10" s="446" t="s">
        <v>37</v>
      </c>
      <c r="P10" s="447" t="s">
        <v>218</v>
      </c>
      <c r="Q10" s="447" t="s">
        <v>359</v>
      </c>
      <c r="R10" s="447" t="s">
        <v>37</v>
      </c>
      <c r="S10" s="446" t="s">
        <v>218</v>
      </c>
      <c r="T10" s="446" t="s">
        <v>359</v>
      </c>
      <c r="U10" s="447" t="s">
        <v>37</v>
      </c>
      <c r="V10" s="446" t="s">
        <v>218</v>
      </c>
      <c r="W10" s="446" t="s">
        <v>359</v>
      </c>
      <c r="X10" s="448" t="s">
        <v>218</v>
      </c>
      <c r="Y10" s="448" t="s">
        <v>359</v>
      </c>
      <c r="Z10" s="446" t="s">
        <v>37</v>
      </c>
      <c r="AA10" s="448" t="s">
        <v>218</v>
      </c>
      <c r="AB10" s="448" t="s">
        <v>359</v>
      </c>
      <c r="AC10" s="446" t="s">
        <v>37</v>
      </c>
      <c r="AD10" s="448" t="s">
        <v>218</v>
      </c>
      <c r="AE10" s="448" t="s">
        <v>359</v>
      </c>
      <c r="AF10" s="446" t="s">
        <v>37</v>
      </c>
      <c r="AG10" s="446" t="s">
        <v>218</v>
      </c>
      <c r="AH10" s="446" t="s">
        <v>359</v>
      </c>
      <c r="AI10" s="447" t="s">
        <v>37</v>
      </c>
      <c r="AJ10" s="446" t="s">
        <v>218</v>
      </c>
      <c r="AK10" s="446" t="s">
        <v>359</v>
      </c>
      <c r="AL10" s="446" t="s">
        <v>358</v>
      </c>
      <c r="AM10" s="446" t="s">
        <v>218</v>
      </c>
      <c r="AN10" s="446" t="s">
        <v>359</v>
      </c>
      <c r="AO10" s="446" t="s">
        <v>358</v>
      </c>
      <c r="AP10" s="446" t="s">
        <v>218</v>
      </c>
      <c r="AQ10" s="446" t="s">
        <v>359</v>
      </c>
      <c r="AR10" s="446" t="s">
        <v>358</v>
      </c>
      <c r="AS10" s="446" t="s">
        <v>218</v>
      </c>
      <c r="AT10" s="446" t="s">
        <v>359</v>
      </c>
      <c r="AU10" s="446" t="s">
        <v>37</v>
      </c>
      <c r="AV10" s="446" t="s">
        <v>218</v>
      </c>
      <c r="AW10" s="446" t="s">
        <v>359</v>
      </c>
      <c r="AX10" s="446" t="s">
        <v>358</v>
      </c>
      <c r="AY10" s="446" t="s">
        <v>218</v>
      </c>
      <c r="AZ10" s="446" t="s">
        <v>359</v>
      </c>
      <c r="BA10" s="446" t="s">
        <v>358</v>
      </c>
      <c r="BB10" s="446" t="s">
        <v>218</v>
      </c>
      <c r="BC10" s="446" t="s">
        <v>359</v>
      </c>
      <c r="BD10" s="446" t="s">
        <v>37</v>
      </c>
      <c r="BE10" s="446" t="s">
        <v>218</v>
      </c>
      <c r="BF10" s="446" t="s">
        <v>359</v>
      </c>
    </row>
    <row r="11" spans="1:58" s="450" customFormat="1" ht="19.5" customHeight="1" x14ac:dyDescent="0.25">
      <c r="A11" s="446"/>
      <c r="B11" s="446" t="s">
        <v>34</v>
      </c>
      <c r="C11" s="449">
        <f>C12+C22</f>
        <v>127762</v>
      </c>
      <c r="D11" s="449">
        <f>D12+D22</f>
        <v>124041</v>
      </c>
      <c r="E11" s="449">
        <f>E12+E22</f>
        <v>3721</v>
      </c>
      <c r="F11" s="449">
        <f t="shared" ref="F11:BF11" si="0">F12+F22</f>
        <v>8776</v>
      </c>
      <c r="G11" s="449">
        <f t="shared" si="0"/>
        <v>8520</v>
      </c>
      <c r="H11" s="449">
        <f t="shared" si="0"/>
        <v>256</v>
      </c>
      <c r="I11" s="449">
        <f t="shared" si="0"/>
        <v>36987</v>
      </c>
      <c r="J11" s="449">
        <f t="shared" si="0"/>
        <v>35910</v>
      </c>
      <c r="K11" s="449">
        <f t="shared" si="0"/>
        <v>1077</v>
      </c>
      <c r="L11" s="449">
        <f t="shared" si="0"/>
        <v>16313</v>
      </c>
      <c r="M11" s="449">
        <f t="shared" si="0"/>
        <v>15838</v>
      </c>
      <c r="N11" s="449">
        <f t="shared" si="0"/>
        <v>475</v>
      </c>
      <c r="O11" s="449">
        <f t="shared" si="0"/>
        <v>5352</v>
      </c>
      <c r="P11" s="449">
        <f t="shared" si="0"/>
        <v>5196</v>
      </c>
      <c r="Q11" s="449">
        <f t="shared" si="0"/>
        <v>156</v>
      </c>
      <c r="R11" s="449">
        <f t="shared" si="0"/>
        <v>34487</v>
      </c>
      <c r="S11" s="449">
        <f t="shared" si="0"/>
        <v>33483</v>
      </c>
      <c r="T11" s="449">
        <f t="shared" si="0"/>
        <v>1004</v>
      </c>
      <c r="U11" s="449">
        <f t="shared" si="0"/>
        <v>27409</v>
      </c>
      <c r="V11" s="449">
        <f t="shared" si="0"/>
        <v>26611</v>
      </c>
      <c r="W11" s="449">
        <f t="shared" si="0"/>
        <v>798</v>
      </c>
      <c r="X11" s="449">
        <f t="shared" si="0"/>
        <v>0</v>
      </c>
      <c r="Y11" s="449">
        <f t="shared" si="0"/>
        <v>0</v>
      </c>
      <c r="Z11" s="449">
        <f t="shared" si="0"/>
        <v>10963</v>
      </c>
      <c r="AA11" s="449">
        <f t="shared" si="0"/>
        <v>10644</v>
      </c>
      <c r="AB11" s="449">
        <f t="shared" si="0"/>
        <v>319</v>
      </c>
      <c r="AC11" s="449">
        <f t="shared" si="0"/>
        <v>16446</v>
      </c>
      <c r="AD11" s="449">
        <f t="shared" si="0"/>
        <v>15967</v>
      </c>
      <c r="AE11" s="449">
        <f t="shared" si="0"/>
        <v>479</v>
      </c>
      <c r="AF11" s="449">
        <f t="shared" si="0"/>
        <v>1729</v>
      </c>
      <c r="AG11" s="449">
        <f t="shared" si="0"/>
        <v>1679</v>
      </c>
      <c r="AH11" s="449">
        <f t="shared" si="0"/>
        <v>50</v>
      </c>
      <c r="AI11" s="449">
        <f t="shared" si="0"/>
        <v>5349</v>
      </c>
      <c r="AJ11" s="449">
        <f t="shared" si="0"/>
        <v>5193</v>
      </c>
      <c r="AK11" s="449">
        <f t="shared" si="0"/>
        <v>156</v>
      </c>
      <c r="AL11" s="449">
        <f t="shared" si="0"/>
        <v>7746</v>
      </c>
      <c r="AM11" s="449">
        <f t="shared" si="0"/>
        <v>7520</v>
      </c>
      <c r="AN11" s="449">
        <f t="shared" si="0"/>
        <v>226</v>
      </c>
      <c r="AO11" s="449">
        <f t="shared" si="0"/>
        <v>10335</v>
      </c>
      <c r="AP11" s="449">
        <f t="shared" si="0"/>
        <v>10034</v>
      </c>
      <c r="AQ11" s="449">
        <f t="shared" si="0"/>
        <v>301</v>
      </c>
      <c r="AR11" s="449">
        <f t="shared" si="0"/>
        <v>8082</v>
      </c>
      <c r="AS11" s="449">
        <f t="shared" si="0"/>
        <v>7847</v>
      </c>
      <c r="AT11" s="449">
        <f t="shared" si="0"/>
        <v>235</v>
      </c>
      <c r="AU11" s="449">
        <f t="shared" si="0"/>
        <v>2253</v>
      </c>
      <c r="AV11" s="449">
        <f t="shared" si="0"/>
        <v>2187</v>
      </c>
      <c r="AW11" s="449">
        <f t="shared" si="0"/>
        <v>66</v>
      </c>
      <c r="AX11" s="449">
        <f t="shared" si="0"/>
        <v>7766</v>
      </c>
      <c r="AY11" s="449">
        <f t="shared" si="0"/>
        <v>7540</v>
      </c>
      <c r="AZ11" s="449">
        <f t="shared" si="0"/>
        <v>226</v>
      </c>
      <c r="BA11" s="449">
        <f t="shared" si="0"/>
        <v>5060</v>
      </c>
      <c r="BB11" s="449">
        <f t="shared" si="0"/>
        <v>4913</v>
      </c>
      <c r="BC11" s="449">
        <f t="shared" si="0"/>
        <v>147</v>
      </c>
      <c r="BD11" s="449">
        <f t="shared" si="0"/>
        <v>2706</v>
      </c>
      <c r="BE11" s="449">
        <f t="shared" si="0"/>
        <v>2627</v>
      </c>
      <c r="BF11" s="449">
        <f t="shared" si="0"/>
        <v>79</v>
      </c>
    </row>
    <row r="12" spans="1:58" s="450" customFormat="1" ht="21" customHeight="1" x14ac:dyDescent="0.25">
      <c r="A12" s="446"/>
      <c r="B12" s="446" t="s">
        <v>360</v>
      </c>
      <c r="C12" s="449">
        <f>SUM(C13:C21)</f>
        <v>16007</v>
      </c>
      <c r="D12" s="449">
        <f t="shared" ref="D12:BF12" si="1">SUM(D13:D21)</f>
        <v>15541</v>
      </c>
      <c r="E12" s="449">
        <f t="shared" si="1"/>
        <v>466</v>
      </c>
      <c r="F12" s="449">
        <f t="shared" si="1"/>
        <v>0</v>
      </c>
      <c r="G12" s="449">
        <f t="shared" si="1"/>
        <v>0</v>
      </c>
      <c r="H12" s="449">
        <f t="shared" si="1"/>
        <v>0</v>
      </c>
      <c r="I12" s="449">
        <f t="shared" si="1"/>
        <v>1702</v>
      </c>
      <c r="J12" s="449">
        <f t="shared" si="1"/>
        <v>1652</v>
      </c>
      <c r="K12" s="449">
        <f t="shared" si="1"/>
        <v>50</v>
      </c>
      <c r="L12" s="449">
        <f t="shared" si="1"/>
        <v>1631</v>
      </c>
      <c r="M12" s="449">
        <f t="shared" si="1"/>
        <v>1584</v>
      </c>
      <c r="N12" s="449">
        <f t="shared" si="1"/>
        <v>47</v>
      </c>
      <c r="O12" s="449">
        <f t="shared" si="1"/>
        <v>535</v>
      </c>
      <c r="P12" s="449">
        <f t="shared" si="1"/>
        <v>520</v>
      </c>
      <c r="Q12" s="449">
        <f t="shared" si="1"/>
        <v>15</v>
      </c>
      <c r="R12" s="449">
        <f t="shared" si="1"/>
        <v>2134</v>
      </c>
      <c r="S12" s="449">
        <f t="shared" si="1"/>
        <v>2072</v>
      </c>
      <c r="T12" s="449">
        <f t="shared" si="1"/>
        <v>62</v>
      </c>
      <c r="U12" s="449">
        <f t="shared" si="1"/>
        <v>1288</v>
      </c>
      <c r="V12" s="449">
        <f t="shared" si="1"/>
        <v>1251</v>
      </c>
      <c r="W12" s="449">
        <f t="shared" si="1"/>
        <v>37</v>
      </c>
      <c r="X12" s="449">
        <f t="shared" si="1"/>
        <v>0</v>
      </c>
      <c r="Y12" s="449">
        <f t="shared" si="1"/>
        <v>0</v>
      </c>
      <c r="Z12" s="449">
        <f t="shared" si="1"/>
        <v>1288</v>
      </c>
      <c r="AA12" s="449">
        <f t="shared" si="1"/>
        <v>1251</v>
      </c>
      <c r="AB12" s="449">
        <f t="shared" si="1"/>
        <v>37</v>
      </c>
      <c r="AC12" s="449">
        <f t="shared" si="1"/>
        <v>0</v>
      </c>
      <c r="AD12" s="449">
        <f t="shared" si="1"/>
        <v>0</v>
      </c>
      <c r="AE12" s="449">
        <f t="shared" si="1"/>
        <v>0</v>
      </c>
      <c r="AF12" s="449">
        <f t="shared" si="1"/>
        <v>311</v>
      </c>
      <c r="AG12" s="449">
        <f t="shared" si="1"/>
        <v>302</v>
      </c>
      <c r="AH12" s="449">
        <f t="shared" si="1"/>
        <v>9</v>
      </c>
      <c r="AI12" s="449">
        <f t="shared" si="1"/>
        <v>535</v>
      </c>
      <c r="AJ12" s="449">
        <f t="shared" si="1"/>
        <v>519</v>
      </c>
      <c r="AK12" s="449">
        <f t="shared" si="1"/>
        <v>16</v>
      </c>
      <c r="AL12" s="449">
        <f t="shared" si="1"/>
        <v>0</v>
      </c>
      <c r="AM12" s="449">
        <f t="shared" si="1"/>
        <v>0</v>
      </c>
      <c r="AN12" s="449">
        <f t="shared" si="1"/>
        <v>0</v>
      </c>
      <c r="AO12" s="449">
        <f t="shared" si="1"/>
        <v>8062</v>
      </c>
      <c r="AP12" s="449">
        <f t="shared" si="1"/>
        <v>7827</v>
      </c>
      <c r="AQ12" s="449">
        <f t="shared" si="1"/>
        <v>235</v>
      </c>
      <c r="AR12" s="449">
        <f t="shared" si="1"/>
        <v>7274</v>
      </c>
      <c r="AS12" s="449">
        <f t="shared" si="1"/>
        <v>7062</v>
      </c>
      <c r="AT12" s="449">
        <f t="shared" si="1"/>
        <v>212</v>
      </c>
      <c r="AU12" s="449">
        <f t="shared" si="1"/>
        <v>788</v>
      </c>
      <c r="AV12" s="449">
        <f t="shared" si="1"/>
        <v>765</v>
      </c>
      <c r="AW12" s="449">
        <f t="shared" si="1"/>
        <v>23</v>
      </c>
      <c r="AX12" s="449">
        <f t="shared" si="1"/>
        <v>1943</v>
      </c>
      <c r="AY12" s="449">
        <f t="shared" si="1"/>
        <v>1886</v>
      </c>
      <c r="AZ12" s="449">
        <f t="shared" si="1"/>
        <v>57</v>
      </c>
      <c r="BA12" s="449">
        <f t="shared" si="1"/>
        <v>1266</v>
      </c>
      <c r="BB12" s="449">
        <f t="shared" si="1"/>
        <v>1228</v>
      </c>
      <c r="BC12" s="449">
        <f t="shared" si="1"/>
        <v>38</v>
      </c>
      <c r="BD12" s="449">
        <f t="shared" si="1"/>
        <v>677</v>
      </c>
      <c r="BE12" s="449">
        <f t="shared" si="1"/>
        <v>658</v>
      </c>
      <c r="BF12" s="449">
        <f t="shared" si="1"/>
        <v>19</v>
      </c>
    </row>
    <row r="13" spans="1:58" s="450" customFormat="1" ht="21" customHeight="1" x14ac:dyDescent="0.25">
      <c r="A13" s="451">
        <v>1</v>
      </c>
      <c r="B13" s="452" t="s">
        <v>361</v>
      </c>
      <c r="C13" s="453">
        <f t="shared" ref="C13:C18" si="2">D13+E13</f>
        <v>5676</v>
      </c>
      <c r="D13" s="453">
        <f t="shared" ref="D13:E21" si="3">G13+J13+M13+P13+AA13+AD13+AG13+AJ13+AM13+AS13+AV13+BB13+BE13</f>
        <v>5511</v>
      </c>
      <c r="E13" s="453">
        <f>H13+K13+N13+Q13+AB13+AE13+AH13+AK13+AN13+AT13+AW13+BC13+BF13</f>
        <v>165</v>
      </c>
      <c r="F13" s="454">
        <f t="shared" ref="F13:F18" si="4">G13+H13</f>
        <v>0</v>
      </c>
      <c r="G13" s="455"/>
      <c r="H13" s="455"/>
      <c r="I13" s="454">
        <f t="shared" ref="I13:I18" si="5">J13+K13</f>
        <v>1702</v>
      </c>
      <c r="J13" s="455">
        <f>[2]DA2!P8</f>
        <v>1652</v>
      </c>
      <c r="K13" s="455">
        <f>[2]DA2!Q8</f>
        <v>50</v>
      </c>
      <c r="L13" s="455">
        <f t="shared" ref="L13:L18" si="6">M13+N13</f>
        <v>1631</v>
      </c>
      <c r="M13" s="455">
        <f>'[2]TD1-DA3'!P8</f>
        <v>1584</v>
      </c>
      <c r="N13" s="455">
        <f>'[2]TD1-DA3'!Q8</f>
        <v>47</v>
      </c>
      <c r="O13" s="455">
        <f t="shared" ref="O13:O18" si="7">P13+Q13</f>
        <v>0</v>
      </c>
      <c r="P13" s="455"/>
      <c r="Q13" s="455"/>
      <c r="R13" s="454">
        <f t="shared" ref="R13:R18" si="8">S13+T13</f>
        <v>846</v>
      </c>
      <c r="S13" s="454">
        <f>X13+AG13+AJ13</f>
        <v>821</v>
      </c>
      <c r="T13" s="454">
        <f>Y13+AH13+AK13</f>
        <v>25</v>
      </c>
      <c r="U13" s="454">
        <f t="shared" ref="U13:U18" si="9">V13+W13</f>
        <v>0</v>
      </c>
      <c r="V13" s="454">
        <f>AA13+AD13+X13</f>
        <v>0</v>
      </c>
      <c r="W13" s="454">
        <f>AB13+AE13+Y13</f>
        <v>0</v>
      </c>
      <c r="X13" s="454"/>
      <c r="Y13" s="454"/>
      <c r="Z13" s="455">
        <f t="shared" ref="Z13:Z18" si="10">AA13+AB13</f>
        <v>0</v>
      </c>
      <c r="AA13" s="455"/>
      <c r="AB13" s="455"/>
      <c r="AC13" s="455">
        <f t="shared" ref="AC13:AC18" si="11">AD13+AE13</f>
        <v>0</v>
      </c>
      <c r="AD13" s="455"/>
      <c r="AE13" s="455"/>
      <c r="AF13" s="454">
        <f t="shared" ref="AF13:AF18" si="12">AG13+AH13</f>
        <v>311</v>
      </c>
      <c r="AG13" s="455">
        <f>'[2]TDA 2-DA4'!L8</f>
        <v>302</v>
      </c>
      <c r="AH13" s="455">
        <f>'[2]TDA 2-DA4'!M8</f>
        <v>9</v>
      </c>
      <c r="AI13" s="454">
        <f>AJ13+AK13</f>
        <v>535</v>
      </c>
      <c r="AJ13" s="455">
        <f>'[2]TDA3-DA4'!L8</f>
        <v>519</v>
      </c>
      <c r="AK13" s="455">
        <f>'[2]TDA3-DA4'!M8</f>
        <v>16</v>
      </c>
      <c r="AL13" s="454">
        <f t="shared" ref="AL13:AL18" si="13">AM13+AN13</f>
        <v>0</v>
      </c>
      <c r="AM13" s="455"/>
      <c r="AN13" s="455"/>
      <c r="AO13" s="454">
        <f t="shared" ref="AO13:AO18" si="14">AP13+AQ13</f>
        <v>423</v>
      </c>
      <c r="AP13" s="454">
        <f t="shared" ref="AP13:AQ21" si="15">AS13+AV13</f>
        <v>411</v>
      </c>
      <c r="AQ13" s="454">
        <f t="shared" si="15"/>
        <v>12</v>
      </c>
      <c r="AR13" s="454">
        <f t="shared" ref="AR13:AR18" si="16">AS13+AT13</f>
        <v>0</v>
      </c>
      <c r="AS13" s="455"/>
      <c r="AT13" s="455"/>
      <c r="AU13" s="454">
        <f t="shared" ref="AU13:AU18" si="17">AV13+AW13</f>
        <v>423</v>
      </c>
      <c r="AV13" s="455">
        <f>'[2]TDA 2-DA6'!N9</f>
        <v>411</v>
      </c>
      <c r="AW13" s="455">
        <f>'[2]TDA 2-DA6'!O9</f>
        <v>12</v>
      </c>
      <c r="AX13" s="454">
        <f t="shared" ref="AX13:AX18" si="18">AY13+AZ13</f>
        <v>1074</v>
      </c>
      <c r="AY13" s="454">
        <f t="shared" ref="AY13:AZ21" si="19">BB13+BE13</f>
        <v>1043</v>
      </c>
      <c r="AZ13" s="454">
        <f t="shared" si="19"/>
        <v>31</v>
      </c>
      <c r="BA13" s="454">
        <f t="shared" ref="BA13:BA18" si="20">BB13+BC13</f>
        <v>616</v>
      </c>
      <c r="BB13" s="455">
        <f>'[2]DA 7'!P8</f>
        <v>598</v>
      </c>
      <c r="BC13" s="455">
        <f>'[2]DA 7'!R8</f>
        <v>18</v>
      </c>
      <c r="BD13" s="454">
        <f t="shared" ref="BD13:BD18" si="21">BE13+BF13</f>
        <v>458</v>
      </c>
      <c r="BE13" s="455">
        <f>'[2]DA 7'!Q8</f>
        <v>445</v>
      </c>
      <c r="BF13" s="454">
        <f>'[2]DA 7'!S8</f>
        <v>13</v>
      </c>
    </row>
    <row r="14" spans="1:58" s="450" customFormat="1" ht="21" customHeight="1" x14ac:dyDescent="0.25">
      <c r="A14" s="456">
        <v>2</v>
      </c>
      <c r="B14" s="457" t="s">
        <v>362</v>
      </c>
      <c r="C14" s="458">
        <f t="shared" si="2"/>
        <v>7081</v>
      </c>
      <c r="D14" s="458">
        <f t="shared" si="3"/>
        <v>6875</v>
      </c>
      <c r="E14" s="458">
        <f t="shared" si="3"/>
        <v>206</v>
      </c>
      <c r="F14" s="459">
        <f t="shared" si="4"/>
        <v>0</v>
      </c>
      <c r="G14" s="459"/>
      <c r="H14" s="459"/>
      <c r="I14" s="459">
        <f t="shared" si="5"/>
        <v>0</v>
      </c>
      <c r="J14" s="459"/>
      <c r="K14" s="459"/>
      <c r="L14" s="460">
        <f t="shared" si="6"/>
        <v>0</v>
      </c>
      <c r="M14" s="459"/>
      <c r="N14" s="459"/>
      <c r="O14" s="460">
        <f t="shared" si="7"/>
        <v>0</v>
      </c>
      <c r="P14" s="459"/>
      <c r="Q14" s="459"/>
      <c r="R14" s="459">
        <f t="shared" si="8"/>
        <v>0</v>
      </c>
      <c r="S14" s="459"/>
      <c r="T14" s="459"/>
      <c r="U14" s="459">
        <f t="shared" si="9"/>
        <v>0</v>
      </c>
      <c r="V14" s="459">
        <f t="shared" ref="V14:W18" si="22">AA14+AD14+X14</f>
        <v>0</v>
      </c>
      <c r="W14" s="459">
        <f t="shared" si="22"/>
        <v>0</v>
      </c>
      <c r="X14" s="459"/>
      <c r="Y14" s="459"/>
      <c r="Z14" s="460">
        <f t="shared" si="10"/>
        <v>0</v>
      </c>
      <c r="AA14" s="459"/>
      <c r="AB14" s="459"/>
      <c r="AC14" s="460">
        <f t="shared" si="11"/>
        <v>0</v>
      </c>
      <c r="AD14" s="459"/>
      <c r="AE14" s="459"/>
      <c r="AF14" s="459">
        <f t="shared" si="12"/>
        <v>0</v>
      </c>
      <c r="AG14" s="459"/>
      <c r="AH14" s="459"/>
      <c r="AI14" s="459"/>
      <c r="AJ14" s="459"/>
      <c r="AK14" s="459"/>
      <c r="AL14" s="459">
        <f t="shared" si="13"/>
        <v>0</v>
      </c>
      <c r="AM14" s="459"/>
      <c r="AN14" s="459"/>
      <c r="AO14" s="459">
        <f t="shared" si="14"/>
        <v>6850</v>
      </c>
      <c r="AP14" s="459">
        <f t="shared" si="15"/>
        <v>6650</v>
      </c>
      <c r="AQ14" s="459">
        <f t="shared" si="15"/>
        <v>200</v>
      </c>
      <c r="AR14" s="459">
        <f t="shared" si="16"/>
        <v>6850</v>
      </c>
      <c r="AS14" s="459">
        <f>'[2]TDA 1-DA6'!N10+'[2]TDA 1-DA6'!N14</f>
        <v>6650</v>
      </c>
      <c r="AT14" s="459">
        <f>'[2]TDA 1-DA6'!O10+'[2]TDA 1-DA6'!O14</f>
        <v>200</v>
      </c>
      <c r="AU14" s="459">
        <f t="shared" si="17"/>
        <v>0</v>
      </c>
      <c r="AV14" s="459"/>
      <c r="AW14" s="459"/>
      <c r="AX14" s="459">
        <f t="shared" si="18"/>
        <v>231</v>
      </c>
      <c r="AY14" s="459">
        <f t="shared" si="19"/>
        <v>225</v>
      </c>
      <c r="AZ14" s="459">
        <f t="shared" si="19"/>
        <v>6</v>
      </c>
      <c r="BA14" s="459">
        <f t="shared" si="20"/>
        <v>148</v>
      </c>
      <c r="BB14" s="459">
        <f>'[2]DA 7'!P11</f>
        <v>144</v>
      </c>
      <c r="BC14" s="459">
        <f>'[2]DA 7'!R11</f>
        <v>4</v>
      </c>
      <c r="BD14" s="459">
        <f t="shared" si="21"/>
        <v>83</v>
      </c>
      <c r="BE14" s="459">
        <f>'[2]DA 7'!Q11</f>
        <v>81</v>
      </c>
      <c r="BF14" s="459">
        <f>'[2]DA 7'!S11</f>
        <v>2</v>
      </c>
    </row>
    <row r="15" spans="1:58" s="450" customFormat="1" ht="21" customHeight="1" x14ac:dyDescent="0.25">
      <c r="A15" s="456">
        <v>3</v>
      </c>
      <c r="B15" s="457" t="s">
        <v>117</v>
      </c>
      <c r="C15" s="458">
        <f t="shared" si="2"/>
        <v>687</v>
      </c>
      <c r="D15" s="458">
        <f t="shared" si="3"/>
        <v>667</v>
      </c>
      <c r="E15" s="458">
        <f t="shared" si="3"/>
        <v>20</v>
      </c>
      <c r="F15" s="459">
        <f t="shared" si="4"/>
        <v>0</v>
      </c>
      <c r="G15" s="459"/>
      <c r="H15" s="459"/>
      <c r="I15" s="459">
        <f t="shared" si="5"/>
        <v>0</v>
      </c>
      <c r="J15" s="459"/>
      <c r="K15" s="459"/>
      <c r="L15" s="460">
        <f t="shared" si="6"/>
        <v>0</v>
      </c>
      <c r="M15" s="459"/>
      <c r="N15" s="459"/>
      <c r="O15" s="460">
        <f>P15+Q15</f>
        <v>535</v>
      </c>
      <c r="P15" s="459">
        <f>'[2]TDA 2-DA3'!L8</f>
        <v>520</v>
      </c>
      <c r="Q15" s="459">
        <f>'[2]TDA 2-DA3'!M8</f>
        <v>15</v>
      </c>
      <c r="R15" s="459"/>
      <c r="S15" s="459"/>
      <c r="T15" s="459"/>
      <c r="U15" s="459"/>
      <c r="V15" s="459"/>
      <c r="W15" s="459"/>
      <c r="X15" s="459"/>
      <c r="Y15" s="459"/>
      <c r="Z15" s="460"/>
      <c r="AA15" s="459"/>
      <c r="AB15" s="459"/>
      <c r="AC15" s="460">
        <f t="shared" si="11"/>
        <v>0</v>
      </c>
      <c r="AD15" s="459"/>
      <c r="AE15" s="459"/>
      <c r="AF15" s="459">
        <f t="shared" si="12"/>
        <v>0</v>
      </c>
      <c r="AG15" s="459"/>
      <c r="AH15" s="459"/>
      <c r="AI15" s="459"/>
      <c r="AJ15" s="459"/>
      <c r="AK15" s="459"/>
      <c r="AL15" s="459">
        <f t="shared" si="13"/>
        <v>0</v>
      </c>
      <c r="AM15" s="459"/>
      <c r="AN15" s="459"/>
      <c r="AO15" s="459">
        <f t="shared" si="14"/>
        <v>0</v>
      </c>
      <c r="AP15" s="459">
        <f t="shared" si="15"/>
        <v>0</v>
      </c>
      <c r="AQ15" s="459">
        <f t="shared" si="15"/>
        <v>0</v>
      </c>
      <c r="AR15" s="459">
        <f t="shared" si="16"/>
        <v>0</v>
      </c>
      <c r="AS15" s="459"/>
      <c r="AT15" s="459"/>
      <c r="AU15" s="459">
        <f t="shared" si="17"/>
        <v>0</v>
      </c>
      <c r="AV15" s="459"/>
      <c r="AW15" s="459"/>
      <c r="AX15" s="459">
        <f t="shared" si="18"/>
        <v>152</v>
      </c>
      <c r="AY15" s="459">
        <f t="shared" si="19"/>
        <v>147</v>
      </c>
      <c r="AZ15" s="459">
        <f t="shared" si="19"/>
        <v>5</v>
      </c>
      <c r="BA15" s="459">
        <f t="shared" si="20"/>
        <v>100</v>
      </c>
      <c r="BB15" s="459">
        <f>'[2]DA 7'!P12</f>
        <v>97</v>
      </c>
      <c r="BC15" s="459">
        <f>'[2]DA 7'!R12</f>
        <v>3</v>
      </c>
      <c r="BD15" s="459">
        <f t="shared" si="21"/>
        <v>52</v>
      </c>
      <c r="BE15" s="459">
        <f>'[2]DA 7'!Q12</f>
        <v>50</v>
      </c>
      <c r="BF15" s="459">
        <f>'[2]DA 7'!S12</f>
        <v>2</v>
      </c>
    </row>
    <row r="16" spans="1:58" s="450" customFormat="1" ht="21" customHeight="1" x14ac:dyDescent="0.25">
      <c r="A16" s="456">
        <v>4</v>
      </c>
      <c r="B16" s="457" t="s">
        <v>131</v>
      </c>
      <c r="C16" s="458">
        <f t="shared" si="2"/>
        <v>51</v>
      </c>
      <c r="D16" s="458">
        <f t="shared" si="3"/>
        <v>49</v>
      </c>
      <c r="E16" s="458">
        <f t="shared" si="3"/>
        <v>2</v>
      </c>
      <c r="F16" s="459">
        <f t="shared" si="4"/>
        <v>0</v>
      </c>
      <c r="G16" s="459"/>
      <c r="H16" s="459"/>
      <c r="I16" s="459">
        <f t="shared" si="5"/>
        <v>0</v>
      </c>
      <c r="J16" s="459"/>
      <c r="K16" s="459"/>
      <c r="L16" s="460">
        <f t="shared" si="6"/>
        <v>0</v>
      </c>
      <c r="M16" s="459">
        <v>0</v>
      </c>
      <c r="N16" s="459">
        <v>0</v>
      </c>
      <c r="O16" s="460">
        <f t="shared" si="7"/>
        <v>0</v>
      </c>
      <c r="P16" s="459"/>
      <c r="Q16" s="459"/>
      <c r="R16" s="459">
        <f t="shared" si="8"/>
        <v>0</v>
      </c>
      <c r="S16" s="459"/>
      <c r="T16" s="459"/>
      <c r="U16" s="459">
        <f t="shared" ref="U16:U17" si="23">V16+W16</f>
        <v>0</v>
      </c>
      <c r="V16" s="459">
        <f t="shared" ref="V16:W17" si="24">AA16+AD16+X16</f>
        <v>0</v>
      </c>
      <c r="W16" s="459">
        <f t="shared" si="24"/>
        <v>0</v>
      </c>
      <c r="X16" s="459"/>
      <c r="Y16" s="459"/>
      <c r="Z16" s="460">
        <f t="shared" si="10"/>
        <v>0</v>
      </c>
      <c r="AA16" s="459"/>
      <c r="AB16" s="459"/>
      <c r="AC16" s="460">
        <f t="shared" si="11"/>
        <v>0</v>
      </c>
      <c r="AD16" s="459"/>
      <c r="AE16" s="459"/>
      <c r="AF16" s="459">
        <f t="shared" si="12"/>
        <v>0</v>
      </c>
      <c r="AG16" s="459"/>
      <c r="AH16" s="459"/>
      <c r="AI16" s="459"/>
      <c r="AJ16" s="459"/>
      <c r="AK16" s="459"/>
      <c r="AL16" s="459">
        <f t="shared" si="13"/>
        <v>0</v>
      </c>
      <c r="AM16" s="459"/>
      <c r="AN16" s="459"/>
      <c r="AO16" s="459">
        <f t="shared" si="14"/>
        <v>0</v>
      </c>
      <c r="AP16" s="459">
        <f t="shared" si="15"/>
        <v>0</v>
      </c>
      <c r="AQ16" s="459">
        <f t="shared" si="15"/>
        <v>0</v>
      </c>
      <c r="AR16" s="459">
        <f t="shared" si="16"/>
        <v>0</v>
      </c>
      <c r="AS16" s="459"/>
      <c r="AT16" s="459"/>
      <c r="AU16" s="459">
        <f t="shared" si="17"/>
        <v>0</v>
      </c>
      <c r="AV16" s="459"/>
      <c r="AW16" s="459"/>
      <c r="AX16" s="459">
        <f t="shared" si="18"/>
        <v>51</v>
      </c>
      <c r="AY16" s="459">
        <f t="shared" si="19"/>
        <v>49</v>
      </c>
      <c r="AZ16" s="459">
        <f t="shared" si="19"/>
        <v>2</v>
      </c>
      <c r="BA16" s="459">
        <f t="shared" si="20"/>
        <v>51</v>
      </c>
      <c r="BB16" s="459">
        <f>'[2]DA 7'!P9</f>
        <v>49</v>
      </c>
      <c r="BC16" s="459">
        <f>'[2]DA 7'!R9</f>
        <v>2</v>
      </c>
      <c r="BD16" s="459">
        <f t="shared" si="21"/>
        <v>0</v>
      </c>
      <c r="BE16" s="459"/>
      <c r="BF16" s="459"/>
    </row>
    <row r="17" spans="1:58" s="450" customFormat="1" ht="21" customHeight="1" x14ac:dyDescent="0.25">
      <c r="A17" s="456">
        <v>6</v>
      </c>
      <c r="B17" s="457" t="s">
        <v>363</v>
      </c>
      <c r="C17" s="458">
        <f t="shared" si="2"/>
        <v>435</v>
      </c>
      <c r="D17" s="458">
        <f t="shared" si="3"/>
        <v>422</v>
      </c>
      <c r="E17" s="458">
        <f t="shared" si="3"/>
        <v>13</v>
      </c>
      <c r="F17" s="459">
        <f t="shared" si="4"/>
        <v>0</v>
      </c>
      <c r="G17" s="459"/>
      <c r="H17" s="459"/>
      <c r="I17" s="459">
        <f t="shared" si="5"/>
        <v>0</v>
      </c>
      <c r="J17" s="459"/>
      <c r="K17" s="459"/>
      <c r="L17" s="460">
        <f t="shared" si="6"/>
        <v>0</v>
      </c>
      <c r="M17" s="459">
        <v>0</v>
      </c>
      <c r="N17" s="459">
        <v>0</v>
      </c>
      <c r="O17" s="460">
        <f t="shared" si="7"/>
        <v>0</v>
      </c>
      <c r="P17" s="459"/>
      <c r="Q17" s="459"/>
      <c r="R17" s="459">
        <f t="shared" si="8"/>
        <v>0</v>
      </c>
      <c r="S17" s="459"/>
      <c r="T17" s="459"/>
      <c r="U17" s="459">
        <f t="shared" si="23"/>
        <v>0</v>
      </c>
      <c r="V17" s="459">
        <f t="shared" si="24"/>
        <v>0</v>
      </c>
      <c r="W17" s="459">
        <f t="shared" si="24"/>
        <v>0</v>
      </c>
      <c r="X17" s="459"/>
      <c r="Y17" s="459"/>
      <c r="Z17" s="460">
        <f t="shared" si="10"/>
        <v>0</v>
      </c>
      <c r="AA17" s="459"/>
      <c r="AB17" s="459"/>
      <c r="AC17" s="460">
        <f t="shared" si="11"/>
        <v>0</v>
      </c>
      <c r="AD17" s="459"/>
      <c r="AE17" s="459"/>
      <c r="AF17" s="459">
        <f t="shared" si="12"/>
        <v>0</v>
      </c>
      <c r="AG17" s="459"/>
      <c r="AH17" s="459"/>
      <c r="AI17" s="459"/>
      <c r="AJ17" s="459"/>
      <c r="AK17" s="459"/>
      <c r="AL17" s="459">
        <f t="shared" si="13"/>
        <v>0</v>
      </c>
      <c r="AM17" s="459"/>
      <c r="AN17" s="459"/>
      <c r="AO17" s="459">
        <f t="shared" si="14"/>
        <v>0</v>
      </c>
      <c r="AP17" s="459">
        <f t="shared" si="15"/>
        <v>0</v>
      </c>
      <c r="AQ17" s="459">
        <f t="shared" si="15"/>
        <v>0</v>
      </c>
      <c r="AR17" s="459">
        <f t="shared" si="16"/>
        <v>0</v>
      </c>
      <c r="AS17" s="459"/>
      <c r="AT17" s="459"/>
      <c r="AU17" s="459">
        <f t="shared" si="17"/>
        <v>0</v>
      </c>
      <c r="AV17" s="459"/>
      <c r="AW17" s="459"/>
      <c r="AX17" s="459">
        <f t="shared" si="18"/>
        <v>435</v>
      </c>
      <c r="AY17" s="459">
        <f t="shared" si="19"/>
        <v>422</v>
      </c>
      <c r="AZ17" s="459">
        <f t="shared" si="19"/>
        <v>13</v>
      </c>
      <c r="BA17" s="459">
        <f t="shared" si="20"/>
        <v>351</v>
      </c>
      <c r="BB17" s="459">
        <f>'[2]DA 7'!P10</f>
        <v>340</v>
      </c>
      <c r="BC17" s="459">
        <f>'[2]DA 7'!R10</f>
        <v>11</v>
      </c>
      <c r="BD17" s="459">
        <f t="shared" si="21"/>
        <v>84</v>
      </c>
      <c r="BE17" s="459">
        <f>'[2]DA 7'!Q10</f>
        <v>82</v>
      </c>
      <c r="BF17" s="459">
        <f>'[2]DA 7'!S10</f>
        <v>2</v>
      </c>
    </row>
    <row r="18" spans="1:58" s="450" customFormat="1" ht="21" customHeight="1" x14ac:dyDescent="0.25">
      <c r="A18" s="456">
        <v>7</v>
      </c>
      <c r="B18" s="457" t="s">
        <v>364</v>
      </c>
      <c r="C18" s="458">
        <f t="shared" si="2"/>
        <v>365</v>
      </c>
      <c r="D18" s="458">
        <f t="shared" si="3"/>
        <v>354</v>
      </c>
      <c r="E18" s="458">
        <f t="shared" si="3"/>
        <v>11</v>
      </c>
      <c r="F18" s="459">
        <f t="shared" si="4"/>
        <v>0</v>
      </c>
      <c r="G18" s="459"/>
      <c r="H18" s="459"/>
      <c r="I18" s="459">
        <f t="shared" si="5"/>
        <v>0</v>
      </c>
      <c r="J18" s="459"/>
      <c r="K18" s="459"/>
      <c r="L18" s="460">
        <f t="shared" si="6"/>
        <v>0</v>
      </c>
      <c r="M18" s="459">
        <v>0</v>
      </c>
      <c r="N18" s="459">
        <v>0</v>
      </c>
      <c r="O18" s="460">
        <f t="shared" si="7"/>
        <v>0</v>
      </c>
      <c r="P18" s="459">
        <v>0</v>
      </c>
      <c r="Q18" s="459">
        <v>0</v>
      </c>
      <c r="R18" s="459">
        <f t="shared" si="8"/>
        <v>0</v>
      </c>
      <c r="S18" s="459"/>
      <c r="T18" s="459"/>
      <c r="U18" s="459">
        <f t="shared" si="9"/>
        <v>0</v>
      </c>
      <c r="V18" s="459">
        <f t="shared" si="22"/>
        <v>0</v>
      </c>
      <c r="W18" s="459">
        <f t="shared" si="22"/>
        <v>0</v>
      </c>
      <c r="X18" s="459"/>
      <c r="Y18" s="459"/>
      <c r="Z18" s="460">
        <f t="shared" si="10"/>
        <v>0</v>
      </c>
      <c r="AA18" s="459"/>
      <c r="AB18" s="459"/>
      <c r="AC18" s="460">
        <f t="shared" si="11"/>
        <v>0</v>
      </c>
      <c r="AD18" s="459"/>
      <c r="AE18" s="459"/>
      <c r="AF18" s="459">
        <f t="shared" si="12"/>
        <v>0</v>
      </c>
      <c r="AG18" s="459"/>
      <c r="AH18" s="459"/>
      <c r="AI18" s="459"/>
      <c r="AJ18" s="459"/>
      <c r="AK18" s="459"/>
      <c r="AL18" s="459">
        <f t="shared" si="13"/>
        <v>0</v>
      </c>
      <c r="AM18" s="459"/>
      <c r="AN18" s="459"/>
      <c r="AO18" s="459">
        <f t="shared" si="14"/>
        <v>365</v>
      </c>
      <c r="AP18" s="459">
        <f t="shared" si="15"/>
        <v>354</v>
      </c>
      <c r="AQ18" s="459">
        <f t="shared" si="15"/>
        <v>11</v>
      </c>
      <c r="AR18" s="459">
        <f t="shared" si="16"/>
        <v>0</v>
      </c>
      <c r="AS18" s="459"/>
      <c r="AT18" s="459"/>
      <c r="AU18" s="459">
        <f t="shared" si="17"/>
        <v>365</v>
      </c>
      <c r="AV18" s="459">
        <f>'[2]TDA 2-DA6'!N10</f>
        <v>354</v>
      </c>
      <c r="AW18" s="459">
        <f>'[2]TDA 2-DA6'!O10</f>
        <v>11</v>
      </c>
      <c r="AX18" s="459">
        <f t="shared" si="18"/>
        <v>0</v>
      </c>
      <c r="AY18" s="459">
        <f t="shared" si="19"/>
        <v>0</v>
      </c>
      <c r="AZ18" s="459">
        <f t="shared" si="19"/>
        <v>0</v>
      </c>
      <c r="BA18" s="459">
        <f t="shared" si="20"/>
        <v>0</v>
      </c>
      <c r="BB18" s="459"/>
      <c r="BC18" s="459"/>
      <c r="BD18" s="459">
        <f t="shared" si="21"/>
        <v>0</v>
      </c>
      <c r="BE18" s="459"/>
      <c r="BF18" s="459"/>
    </row>
    <row r="19" spans="1:58" s="462" customFormat="1" ht="21" customHeight="1" x14ac:dyDescent="0.25">
      <c r="A19" s="461">
        <v>8</v>
      </c>
      <c r="B19" s="457" t="s">
        <v>365</v>
      </c>
      <c r="C19" s="458">
        <f>D19+E19</f>
        <v>1288</v>
      </c>
      <c r="D19" s="458">
        <f t="shared" si="3"/>
        <v>1251</v>
      </c>
      <c r="E19" s="458">
        <f t="shared" si="3"/>
        <v>37</v>
      </c>
      <c r="F19" s="459">
        <f>G19+H19</f>
        <v>0</v>
      </c>
      <c r="G19" s="460"/>
      <c r="H19" s="460"/>
      <c r="I19" s="459">
        <f>J19+K19</f>
        <v>0</v>
      </c>
      <c r="J19" s="460"/>
      <c r="K19" s="460"/>
      <c r="L19" s="460">
        <f>M19+N19</f>
        <v>0</v>
      </c>
      <c r="M19" s="460"/>
      <c r="N19" s="460"/>
      <c r="O19" s="460">
        <f>P19+Q19</f>
        <v>0</v>
      </c>
      <c r="P19" s="460"/>
      <c r="Q19" s="460"/>
      <c r="R19" s="459">
        <f>S19+T19</f>
        <v>1288</v>
      </c>
      <c r="S19" s="459">
        <f>V19+AG19+AJ19</f>
        <v>1251</v>
      </c>
      <c r="T19" s="459">
        <f>W19+AH19+AK19</f>
        <v>37</v>
      </c>
      <c r="U19" s="459">
        <f>V19+W19</f>
        <v>1288</v>
      </c>
      <c r="V19" s="459">
        <f>AA19+AD19+X19</f>
        <v>1251</v>
      </c>
      <c r="W19" s="459">
        <f>AB19+AE19+Y19</f>
        <v>37</v>
      </c>
      <c r="X19" s="460"/>
      <c r="Y19" s="460"/>
      <c r="Z19" s="460">
        <f>AA19+AB19</f>
        <v>1288</v>
      </c>
      <c r="AA19" s="460">
        <f>'[2]4.ND1 - Tiểu dự án 1 - DA 4'!M15</f>
        <v>1251</v>
      </c>
      <c r="AB19" s="460">
        <f>'[2]4.ND1 - Tiểu dự án 1 - DA 4'!N15</f>
        <v>37</v>
      </c>
      <c r="AC19" s="460">
        <f>AD19+AE19</f>
        <v>0</v>
      </c>
      <c r="AD19" s="460"/>
      <c r="AE19" s="460"/>
      <c r="AF19" s="459">
        <f>AG19+AH19</f>
        <v>0</v>
      </c>
      <c r="AG19" s="460"/>
      <c r="AH19" s="460"/>
      <c r="AI19" s="459">
        <f>AJ19+AK19</f>
        <v>0</v>
      </c>
      <c r="AJ19" s="460"/>
      <c r="AK19" s="460"/>
      <c r="AL19" s="459">
        <f>AM19+AN19</f>
        <v>0</v>
      </c>
      <c r="AM19" s="460"/>
      <c r="AN19" s="460"/>
      <c r="AO19" s="459">
        <f>AP19+AQ19</f>
        <v>0</v>
      </c>
      <c r="AP19" s="459">
        <f t="shared" si="15"/>
        <v>0</v>
      </c>
      <c r="AQ19" s="459">
        <f t="shared" si="15"/>
        <v>0</v>
      </c>
      <c r="AR19" s="459">
        <f>AS19+AT19</f>
        <v>0</v>
      </c>
      <c r="AS19" s="460"/>
      <c r="AT19" s="460"/>
      <c r="AU19" s="459">
        <f>AV19+AW19</f>
        <v>0</v>
      </c>
      <c r="AV19" s="460"/>
      <c r="AW19" s="460"/>
      <c r="AX19" s="459">
        <f>AY19+AZ19</f>
        <v>0</v>
      </c>
      <c r="AY19" s="459">
        <f t="shared" si="19"/>
        <v>0</v>
      </c>
      <c r="AZ19" s="459">
        <f t="shared" si="19"/>
        <v>0</v>
      </c>
      <c r="BA19" s="459">
        <f>BB19+BC19</f>
        <v>0</v>
      </c>
      <c r="BB19" s="460"/>
      <c r="BC19" s="460"/>
      <c r="BD19" s="459">
        <f>BE19+BF19</f>
        <v>0</v>
      </c>
      <c r="BE19" s="460"/>
      <c r="BF19" s="460"/>
    </row>
    <row r="20" spans="1:58" s="450" customFormat="1" ht="21" customHeight="1" x14ac:dyDescent="0.25">
      <c r="A20" s="456">
        <v>9</v>
      </c>
      <c r="B20" s="457" t="s">
        <v>366</v>
      </c>
      <c r="C20" s="458">
        <f>D20+E20</f>
        <v>200</v>
      </c>
      <c r="D20" s="458">
        <f t="shared" si="3"/>
        <v>194</v>
      </c>
      <c r="E20" s="458">
        <f t="shared" si="3"/>
        <v>6</v>
      </c>
      <c r="F20" s="459">
        <f>G20+H20</f>
        <v>0</v>
      </c>
      <c r="G20" s="459"/>
      <c r="H20" s="459"/>
      <c r="I20" s="459">
        <f>J20+K20</f>
        <v>0</v>
      </c>
      <c r="J20" s="459"/>
      <c r="K20" s="459"/>
      <c r="L20" s="460">
        <f>M20+N20</f>
        <v>0</v>
      </c>
      <c r="M20" s="459">
        <v>0</v>
      </c>
      <c r="N20" s="459">
        <v>0</v>
      </c>
      <c r="O20" s="460">
        <f>P20+Q20</f>
        <v>0</v>
      </c>
      <c r="P20" s="459"/>
      <c r="Q20" s="459"/>
      <c r="R20" s="459">
        <f>S20+T20</f>
        <v>0</v>
      </c>
      <c r="S20" s="459"/>
      <c r="T20" s="459"/>
      <c r="U20" s="459">
        <f t="shared" ref="U20:U21" si="25">V20+W20</f>
        <v>0</v>
      </c>
      <c r="V20" s="459">
        <f t="shared" ref="V20:W21" si="26">AA20+AD20+X20</f>
        <v>0</v>
      </c>
      <c r="W20" s="459">
        <f t="shared" si="26"/>
        <v>0</v>
      </c>
      <c r="X20" s="459"/>
      <c r="Y20" s="459"/>
      <c r="Z20" s="460">
        <f>AA20+AB20</f>
        <v>0</v>
      </c>
      <c r="AA20" s="459"/>
      <c r="AB20" s="459"/>
      <c r="AC20" s="460">
        <f>AD20+AE20</f>
        <v>0</v>
      </c>
      <c r="AD20" s="459"/>
      <c r="AE20" s="459"/>
      <c r="AF20" s="459">
        <f>AG20+AH20</f>
        <v>0</v>
      </c>
      <c r="AG20" s="459"/>
      <c r="AH20" s="459"/>
      <c r="AI20" s="459"/>
      <c r="AJ20" s="459"/>
      <c r="AK20" s="459"/>
      <c r="AL20" s="459">
        <f>AM20+AN20</f>
        <v>0</v>
      </c>
      <c r="AM20" s="459"/>
      <c r="AN20" s="459"/>
      <c r="AO20" s="459">
        <f>AP20+AQ20</f>
        <v>200</v>
      </c>
      <c r="AP20" s="459">
        <f t="shared" si="15"/>
        <v>194</v>
      </c>
      <c r="AQ20" s="459">
        <f t="shared" si="15"/>
        <v>6</v>
      </c>
      <c r="AR20" s="459">
        <f>AS20+AT20</f>
        <v>200</v>
      </c>
      <c r="AS20" s="459">
        <f>'[2]TDA 1-DA6'!N11</f>
        <v>194</v>
      </c>
      <c r="AT20" s="459">
        <f>'[2]TDA 1-DA6'!O11</f>
        <v>6</v>
      </c>
      <c r="AU20" s="459">
        <f>AV20+AW20</f>
        <v>0</v>
      </c>
      <c r="AV20" s="459"/>
      <c r="AW20" s="459"/>
      <c r="AX20" s="459">
        <f>AY20+AZ20</f>
        <v>0</v>
      </c>
      <c r="AY20" s="459">
        <f t="shared" si="19"/>
        <v>0</v>
      </c>
      <c r="AZ20" s="459">
        <f t="shared" si="19"/>
        <v>0</v>
      </c>
      <c r="BA20" s="459">
        <f>BB20+BC20</f>
        <v>0</v>
      </c>
      <c r="BB20" s="459"/>
      <c r="BC20" s="459"/>
      <c r="BD20" s="459">
        <f>BE20+BF20</f>
        <v>0</v>
      </c>
      <c r="BE20" s="459"/>
      <c r="BF20" s="459"/>
    </row>
    <row r="21" spans="1:58" s="450" customFormat="1" ht="21" customHeight="1" x14ac:dyDescent="0.25">
      <c r="A21" s="463">
        <v>10</v>
      </c>
      <c r="B21" s="464" t="s">
        <v>367</v>
      </c>
      <c r="C21" s="465">
        <f>D21+E21</f>
        <v>224</v>
      </c>
      <c r="D21" s="465">
        <f t="shared" si="3"/>
        <v>218</v>
      </c>
      <c r="E21" s="465">
        <f t="shared" si="3"/>
        <v>6</v>
      </c>
      <c r="F21" s="466">
        <f>G21+H21</f>
        <v>0</v>
      </c>
      <c r="G21" s="466"/>
      <c r="H21" s="466"/>
      <c r="I21" s="466">
        <f>J21+K21</f>
        <v>0</v>
      </c>
      <c r="J21" s="466"/>
      <c r="K21" s="466"/>
      <c r="L21" s="467">
        <f>M21+N21</f>
        <v>0</v>
      </c>
      <c r="M21" s="466">
        <v>0</v>
      </c>
      <c r="N21" s="466">
        <v>0</v>
      </c>
      <c r="O21" s="467">
        <f>P21+Q21</f>
        <v>0</v>
      </c>
      <c r="P21" s="466">
        <v>0</v>
      </c>
      <c r="Q21" s="466">
        <v>0</v>
      </c>
      <c r="R21" s="466">
        <f>S21+T21</f>
        <v>0</v>
      </c>
      <c r="S21" s="466"/>
      <c r="T21" s="466"/>
      <c r="U21" s="466">
        <f t="shared" si="25"/>
        <v>0</v>
      </c>
      <c r="V21" s="466">
        <f t="shared" si="26"/>
        <v>0</v>
      </c>
      <c r="W21" s="466">
        <f t="shared" si="26"/>
        <v>0</v>
      </c>
      <c r="X21" s="466"/>
      <c r="Y21" s="466"/>
      <c r="Z21" s="467">
        <f>AA21+AB21</f>
        <v>0</v>
      </c>
      <c r="AA21" s="466"/>
      <c r="AB21" s="466"/>
      <c r="AC21" s="467">
        <f>AD21+AE21</f>
        <v>0</v>
      </c>
      <c r="AD21" s="466"/>
      <c r="AE21" s="466"/>
      <c r="AF21" s="466">
        <f>AG21+AH21</f>
        <v>0</v>
      </c>
      <c r="AG21" s="466"/>
      <c r="AH21" s="466"/>
      <c r="AI21" s="466"/>
      <c r="AJ21" s="466"/>
      <c r="AK21" s="466"/>
      <c r="AL21" s="466">
        <f>AM21+AN21</f>
        <v>0</v>
      </c>
      <c r="AM21" s="466"/>
      <c r="AN21" s="466"/>
      <c r="AO21" s="466">
        <f>AP21+AQ21</f>
        <v>224</v>
      </c>
      <c r="AP21" s="466">
        <f t="shared" si="15"/>
        <v>218</v>
      </c>
      <c r="AQ21" s="466">
        <f t="shared" si="15"/>
        <v>6</v>
      </c>
      <c r="AR21" s="466">
        <f>AS21+AT21</f>
        <v>224</v>
      </c>
      <c r="AS21" s="466">
        <f>'[2]TDA 1-DA6'!N12</f>
        <v>218</v>
      </c>
      <c r="AT21" s="466">
        <f>'[2]TDA 1-DA6'!O12</f>
        <v>6</v>
      </c>
      <c r="AU21" s="466">
        <f>AV21+AW21</f>
        <v>0</v>
      </c>
      <c r="AV21" s="466"/>
      <c r="AW21" s="466"/>
      <c r="AX21" s="466">
        <f>AY21+AZ21</f>
        <v>0</v>
      </c>
      <c r="AY21" s="466">
        <f t="shared" si="19"/>
        <v>0</v>
      </c>
      <c r="AZ21" s="466">
        <f t="shared" si="19"/>
        <v>0</v>
      </c>
      <c r="BA21" s="466">
        <f>BB21+BC21</f>
        <v>0</v>
      </c>
      <c r="BB21" s="466"/>
      <c r="BC21" s="466"/>
      <c r="BD21" s="466">
        <f>BE21+BF21</f>
        <v>0</v>
      </c>
      <c r="BE21" s="466"/>
      <c r="BF21" s="466"/>
    </row>
    <row r="22" spans="1:58" s="444" customFormat="1" ht="18.75" customHeight="1" x14ac:dyDescent="0.25">
      <c r="A22" s="446"/>
      <c r="B22" s="446" t="s">
        <v>368</v>
      </c>
      <c r="C22" s="468">
        <f>SUM(C23:C30)</f>
        <v>111755</v>
      </c>
      <c r="D22" s="468">
        <f t="shared" ref="D22:BF22" si="27">SUM(D23:D30)</f>
        <v>108500</v>
      </c>
      <c r="E22" s="468">
        <f t="shared" si="27"/>
        <v>3255</v>
      </c>
      <c r="F22" s="468">
        <f t="shared" si="27"/>
        <v>8776</v>
      </c>
      <c r="G22" s="468">
        <f t="shared" si="27"/>
        <v>8520</v>
      </c>
      <c r="H22" s="468">
        <f t="shared" si="27"/>
        <v>256</v>
      </c>
      <c r="I22" s="468">
        <f t="shared" si="27"/>
        <v>35285</v>
      </c>
      <c r="J22" s="468">
        <f t="shared" si="27"/>
        <v>34258</v>
      </c>
      <c r="K22" s="468">
        <f t="shared" si="27"/>
        <v>1027</v>
      </c>
      <c r="L22" s="468">
        <f t="shared" si="27"/>
        <v>14682</v>
      </c>
      <c r="M22" s="468">
        <f t="shared" si="27"/>
        <v>14254</v>
      </c>
      <c r="N22" s="468">
        <f t="shared" si="27"/>
        <v>428</v>
      </c>
      <c r="O22" s="468">
        <f>SUM(O23:O30)</f>
        <v>4817</v>
      </c>
      <c r="P22" s="468">
        <f t="shared" si="27"/>
        <v>4676</v>
      </c>
      <c r="Q22" s="468">
        <f t="shared" si="27"/>
        <v>141</v>
      </c>
      <c r="R22" s="468">
        <f t="shared" si="27"/>
        <v>32353</v>
      </c>
      <c r="S22" s="468">
        <f t="shared" si="27"/>
        <v>31411</v>
      </c>
      <c r="T22" s="468">
        <f t="shared" si="27"/>
        <v>942</v>
      </c>
      <c r="U22" s="468">
        <f t="shared" si="27"/>
        <v>26121</v>
      </c>
      <c r="V22" s="468">
        <f t="shared" si="27"/>
        <v>25360</v>
      </c>
      <c r="W22" s="468">
        <f t="shared" si="27"/>
        <v>761</v>
      </c>
      <c r="X22" s="468">
        <f t="shared" si="27"/>
        <v>0</v>
      </c>
      <c r="Y22" s="468">
        <f t="shared" si="27"/>
        <v>0</v>
      </c>
      <c r="Z22" s="468">
        <f>SUM(Z23:Z30)</f>
        <v>9675</v>
      </c>
      <c r="AA22" s="468">
        <f t="shared" si="27"/>
        <v>9393</v>
      </c>
      <c r="AB22" s="468">
        <f t="shared" si="27"/>
        <v>282</v>
      </c>
      <c r="AC22" s="468">
        <f>SUM(AC23:AC30)</f>
        <v>16446</v>
      </c>
      <c r="AD22" s="468">
        <f t="shared" si="27"/>
        <v>15967</v>
      </c>
      <c r="AE22" s="468">
        <f t="shared" si="27"/>
        <v>479</v>
      </c>
      <c r="AF22" s="468">
        <f t="shared" si="27"/>
        <v>1418</v>
      </c>
      <c r="AG22" s="468">
        <f t="shared" si="27"/>
        <v>1377</v>
      </c>
      <c r="AH22" s="468">
        <f t="shared" si="27"/>
        <v>41</v>
      </c>
      <c r="AI22" s="468">
        <f t="shared" si="27"/>
        <v>4814</v>
      </c>
      <c r="AJ22" s="468">
        <f t="shared" si="27"/>
        <v>4674</v>
      </c>
      <c r="AK22" s="468">
        <f t="shared" si="27"/>
        <v>140</v>
      </c>
      <c r="AL22" s="468">
        <f t="shared" si="27"/>
        <v>7746</v>
      </c>
      <c r="AM22" s="468">
        <f t="shared" si="27"/>
        <v>7520</v>
      </c>
      <c r="AN22" s="468">
        <f t="shared" si="27"/>
        <v>226</v>
      </c>
      <c r="AO22" s="468">
        <f t="shared" si="27"/>
        <v>2273</v>
      </c>
      <c r="AP22" s="468">
        <f t="shared" si="27"/>
        <v>2207</v>
      </c>
      <c r="AQ22" s="468">
        <f t="shared" si="27"/>
        <v>66</v>
      </c>
      <c r="AR22" s="468">
        <f t="shared" si="27"/>
        <v>808</v>
      </c>
      <c r="AS22" s="468">
        <f t="shared" si="27"/>
        <v>785</v>
      </c>
      <c r="AT22" s="468">
        <f t="shared" si="27"/>
        <v>23</v>
      </c>
      <c r="AU22" s="468">
        <f t="shared" si="27"/>
        <v>1465</v>
      </c>
      <c r="AV22" s="468">
        <f t="shared" si="27"/>
        <v>1422</v>
      </c>
      <c r="AW22" s="468">
        <f t="shared" si="27"/>
        <v>43</v>
      </c>
      <c r="AX22" s="468">
        <f t="shared" si="27"/>
        <v>5823</v>
      </c>
      <c r="AY22" s="468">
        <f t="shared" si="27"/>
        <v>5654</v>
      </c>
      <c r="AZ22" s="468">
        <f t="shared" si="27"/>
        <v>169</v>
      </c>
      <c r="BA22" s="468">
        <f t="shared" si="27"/>
        <v>3794</v>
      </c>
      <c r="BB22" s="468">
        <f t="shared" si="27"/>
        <v>3685</v>
      </c>
      <c r="BC22" s="468">
        <f t="shared" si="27"/>
        <v>109</v>
      </c>
      <c r="BD22" s="468">
        <f t="shared" si="27"/>
        <v>2029</v>
      </c>
      <c r="BE22" s="468">
        <f t="shared" si="27"/>
        <v>1969</v>
      </c>
      <c r="BF22" s="468">
        <f t="shared" si="27"/>
        <v>60</v>
      </c>
    </row>
    <row r="23" spans="1:58" s="450" customFormat="1" ht="18.75" customHeight="1" x14ac:dyDescent="0.25">
      <c r="A23" s="469">
        <v>1</v>
      </c>
      <c r="B23" s="470" t="s">
        <v>45</v>
      </c>
      <c r="C23" s="453">
        <f>D23+E23</f>
        <v>5416</v>
      </c>
      <c r="D23" s="453">
        <f>G23+J23+M23+P23+AA23+AD23+AG23+AJ23+AM23+AS23+AV23+BB23+BE23</f>
        <v>5257</v>
      </c>
      <c r="E23" s="453">
        <f>H23+K23+N23+Q23+AB23+AE23+AH23+AK23+AN23+AT23+AW23+BC23+BF23</f>
        <v>159</v>
      </c>
      <c r="F23" s="454">
        <f t="shared" ref="F23" si="28">G23+H23</f>
        <v>0</v>
      </c>
      <c r="G23" s="454"/>
      <c r="H23" s="454"/>
      <c r="I23" s="454">
        <f>J23+K23</f>
        <v>1806</v>
      </c>
      <c r="J23" s="454">
        <f>[2]DA2!P10</f>
        <v>1753</v>
      </c>
      <c r="K23" s="454">
        <f>[2]DA2!Q10</f>
        <v>53</v>
      </c>
      <c r="L23" s="455">
        <f t="shared" ref="L23:L30" si="29">M23+N23</f>
        <v>924</v>
      </c>
      <c r="M23" s="454">
        <f>'[2]TD1-DA3'!P10</f>
        <v>897</v>
      </c>
      <c r="N23" s="454">
        <f>'[2]TD1-DA3'!Q10</f>
        <v>27</v>
      </c>
      <c r="O23" s="455">
        <f t="shared" ref="O23:O30" si="30">P23+Q23</f>
        <v>493</v>
      </c>
      <c r="P23" s="454">
        <f>'[2]TDA 2-DA3'!L10</f>
        <v>478</v>
      </c>
      <c r="Q23" s="454">
        <f>'[2]TDA 2-DA3'!M10</f>
        <v>15</v>
      </c>
      <c r="R23" s="454">
        <f>S23+T23</f>
        <v>1658</v>
      </c>
      <c r="S23" s="454">
        <f>V23+AG23+AJ23</f>
        <v>1610</v>
      </c>
      <c r="T23" s="454">
        <f>W23+AH23+AK23</f>
        <v>48</v>
      </c>
      <c r="U23" s="454">
        <f>V23+W23</f>
        <v>1234</v>
      </c>
      <c r="V23" s="454">
        <f>AA23+AD23+X23</f>
        <v>1198</v>
      </c>
      <c r="W23" s="454">
        <f>AB23+AE23+Y23</f>
        <v>36</v>
      </c>
      <c r="X23" s="454"/>
      <c r="Y23" s="454"/>
      <c r="Z23" s="455">
        <f t="shared" ref="Z23:Z30" si="31">AA23+AB23</f>
        <v>0</v>
      </c>
      <c r="AA23" s="454"/>
      <c r="AB23" s="454"/>
      <c r="AC23" s="455">
        <f t="shared" ref="AC23:AC30" si="32">AD23+AE23</f>
        <v>1234</v>
      </c>
      <c r="AD23" s="454">
        <f>'[2]ND2-TDA1-DA4'!P8</f>
        <v>1198</v>
      </c>
      <c r="AE23" s="454">
        <f>'[2]ND2-TDA1-DA4'!Q8</f>
        <v>36</v>
      </c>
      <c r="AF23" s="454">
        <f>AG23+AH23</f>
        <v>0</v>
      </c>
      <c r="AG23" s="454"/>
      <c r="AH23" s="454"/>
      <c r="AI23" s="454">
        <f>AJ23+AK23</f>
        <v>424</v>
      </c>
      <c r="AJ23" s="454">
        <f>'[2]TDA3-DA4'!L10</f>
        <v>412</v>
      </c>
      <c r="AK23" s="454">
        <f>'[2]TDA3-DA4'!M10</f>
        <v>12</v>
      </c>
      <c r="AL23" s="454">
        <f t="shared" ref="AL23" si="33">AM23+AN23</f>
        <v>0</v>
      </c>
      <c r="AM23" s="454"/>
      <c r="AN23" s="454"/>
      <c r="AO23" s="454">
        <f>AP23+AQ23</f>
        <v>151</v>
      </c>
      <c r="AP23" s="454">
        <f>AS23+AV23</f>
        <v>146</v>
      </c>
      <c r="AQ23" s="454">
        <f>AT23+AW23</f>
        <v>5</v>
      </c>
      <c r="AR23" s="454">
        <f>AS23+AT23</f>
        <v>54</v>
      </c>
      <c r="AS23" s="454">
        <f>'[2]TDA 1-DA6'!N16</f>
        <v>52</v>
      </c>
      <c r="AT23" s="454">
        <f>'[2]TDA 1-DA6'!O16</f>
        <v>2</v>
      </c>
      <c r="AU23" s="454">
        <v>97</v>
      </c>
      <c r="AV23" s="454">
        <v>94</v>
      </c>
      <c r="AW23" s="454">
        <v>3</v>
      </c>
      <c r="AX23" s="454">
        <v>384</v>
      </c>
      <c r="AY23" s="454">
        <v>373</v>
      </c>
      <c r="AZ23" s="454">
        <v>11</v>
      </c>
      <c r="BA23" s="454">
        <v>250</v>
      </c>
      <c r="BB23" s="454">
        <v>243</v>
      </c>
      <c r="BC23" s="454">
        <v>7</v>
      </c>
      <c r="BD23" s="454">
        <v>134</v>
      </c>
      <c r="BE23" s="454">
        <v>130</v>
      </c>
      <c r="BF23" s="454">
        <v>4</v>
      </c>
    </row>
    <row r="24" spans="1:58" s="450" customFormat="1" ht="18.75" customHeight="1" x14ac:dyDescent="0.25">
      <c r="A24" s="456">
        <v>2</v>
      </c>
      <c r="B24" s="471" t="s">
        <v>43</v>
      </c>
      <c r="C24" s="458">
        <f t="shared" ref="C24:C30" si="34">D24+E24</f>
        <v>23895</v>
      </c>
      <c r="D24" s="458">
        <f t="shared" ref="D24:E30" si="35">G24+J24+M24+P24+AA24+AD24+AG24+AJ24+AM24+AS24+AV24+BB24+BE24</f>
        <v>23199</v>
      </c>
      <c r="E24" s="458">
        <f t="shared" si="35"/>
        <v>696</v>
      </c>
      <c r="F24" s="459">
        <f>G24+H24</f>
        <v>4489</v>
      </c>
      <c r="G24" s="459">
        <f>[2]DA1!N8</f>
        <v>4358</v>
      </c>
      <c r="H24" s="459">
        <f>[2]DA1!O8</f>
        <v>131</v>
      </c>
      <c r="I24" s="459">
        <f t="shared" ref="I24:I30" si="36">J24+K24</f>
        <v>5466</v>
      </c>
      <c r="J24" s="459">
        <f>[2]DA2!P11</f>
        <v>5307</v>
      </c>
      <c r="K24" s="459">
        <f>[2]DA2!Q11</f>
        <v>159</v>
      </c>
      <c r="L24" s="460">
        <f t="shared" si="29"/>
        <v>2553</v>
      </c>
      <c r="M24" s="459">
        <f>'[2]TD1-DA3'!P11</f>
        <v>2478</v>
      </c>
      <c r="N24" s="459">
        <f>'[2]TD1-DA3'!Q11</f>
        <v>75</v>
      </c>
      <c r="O24" s="460">
        <f t="shared" si="30"/>
        <v>782</v>
      </c>
      <c r="P24" s="459">
        <f>'[2]TDA 2-DA3'!L11</f>
        <v>759</v>
      </c>
      <c r="Q24" s="459">
        <f>'[2]TDA 2-DA3'!M11</f>
        <v>23</v>
      </c>
      <c r="R24" s="459">
        <f t="shared" ref="R24:R30" si="37">S24+T24</f>
        <v>5563</v>
      </c>
      <c r="S24" s="459">
        <f t="shared" ref="S24:T30" si="38">V24+AG24+AJ24</f>
        <v>5402</v>
      </c>
      <c r="T24" s="459">
        <f t="shared" si="38"/>
        <v>161</v>
      </c>
      <c r="U24" s="459">
        <f t="shared" ref="U24:U30" si="39">V24+W24</f>
        <v>4102</v>
      </c>
      <c r="V24" s="459">
        <f t="shared" ref="V24:V30" si="40">AA24+AD24</f>
        <v>3983</v>
      </c>
      <c r="W24" s="459">
        <f t="shared" ref="W24:W30" si="41">AB24+AE24+Y24</f>
        <v>119</v>
      </c>
      <c r="X24" s="459"/>
      <c r="Y24" s="459"/>
      <c r="Z24" s="460">
        <f t="shared" si="31"/>
        <v>1689</v>
      </c>
      <c r="AA24" s="459">
        <f>'[2]4.ND1 - Tiểu dự án 1 - DA 4'!M8</f>
        <v>1640</v>
      </c>
      <c r="AB24" s="459">
        <f>'[2]4.ND1 - Tiểu dự án 1 - DA 4'!N8</f>
        <v>49</v>
      </c>
      <c r="AC24" s="460">
        <f t="shared" si="32"/>
        <v>2413</v>
      </c>
      <c r="AD24" s="459">
        <f>'[2]ND2-TDA1-DA4'!P9</f>
        <v>2343</v>
      </c>
      <c r="AE24" s="459">
        <f>'[2]ND2-TDA1-DA4'!Q9</f>
        <v>70</v>
      </c>
      <c r="AF24" s="459">
        <f t="shared" ref="AF24:AF30" si="42">AG24+AH24</f>
        <v>730</v>
      </c>
      <c r="AG24" s="459">
        <f>'[2]TDA 2-DA4'!L10</f>
        <v>709</v>
      </c>
      <c r="AH24" s="459">
        <f>'[2]TDA 2-DA4'!M10</f>
        <v>21</v>
      </c>
      <c r="AI24" s="459">
        <f t="shared" ref="AI24:AI30" si="43">AJ24+AK24</f>
        <v>731</v>
      </c>
      <c r="AJ24" s="459">
        <f>'[2]TDA3-DA4'!L11</f>
        <v>710</v>
      </c>
      <c r="AK24" s="459">
        <f>'[2]TDA3-DA4'!M11</f>
        <v>21</v>
      </c>
      <c r="AL24" s="459">
        <f>AM24+AN24</f>
        <v>3770</v>
      </c>
      <c r="AM24" s="459">
        <v>3660</v>
      </c>
      <c r="AN24" s="459">
        <v>110</v>
      </c>
      <c r="AO24" s="459">
        <f t="shared" ref="AO24:AO30" si="44">AP24+AQ24</f>
        <v>357</v>
      </c>
      <c r="AP24" s="459">
        <f t="shared" ref="AP24:AQ30" si="45">AS24+AV24</f>
        <v>346</v>
      </c>
      <c r="AQ24" s="459">
        <f t="shared" si="45"/>
        <v>11</v>
      </c>
      <c r="AR24" s="459">
        <f t="shared" ref="AR24:AR30" si="46">AS24+AT24</f>
        <v>127</v>
      </c>
      <c r="AS24" s="459">
        <f>'[2]TDA 1-DA6'!N17</f>
        <v>123</v>
      </c>
      <c r="AT24" s="459">
        <f>'[2]TDA 1-DA6'!O17</f>
        <v>4</v>
      </c>
      <c r="AU24" s="459">
        <v>230</v>
      </c>
      <c r="AV24" s="459">
        <v>223</v>
      </c>
      <c r="AW24" s="459">
        <v>7</v>
      </c>
      <c r="AX24" s="459">
        <v>915</v>
      </c>
      <c r="AY24" s="459">
        <v>889</v>
      </c>
      <c r="AZ24" s="459">
        <v>26</v>
      </c>
      <c r="BA24" s="459">
        <v>596</v>
      </c>
      <c r="BB24" s="459">
        <v>579</v>
      </c>
      <c r="BC24" s="459">
        <v>17</v>
      </c>
      <c r="BD24" s="459">
        <v>319</v>
      </c>
      <c r="BE24" s="459">
        <v>310</v>
      </c>
      <c r="BF24" s="459">
        <v>9</v>
      </c>
    </row>
    <row r="25" spans="1:58" s="450" customFormat="1" ht="18.75" customHeight="1" x14ac:dyDescent="0.25">
      <c r="A25" s="456">
        <v>3</v>
      </c>
      <c r="B25" s="471" t="s">
        <v>44</v>
      </c>
      <c r="C25" s="458">
        <f t="shared" si="34"/>
        <v>12393</v>
      </c>
      <c r="D25" s="458">
        <f t="shared" si="35"/>
        <v>12032</v>
      </c>
      <c r="E25" s="458">
        <f t="shared" si="35"/>
        <v>361</v>
      </c>
      <c r="F25" s="459">
        <f t="shared" ref="F25:F30" si="47">G25+H25</f>
        <v>0</v>
      </c>
      <c r="G25" s="459"/>
      <c r="H25" s="459"/>
      <c r="I25" s="459">
        <f t="shared" si="36"/>
        <v>4267</v>
      </c>
      <c r="J25" s="459">
        <f>[2]DA2!P12</f>
        <v>4143</v>
      </c>
      <c r="K25" s="459">
        <f>[2]DA2!Q12</f>
        <v>124</v>
      </c>
      <c r="L25" s="460">
        <f t="shared" si="29"/>
        <v>1993</v>
      </c>
      <c r="M25" s="459">
        <f>'[2]TD1-DA3'!P12</f>
        <v>1935</v>
      </c>
      <c r="N25" s="459">
        <f>'[2]TD1-DA3'!Q12</f>
        <v>58</v>
      </c>
      <c r="O25" s="460">
        <f t="shared" si="30"/>
        <v>566</v>
      </c>
      <c r="P25" s="459">
        <f>'[2]TDA 2-DA3'!L12</f>
        <v>550</v>
      </c>
      <c r="Q25" s="459">
        <f>'[2]TDA 2-DA3'!M12</f>
        <v>16</v>
      </c>
      <c r="R25" s="459">
        <f t="shared" si="37"/>
        <v>4413</v>
      </c>
      <c r="S25" s="459">
        <f t="shared" si="38"/>
        <v>4284</v>
      </c>
      <c r="T25" s="459">
        <f t="shared" si="38"/>
        <v>129</v>
      </c>
      <c r="U25" s="459">
        <f t="shared" si="39"/>
        <v>3619</v>
      </c>
      <c r="V25" s="459">
        <f t="shared" si="40"/>
        <v>3513</v>
      </c>
      <c r="W25" s="459">
        <f t="shared" si="41"/>
        <v>106</v>
      </c>
      <c r="X25" s="459"/>
      <c r="Y25" s="459"/>
      <c r="Z25" s="460">
        <f t="shared" si="31"/>
        <v>1460</v>
      </c>
      <c r="AA25" s="459">
        <f>'[2]4.ND1 - Tiểu dự án 1 - DA 4'!M9</f>
        <v>1417</v>
      </c>
      <c r="AB25" s="459">
        <f>'[2]4.ND1 - Tiểu dự án 1 - DA 4'!N9</f>
        <v>43</v>
      </c>
      <c r="AC25" s="460">
        <f t="shared" si="32"/>
        <v>2159</v>
      </c>
      <c r="AD25" s="459">
        <f>'[2]ND2-TDA1-DA4'!P10</f>
        <v>2096</v>
      </c>
      <c r="AE25" s="459">
        <f>'[2]ND2-TDA1-DA4'!Q10</f>
        <v>63</v>
      </c>
      <c r="AF25" s="459">
        <f t="shared" si="42"/>
        <v>0</v>
      </c>
      <c r="AG25" s="459"/>
      <c r="AH25" s="459"/>
      <c r="AI25" s="459">
        <f t="shared" si="43"/>
        <v>794</v>
      </c>
      <c r="AJ25" s="459">
        <f>'[2]TDA3-DA4'!L12</f>
        <v>771</v>
      </c>
      <c r="AK25" s="459">
        <f>'[2]TDA3-DA4'!M12</f>
        <v>23</v>
      </c>
      <c r="AL25" s="459">
        <f t="shared" ref="AL25:AL30" si="48">AM25+AN25</f>
        <v>0</v>
      </c>
      <c r="AM25" s="459"/>
      <c r="AN25" s="459"/>
      <c r="AO25" s="459">
        <f t="shared" si="44"/>
        <v>324</v>
      </c>
      <c r="AP25" s="459">
        <f t="shared" si="45"/>
        <v>315</v>
      </c>
      <c r="AQ25" s="459">
        <f t="shared" si="45"/>
        <v>9</v>
      </c>
      <c r="AR25" s="459">
        <f t="shared" si="46"/>
        <v>115</v>
      </c>
      <c r="AS25" s="459">
        <f>'[2]TDA 1-DA6'!N18</f>
        <v>112</v>
      </c>
      <c r="AT25" s="459">
        <f>'[2]TDA 1-DA6'!O18</f>
        <v>3</v>
      </c>
      <c r="AU25" s="459">
        <v>209</v>
      </c>
      <c r="AV25" s="459">
        <v>203</v>
      </c>
      <c r="AW25" s="459">
        <v>6</v>
      </c>
      <c r="AX25" s="459">
        <v>830</v>
      </c>
      <c r="AY25" s="459">
        <v>805</v>
      </c>
      <c r="AZ25" s="459">
        <v>25</v>
      </c>
      <c r="BA25" s="459">
        <v>541</v>
      </c>
      <c r="BB25" s="459">
        <v>525</v>
      </c>
      <c r="BC25" s="459">
        <v>16</v>
      </c>
      <c r="BD25" s="459">
        <v>289</v>
      </c>
      <c r="BE25" s="459">
        <v>280</v>
      </c>
      <c r="BF25" s="459">
        <v>9</v>
      </c>
    </row>
    <row r="26" spans="1:58" s="450" customFormat="1" ht="18.75" customHeight="1" x14ac:dyDescent="0.25">
      <c r="A26" s="456">
        <v>4</v>
      </c>
      <c r="B26" s="471" t="s">
        <v>40</v>
      </c>
      <c r="C26" s="458">
        <f t="shared" si="34"/>
        <v>22904</v>
      </c>
      <c r="D26" s="458">
        <f t="shared" si="35"/>
        <v>22237</v>
      </c>
      <c r="E26" s="458">
        <f t="shared" si="35"/>
        <v>667</v>
      </c>
      <c r="F26" s="459">
        <f t="shared" si="47"/>
        <v>4287</v>
      </c>
      <c r="G26" s="459">
        <f>[2]DA1!N9</f>
        <v>4162</v>
      </c>
      <c r="H26" s="459">
        <f>[2]DA1!O9</f>
        <v>125</v>
      </c>
      <c r="I26" s="459">
        <f t="shared" si="36"/>
        <v>5145</v>
      </c>
      <c r="J26" s="459">
        <f>[2]DA2!P13</f>
        <v>4995</v>
      </c>
      <c r="K26" s="459">
        <f>[2]DA2!Q13</f>
        <v>150</v>
      </c>
      <c r="L26" s="460">
        <f t="shared" si="29"/>
        <v>2403</v>
      </c>
      <c r="M26" s="459">
        <f>'[2]TD1-DA3'!P13</f>
        <v>2333</v>
      </c>
      <c r="N26" s="459">
        <f>'[2]TD1-DA3'!Q13</f>
        <v>70</v>
      </c>
      <c r="O26" s="460">
        <f t="shared" si="30"/>
        <v>670</v>
      </c>
      <c r="P26" s="459">
        <f>'[2]TDA 2-DA3'!L13</f>
        <v>650</v>
      </c>
      <c r="Q26" s="459">
        <f>'[2]TDA 2-DA3'!M13</f>
        <v>20</v>
      </c>
      <c r="R26" s="459">
        <f t="shared" si="37"/>
        <v>5227</v>
      </c>
      <c r="S26" s="459">
        <f t="shared" si="38"/>
        <v>5075</v>
      </c>
      <c r="T26" s="459">
        <f t="shared" si="38"/>
        <v>152</v>
      </c>
      <c r="U26" s="459">
        <f t="shared" si="39"/>
        <v>3850</v>
      </c>
      <c r="V26" s="459">
        <f t="shared" si="40"/>
        <v>3738</v>
      </c>
      <c r="W26" s="459">
        <f t="shared" si="41"/>
        <v>112</v>
      </c>
      <c r="X26" s="459"/>
      <c r="Y26" s="459"/>
      <c r="Z26" s="460">
        <f t="shared" si="31"/>
        <v>1574</v>
      </c>
      <c r="AA26" s="459">
        <f>'[2]4.ND1 - Tiểu dự án 1 - DA 4'!M10</f>
        <v>1528</v>
      </c>
      <c r="AB26" s="459">
        <f>'[2]4.ND1 - Tiểu dự án 1 - DA 4'!N10</f>
        <v>46</v>
      </c>
      <c r="AC26" s="460">
        <f t="shared" si="32"/>
        <v>2276</v>
      </c>
      <c r="AD26" s="459">
        <f>'[2]ND2-TDA1-DA4'!P11</f>
        <v>2210</v>
      </c>
      <c r="AE26" s="459">
        <f>'[2]ND2-TDA1-DA4'!Q11</f>
        <v>66</v>
      </c>
      <c r="AF26" s="459">
        <f t="shared" si="42"/>
        <v>688</v>
      </c>
      <c r="AG26" s="459">
        <f>'[2]TDA 2-DA4'!L11</f>
        <v>668</v>
      </c>
      <c r="AH26" s="459">
        <f>'[2]TDA 2-DA4'!M11</f>
        <v>20</v>
      </c>
      <c r="AI26" s="459">
        <f t="shared" si="43"/>
        <v>689</v>
      </c>
      <c r="AJ26" s="459">
        <f>'[2]TDA3-DA4'!L13</f>
        <v>669</v>
      </c>
      <c r="AK26" s="459">
        <f>'[2]TDA3-DA4'!M13</f>
        <v>20</v>
      </c>
      <c r="AL26" s="459">
        <f t="shared" si="48"/>
        <v>3976</v>
      </c>
      <c r="AM26" s="459">
        <v>3860</v>
      </c>
      <c r="AN26" s="459">
        <v>116</v>
      </c>
      <c r="AO26" s="459">
        <f t="shared" si="44"/>
        <v>335</v>
      </c>
      <c r="AP26" s="459">
        <f t="shared" si="45"/>
        <v>326</v>
      </c>
      <c r="AQ26" s="459">
        <f t="shared" si="45"/>
        <v>9</v>
      </c>
      <c r="AR26" s="459">
        <f t="shared" si="46"/>
        <v>119</v>
      </c>
      <c r="AS26" s="459">
        <f>'[2]TDA 1-DA6'!N19</f>
        <v>116</v>
      </c>
      <c r="AT26" s="459">
        <f>'[2]TDA 1-DA6'!O19</f>
        <v>3</v>
      </c>
      <c r="AU26" s="459">
        <v>216</v>
      </c>
      <c r="AV26" s="459">
        <v>210</v>
      </c>
      <c r="AW26" s="459">
        <v>6</v>
      </c>
      <c r="AX26" s="459">
        <v>861</v>
      </c>
      <c r="AY26" s="459">
        <v>836</v>
      </c>
      <c r="AZ26" s="459">
        <v>25</v>
      </c>
      <c r="BA26" s="459">
        <v>561</v>
      </c>
      <c r="BB26" s="459">
        <v>545</v>
      </c>
      <c r="BC26" s="459">
        <v>16</v>
      </c>
      <c r="BD26" s="459">
        <v>300</v>
      </c>
      <c r="BE26" s="459">
        <v>291</v>
      </c>
      <c r="BF26" s="459">
        <v>9</v>
      </c>
    </row>
    <row r="27" spans="1:58" s="450" customFormat="1" ht="18.75" customHeight="1" x14ac:dyDescent="0.25">
      <c r="A27" s="456">
        <v>5</v>
      </c>
      <c r="B27" s="471" t="s">
        <v>41</v>
      </c>
      <c r="C27" s="458">
        <f t="shared" si="34"/>
        <v>12074</v>
      </c>
      <c r="D27" s="458">
        <f t="shared" si="35"/>
        <v>11725</v>
      </c>
      <c r="E27" s="458">
        <f t="shared" si="35"/>
        <v>349</v>
      </c>
      <c r="F27" s="459">
        <f t="shared" si="47"/>
        <v>0</v>
      </c>
      <c r="G27" s="459"/>
      <c r="H27" s="459"/>
      <c r="I27" s="459">
        <f t="shared" si="36"/>
        <v>5629</v>
      </c>
      <c r="J27" s="459">
        <f>[2]DA2!P14</f>
        <v>5465</v>
      </c>
      <c r="K27" s="459">
        <f>[2]DA2!Q14</f>
        <v>164</v>
      </c>
      <c r="L27" s="460">
        <f t="shared" si="29"/>
        <v>1461</v>
      </c>
      <c r="M27" s="459">
        <f>'[2]TD1-DA3'!P14</f>
        <v>1419</v>
      </c>
      <c r="N27" s="459">
        <f>'[2]TD1-DA3'!Q14</f>
        <v>42</v>
      </c>
      <c r="O27" s="460">
        <f t="shared" si="30"/>
        <v>566</v>
      </c>
      <c r="P27" s="459">
        <f>'[2]TDA 2-DA3'!L14</f>
        <v>550</v>
      </c>
      <c r="Q27" s="459">
        <f>'[2]TDA 2-DA3'!M14</f>
        <v>16</v>
      </c>
      <c r="R27" s="459">
        <f t="shared" si="37"/>
        <v>3573</v>
      </c>
      <c r="S27" s="459">
        <f t="shared" si="38"/>
        <v>3469</v>
      </c>
      <c r="T27" s="459">
        <f t="shared" si="38"/>
        <v>104</v>
      </c>
      <c r="U27" s="459">
        <f t="shared" si="39"/>
        <v>3099</v>
      </c>
      <c r="V27" s="459">
        <f t="shared" si="40"/>
        <v>3009</v>
      </c>
      <c r="W27" s="459">
        <f t="shared" si="41"/>
        <v>90</v>
      </c>
      <c r="X27" s="459"/>
      <c r="Y27" s="459"/>
      <c r="Z27" s="460">
        <f t="shared" si="31"/>
        <v>1145</v>
      </c>
      <c r="AA27" s="459">
        <f>'[2]4.ND1 - Tiểu dự án 1 - DA 4'!M11</f>
        <v>1112</v>
      </c>
      <c r="AB27" s="459">
        <f>'[2]4.ND1 - Tiểu dự án 1 - DA 4'!N11</f>
        <v>33</v>
      </c>
      <c r="AC27" s="460">
        <f t="shared" si="32"/>
        <v>1954</v>
      </c>
      <c r="AD27" s="459">
        <f>'[2]ND2-TDA1-DA4'!P12</f>
        <v>1897</v>
      </c>
      <c r="AE27" s="459">
        <f>'[2]ND2-TDA1-DA4'!Q12</f>
        <v>57</v>
      </c>
      <c r="AF27" s="459">
        <f>AG27+AH27</f>
        <v>0</v>
      </c>
      <c r="AG27" s="459"/>
      <c r="AH27" s="459"/>
      <c r="AI27" s="459">
        <f t="shared" si="43"/>
        <v>474</v>
      </c>
      <c r="AJ27" s="459">
        <f>'[2]TDA3-DA4'!L14</f>
        <v>460</v>
      </c>
      <c r="AK27" s="459">
        <f>'[2]TDA3-DA4'!M14</f>
        <v>14</v>
      </c>
      <c r="AL27" s="459">
        <f t="shared" si="48"/>
        <v>0</v>
      </c>
      <c r="AM27" s="459"/>
      <c r="AN27" s="459"/>
      <c r="AO27" s="459">
        <f t="shared" si="44"/>
        <v>237</v>
      </c>
      <c r="AP27" s="459">
        <f t="shared" si="45"/>
        <v>231</v>
      </c>
      <c r="AQ27" s="459">
        <f t="shared" si="45"/>
        <v>6</v>
      </c>
      <c r="AR27" s="459">
        <f t="shared" si="46"/>
        <v>84</v>
      </c>
      <c r="AS27" s="459">
        <f>'[2]TDA 1-DA6'!N20</f>
        <v>82</v>
      </c>
      <c r="AT27" s="459">
        <f>'[2]TDA 1-DA6'!O20</f>
        <v>2</v>
      </c>
      <c r="AU27" s="459">
        <v>153</v>
      </c>
      <c r="AV27" s="459">
        <v>149</v>
      </c>
      <c r="AW27" s="459">
        <v>4</v>
      </c>
      <c r="AX27" s="459">
        <v>608</v>
      </c>
      <c r="AY27" s="459">
        <v>591</v>
      </c>
      <c r="AZ27" s="459">
        <v>17</v>
      </c>
      <c r="BA27" s="459">
        <v>396</v>
      </c>
      <c r="BB27" s="459">
        <v>385</v>
      </c>
      <c r="BC27" s="459">
        <v>11</v>
      </c>
      <c r="BD27" s="459">
        <v>212</v>
      </c>
      <c r="BE27" s="459">
        <v>206</v>
      </c>
      <c r="BF27" s="459">
        <v>6</v>
      </c>
    </row>
    <row r="28" spans="1:58" s="450" customFormat="1" ht="18.75" customHeight="1" x14ac:dyDescent="0.25">
      <c r="A28" s="456">
        <v>6</v>
      </c>
      <c r="B28" s="471" t="s">
        <v>39</v>
      </c>
      <c r="C28" s="458">
        <f t="shared" si="34"/>
        <v>10666</v>
      </c>
      <c r="D28" s="458">
        <f t="shared" si="35"/>
        <v>10355</v>
      </c>
      <c r="E28" s="458">
        <f t="shared" si="35"/>
        <v>311</v>
      </c>
      <c r="F28" s="459">
        <f t="shared" si="47"/>
        <v>0</v>
      </c>
      <c r="G28" s="459"/>
      <c r="H28" s="459"/>
      <c r="I28" s="459">
        <f t="shared" si="36"/>
        <v>3537</v>
      </c>
      <c r="J28" s="459">
        <f>[2]DA2!P15</f>
        <v>3434</v>
      </c>
      <c r="K28" s="459">
        <f>[2]DA2!Q15</f>
        <v>103</v>
      </c>
      <c r="L28" s="460">
        <f t="shared" si="29"/>
        <v>1652</v>
      </c>
      <c r="M28" s="459">
        <f>'[2]TD1-DA3'!P15</f>
        <v>1604</v>
      </c>
      <c r="N28" s="459">
        <f>'[2]TD1-DA3'!Q15</f>
        <v>48</v>
      </c>
      <c r="O28" s="460">
        <f t="shared" si="30"/>
        <v>640</v>
      </c>
      <c r="P28" s="459">
        <f>'[2]TDA 2-DA3'!L15</f>
        <v>621</v>
      </c>
      <c r="Q28" s="459">
        <f>'[2]TDA 2-DA3'!M15</f>
        <v>19</v>
      </c>
      <c r="R28" s="459">
        <f t="shared" si="37"/>
        <v>3881</v>
      </c>
      <c r="S28" s="459">
        <f t="shared" si="38"/>
        <v>3768</v>
      </c>
      <c r="T28" s="459">
        <f t="shared" si="38"/>
        <v>113</v>
      </c>
      <c r="U28" s="459">
        <f t="shared" si="39"/>
        <v>3298</v>
      </c>
      <c r="V28" s="459">
        <f t="shared" si="40"/>
        <v>3202</v>
      </c>
      <c r="W28" s="459">
        <f t="shared" si="41"/>
        <v>96</v>
      </c>
      <c r="X28" s="459"/>
      <c r="Y28" s="459"/>
      <c r="Z28" s="460">
        <f t="shared" si="31"/>
        <v>1173</v>
      </c>
      <c r="AA28" s="459">
        <f>'[2]4.ND1 - Tiểu dự án 1 - DA 4'!M12</f>
        <v>1139</v>
      </c>
      <c r="AB28" s="459">
        <f>'[2]4.ND1 - Tiểu dự án 1 - DA 4'!N12</f>
        <v>34</v>
      </c>
      <c r="AC28" s="460">
        <f t="shared" si="32"/>
        <v>2125</v>
      </c>
      <c r="AD28" s="459">
        <f>'[2]ND2-TDA1-DA4'!P13</f>
        <v>2063</v>
      </c>
      <c r="AE28" s="459">
        <f>'[2]ND2-TDA1-DA4'!Q13</f>
        <v>62</v>
      </c>
      <c r="AF28" s="459">
        <f t="shared" si="42"/>
        <v>0</v>
      </c>
      <c r="AG28" s="459"/>
      <c r="AH28" s="459"/>
      <c r="AI28" s="459">
        <f t="shared" si="43"/>
        <v>583</v>
      </c>
      <c r="AJ28" s="459">
        <f>'[2]TDA3-DA4'!L15</f>
        <v>566</v>
      </c>
      <c r="AK28" s="459">
        <f>'[2]TDA3-DA4'!M15</f>
        <v>17</v>
      </c>
      <c r="AL28" s="459">
        <f t="shared" si="48"/>
        <v>0</v>
      </c>
      <c r="AM28" s="459"/>
      <c r="AN28" s="459"/>
      <c r="AO28" s="459">
        <f t="shared" si="44"/>
        <v>269</v>
      </c>
      <c r="AP28" s="459">
        <f t="shared" si="45"/>
        <v>261</v>
      </c>
      <c r="AQ28" s="459">
        <f t="shared" si="45"/>
        <v>8</v>
      </c>
      <c r="AR28" s="459">
        <f t="shared" si="46"/>
        <v>96</v>
      </c>
      <c r="AS28" s="459">
        <f>'[2]TDA 1-DA6'!N21</f>
        <v>93</v>
      </c>
      <c r="AT28" s="459">
        <f>'[2]TDA 1-DA6'!O21</f>
        <v>3</v>
      </c>
      <c r="AU28" s="459">
        <v>173</v>
      </c>
      <c r="AV28" s="459">
        <v>168</v>
      </c>
      <c r="AW28" s="459">
        <v>5</v>
      </c>
      <c r="AX28" s="459">
        <v>687</v>
      </c>
      <c r="AY28" s="459">
        <v>667</v>
      </c>
      <c r="AZ28" s="459">
        <v>20</v>
      </c>
      <c r="BA28" s="459">
        <v>448</v>
      </c>
      <c r="BB28" s="459">
        <v>435</v>
      </c>
      <c r="BC28" s="459">
        <v>13</v>
      </c>
      <c r="BD28" s="459">
        <v>239</v>
      </c>
      <c r="BE28" s="459">
        <v>232</v>
      </c>
      <c r="BF28" s="459">
        <v>7</v>
      </c>
    </row>
    <row r="29" spans="1:58" s="450" customFormat="1" ht="18.75" customHeight="1" x14ac:dyDescent="0.25">
      <c r="A29" s="456">
        <v>7</v>
      </c>
      <c r="B29" s="471" t="s">
        <v>38</v>
      </c>
      <c r="C29" s="458">
        <f t="shared" si="34"/>
        <v>10363</v>
      </c>
      <c r="D29" s="458">
        <f t="shared" si="35"/>
        <v>10060</v>
      </c>
      <c r="E29" s="458">
        <f t="shared" si="35"/>
        <v>303</v>
      </c>
      <c r="F29" s="459">
        <f t="shared" si="47"/>
        <v>0</v>
      </c>
      <c r="G29" s="459"/>
      <c r="H29" s="459"/>
      <c r="I29" s="459">
        <f t="shared" si="36"/>
        <v>3414</v>
      </c>
      <c r="J29" s="459">
        <f>[2]DA2!P16</f>
        <v>3314</v>
      </c>
      <c r="K29" s="459">
        <f>[2]DA2!Q16</f>
        <v>100</v>
      </c>
      <c r="L29" s="460">
        <f t="shared" si="29"/>
        <v>1594</v>
      </c>
      <c r="M29" s="459">
        <f>'[2]TD1-DA3'!P16</f>
        <v>1547</v>
      </c>
      <c r="N29" s="459">
        <f>'[2]TD1-DA3'!Q16</f>
        <v>47</v>
      </c>
      <c r="O29" s="460">
        <f t="shared" si="30"/>
        <v>566</v>
      </c>
      <c r="P29" s="459">
        <f>'[2]TDA 2-DA3'!L16</f>
        <v>550</v>
      </c>
      <c r="Q29" s="459">
        <f>'[2]TDA 2-DA3'!M16</f>
        <v>16</v>
      </c>
      <c r="R29" s="459">
        <f t="shared" si="37"/>
        <v>3867</v>
      </c>
      <c r="S29" s="459">
        <f t="shared" si="38"/>
        <v>3754</v>
      </c>
      <c r="T29" s="459">
        <f t="shared" si="38"/>
        <v>113</v>
      </c>
      <c r="U29" s="459">
        <f t="shared" si="39"/>
        <v>3351</v>
      </c>
      <c r="V29" s="459">
        <f t="shared" si="40"/>
        <v>3253</v>
      </c>
      <c r="W29" s="459">
        <f t="shared" si="41"/>
        <v>98</v>
      </c>
      <c r="X29" s="459"/>
      <c r="Y29" s="459"/>
      <c r="Z29" s="460">
        <f t="shared" si="31"/>
        <v>1260</v>
      </c>
      <c r="AA29" s="459">
        <f>'[2]4.ND1 - Tiểu dự án 1 - DA 4'!M13</f>
        <v>1223</v>
      </c>
      <c r="AB29" s="459">
        <f>'[2]4.ND1 - Tiểu dự án 1 - DA 4'!N13</f>
        <v>37</v>
      </c>
      <c r="AC29" s="460">
        <f t="shared" si="32"/>
        <v>2091</v>
      </c>
      <c r="AD29" s="459">
        <f>'[2]ND2-TDA1-DA4'!P14</f>
        <v>2030</v>
      </c>
      <c r="AE29" s="459">
        <f>'[2]ND2-TDA1-DA4'!Q14</f>
        <v>61</v>
      </c>
      <c r="AF29" s="459">
        <f t="shared" si="42"/>
        <v>0</v>
      </c>
      <c r="AG29" s="459"/>
      <c r="AH29" s="459"/>
      <c r="AI29" s="459">
        <f t="shared" si="43"/>
        <v>516</v>
      </c>
      <c r="AJ29" s="459">
        <f>'[2]TDA3-DA4'!L16</f>
        <v>501</v>
      </c>
      <c r="AK29" s="459">
        <f>'[2]TDA3-DA4'!M16</f>
        <v>15</v>
      </c>
      <c r="AL29" s="459">
        <f t="shared" si="48"/>
        <v>0</v>
      </c>
      <c r="AM29" s="459"/>
      <c r="AN29" s="459"/>
      <c r="AO29" s="459">
        <f t="shared" si="44"/>
        <v>259</v>
      </c>
      <c r="AP29" s="459">
        <f t="shared" si="45"/>
        <v>251</v>
      </c>
      <c r="AQ29" s="459">
        <f t="shared" si="45"/>
        <v>8</v>
      </c>
      <c r="AR29" s="459">
        <f t="shared" si="46"/>
        <v>92</v>
      </c>
      <c r="AS29" s="459">
        <f>'[2]TDA 1-DA6'!N22</f>
        <v>89</v>
      </c>
      <c r="AT29" s="459">
        <f>'[2]TDA 1-DA6'!O22</f>
        <v>3</v>
      </c>
      <c r="AU29" s="459">
        <v>167</v>
      </c>
      <c r="AV29" s="459">
        <v>162</v>
      </c>
      <c r="AW29" s="459">
        <v>5</v>
      </c>
      <c r="AX29" s="459">
        <v>663</v>
      </c>
      <c r="AY29" s="459">
        <v>644</v>
      </c>
      <c r="AZ29" s="459">
        <v>19</v>
      </c>
      <c r="BA29" s="459">
        <v>432</v>
      </c>
      <c r="BB29" s="459">
        <v>420</v>
      </c>
      <c r="BC29" s="459">
        <v>12</v>
      </c>
      <c r="BD29" s="459">
        <v>231</v>
      </c>
      <c r="BE29" s="459">
        <v>224</v>
      </c>
      <c r="BF29" s="459">
        <v>7</v>
      </c>
    </row>
    <row r="30" spans="1:58" s="462" customFormat="1" ht="18.75" customHeight="1" x14ac:dyDescent="0.25">
      <c r="A30" s="463">
        <v>8</v>
      </c>
      <c r="B30" s="472" t="s">
        <v>42</v>
      </c>
      <c r="C30" s="465">
        <f t="shared" si="34"/>
        <v>14044</v>
      </c>
      <c r="D30" s="465">
        <f t="shared" si="35"/>
        <v>13635</v>
      </c>
      <c r="E30" s="465">
        <f t="shared" si="35"/>
        <v>409</v>
      </c>
      <c r="F30" s="466">
        <f t="shared" si="47"/>
        <v>0</v>
      </c>
      <c r="G30" s="466"/>
      <c r="H30" s="466"/>
      <c r="I30" s="466">
        <f t="shared" si="36"/>
        <v>6021</v>
      </c>
      <c r="J30" s="466">
        <f>[2]DA2!P17</f>
        <v>5847</v>
      </c>
      <c r="K30" s="466">
        <f>[2]DA2!Q17</f>
        <v>174</v>
      </c>
      <c r="L30" s="467">
        <f t="shared" si="29"/>
        <v>2102</v>
      </c>
      <c r="M30" s="466">
        <f>'[2]TD1-DA3'!P17</f>
        <v>2041</v>
      </c>
      <c r="N30" s="466">
        <f>'[2]TD1-DA3'!Q17</f>
        <v>61</v>
      </c>
      <c r="O30" s="467">
        <f t="shared" si="30"/>
        <v>534</v>
      </c>
      <c r="P30" s="466">
        <f>'[2]TDA 2-DA3'!L17</f>
        <v>518</v>
      </c>
      <c r="Q30" s="466">
        <f>'[2]TDA 2-DA3'!M17</f>
        <v>16</v>
      </c>
      <c r="R30" s="466">
        <f t="shared" si="37"/>
        <v>4171</v>
      </c>
      <c r="S30" s="466">
        <f t="shared" si="38"/>
        <v>4049</v>
      </c>
      <c r="T30" s="466">
        <f t="shared" si="38"/>
        <v>122</v>
      </c>
      <c r="U30" s="466">
        <f t="shared" si="39"/>
        <v>3568</v>
      </c>
      <c r="V30" s="466">
        <f t="shared" si="40"/>
        <v>3464</v>
      </c>
      <c r="W30" s="466">
        <f t="shared" si="41"/>
        <v>104</v>
      </c>
      <c r="X30" s="466"/>
      <c r="Y30" s="466"/>
      <c r="Z30" s="467">
        <f t="shared" si="31"/>
        <v>1374</v>
      </c>
      <c r="AA30" s="466">
        <f>'[2]4.ND1 - Tiểu dự án 1 - DA 4'!M14</f>
        <v>1334</v>
      </c>
      <c r="AB30" s="466">
        <f>'[2]4.ND1 - Tiểu dự án 1 - DA 4'!N14</f>
        <v>40</v>
      </c>
      <c r="AC30" s="467">
        <f t="shared" si="32"/>
        <v>2194</v>
      </c>
      <c r="AD30" s="466">
        <f>'[2]ND2-TDA1-DA4'!P15</f>
        <v>2130</v>
      </c>
      <c r="AE30" s="466">
        <f>'[2]ND2-TDA1-DA4'!Q15</f>
        <v>64</v>
      </c>
      <c r="AF30" s="466">
        <f t="shared" si="42"/>
        <v>0</v>
      </c>
      <c r="AG30" s="466"/>
      <c r="AH30" s="466"/>
      <c r="AI30" s="466">
        <f t="shared" si="43"/>
        <v>603</v>
      </c>
      <c r="AJ30" s="466">
        <f>'[2]TDA3-DA4'!L17</f>
        <v>585</v>
      </c>
      <c r="AK30" s="466">
        <f>'[2]TDA3-DA4'!M17</f>
        <v>18</v>
      </c>
      <c r="AL30" s="466">
        <f t="shared" si="48"/>
        <v>0</v>
      </c>
      <c r="AM30" s="466"/>
      <c r="AN30" s="466"/>
      <c r="AO30" s="466">
        <f t="shared" si="44"/>
        <v>341</v>
      </c>
      <c r="AP30" s="466">
        <f t="shared" si="45"/>
        <v>331</v>
      </c>
      <c r="AQ30" s="466">
        <f t="shared" si="45"/>
        <v>10</v>
      </c>
      <c r="AR30" s="466">
        <f t="shared" si="46"/>
        <v>121</v>
      </c>
      <c r="AS30" s="466">
        <f>'[2]TDA 1-DA6'!N23</f>
        <v>118</v>
      </c>
      <c r="AT30" s="466">
        <f>'[2]TDA 1-DA6'!O23</f>
        <v>3</v>
      </c>
      <c r="AU30" s="466">
        <v>220</v>
      </c>
      <c r="AV30" s="466">
        <v>213</v>
      </c>
      <c r="AW30" s="466">
        <v>7</v>
      </c>
      <c r="AX30" s="466">
        <v>875</v>
      </c>
      <c r="AY30" s="466">
        <v>849</v>
      </c>
      <c r="AZ30" s="466">
        <v>26</v>
      </c>
      <c r="BA30" s="466">
        <v>570</v>
      </c>
      <c r="BB30" s="466">
        <v>553</v>
      </c>
      <c r="BC30" s="466">
        <v>17</v>
      </c>
      <c r="BD30" s="466">
        <v>305</v>
      </c>
      <c r="BE30" s="466">
        <v>296</v>
      </c>
      <c r="BF30" s="466">
        <v>9</v>
      </c>
    </row>
    <row r="31" spans="1:58" x14ac:dyDescent="0.25">
      <c r="B31" s="473"/>
      <c r="D31" s="474"/>
      <c r="M31" s="475"/>
    </row>
    <row r="32" spans="1:58" x14ac:dyDescent="0.25">
      <c r="AD32" s="476"/>
    </row>
    <row r="33" spans="30:30" x14ac:dyDescent="0.25">
      <c r="AD33" s="476"/>
    </row>
  </sheetData>
  <mergeCells count="48">
    <mergeCell ref="C1:AE1"/>
    <mergeCell ref="AF1:BF1"/>
    <mergeCell ref="C2:AE2"/>
    <mergeCell ref="AF2:BF2"/>
    <mergeCell ref="Z3:AD3"/>
    <mergeCell ref="BB3:BF3"/>
    <mergeCell ref="A4:A10"/>
    <mergeCell ref="B4:B10"/>
    <mergeCell ref="C4:E9"/>
    <mergeCell ref="F4:AE4"/>
    <mergeCell ref="AF4:BF4"/>
    <mergeCell ref="F5:H8"/>
    <mergeCell ref="I5:K8"/>
    <mergeCell ref="L5:Q5"/>
    <mergeCell ref="R5:AE5"/>
    <mergeCell ref="AF5:AK5"/>
    <mergeCell ref="AL5:AN8"/>
    <mergeCell ref="AO5:AW5"/>
    <mergeCell ref="AX5:BF5"/>
    <mergeCell ref="L6:N8"/>
    <mergeCell ref="O6:Q8"/>
    <mergeCell ref="R6:T9"/>
    <mergeCell ref="U6:AE6"/>
    <mergeCell ref="AF6:AH8"/>
    <mergeCell ref="AI6:AK8"/>
    <mergeCell ref="AO6:AQ9"/>
    <mergeCell ref="U7:W8"/>
    <mergeCell ref="X7:AE7"/>
    <mergeCell ref="X8:Y8"/>
    <mergeCell ref="Z8:AB8"/>
    <mergeCell ref="AC8:AE8"/>
    <mergeCell ref="AF9:AH9"/>
    <mergeCell ref="AI9:AK9"/>
    <mergeCell ref="AL9:AN9"/>
    <mergeCell ref="AR6:AT8"/>
    <mergeCell ref="AU6:AW8"/>
    <mergeCell ref="AX6:AZ9"/>
    <mergeCell ref="BA6:BC8"/>
    <mergeCell ref="BD6:BF8"/>
    <mergeCell ref="BD9:BF9"/>
    <mergeCell ref="AR9:AT9"/>
    <mergeCell ref="AU9:AW9"/>
    <mergeCell ref="BA9:BC9"/>
    <mergeCell ref="F9:H9"/>
    <mergeCell ref="I9:K9"/>
    <mergeCell ref="L9:N9"/>
    <mergeCell ref="O9:Q9"/>
    <mergeCell ref="U9:AE9"/>
  </mergeCells>
  <pageMargins left="0.59055118110236204" right="0.39370078740157499" top="0.59055118110236204" bottom="0.59055118110236204" header="0.31496062992126" footer="0.31496062992126"/>
  <pageSetup paperSize="9" scale="78" firstPageNumber="44" orientation="landscape" useFirstPageNumber="1" r:id="rId1"/>
  <headerFooter>
    <oddHeader>&amp;RPhụ lục số 02</oddHeader>
    <oddFooter>&amp;R&amp;P</oddFooter>
  </headerFooter>
  <colBreaks count="1" manualBreakCount="1">
    <brk id="3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view="pageLayout" zoomScale="70" zoomScaleNormal="100" zoomScalePageLayoutView="70" workbookViewId="0">
      <selection activeCell="N10" sqref="N10"/>
    </sheetView>
  </sheetViews>
  <sheetFormatPr defaultRowHeight="15.75" x14ac:dyDescent="0.25"/>
  <cols>
    <col min="1" max="1" width="9" style="605"/>
    <col min="2" max="2" width="31.375" style="605" customWidth="1"/>
    <col min="3" max="3" width="11.625" style="605" customWidth="1"/>
    <col min="4" max="4" width="12.5" style="605" customWidth="1"/>
    <col min="5" max="5" width="11.375" style="605" customWidth="1"/>
    <col min="6" max="6" width="14.125" style="605" hidden="1" customWidth="1"/>
    <col min="7" max="7" width="13.75" style="605" hidden="1" customWidth="1"/>
    <col min="8" max="8" width="16.375" style="605" hidden="1" customWidth="1"/>
    <col min="9" max="9" width="13" style="605" hidden="1" customWidth="1"/>
    <col min="10" max="10" width="14.125" style="605" hidden="1" customWidth="1"/>
    <col min="11" max="11" width="13.75" style="605" hidden="1" customWidth="1"/>
    <col min="12" max="12" width="11.25" style="605" hidden="1" customWidth="1"/>
    <col min="13" max="15" width="12" style="605" customWidth="1"/>
    <col min="16" max="16" width="10.625" style="605" customWidth="1"/>
    <col min="17" max="17" width="11.875" style="605" customWidth="1"/>
    <col min="18" max="18" width="11" style="605" customWidth="1"/>
    <col min="19" max="19" width="11.5" style="605" customWidth="1"/>
    <col min="20" max="257" width="9" style="605"/>
    <col min="258" max="258" width="28.625" style="605" customWidth="1"/>
    <col min="259" max="260" width="13.75" style="605" customWidth="1"/>
    <col min="261" max="261" width="14.125" style="605" customWidth="1"/>
    <col min="262" max="268" width="0" style="605" hidden="1" customWidth="1"/>
    <col min="269" max="271" width="12" style="605" customWidth="1"/>
    <col min="272" max="275" width="14.75" style="605" customWidth="1"/>
    <col min="276" max="513" width="9" style="605"/>
    <col min="514" max="514" width="28.625" style="605" customWidth="1"/>
    <col min="515" max="516" width="13.75" style="605" customWidth="1"/>
    <col min="517" max="517" width="14.125" style="605" customWidth="1"/>
    <col min="518" max="524" width="0" style="605" hidden="1" customWidth="1"/>
    <col min="525" max="527" width="12" style="605" customWidth="1"/>
    <col min="528" max="531" width="14.75" style="605" customWidth="1"/>
    <col min="532" max="769" width="9" style="605"/>
    <col min="770" max="770" width="28.625" style="605" customWidth="1"/>
    <col min="771" max="772" width="13.75" style="605" customWidth="1"/>
    <col min="773" max="773" width="14.125" style="605" customWidth="1"/>
    <col min="774" max="780" width="0" style="605" hidden="1" customWidth="1"/>
    <col min="781" max="783" width="12" style="605" customWidth="1"/>
    <col min="784" max="787" width="14.75" style="605" customWidth="1"/>
    <col min="788" max="1025" width="9" style="605"/>
    <col min="1026" max="1026" width="28.625" style="605" customWidth="1"/>
    <col min="1027" max="1028" width="13.75" style="605" customWidth="1"/>
    <col min="1029" max="1029" width="14.125" style="605" customWidth="1"/>
    <col min="1030" max="1036" width="0" style="605" hidden="1" customWidth="1"/>
    <col min="1037" max="1039" width="12" style="605" customWidth="1"/>
    <col min="1040" max="1043" width="14.75" style="605" customWidth="1"/>
    <col min="1044" max="1281" width="9" style="605"/>
    <col min="1282" max="1282" width="28.625" style="605" customWidth="1"/>
    <col min="1283" max="1284" width="13.75" style="605" customWidth="1"/>
    <col min="1285" max="1285" width="14.125" style="605" customWidth="1"/>
    <col min="1286" max="1292" width="0" style="605" hidden="1" customWidth="1"/>
    <col min="1293" max="1295" width="12" style="605" customWidth="1"/>
    <col min="1296" max="1299" width="14.75" style="605" customWidth="1"/>
    <col min="1300" max="1537" width="9" style="605"/>
    <col min="1538" max="1538" width="28.625" style="605" customWidth="1"/>
    <col min="1539" max="1540" width="13.75" style="605" customWidth="1"/>
    <col min="1541" max="1541" width="14.125" style="605" customWidth="1"/>
    <col min="1542" max="1548" width="0" style="605" hidden="1" customWidth="1"/>
    <col min="1549" max="1551" width="12" style="605" customWidth="1"/>
    <col min="1552" max="1555" width="14.75" style="605" customWidth="1"/>
    <col min="1556" max="1793" width="9" style="605"/>
    <col min="1794" max="1794" width="28.625" style="605" customWidth="1"/>
    <col min="1795" max="1796" width="13.75" style="605" customWidth="1"/>
    <col min="1797" max="1797" width="14.125" style="605" customWidth="1"/>
    <col min="1798" max="1804" width="0" style="605" hidden="1" customWidth="1"/>
    <col min="1805" max="1807" width="12" style="605" customWidth="1"/>
    <col min="1808" max="1811" width="14.75" style="605" customWidth="1"/>
    <col min="1812" max="2049" width="9" style="605"/>
    <col min="2050" max="2050" width="28.625" style="605" customWidth="1"/>
    <col min="2051" max="2052" width="13.75" style="605" customWidth="1"/>
    <col min="2053" max="2053" width="14.125" style="605" customWidth="1"/>
    <col min="2054" max="2060" width="0" style="605" hidden="1" customWidth="1"/>
    <col min="2061" max="2063" width="12" style="605" customWidth="1"/>
    <col min="2064" max="2067" width="14.75" style="605" customWidth="1"/>
    <col min="2068" max="2305" width="9" style="605"/>
    <col min="2306" max="2306" width="28.625" style="605" customWidth="1"/>
    <col min="2307" max="2308" width="13.75" style="605" customWidth="1"/>
    <col min="2309" max="2309" width="14.125" style="605" customWidth="1"/>
    <col min="2310" max="2316" width="0" style="605" hidden="1" customWidth="1"/>
    <col min="2317" max="2319" width="12" style="605" customWidth="1"/>
    <col min="2320" max="2323" width="14.75" style="605" customWidth="1"/>
    <col min="2324" max="2561" width="9" style="605"/>
    <col min="2562" max="2562" width="28.625" style="605" customWidth="1"/>
    <col min="2563" max="2564" width="13.75" style="605" customWidth="1"/>
    <col min="2565" max="2565" width="14.125" style="605" customWidth="1"/>
    <col min="2566" max="2572" width="0" style="605" hidden="1" customWidth="1"/>
    <col min="2573" max="2575" width="12" style="605" customWidth="1"/>
    <col min="2576" max="2579" width="14.75" style="605" customWidth="1"/>
    <col min="2580" max="2817" width="9" style="605"/>
    <col min="2818" max="2818" width="28.625" style="605" customWidth="1"/>
    <col min="2819" max="2820" width="13.75" style="605" customWidth="1"/>
    <col min="2821" max="2821" width="14.125" style="605" customWidth="1"/>
    <col min="2822" max="2828" width="0" style="605" hidden="1" customWidth="1"/>
    <col min="2829" max="2831" width="12" style="605" customWidth="1"/>
    <col min="2832" max="2835" width="14.75" style="605" customWidth="1"/>
    <col min="2836" max="3073" width="9" style="605"/>
    <col min="3074" max="3074" width="28.625" style="605" customWidth="1"/>
    <col min="3075" max="3076" width="13.75" style="605" customWidth="1"/>
    <col min="3077" max="3077" width="14.125" style="605" customWidth="1"/>
    <col min="3078" max="3084" width="0" style="605" hidden="1" customWidth="1"/>
    <col min="3085" max="3087" width="12" style="605" customWidth="1"/>
    <col min="3088" max="3091" width="14.75" style="605" customWidth="1"/>
    <col min="3092" max="3329" width="9" style="605"/>
    <col min="3330" max="3330" width="28.625" style="605" customWidth="1"/>
    <col min="3331" max="3332" width="13.75" style="605" customWidth="1"/>
    <col min="3333" max="3333" width="14.125" style="605" customWidth="1"/>
    <col min="3334" max="3340" width="0" style="605" hidden="1" customWidth="1"/>
    <col min="3341" max="3343" width="12" style="605" customWidth="1"/>
    <col min="3344" max="3347" width="14.75" style="605" customWidth="1"/>
    <col min="3348" max="3585" width="9" style="605"/>
    <col min="3586" max="3586" width="28.625" style="605" customWidth="1"/>
    <col min="3587" max="3588" width="13.75" style="605" customWidth="1"/>
    <col min="3589" max="3589" width="14.125" style="605" customWidth="1"/>
    <col min="3590" max="3596" width="0" style="605" hidden="1" customWidth="1"/>
    <col min="3597" max="3599" width="12" style="605" customWidth="1"/>
    <col min="3600" max="3603" width="14.75" style="605" customWidth="1"/>
    <col min="3604" max="3841" width="9" style="605"/>
    <col min="3842" max="3842" width="28.625" style="605" customWidth="1"/>
    <col min="3843" max="3844" width="13.75" style="605" customWidth="1"/>
    <col min="3845" max="3845" width="14.125" style="605" customWidth="1"/>
    <col min="3846" max="3852" width="0" style="605" hidden="1" customWidth="1"/>
    <col min="3853" max="3855" width="12" style="605" customWidth="1"/>
    <col min="3856" max="3859" width="14.75" style="605" customWidth="1"/>
    <col min="3860" max="4097" width="9" style="605"/>
    <col min="4098" max="4098" width="28.625" style="605" customWidth="1"/>
    <col min="4099" max="4100" width="13.75" style="605" customWidth="1"/>
    <col min="4101" max="4101" width="14.125" style="605" customWidth="1"/>
    <col min="4102" max="4108" width="0" style="605" hidden="1" customWidth="1"/>
    <col min="4109" max="4111" width="12" style="605" customWidth="1"/>
    <col min="4112" max="4115" width="14.75" style="605" customWidth="1"/>
    <col min="4116" max="4353" width="9" style="605"/>
    <col min="4354" max="4354" width="28.625" style="605" customWidth="1"/>
    <col min="4355" max="4356" width="13.75" style="605" customWidth="1"/>
    <col min="4357" max="4357" width="14.125" style="605" customWidth="1"/>
    <col min="4358" max="4364" width="0" style="605" hidden="1" customWidth="1"/>
    <col min="4365" max="4367" width="12" style="605" customWidth="1"/>
    <col min="4368" max="4371" width="14.75" style="605" customWidth="1"/>
    <col min="4372" max="4609" width="9" style="605"/>
    <col min="4610" max="4610" width="28.625" style="605" customWidth="1"/>
    <col min="4611" max="4612" width="13.75" style="605" customWidth="1"/>
    <col min="4613" max="4613" width="14.125" style="605" customWidth="1"/>
    <col min="4614" max="4620" width="0" style="605" hidden="1" customWidth="1"/>
    <col min="4621" max="4623" width="12" style="605" customWidth="1"/>
    <col min="4624" max="4627" width="14.75" style="605" customWidth="1"/>
    <col min="4628" max="4865" width="9" style="605"/>
    <col min="4866" max="4866" width="28.625" style="605" customWidth="1"/>
    <col min="4867" max="4868" width="13.75" style="605" customWidth="1"/>
    <col min="4869" max="4869" width="14.125" style="605" customWidth="1"/>
    <col min="4870" max="4876" width="0" style="605" hidden="1" customWidth="1"/>
    <col min="4877" max="4879" width="12" style="605" customWidth="1"/>
    <col min="4880" max="4883" width="14.75" style="605" customWidth="1"/>
    <col min="4884" max="5121" width="9" style="605"/>
    <col min="5122" max="5122" width="28.625" style="605" customWidth="1"/>
    <col min="5123" max="5124" width="13.75" style="605" customWidth="1"/>
    <col min="5125" max="5125" width="14.125" style="605" customWidth="1"/>
    <col min="5126" max="5132" width="0" style="605" hidden="1" customWidth="1"/>
    <col min="5133" max="5135" width="12" style="605" customWidth="1"/>
    <col min="5136" max="5139" width="14.75" style="605" customWidth="1"/>
    <col min="5140" max="5377" width="9" style="605"/>
    <col min="5378" max="5378" width="28.625" style="605" customWidth="1"/>
    <col min="5379" max="5380" width="13.75" style="605" customWidth="1"/>
    <col min="5381" max="5381" width="14.125" style="605" customWidth="1"/>
    <col min="5382" max="5388" width="0" style="605" hidden="1" customWidth="1"/>
    <col min="5389" max="5391" width="12" style="605" customWidth="1"/>
    <col min="5392" max="5395" width="14.75" style="605" customWidth="1"/>
    <col min="5396" max="5633" width="9" style="605"/>
    <col min="5634" max="5634" width="28.625" style="605" customWidth="1"/>
    <col min="5635" max="5636" width="13.75" style="605" customWidth="1"/>
    <col min="5637" max="5637" width="14.125" style="605" customWidth="1"/>
    <col min="5638" max="5644" width="0" style="605" hidden="1" customWidth="1"/>
    <col min="5645" max="5647" width="12" style="605" customWidth="1"/>
    <col min="5648" max="5651" width="14.75" style="605" customWidth="1"/>
    <col min="5652" max="5889" width="9" style="605"/>
    <col min="5890" max="5890" width="28.625" style="605" customWidth="1"/>
    <col min="5891" max="5892" width="13.75" style="605" customWidth="1"/>
    <col min="5893" max="5893" width="14.125" style="605" customWidth="1"/>
    <col min="5894" max="5900" width="0" style="605" hidden="1" customWidth="1"/>
    <col min="5901" max="5903" width="12" style="605" customWidth="1"/>
    <col min="5904" max="5907" width="14.75" style="605" customWidth="1"/>
    <col min="5908" max="6145" width="9" style="605"/>
    <col min="6146" max="6146" width="28.625" style="605" customWidth="1"/>
    <col min="6147" max="6148" width="13.75" style="605" customWidth="1"/>
    <col min="6149" max="6149" width="14.125" style="605" customWidth="1"/>
    <col min="6150" max="6156" width="0" style="605" hidden="1" customWidth="1"/>
    <col min="6157" max="6159" width="12" style="605" customWidth="1"/>
    <col min="6160" max="6163" width="14.75" style="605" customWidth="1"/>
    <col min="6164" max="6401" width="9" style="605"/>
    <col min="6402" max="6402" width="28.625" style="605" customWidth="1"/>
    <col min="6403" max="6404" width="13.75" style="605" customWidth="1"/>
    <col min="6405" max="6405" width="14.125" style="605" customWidth="1"/>
    <col min="6406" max="6412" width="0" style="605" hidden="1" customWidth="1"/>
    <col min="6413" max="6415" width="12" style="605" customWidth="1"/>
    <col min="6416" max="6419" width="14.75" style="605" customWidth="1"/>
    <col min="6420" max="6657" width="9" style="605"/>
    <col min="6658" max="6658" width="28.625" style="605" customWidth="1"/>
    <col min="6659" max="6660" width="13.75" style="605" customWidth="1"/>
    <col min="6661" max="6661" width="14.125" style="605" customWidth="1"/>
    <col min="6662" max="6668" width="0" style="605" hidden="1" customWidth="1"/>
    <col min="6669" max="6671" width="12" style="605" customWidth="1"/>
    <col min="6672" max="6675" width="14.75" style="605" customWidth="1"/>
    <col min="6676" max="6913" width="9" style="605"/>
    <col min="6914" max="6914" width="28.625" style="605" customWidth="1"/>
    <col min="6915" max="6916" width="13.75" style="605" customWidth="1"/>
    <col min="6917" max="6917" width="14.125" style="605" customWidth="1"/>
    <col min="6918" max="6924" width="0" style="605" hidden="1" customWidth="1"/>
    <col min="6925" max="6927" width="12" style="605" customWidth="1"/>
    <col min="6928" max="6931" width="14.75" style="605" customWidth="1"/>
    <col min="6932" max="7169" width="9" style="605"/>
    <col min="7170" max="7170" width="28.625" style="605" customWidth="1"/>
    <col min="7171" max="7172" width="13.75" style="605" customWidth="1"/>
    <col min="7173" max="7173" width="14.125" style="605" customWidth="1"/>
    <col min="7174" max="7180" width="0" style="605" hidden="1" customWidth="1"/>
    <col min="7181" max="7183" width="12" style="605" customWidth="1"/>
    <col min="7184" max="7187" width="14.75" style="605" customWidth="1"/>
    <col min="7188" max="7425" width="9" style="605"/>
    <col min="7426" max="7426" width="28.625" style="605" customWidth="1"/>
    <col min="7427" max="7428" width="13.75" style="605" customWidth="1"/>
    <col min="7429" max="7429" width="14.125" style="605" customWidth="1"/>
    <col min="7430" max="7436" width="0" style="605" hidden="1" customWidth="1"/>
    <col min="7437" max="7439" width="12" style="605" customWidth="1"/>
    <col min="7440" max="7443" width="14.75" style="605" customWidth="1"/>
    <col min="7444" max="7681" width="9" style="605"/>
    <col min="7682" max="7682" width="28.625" style="605" customWidth="1"/>
    <col min="7683" max="7684" width="13.75" style="605" customWidth="1"/>
    <col min="7685" max="7685" width="14.125" style="605" customWidth="1"/>
    <col min="7686" max="7692" width="0" style="605" hidden="1" customWidth="1"/>
    <col min="7693" max="7695" width="12" style="605" customWidth="1"/>
    <col min="7696" max="7699" width="14.75" style="605" customWidth="1"/>
    <col min="7700" max="7937" width="9" style="605"/>
    <col min="7938" max="7938" width="28.625" style="605" customWidth="1"/>
    <col min="7939" max="7940" width="13.75" style="605" customWidth="1"/>
    <col min="7941" max="7941" width="14.125" style="605" customWidth="1"/>
    <col min="7942" max="7948" width="0" style="605" hidden="1" customWidth="1"/>
    <col min="7949" max="7951" width="12" style="605" customWidth="1"/>
    <col min="7952" max="7955" width="14.75" style="605" customWidth="1"/>
    <col min="7956" max="8193" width="9" style="605"/>
    <col min="8194" max="8194" width="28.625" style="605" customWidth="1"/>
    <col min="8195" max="8196" width="13.75" style="605" customWidth="1"/>
    <col min="8197" max="8197" width="14.125" style="605" customWidth="1"/>
    <col min="8198" max="8204" width="0" style="605" hidden="1" customWidth="1"/>
    <col min="8205" max="8207" width="12" style="605" customWidth="1"/>
    <col min="8208" max="8211" width="14.75" style="605" customWidth="1"/>
    <col min="8212" max="8449" width="9" style="605"/>
    <col min="8450" max="8450" width="28.625" style="605" customWidth="1"/>
    <col min="8451" max="8452" width="13.75" style="605" customWidth="1"/>
    <col min="8453" max="8453" width="14.125" style="605" customWidth="1"/>
    <col min="8454" max="8460" width="0" style="605" hidden="1" customWidth="1"/>
    <col min="8461" max="8463" width="12" style="605" customWidth="1"/>
    <col min="8464" max="8467" width="14.75" style="605" customWidth="1"/>
    <col min="8468" max="8705" width="9" style="605"/>
    <col min="8706" max="8706" width="28.625" style="605" customWidth="1"/>
    <col min="8707" max="8708" width="13.75" style="605" customWidth="1"/>
    <col min="8709" max="8709" width="14.125" style="605" customWidth="1"/>
    <col min="8710" max="8716" width="0" style="605" hidden="1" customWidth="1"/>
    <col min="8717" max="8719" width="12" style="605" customWidth="1"/>
    <col min="8720" max="8723" width="14.75" style="605" customWidth="1"/>
    <col min="8724" max="8961" width="9" style="605"/>
    <col min="8962" max="8962" width="28.625" style="605" customWidth="1"/>
    <col min="8963" max="8964" width="13.75" style="605" customWidth="1"/>
    <col min="8965" max="8965" width="14.125" style="605" customWidth="1"/>
    <col min="8966" max="8972" width="0" style="605" hidden="1" customWidth="1"/>
    <col min="8973" max="8975" width="12" style="605" customWidth="1"/>
    <col min="8976" max="8979" width="14.75" style="605" customWidth="1"/>
    <col min="8980" max="9217" width="9" style="605"/>
    <col min="9218" max="9218" width="28.625" style="605" customWidth="1"/>
    <col min="9219" max="9220" width="13.75" style="605" customWidth="1"/>
    <col min="9221" max="9221" width="14.125" style="605" customWidth="1"/>
    <col min="9222" max="9228" width="0" style="605" hidden="1" customWidth="1"/>
    <col min="9229" max="9231" width="12" style="605" customWidth="1"/>
    <col min="9232" max="9235" width="14.75" style="605" customWidth="1"/>
    <col min="9236" max="9473" width="9" style="605"/>
    <col min="9474" max="9474" width="28.625" style="605" customWidth="1"/>
    <col min="9475" max="9476" width="13.75" style="605" customWidth="1"/>
    <col min="9477" max="9477" width="14.125" style="605" customWidth="1"/>
    <col min="9478" max="9484" width="0" style="605" hidden="1" customWidth="1"/>
    <col min="9485" max="9487" width="12" style="605" customWidth="1"/>
    <col min="9488" max="9491" width="14.75" style="605" customWidth="1"/>
    <col min="9492" max="9729" width="9" style="605"/>
    <col min="9730" max="9730" width="28.625" style="605" customWidth="1"/>
    <col min="9731" max="9732" width="13.75" style="605" customWidth="1"/>
    <col min="9733" max="9733" width="14.125" style="605" customWidth="1"/>
    <col min="9734" max="9740" width="0" style="605" hidden="1" customWidth="1"/>
    <col min="9741" max="9743" width="12" style="605" customWidth="1"/>
    <col min="9744" max="9747" width="14.75" style="605" customWidth="1"/>
    <col min="9748" max="9985" width="9" style="605"/>
    <col min="9986" max="9986" width="28.625" style="605" customWidth="1"/>
    <col min="9987" max="9988" width="13.75" style="605" customWidth="1"/>
    <col min="9989" max="9989" width="14.125" style="605" customWidth="1"/>
    <col min="9990" max="9996" width="0" style="605" hidden="1" customWidth="1"/>
    <col min="9997" max="9999" width="12" style="605" customWidth="1"/>
    <col min="10000" max="10003" width="14.75" style="605" customWidth="1"/>
    <col min="10004" max="10241" width="9" style="605"/>
    <col min="10242" max="10242" width="28.625" style="605" customWidth="1"/>
    <col min="10243" max="10244" width="13.75" style="605" customWidth="1"/>
    <col min="10245" max="10245" width="14.125" style="605" customWidth="1"/>
    <col min="10246" max="10252" width="0" style="605" hidden="1" customWidth="1"/>
    <col min="10253" max="10255" width="12" style="605" customWidth="1"/>
    <col min="10256" max="10259" width="14.75" style="605" customWidth="1"/>
    <col min="10260" max="10497" width="9" style="605"/>
    <col min="10498" max="10498" width="28.625" style="605" customWidth="1"/>
    <col min="10499" max="10500" width="13.75" style="605" customWidth="1"/>
    <col min="10501" max="10501" width="14.125" style="605" customWidth="1"/>
    <col min="10502" max="10508" width="0" style="605" hidden="1" customWidth="1"/>
    <col min="10509" max="10511" width="12" style="605" customWidth="1"/>
    <col min="10512" max="10515" width="14.75" style="605" customWidth="1"/>
    <col min="10516" max="10753" width="9" style="605"/>
    <col min="10754" max="10754" width="28.625" style="605" customWidth="1"/>
    <col min="10755" max="10756" width="13.75" style="605" customWidth="1"/>
    <col min="10757" max="10757" width="14.125" style="605" customWidth="1"/>
    <col min="10758" max="10764" width="0" style="605" hidden="1" customWidth="1"/>
    <col min="10765" max="10767" width="12" style="605" customWidth="1"/>
    <col min="10768" max="10771" width="14.75" style="605" customWidth="1"/>
    <col min="10772" max="11009" width="9" style="605"/>
    <col min="11010" max="11010" width="28.625" style="605" customWidth="1"/>
    <col min="11011" max="11012" width="13.75" style="605" customWidth="1"/>
    <col min="11013" max="11013" width="14.125" style="605" customWidth="1"/>
    <col min="11014" max="11020" width="0" style="605" hidden="1" customWidth="1"/>
    <col min="11021" max="11023" width="12" style="605" customWidth="1"/>
    <col min="11024" max="11027" width="14.75" style="605" customWidth="1"/>
    <col min="11028" max="11265" width="9" style="605"/>
    <col min="11266" max="11266" width="28.625" style="605" customWidth="1"/>
    <col min="11267" max="11268" width="13.75" style="605" customWidth="1"/>
    <col min="11269" max="11269" width="14.125" style="605" customWidth="1"/>
    <col min="11270" max="11276" width="0" style="605" hidden="1" customWidth="1"/>
    <col min="11277" max="11279" width="12" style="605" customWidth="1"/>
    <col min="11280" max="11283" width="14.75" style="605" customWidth="1"/>
    <col min="11284" max="11521" width="9" style="605"/>
    <col min="11522" max="11522" width="28.625" style="605" customWidth="1"/>
    <col min="11523" max="11524" width="13.75" style="605" customWidth="1"/>
    <col min="11525" max="11525" width="14.125" style="605" customWidth="1"/>
    <col min="11526" max="11532" width="0" style="605" hidden="1" customWidth="1"/>
    <col min="11533" max="11535" width="12" style="605" customWidth="1"/>
    <col min="11536" max="11539" width="14.75" style="605" customWidth="1"/>
    <col min="11540" max="11777" width="9" style="605"/>
    <col min="11778" max="11778" width="28.625" style="605" customWidth="1"/>
    <col min="11779" max="11780" width="13.75" style="605" customWidth="1"/>
    <col min="11781" max="11781" width="14.125" style="605" customWidth="1"/>
    <col min="11782" max="11788" width="0" style="605" hidden="1" customWidth="1"/>
    <col min="11789" max="11791" width="12" style="605" customWidth="1"/>
    <col min="11792" max="11795" width="14.75" style="605" customWidth="1"/>
    <col min="11796" max="12033" width="9" style="605"/>
    <col min="12034" max="12034" width="28.625" style="605" customWidth="1"/>
    <col min="12035" max="12036" width="13.75" style="605" customWidth="1"/>
    <col min="12037" max="12037" width="14.125" style="605" customWidth="1"/>
    <col min="12038" max="12044" width="0" style="605" hidden="1" customWidth="1"/>
    <col min="12045" max="12047" width="12" style="605" customWidth="1"/>
    <col min="12048" max="12051" width="14.75" style="605" customWidth="1"/>
    <col min="12052" max="12289" width="9" style="605"/>
    <col min="12290" max="12290" width="28.625" style="605" customWidth="1"/>
    <col min="12291" max="12292" width="13.75" style="605" customWidth="1"/>
    <col min="12293" max="12293" width="14.125" style="605" customWidth="1"/>
    <col min="12294" max="12300" width="0" style="605" hidden="1" customWidth="1"/>
    <col min="12301" max="12303" width="12" style="605" customWidth="1"/>
    <col min="12304" max="12307" width="14.75" style="605" customWidth="1"/>
    <col min="12308" max="12545" width="9" style="605"/>
    <col min="12546" max="12546" width="28.625" style="605" customWidth="1"/>
    <col min="12547" max="12548" width="13.75" style="605" customWidth="1"/>
    <col min="12549" max="12549" width="14.125" style="605" customWidth="1"/>
    <col min="12550" max="12556" width="0" style="605" hidden="1" customWidth="1"/>
    <col min="12557" max="12559" width="12" style="605" customWidth="1"/>
    <col min="12560" max="12563" width="14.75" style="605" customWidth="1"/>
    <col min="12564" max="12801" width="9" style="605"/>
    <col min="12802" max="12802" width="28.625" style="605" customWidth="1"/>
    <col min="12803" max="12804" width="13.75" style="605" customWidth="1"/>
    <col min="12805" max="12805" width="14.125" style="605" customWidth="1"/>
    <col min="12806" max="12812" width="0" style="605" hidden="1" customWidth="1"/>
    <col min="12813" max="12815" width="12" style="605" customWidth="1"/>
    <col min="12816" max="12819" width="14.75" style="605" customWidth="1"/>
    <col min="12820" max="13057" width="9" style="605"/>
    <col min="13058" max="13058" width="28.625" style="605" customWidth="1"/>
    <col min="13059" max="13060" width="13.75" style="605" customWidth="1"/>
    <col min="13061" max="13061" width="14.125" style="605" customWidth="1"/>
    <col min="13062" max="13068" width="0" style="605" hidden="1" customWidth="1"/>
    <col min="13069" max="13071" width="12" style="605" customWidth="1"/>
    <col min="13072" max="13075" width="14.75" style="605" customWidth="1"/>
    <col min="13076" max="13313" width="9" style="605"/>
    <col min="13314" max="13314" width="28.625" style="605" customWidth="1"/>
    <col min="13315" max="13316" width="13.75" style="605" customWidth="1"/>
    <col min="13317" max="13317" width="14.125" style="605" customWidth="1"/>
    <col min="13318" max="13324" width="0" style="605" hidden="1" customWidth="1"/>
    <col min="13325" max="13327" width="12" style="605" customWidth="1"/>
    <col min="13328" max="13331" width="14.75" style="605" customWidth="1"/>
    <col min="13332" max="13569" width="9" style="605"/>
    <col min="13570" max="13570" width="28.625" style="605" customWidth="1"/>
    <col min="13571" max="13572" width="13.75" style="605" customWidth="1"/>
    <col min="13573" max="13573" width="14.125" style="605" customWidth="1"/>
    <col min="13574" max="13580" width="0" style="605" hidden="1" customWidth="1"/>
    <col min="13581" max="13583" width="12" style="605" customWidth="1"/>
    <col min="13584" max="13587" width="14.75" style="605" customWidth="1"/>
    <col min="13588" max="13825" width="9" style="605"/>
    <col min="13826" max="13826" width="28.625" style="605" customWidth="1"/>
    <col min="13827" max="13828" width="13.75" style="605" customWidth="1"/>
    <col min="13829" max="13829" width="14.125" style="605" customWidth="1"/>
    <col min="13830" max="13836" width="0" style="605" hidden="1" customWidth="1"/>
    <col min="13837" max="13839" width="12" style="605" customWidth="1"/>
    <col min="13840" max="13843" width="14.75" style="605" customWidth="1"/>
    <col min="13844" max="14081" width="9" style="605"/>
    <col min="14082" max="14082" width="28.625" style="605" customWidth="1"/>
    <col min="14083" max="14084" width="13.75" style="605" customWidth="1"/>
    <col min="14085" max="14085" width="14.125" style="605" customWidth="1"/>
    <col min="14086" max="14092" width="0" style="605" hidden="1" customWidth="1"/>
    <col min="14093" max="14095" width="12" style="605" customWidth="1"/>
    <col min="14096" max="14099" width="14.75" style="605" customWidth="1"/>
    <col min="14100" max="14337" width="9" style="605"/>
    <col min="14338" max="14338" width="28.625" style="605" customWidth="1"/>
    <col min="14339" max="14340" width="13.75" style="605" customWidth="1"/>
    <col min="14341" max="14341" width="14.125" style="605" customWidth="1"/>
    <col min="14342" max="14348" width="0" style="605" hidden="1" customWidth="1"/>
    <col min="14349" max="14351" width="12" style="605" customWidth="1"/>
    <col min="14352" max="14355" width="14.75" style="605" customWidth="1"/>
    <col min="14356" max="14593" width="9" style="605"/>
    <col min="14594" max="14594" width="28.625" style="605" customWidth="1"/>
    <col min="14595" max="14596" width="13.75" style="605" customWidth="1"/>
    <col min="14597" max="14597" width="14.125" style="605" customWidth="1"/>
    <col min="14598" max="14604" width="0" style="605" hidden="1" customWidth="1"/>
    <col min="14605" max="14607" width="12" style="605" customWidth="1"/>
    <col min="14608" max="14611" width="14.75" style="605" customWidth="1"/>
    <col min="14612" max="14849" width="9" style="605"/>
    <col min="14850" max="14850" width="28.625" style="605" customWidth="1"/>
    <col min="14851" max="14852" width="13.75" style="605" customWidth="1"/>
    <col min="14853" max="14853" width="14.125" style="605" customWidth="1"/>
    <col min="14854" max="14860" width="0" style="605" hidden="1" customWidth="1"/>
    <col min="14861" max="14863" width="12" style="605" customWidth="1"/>
    <col min="14864" max="14867" width="14.75" style="605" customWidth="1"/>
    <col min="14868" max="15105" width="9" style="605"/>
    <col min="15106" max="15106" width="28.625" style="605" customWidth="1"/>
    <col min="15107" max="15108" width="13.75" style="605" customWidth="1"/>
    <col min="15109" max="15109" width="14.125" style="605" customWidth="1"/>
    <col min="15110" max="15116" width="0" style="605" hidden="1" customWidth="1"/>
    <col min="15117" max="15119" width="12" style="605" customWidth="1"/>
    <col min="15120" max="15123" width="14.75" style="605" customWidth="1"/>
    <col min="15124" max="15361" width="9" style="605"/>
    <col min="15362" max="15362" width="28.625" style="605" customWidth="1"/>
    <col min="15363" max="15364" width="13.75" style="605" customWidth="1"/>
    <col min="15365" max="15365" width="14.125" style="605" customWidth="1"/>
    <col min="15366" max="15372" width="0" style="605" hidden="1" customWidth="1"/>
    <col min="15373" max="15375" width="12" style="605" customWidth="1"/>
    <col min="15376" max="15379" width="14.75" style="605" customWidth="1"/>
    <col min="15380" max="15617" width="9" style="605"/>
    <col min="15618" max="15618" width="28.625" style="605" customWidth="1"/>
    <col min="15619" max="15620" width="13.75" style="605" customWidth="1"/>
    <col min="15621" max="15621" width="14.125" style="605" customWidth="1"/>
    <col min="15622" max="15628" width="0" style="605" hidden="1" customWidth="1"/>
    <col min="15629" max="15631" width="12" style="605" customWidth="1"/>
    <col min="15632" max="15635" width="14.75" style="605" customWidth="1"/>
    <col min="15636" max="15873" width="9" style="605"/>
    <col min="15874" max="15874" width="28.625" style="605" customWidth="1"/>
    <col min="15875" max="15876" width="13.75" style="605" customWidth="1"/>
    <col min="15877" max="15877" width="14.125" style="605" customWidth="1"/>
    <col min="15878" max="15884" width="0" style="605" hidden="1" customWidth="1"/>
    <col min="15885" max="15887" width="12" style="605" customWidth="1"/>
    <col min="15888" max="15891" width="14.75" style="605" customWidth="1"/>
    <col min="15892" max="16129" width="9" style="605"/>
    <col min="16130" max="16130" width="28.625" style="605" customWidth="1"/>
    <col min="16131" max="16132" width="13.75" style="605" customWidth="1"/>
    <col min="16133" max="16133" width="14.125" style="605" customWidth="1"/>
    <col min="16134" max="16140" width="0" style="605" hidden="1" customWidth="1"/>
    <col min="16141" max="16143" width="12" style="605" customWidth="1"/>
    <col min="16144" max="16147" width="14.75" style="605" customWidth="1"/>
    <col min="16148" max="16384" width="9" style="605"/>
  </cols>
  <sheetData>
    <row r="1" spans="1:19" s="477" customFormat="1" ht="21" customHeight="1" x14ac:dyDescent="0.25">
      <c r="A1" s="1145"/>
      <c r="B1" s="1145"/>
      <c r="C1" s="1145"/>
      <c r="D1" s="1145"/>
      <c r="E1" s="1145"/>
      <c r="F1" s="1145"/>
      <c r="G1" s="1145"/>
      <c r="H1" s="1145"/>
      <c r="I1" s="1145"/>
      <c r="J1" s="1145"/>
      <c r="K1" s="1145"/>
      <c r="L1" s="1145"/>
      <c r="M1" s="1145"/>
      <c r="N1" s="1145"/>
      <c r="O1" s="1145"/>
      <c r="P1" s="1145"/>
      <c r="Q1" s="1145"/>
      <c r="R1" s="1145"/>
      <c r="S1" s="1145"/>
    </row>
    <row r="2" spans="1:19" s="477" customFormat="1" ht="21" customHeight="1" x14ac:dyDescent="0.25">
      <c r="A2" s="1145" t="s">
        <v>484</v>
      </c>
      <c r="B2" s="1145"/>
      <c r="C2" s="1145"/>
      <c r="D2" s="1145"/>
      <c r="E2" s="1145"/>
      <c r="F2" s="1145"/>
      <c r="G2" s="1145"/>
      <c r="H2" s="1145"/>
      <c r="I2" s="1145"/>
      <c r="J2" s="1145"/>
      <c r="K2" s="1145"/>
      <c r="L2" s="1145"/>
      <c r="M2" s="1145"/>
      <c r="N2" s="1145"/>
      <c r="O2" s="1145"/>
      <c r="P2" s="1145"/>
      <c r="Q2" s="1145"/>
      <c r="R2" s="1145"/>
      <c r="S2" s="1145"/>
    </row>
    <row r="3" spans="1:19" s="477" customFormat="1" ht="21" customHeight="1" x14ac:dyDescent="0.25">
      <c r="A3" s="1166" t="s">
        <v>1191</v>
      </c>
      <c r="B3" s="1166"/>
      <c r="C3" s="1166"/>
      <c r="D3" s="1166"/>
      <c r="E3" s="1166"/>
      <c r="F3" s="1166"/>
      <c r="G3" s="1166"/>
      <c r="H3" s="1166"/>
      <c r="I3" s="1166"/>
      <c r="J3" s="1166"/>
      <c r="K3" s="1166"/>
      <c r="L3" s="1166"/>
      <c r="M3" s="1166"/>
      <c r="N3" s="1166"/>
      <c r="O3" s="1166"/>
      <c r="P3" s="1166"/>
      <c r="Q3" s="1166"/>
      <c r="R3" s="1166"/>
      <c r="S3" s="1166"/>
    </row>
    <row r="4" spans="1:19" ht="19.5" x14ac:dyDescent="0.25">
      <c r="A4" s="604"/>
      <c r="B4" s="604"/>
      <c r="C4" s="604"/>
      <c r="D4" s="604"/>
      <c r="E4" s="604"/>
      <c r="F4" s="604"/>
      <c r="G4" s="604"/>
      <c r="H4" s="604"/>
      <c r="I4" s="604"/>
      <c r="J4" s="604"/>
      <c r="K4" s="1167" t="s">
        <v>327</v>
      </c>
      <c r="L4" s="1167"/>
      <c r="M4" s="1167"/>
      <c r="N4" s="1167"/>
      <c r="O4" s="1167"/>
      <c r="P4" s="1167"/>
      <c r="Q4" s="1167"/>
      <c r="R4" s="1167"/>
      <c r="S4" s="1167"/>
    </row>
    <row r="5" spans="1:19" ht="18.75" x14ac:dyDescent="0.25">
      <c r="A5" s="1168" t="s">
        <v>370</v>
      </c>
      <c r="B5" s="1168" t="s">
        <v>485</v>
      </c>
      <c r="C5" s="1171" t="s">
        <v>374</v>
      </c>
      <c r="D5" s="1172"/>
      <c r="E5" s="1173"/>
      <c r="F5" s="1177" t="s">
        <v>475</v>
      </c>
      <c r="G5" s="1177"/>
      <c r="H5" s="1177"/>
      <c r="I5" s="1177"/>
      <c r="J5" s="1177"/>
      <c r="K5" s="1177"/>
      <c r="L5" s="1177"/>
      <c r="M5" s="1171" t="s">
        <v>476</v>
      </c>
      <c r="N5" s="1172"/>
      <c r="O5" s="1173"/>
      <c r="P5" s="1171" t="s">
        <v>477</v>
      </c>
      <c r="Q5" s="1172"/>
      <c r="R5" s="1173"/>
      <c r="S5" s="1177" t="s">
        <v>3</v>
      </c>
    </row>
    <row r="6" spans="1:19" ht="19.5" x14ac:dyDescent="0.25">
      <c r="A6" s="1169"/>
      <c r="B6" s="1169"/>
      <c r="C6" s="1174"/>
      <c r="D6" s="1175"/>
      <c r="E6" s="1176"/>
      <c r="F6" s="1177" t="s">
        <v>37</v>
      </c>
      <c r="G6" s="1178" t="s">
        <v>350</v>
      </c>
      <c r="H6" s="1178"/>
      <c r="I6" s="1178"/>
      <c r="J6" s="1178"/>
      <c r="K6" s="1178"/>
      <c r="L6" s="1178"/>
      <c r="M6" s="1174"/>
      <c r="N6" s="1175"/>
      <c r="O6" s="1176"/>
      <c r="P6" s="1174"/>
      <c r="Q6" s="1175"/>
      <c r="R6" s="1176"/>
      <c r="S6" s="1177"/>
    </row>
    <row r="7" spans="1:19" ht="19.5" x14ac:dyDescent="0.25">
      <c r="A7" s="1169"/>
      <c r="B7" s="1169"/>
      <c r="C7" s="1177" t="s">
        <v>358</v>
      </c>
      <c r="D7" s="1179" t="s">
        <v>218</v>
      </c>
      <c r="E7" s="1177" t="s">
        <v>382</v>
      </c>
      <c r="F7" s="1177"/>
      <c r="G7" s="1181" t="s">
        <v>218</v>
      </c>
      <c r="H7" s="1181"/>
      <c r="I7" s="1181"/>
      <c r="J7" s="1181" t="s">
        <v>382</v>
      </c>
      <c r="K7" s="1181"/>
      <c r="L7" s="1181"/>
      <c r="M7" s="1177" t="s">
        <v>358</v>
      </c>
      <c r="N7" s="1179" t="s">
        <v>218</v>
      </c>
      <c r="O7" s="1177" t="s">
        <v>382</v>
      </c>
      <c r="P7" s="1177" t="s">
        <v>358</v>
      </c>
      <c r="Q7" s="1179" t="s">
        <v>218</v>
      </c>
      <c r="R7" s="1177" t="s">
        <v>382</v>
      </c>
      <c r="S7" s="1177"/>
    </row>
    <row r="8" spans="1:19" ht="47.25" customHeight="1" x14ac:dyDescent="0.25">
      <c r="A8" s="1170"/>
      <c r="B8" s="1170"/>
      <c r="C8" s="1177"/>
      <c r="D8" s="1180"/>
      <c r="E8" s="1177"/>
      <c r="F8" s="1177"/>
      <c r="G8" s="606" t="s">
        <v>37</v>
      </c>
      <c r="H8" s="607" t="s">
        <v>486</v>
      </c>
      <c r="I8" s="608" t="s">
        <v>487</v>
      </c>
      <c r="J8" s="606" t="s">
        <v>37</v>
      </c>
      <c r="K8" s="607" t="s">
        <v>488</v>
      </c>
      <c r="L8" s="607" t="s">
        <v>489</v>
      </c>
      <c r="M8" s="1177"/>
      <c r="N8" s="1180"/>
      <c r="O8" s="1177"/>
      <c r="P8" s="1177"/>
      <c r="Q8" s="1180"/>
      <c r="R8" s="1177"/>
      <c r="S8" s="1177"/>
    </row>
    <row r="9" spans="1:19" ht="18.75" x14ac:dyDescent="0.25">
      <c r="A9" s="609">
        <v>1</v>
      </c>
      <c r="B9" s="609">
        <v>2</v>
      </c>
      <c r="C9" s="606">
        <v>3</v>
      </c>
      <c r="D9" s="610">
        <v>4</v>
      </c>
      <c r="E9" s="606">
        <v>5</v>
      </c>
      <c r="F9" s="606"/>
      <c r="G9" s="606"/>
      <c r="H9" s="607"/>
      <c r="I9" s="608"/>
      <c r="J9" s="606"/>
      <c r="K9" s="607"/>
      <c r="L9" s="607"/>
      <c r="M9" s="606">
        <v>6</v>
      </c>
      <c r="N9" s="610">
        <v>7</v>
      </c>
      <c r="O9" s="606">
        <v>8</v>
      </c>
      <c r="P9" s="606">
        <v>9</v>
      </c>
      <c r="Q9" s="610">
        <v>10</v>
      </c>
      <c r="R9" s="606">
        <v>11</v>
      </c>
      <c r="S9" s="606">
        <v>12</v>
      </c>
    </row>
    <row r="10" spans="1:19" ht="43.5" customHeight="1" x14ac:dyDescent="0.25">
      <c r="A10" s="611"/>
      <c r="B10" s="612" t="s">
        <v>490</v>
      </c>
      <c r="C10" s="613">
        <f>SUM(C11:C18)</f>
        <v>435738</v>
      </c>
      <c r="D10" s="613">
        <f t="shared" ref="D10:S10" si="0">SUM(D11:D18)</f>
        <v>394270</v>
      </c>
      <c r="E10" s="613">
        <f>SUM(E11:E18)</f>
        <v>41468</v>
      </c>
      <c r="F10" s="613">
        <f>SUM(F11:F18)</f>
        <v>174423</v>
      </c>
      <c r="G10" s="613">
        <f t="shared" si="0"/>
        <v>163290</v>
      </c>
      <c r="H10" s="613">
        <f t="shared" si="0"/>
        <v>124789.99999999999</v>
      </c>
      <c r="I10" s="613">
        <f t="shared" si="0"/>
        <v>38500</v>
      </c>
      <c r="J10" s="613">
        <f t="shared" si="0"/>
        <v>11133</v>
      </c>
      <c r="K10" s="613">
        <f t="shared" si="0"/>
        <v>6404</v>
      </c>
      <c r="L10" s="613">
        <f t="shared" si="0"/>
        <v>4729</v>
      </c>
      <c r="M10" s="613">
        <f t="shared" si="0"/>
        <v>261314.99999999997</v>
      </c>
      <c r="N10" s="613">
        <f t="shared" si="0"/>
        <v>230979.99999999997</v>
      </c>
      <c r="O10" s="613">
        <f t="shared" si="0"/>
        <v>30335</v>
      </c>
      <c r="P10" s="614">
        <f t="shared" si="0"/>
        <v>108100</v>
      </c>
      <c r="Q10" s="614">
        <f t="shared" si="0"/>
        <v>96500</v>
      </c>
      <c r="R10" s="614">
        <f>SUM(R11:R18)</f>
        <v>11600</v>
      </c>
      <c r="S10" s="614">
        <f t="shared" si="0"/>
        <v>0</v>
      </c>
    </row>
    <row r="11" spans="1:19" s="615" customFormat="1" ht="24.75" customHeight="1" x14ac:dyDescent="0.25">
      <c r="A11" s="889">
        <v>1</v>
      </c>
      <c r="B11" s="890" t="s">
        <v>43</v>
      </c>
      <c r="C11" s="891">
        <f>D11+E11</f>
        <v>18098</v>
      </c>
      <c r="D11" s="891">
        <v>17236</v>
      </c>
      <c r="E11" s="891">
        <v>862</v>
      </c>
      <c r="F11" s="891">
        <f>G11+J11</f>
        <v>18098</v>
      </c>
      <c r="G11" s="891">
        <f>H11+I11</f>
        <v>17236</v>
      </c>
      <c r="H11" s="891">
        <v>17236</v>
      </c>
      <c r="I11" s="891">
        <v>0</v>
      </c>
      <c r="J11" s="891">
        <f>K11+L11</f>
        <v>862</v>
      </c>
      <c r="K11" s="891">
        <v>862</v>
      </c>
      <c r="L11" s="891">
        <v>0</v>
      </c>
      <c r="M11" s="892">
        <f>C11-F11</f>
        <v>0</v>
      </c>
      <c r="N11" s="892">
        <f>D11-G11</f>
        <v>0</v>
      </c>
      <c r="O11" s="892">
        <f>E11-J11</f>
        <v>0</v>
      </c>
      <c r="P11" s="893">
        <f>Q11+R11</f>
        <v>0</v>
      </c>
      <c r="Q11" s="893"/>
      <c r="R11" s="893"/>
      <c r="S11" s="893"/>
    </row>
    <row r="12" spans="1:19" s="615" customFormat="1" ht="24.75" customHeight="1" x14ac:dyDescent="0.25">
      <c r="A12" s="894">
        <v>2</v>
      </c>
      <c r="B12" s="895" t="s">
        <v>40</v>
      </c>
      <c r="C12" s="896">
        <f t="shared" ref="C12:C18" si="1">D12+E12</f>
        <v>18036.900000000001</v>
      </c>
      <c r="D12" s="897">
        <v>17148.900000000001</v>
      </c>
      <c r="E12" s="897">
        <v>888</v>
      </c>
      <c r="F12" s="896">
        <f t="shared" ref="F12:F18" si="2">G12+J12</f>
        <v>15370.2</v>
      </c>
      <c r="G12" s="896">
        <f t="shared" ref="G12:G18" si="3">H12+I12</f>
        <v>14638.2</v>
      </c>
      <c r="H12" s="897">
        <v>14219.7</v>
      </c>
      <c r="I12" s="897">
        <v>418.5</v>
      </c>
      <c r="J12" s="896">
        <f t="shared" ref="J12:J18" si="4">K12+L12</f>
        <v>732</v>
      </c>
      <c r="K12" s="897">
        <v>711</v>
      </c>
      <c r="L12" s="897">
        <v>21</v>
      </c>
      <c r="M12" s="898">
        <f t="shared" ref="M12:N18" si="5">C12-F12</f>
        <v>2666.7000000000007</v>
      </c>
      <c r="N12" s="898">
        <f t="shared" si="5"/>
        <v>2510.7000000000007</v>
      </c>
      <c r="O12" s="898">
        <f t="shared" ref="O12:O18" si="6">E12-J12</f>
        <v>156</v>
      </c>
      <c r="P12" s="899">
        <f t="shared" ref="P12:P17" si="7">Q12+R12</f>
        <v>1107</v>
      </c>
      <c r="Q12" s="899">
        <v>1049</v>
      </c>
      <c r="R12" s="899">
        <v>58</v>
      </c>
      <c r="S12" s="899"/>
    </row>
    <row r="13" spans="1:19" s="615" customFormat="1" ht="24.75" customHeight="1" x14ac:dyDescent="0.25">
      <c r="A13" s="894">
        <v>3</v>
      </c>
      <c r="B13" s="895" t="s">
        <v>39</v>
      </c>
      <c r="C13" s="896">
        <f t="shared" si="1"/>
        <v>179094.00000000003</v>
      </c>
      <c r="D13" s="897">
        <v>150339.00000000003</v>
      </c>
      <c r="E13" s="897">
        <v>28755</v>
      </c>
      <c r="F13" s="896">
        <f t="shared" si="2"/>
        <v>41741.300000000003</v>
      </c>
      <c r="G13" s="896">
        <f t="shared" si="3"/>
        <v>37359.300000000003</v>
      </c>
      <c r="H13" s="897">
        <v>18527.8</v>
      </c>
      <c r="I13" s="897">
        <v>18831.5</v>
      </c>
      <c r="J13" s="896">
        <f t="shared" si="4"/>
        <v>4382</v>
      </c>
      <c r="K13" s="897">
        <v>926</v>
      </c>
      <c r="L13" s="897">
        <v>3456</v>
      </c>
      <c r="M13" s="898">
        <f t="shared" si="5"/>
        <v>137352.70000000001</v>
      </c>
      <c r="N13" s="898">
        <f t="shared" si="5"/>
        <v>112979.70000000003</v>
      </c>
      <c r="O13" s="898">
        <f t="shared" si="6"/>
        <v>24373</v>
      </c>
      <c r="P13" s="899">
        <f t="shared" si="7"/>
        <v>56269</v>
      </c>
      <c r="Q13" s="899">
        <v>47199</v>
      </c>
      <c r="R13" s="899">
        <v>9070</v>
      </c>
      <c r="S13" s="899"/>
    </row>
    <row r="14" spans="1:19" s="615" customFormat="1" ht="24.75" customHeight="1" x14ac:dyDescent="0.25">
      <c r="A14" s="894">
        <v>4</v>
      </c>
      <c r="B14" s="900" t="s">
        <v>38</v>
      </c>
      <c r="C14" s="896">
        <f t="shared" si="1"/>
        <v>50994.19999999999</v>
      </c>
      <c r="D14" s="897">
        <v>48293.19999999999</v>
      </c>
      <c r="E14" s="897">
        <v>2701</v>
      </c>
      <c r="F14" s="896">
        <f t="shared" si="2"/>
        <v>21996.9</v>
      </c>
      <c r="G14" s="896">
        <f t="shared" si="3"/>
        <v>20676.900000000001</v>
      </c>
      <c r="H14" s="897">
        <v>16073.7</v>
      </c>
      <c r="I14" s="897">
        <v>4603.2</v>
      </c>
      <c r="J14" s="896">
        <f t="shared" si="4"/>
        <v>1320</v>
      </c>
      <c r="K14" s="897">
        <v>804</v>
      </c>
      <c r="L14" s="897">
        <v>516</v>
      </c>
      <c r="M14" s="898">
        <f t="shared" si="5"/>
        <v>28997.299999999988</v>
      </c>
      <c r="N14" s="898">
        <f t="shared" si="5"/>
        <v>27616.299999999988</v>
      </c>
      <c r="O14" s="898">
        <f t="shared" si="6"/>
        <v>1381</v>
      </c>
      <c r="P14" s="899">
        <f t="shared" si="7"/>
        <v>12127</v>
      </c>
      <c r="Q14" s="899">
        <v>11539</v>
      </c>
      <c r="R14" s="899">
        <v>588</v>
      </c>
      <c r="S14" s="899"/>
    </row>
    <row r="15" spans="1:19" s="615" customFormat="1" ht="24.75" customHeight="1" x14ac:dyDescent="0.25">
      <c r="A15" s="894">
        <v>5</v>
      </c>
      <c r="B15" s="895" t="s">
        <v>44</v>
      </c>
      <c r="C15" s="896">
        <f t="shared" si="1"/>
        <v>32210.399999999991</v>
      </c>
      <c r="D15" s="897">
        <v>30676.399999999991</v>
      </c>
      <c r="E15" s="897">
        <v>1534</v>
      </c>
      <c r="F15" s="896">
        <f t="shared" si="2"/>
        <v>21665.599999999999</v>
      </c>
      <c r="G15" s="896">
        <f t="shared" si="3"/>
        <v>20633.599999999999</v>
      </c>
      <c r="H15" s="897">
        <v>18959.599999999999</v>
      </c>
      <c r="I15" s="897">
        <v>1674</v>
      </c>
      <c r="J15" s="896">
        <f t="shared" si="4"/>
        <v>1032</v>
      </c>
      <c r="K15" s="897">
        <v>948</v>
      </c>
      <c r="L15" s="897">
        <v>84</v>
      </c>
      <c r="M15" s="898">
        <f t="shared" si="5"/>
        <v>10544.799999999992</v>
      </c>
      <c r="N15" s="898">
        <f t="shared" si="5"/>
        <v>10042.799999999992</v>
      </c>
      <c r="O15" s="898">
        <f t="shared" si="6"/>
        <v>502</v>
      </c>
      <c r="P15" s="899">
        <f t="shared" si="7"/>
        <v>4408</v>
      </c>
      <c r="Q15" s="899">
        <v>4196</v>
      </c>
      <c r="R15" s="899">
        <v>212</v>
      </c>
      <c r="S15" s="899"/>
    </row>
    <row r="16" spans="1:19" s="615" customFormat="1" ht="24.75" customHeight="1" x14ac:dyDescent="0.25">
      <c r="A16" s="894">
        <v>6</v>
      </c>
      <c r="B16" s="900" t="s">
        <v>41</v>
      </c>
      <c r="C16" s="896">
        <f t="shared" si="1"/>
        <v>102526.09999999999</v>
      </c>
      <c r="D16" s="897">
        <v>97528.099999999991</v>
      </c>
      <c r="E16" s="897">
        <v>4998</v>
      </c>
      <c r="F16" s="896">
        <f t="shared" si="2"/>
        <v>28693.7</v>
      </c>
      <c r="G16" s="896">
        <f t="shared" si="3"/>
        <v>27229.7</v>
      </c>
      <c r="H16" s="897">
        <v>15512.400000000001</v>
      </c>
      <c r="I16" s="897">
        <v>11717.3</v>
      </c>
      <c r="J16" s="896">
        <f t="shared" si="4"/>
        <v>1464</v>
      </c>
      <c r="K16" s="897">
        <v>875</v>
      </c>
      <c r="L16" s="897">
        <v>589</v>
      </c>
      <c r="M16" s="898">
        <f t="shared" si="5"/>
        <v>73832.399999999994</v>
      </c>
      <c r="N16" s="898">
        <f t="shared" si="5"/>
        <v>70298.399999999994</v>
      </c>
      <c r="O16" s="898">
        <f t="shared" si="6"/>
        <v>3534</v>
      </c>
      <c r="P16" s="899">
        <f t="shared" si="7"/>
        <v>30880</v>
      </c>
      <c r="Q16" s="899">
        <v>29370</v>
      </c>
      <c r="R16" s="899">
        <v>1510</v>
      </c>
      <c r="S16" s="899"/>
    </row>
    <row r="17" spans="1:19" s="615" customFormat="1" ht="24.75" customHeight="1" x14ac:dyDescent="0.25">
      <c r="A17" s="894">
        <v>7</v>
      </c>
      <c r="B17" s="901" t="s">
        <v>42</v>
      </c>
      <c r="C17" s="896">
        <f t="shared" si="1"/>
        <v>27720.199999999993</v>
      </c>
      <c r="D17" s="902">
        <v>26328.199999999993</v>
      </c>
      <c r="E17" s="902">
        <v>1392</v>
      </c>
      <c r="F17" s="896">
        <f t="shared" si="2"/>
        <v>25072.499999999996</v>
      </c>
      <c r="G17" s="896">
        <f t="shared" si="3"/>
        <v>23817.499999999996</v>
      </c>
      <c r="H17" s="902">
        <v>23398.999999999996</v>
      </c>
      <c r="I17" s="902">
        <v>418.5</v>
      </c>
      <c r="J17" s="896">
        <f t="shared" si="4"/>
        <v>1255</v>
      </c>
      <c r="K17" s="902">
        <v>1234</v>
      </c>
      <c r="L17" s="902">
        <v>21</v>
      </c>
      <c r="M17" s="898">
        <f t="shared" si="5"/>
        <v>2647.6999999999971</v>
      </c>
      <c r="N17" s="898">
        <f t="shared" si="5"/>
        <v>2510.6999999999971</v>
      </c>
      <c r="O17" s="898">
        <f t="shared" si="6"/>
        <v>137</v>
      </c>
      <c r="P17" s="899">
        <f t="shared" si="7"/>
        <v>1103</v>
      </c>
      <c r="Q17" s="899">
        <v>1049</v>
      </c>
      <c r="R17" s="899">
        <v>54</v>
      </c>
      <c r="S17" s="899"/>
    </row>
    <row r="18" spans="1:19" s="615" customFormat="1" ht="24.75" customHeight="1" x14ac:dyDescent="0.25">
      <c r="A18" s="903">
        <v>8</v>
      </c>
      <c r="B18" s="904" t="s">
        <v>45</v>
      </c>
      <c r="C18" s="905">
        <f t="shared" si="1"/>
        <v>7058.2</v>
      </c>
      <c r="D18" s="906">
        <v>6720.2</v>
      </c>
      <c r="E18" s="906">
        <v>338</v>
      </c>
      <c r="F18" s="905">
        <f t="shared" si="2"/>
        <v>1784.8</v>
      </c>
      <c r="G18" s="905">
        <f t="shared" si="3"/>
        <v>1698.8</v>
      </c>
      <c r="H18" s="906">
        <v>861.8</v>
      </c>
      <c r="I18" s="906">
        <v>837</v>
      </c>
      <c r="J18" s="905">
        <f t="shared" si="4"/>
        <v>86</v>
      </c>
      <c r="K18" s="906">
        <v>44</v>
      </c>
      <c r="L18" s="906">
        <v>42</v>
      </c>
      <c r="M18" s="907">
        <f t="shared" si="5"/>
        <v>5273.4</v>
      </c>
      <c r="N18" s="907">
        <f t="shared" si="5"/>
        <v>5021.3999999999996</v>
      </c>
      <c r="O18" s="907">
        <f t="shared" si="6"/>
        <v>252</v>
      </c>
      <c r="P18" s="908">
        <f>Q18+R18</f>
        <v>2206</v>
      </c>
      <c r="Q18" s="908">
        <v>2098</v>
      </c>
      <c r="R18" s="908">
        <v>108</v>
      </c>
      <c r="S18" s="908"/>
    </row>
  </sheetData>
  <mergeCells count="24">
    <mergeCell ref="S5:S8"/>
    <mergeCell ref="E7:E8"/>
    <mergeCell ref="G7:I7"/>
    <mergeCell ref="J7:L7"/>
    <mergeCell ref="O7:O8"/>
    <mergeCell ref="P7:P8"/>
    <mergeCell ref="M7:M8"/>
    <mergeCell ref="N7:N8"/>
    <mergeCell ref="A1:S1"/>
    <mergeCell ref="A2:S2"/>
    <mergeCell ref="A3:S3"/>
    <mergeCell ref="K4:S4"/>
    <mergeCell ref="A5:A8"/>
    <mergeCell ref="B5:B8"/>
    <mergeCell ref="C5:E6"/>
    <mergeCell ref="F5:L5"/>
    <mergeCell ref="M5:O6"/>
    <mergeCell ref="P5:R6"/>
    <mergeCell ref="F6:F8"/>
    <mergeCell ref="G6:L6"/>
    <mergeCell ref="C7:C8"/>
    <mergeCell ref="D7:D8"/>
    <mergeCell ref="Q7:Q8"/>
    <mergeCell ref="R7:R8"/>
  </mergeCells>
  <pageMargins left="0.78740157480314965" right="0.39370078740157483" top="0.78740157480314965" bottom="0.78740157480314965" header="0.31496062992125984" footer="0.31496062992125984"/>
  <pageSetup paperSize="9" scale="80" firstPageNumber="75" orientation="landscape" useFirstPageNumber="1" r:id="rId1"/>
  <headerFooter>
    <oddHeader>&amp;RPhụ lục số 9A</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view="pageLayout" zoomScale="70" zoomScaleNormal="70" zoomScaleSheetLayoutView="70" zoomScalePageLayoutView="70" workbookViewId="0">
      <selection activeCell="B32" sqref="B32"/>
    </sheetView>
  </sheetViews>
  <sheetFormatPr defaultColWidth="7.75" defaultRowHeight="18.75" x14ac:dyDescent="0.25"/>
  <cols>
    <col min="1" max="1" width="4.625" style="442" customWidth="1"/>
    <col min="2" max="2" width="20.25" style="442" customWidth="1"/>
    <col min="3" max="3" width="7.125" style="442" customWidth="1"/>
    <col min="4" max="5" width="7.25" style="442" customWidth="1"/>
    <col min="6" max="8" width="5.5" style="442" hidden="1" customWidth="1"/>
    <col min="9" max="9" width="6.625" style="442" customWidth="1"/>
    <col min="10" max="10" width="7.125" style="442" customWidth="1"/>
    <col min="11" max="11" width="5.875" style="442" customWidth="1"/>
    <col min="12" max="12" width="7" style="442" customWidth="1"/>
    <col min="13" max="13" width="7.125" style="442" customWidth="1"/>
    <col min="14" max="14" width="5.875" style="442" customWidth="1"/>
    <col min="15" max="17" width="6.625" style="442" customWidth="1"/>
    <col min="18" max="19" width="6.75" style="442" customWidth="1"/>
    <col min="20" max="20" width="5.875" style="442" customWidth="1"/>
    <col min="21" max="22" width="6" style="442" customWidth="1"/>
    <col min="23" max="23" width="8.5" style="442" customWidth="1"/>
    <col min="24" max="24" width="9.125" style="442" customWidth="1"/>
    <col min="25" max="25" width="9.25" style="442" customWidth="1"/>
    <col min="26" max="26" width="9.375" style="442" customWidth="1"/>
    <col min="27" max="31" width="6.375" style="442" customWidth="1"/>
    <col min="32" max="32" width="5.125" style="442" customWidth="1"/>
    <col min="33" max="33" width="8.75" style="442" customWidth="1"/>
    <col min="34" max="34" width="8.125" style="442" customWidth="1"/>
    <col min="35" max="35" width="9.5" style="442" customWidth="1"/>
    <col min="36" max="36" width="12" style="442" hidden="1" customWidth="1"/>
    <col min="37" max="37" width="9.25" style="442" hidden="1" customWidth="1"/>
    <col min="38" max="38" width="10.5" style="442" hidden="1" customWidth="1"/>
    <col min="39" max="256" width="7.75" style="442"/>
    <col min="257" max="257" width="4.625" style="442" customWidth="1"/>
    <col min="258" max="258" width="20.25" style="442" customWidth="1"/>
    <col min="259" max="259" width="8.875" style="442" customWidth="1"/>
    <col min="260" max="260" width="9.125" style="442" customWidth="1"/>
    <col min="261" max="261" width="7.25" style="442" customWidth="1"/>
    <col min="262" max="264" width="0" style="442" hidden="1" customWidth="1"/>
    <col min="265" max="270" width="5.875" style="442" customWidth="1"/>
    <col min="271" max="273" width="6.625" style="442" customWidth="1"/>
    <col min="274" max="275" width="6.75" style="442" customWidth="1"/>
    <col min="276" max="276" width="5.875" style="442" customWidth="1"/>
    <col min="277" max="279" width="6" style="442" customWidth="1"/>
    <col min="280" max="287" width="6.375" style="442" customWidth="1"/>
    <col min="288" max="288" width="5.125" style="442" customWidth="1"/>
    <col min="289" max="289" width="5.375" style="442" customWidth="1"/>
    <col min="290" max="290" width="8.125" style="442" customWidth="1"/>
    <col min="291" max="291" width="5.375" style="442" customWidth="1"/>
    <col min="292" max="294" width="0" style="442" hidden="1" customWidth="1"/>
    <col min="295" max="512" width="7.75" style="442"/>
    <col min="513" max="513" width="4.625" style="442" customWidth="1"/>
    <col min="514" max="514" width="20.25" style="442" customWidth="1"/>
    <col min="515" max="515" width="8.875" style="442" customWidth="1"/>
    <col min="516" max="516" width="9.125" style="442" customWidth="1"/>
    <col min="517" max="517" width="7.25" style="442" customWidth="1"/>
    <col min="518" max="520" width="0" style="442" hidden="1" customWidth="1"/>
    <col min="521" max="526" width="5.875" style="442" customWidth="1"/>
    <col min="527" max="529" width="6.625" style="442" customWidth="1"/>
    <col min="530" max="531" width="6.75" style="442" customWidth="1"/>
    <col min="532" max="532" width="5.875" style="442" customWidth="1"/>
    <col min="533" max="535" width="6" style="442" customWidth="1"/>
    <col min="536" max="543" width="6.375" style="442" customWidth="1"/>
    <col min="544" max="544" width="5.125" style="442" customWidth="1"/>
    <col min="545" max="545" width="5.375" style="442" customWidth="1"/>
    <col min="546" max="546" width="8.125" style="442" customWidth="1"/>
    <col min="547" max="547" width="5.375" style="442" customWidth="1"/>
    <col min="548" max="550" width="0" style="442" hidden="1" customWidth="1"/>
    <col min="551" max="768" width="7.75" style="442"/>
    <col min="769" max="769" width="4.625" style="442" customWidth="1"/>
    <col min="770" max="770" width="20.25" style="442" customWidth="1"/>
    <col min="771" max="771" width="8.875" style="442" customWidth="1"/>
    <col min="772" max="772" width="9.125" style="442" customWidth="1"/>
    <col min="773" max="773" width="7.25" style="442" customWidth="1"/>
    <col min="774" max="776" width="0" style="442" hidden="1" customWidth="1"/>
    <col min="777" max="782" width="5.875" style="442" customWidth="1"/>
    <col min="783" max="785" width="6.625" style="442" customWidth="1"/>
    <col min="786" max="787" width="6.75" style="442" customWidth="1"/>
    <col min="788" max="788" width="5.875" style="442" customWidth="1"/>
    <col min="789" max="791" width="6" style="442" customWidth="1"/>
    <col min="792" max="799" width="6.375" style="442" customWidth="1"/>
    <col min="800" max="800" width="5.125" style="442" customWidth="1"/>
    <col min="801" max="801" width="5.375" style="442" customWidth="1"/>
    <col min="802" max="802" width="8.125" style="442" customWidth="1"/>
    <col min="803" max="803" width="5.375" style="442" customWidth="1"/>
    <col min="804" max="806" width="0" style="442" hidden="1" customWidth="1"/>
    <col min="807" max="1024" width="7.75" style="442"/>
    <col min="1025" max="1025" width="4.625" style="442" customWidth="1"/>
    <col min="1026" max="1026" width="20.25" style="442" customWidth="1"/>
    <col min="1027" max="1027" width="8.875" style="442" customWidth="1"/>
    <col min="1028" max="1028" width="9.125" style="442" customWidth="1"/>
    <col min="1029" max="1029" width="7.25" style="442" customWidth="1"/>
    <col min="1030" max="1032" width="0" style="442" hidden="1" customWidth="1"/>
    <col min="1033" max="1038" width="5.875" style="442" customWidth="1"/>
    <col min="1039" max="1041" width="6.625" style="442" customWidth="1"/>
    <col min="1042" max="1043" width="6.75" style="442" customWidth="1"/>
    <col min="1044" max="1044" width="5.875" style="442" customWidth="1"/>
    <col min="1045" max="1047" width="6" style="442" customWidth="1"/>
    <col min="1048" max="1055" width="6.375" style="442" customWidth="1"/>
    <col min="1056" max="1056" width="5.125" style="442" customWidth="1"/>
    <col min="1057" max="1057" width="5.375" style="442" customWidth="1"/>
    <col min="1058" max="1058" width="8.125" style="442" customWidth="1"/>
    <col min="1059" max="1059" width="5.375" style="442" customWidth="1"/>
    <col min="1060" max="1062" width="0" style="442" hidden="1" customWidth="1"/>
    <col min="1063" max="1280" width="7.75" style="442"/>
    <col min="1281" max="1281" width="4.625" style="442" customWidth="1"/>
    <col min="1282" max="1282" width="20.25" style="442" customWidth="1"/>
    <col min="1283" max="1283" width="8.875" style="442" customWidth="1"/>
    <col min="1284" max="1284" width="9.125" style="442" customWidth="1"/>
    <col min="1285" max="1285" width="7.25" style="442" customWidth="1"/>
    <col min="1286" max="1288" width="0" style="442" hidden="1" customWidth="1"/>
    <col min="1289" max="1294" width="5.875" style="442" customWidth="1"/>
    <col min="1295" max="1297" width="6.625" style="442" customWidth="1"/>
    <col min="1298" max="1299" width="6.75" style="442" customWidth="1"/>
    <col min="1300" max="1300" width="5.875" style="442" customWidth="1"/>
    <col min="1301" max="1303" width="6" style="442" customWidth="1"/>
    <col min="1304" max="1311" width="6.375" style="442" customWidth="1"/>
    <col min="1312" max="1312" width="5.125" style="442" customWidth="1"/>
    <col min="1313" max="1313" width="5.375" style="442" customWidth="1"/>
    <col min="1314" max="1314" width="8.125" style="442" customWidth="1"/>
    <col min="1315" max="1315" width="5.375" style="442" customWidth="1"/>
    <col min="1316" max="1318" width="0" style="442" hidden="1" customWidth="1"/>
    <col min="1319" max="1536" width="7.75" style="442"/>
    <col min="1537" max="1537" width="4.625" style="442" customWidth="1"/>
    <col min="1538" max="1538" width="20.25" style="442" customWidth="1"/>
    <col min="1539" max="1539" width="8.875" style="442" customWidth="1"/>
    <col min="1540" max="1540" width="9.125" style="442" customWidth="1"/>
    <col min="1541" max="1541" width="7.25" style="442" customWidth="1"/>
    <col min="1542" max="1544" width="0" style="442" hidden="1" customWidth="1"/>
    <col min="1545" max="1550" width="5.875" style="442" customWidth="1"/>
    <col min="1551" max="1553" width="6.625" style="442" customWidth="1"/>
    <col min="1554" max="1555" width="6.75" style="442" customWidth="1"/>
    <col min="1556" max="1556" width="5.875" style="442" customWidth="1"/>
    <col min="1557" max="1559" width="6" style="442" customWidth="1"/>
    <col min="1560" max="1567" width="6.375" style="442" customWidth="1"/>
    <col min="1568" max="1568" width="5.125" style="442" customWidth="1"/>
    <col min="1569" max="1569" width="5.375" style="442" customWidth="1"/>
    <col min="1570" max="1570" width="8.125" style="442" customWidth="1"/>
    <col min="1571" max="1571" width="5.375" style="442" customWidth="1"/>
    <col min="1572" max="1574" width="0" style="442" hidden="1" customWidth="1"/>
    <col min="1575" max="1792" width="7.75" style="442"/>
    <col min="1793" max="1793" width="4.625" style="442" customWidth="1"/>
    <col min="1794" max="1794" width="20.25" style="442" customWidth="1"/>
    <col min="1795" max="1795" width="8.875" style="442" customWidth="1"/>
    <col min="1796" max="1796" width="9.125" style="442" customWidth="1"/>
    <col min="1797" max="1797" width="7.25" style="442" customWidth="1"/>
    <col min="1798" max="1800" width="0" style="442" hidden="1" customWidth="1"/>
    <col min="1801" max="1806" width="5.875" style="442" customWidth="1"/>
    <col min="1807" max="1809" width="6.625" style="442" customWidth="1"/>
    <col min="1810" max="1811" width="6.75" style="442" customWidth="1"/>
    <col min="1812" max="1812" width="5.875" style="442" customWidth="1"/>
    <col min="1813" max="1815" width="6" style="442" customWidth="1"/>
    <col min="1816" max="1823" width="6.375" style="442" customWidth="1"/>
    <col min="1824" max="1824" width="5.125" style="442" customWidth="1"/>
    <col min="1825" max="1825" width="5.375" style="442" customWidth="1"/>
    <col min="1826" max="1826" width="8.125" style="442" customWidth="1"/>
    <col min="1827" max="1827" width="5.375" style="442" customWidth="1"/>
    <col min="1828" max="1830" width="0" style="442" hidden="1" customWidth="1"/>
    <col min="1831" max="2048" width="7.75" style="442"/>
    <col min="2049" max="2049" width="4.625" style="442" customWidth="1"/>
    <col min="2050" max="2050" width="20.25" style="442" customWidth="1"/>
    <col min="2051" max="2051" width="8.875" style="442" customWidth="1"/>
    <col min="2052" max="2052" width="9.125" style="442" customWidth="1"/>
    <col min="2053" max="2053" width="7.25" style="442" customWidth="1"/>
    <col min="2054" max="2056" width="0" style="442" hidden="1" customWidth="1"/>
    <col min="2057" max="2062" width="5.875" style="442" customWidth="1"/>
    <col min="2063" max="2065" width="6.625" style="442" customWidth="1"/>
    <col min="2066" max="2067" width="6.75" style="442" customWidth="1"/>
    <col min="2068" max="2068" width="5.875" style="442" customWidth="1"/>
    <col min="2069" max="2071" width="6" style="442" customWidth="1"/>
    <col min="2072" max="2079" width="6.375" style="442" customWidth="1"/>
    <col min="2080" max="2080" width="5.125" style="442" customWidth="1"/>
    <col min="2081" max="2081" width="5.375" style="442" customWidth="1"/>
    <col min="2082" max="2082" width="8.125" style="442" customWidth="1"/>
    <col min="2083" max="2083" width="5.375" style="442" customWidth="1"/>
    <col min="2084" max="2086" width="0" style="442" hidden="1" customWidth="1"/>
    <col min="2087" max="2304" width="7.75" style="442"/>
    <col min="2305" max="2305" width="4.625" style="442" customWidth="1"/>
    <col min="2306" max="2306" width="20.25" style="442" customWidth="1"/>
    <col min="2307" max="2307" width="8.875" style="442" customWidth="1"/>
    <col min="2308" max="2308" width="9.125" style="442" customWidth="1"/>
    <col min="2309" max="2309" width="7.25" style="442" customWidth="1"/>
    <col min="2310" max="2312" width="0" style="442" hidden="1" customWidth="1"/>
    <col min="2313" max="2318" width="5.875" style="442" customWidth="1"/>
    <col min="2319" max="2321" width="6.625" style="442" customWidth="1"/>
    <col min="2322" max="2323" width="6.75" style="442" customWidth="1"/>
    <col min="2324" max="2324" width="5.875" style="442" customWidth="1"/>
    <col min="2325" max="2327" width="6" style="442" customWidth="1"/>
    <col min="2328" max="2335" width="6.375" style="442" customWidth="1"/>
    <col min="2336" max="2336" width="5.125" style="442" customWidth="1"/>
    <col min="2337" max="2337" width="5.375" style="442" customWidth="1"/>
    <col min="2338" max="2338" width="8.125" style="442" customWidth="1"/>
    <col min="2339" max="2339" width="5.375" style="442" customWidth="1"/>
    <col min="2340" max="2342" width="0" style="442" hidden="1" customWidth="1"/>
    <col min="2343" max="2560" width="7.75" style="442"/>
    <col min="2561" max="2561" width="4.625" style="442" customWidth="1"/>
    <col min="2562" max="2562" width="20.25" style="442" customWidth="1"/>
    <col min="2563" max="2563" width="8.875" style="442" customWidth="1"/>
    <col min="2564" max="2564" width="9.125" style="442" customWidth="1"/>
    <col min="2565" max="2565" width="7.25" style="442" customWidth="1"/>
    <col min="2566" max="2568" width="0" style="442" hidden="1" customWidth="1"/>
    <col min="2569" max="2574" width="5.875" style="442" customWidth="1"/>
    <col min="2575" max="2577" width="6.625" style="442" customWidth="1"/>
    <col min="2578" max="2579" width="6.75" style="442" customWidth="1"/>
    <col min="2580" max="2580" width="5.875" style="442" customWidth="1"/>
    <col min="2581" max="2583" width="6" style="442" customWidth="1"/>
    <col min="2584" max="2591" width="6.375" style="442" customWidth="1"/>
    <col min="2592" max="2592" width="5.125" style="442" customWidth="1"/>
    <col min="2593" max="2593" width="5.375" style="442" customWidth="1"/>
    <col min="2594" max="2594" width="8.125" style="442" customWidth="1"/>
    <col min="2595" max="2595" width="5.375" style="442" customWidth="1"/>
    <col min="2596" max="2598" width="0" style="442" hidden="1" customWidth="1"/>
    <col min="2599" max="2816" width="7.75" style="442"/>
    <col min="2817" max="2817" width="4.625" style="442" customWidth="1"/>
    <col min="2818" max="2818" width="20.25" style="442" customWidth="1"/>
    <col min="2819" max="2819" width="8.875" style="442" customWidth="1"/>
    <col min="2820" max="2820" width="9.125" style="442" customWidth="1"/>
    <col min="2821" max="2821" width="7.25" style="442" customWidth="1"/>
    <col min="2822" max="2824" width="0" style="442" hidden="1" customWidth="1"/>
    <col min="2825" max="2830" width="5.875" style="442" customWidth="1"/>
    <col min="2831" max="2833" width="6.625" style="442" customWidth="1"/>
    <col min="2834" max="2835" width="6.75" style="442" customWidth="1"/>
    <col min="2836" max="2836" width="5.875" style="442" customWidth="1"/>
    <col min="2837" max="2839" width="6" style="442" customWidth="1"/>
    <col min="2840" max="2847" width="6.375" style="442" customWidth="1"/>
    <col min="2848" max="2848" width="5.125" style="442" customWidth="1"/>
    <col min="2849" max="2849" width="5.375" style="442" customWidth="1"/>
    <col min="2850" max="2850" width="8.125" style="442" customWidth="1"/>
    <col min="2851" max="2851" width="5.375" style="442" customWidth="1"/>
    <col min="2852" max="2854" width="0" style="442" hidden="1" customWidth="1"/>
    <col min="2855" max="3072" width="7.75" style="442"/>
    <col min="3073" max="3073" width="4.625" style="442" customWidth="1"/>
    <col min="3074" max="3074" width="20.25" style="442" customWidth="1"/>
    <col min="3075" max="3075" width="8.875" style="442" customWidth="1"/>
    <col min="3076" max="3076" width="9.125" style="442" customWidth="1"/>
    <col min="3077" max="3077" width="7.25" style="442" customWidth="1"/>
    <col min="3078" max="3080" width="0" style="442" hidden="1" customWidth="1"/>
    <col min="3081" max="3086" width="5.875" style="442" customWidth="1"/>
    <col min="3087" max="3089" width="6.625" style="442" customWidth="1"/>
    <col min="3090" max="3091" width="6.75" style="442" customWidth="1"/>
    <col min="3092" max="3092" width="5.875" style="442" customWidth="1"/>
    <col min="3093" max="3095" width="6" style="442" customWidth="1"/>
    <col min="3096" max="3103" width="6.375" style="442" customWidth="1"/>
    <col min="3104" max="3104" width="5.125" style="442" customWidth="1"/>
    <col min="3105" max="3105" width="5.375" style="442" customWidth="1"/>
    <col min="3106" max="3106" width="8.125" style="442" customWidth="1"/>
    <col min="3107" max="3107" width="5.375" style="442" customWidth="1"/>
    <col min="3108" max="3110" width="0" style="442" hidden="1" customWidth="1"/>
    <col min="3111" max="3328" width="7.75" style="442"/>
    <col min="3329" max="3329" width="4.625" style="442" customWidth="1"/>
    <col min="3330" max="3330" width="20.25" style="442" customWidth="1"/>
    <col min="3331" max="3331" width="8.875" style="442" customWidth="1"/>
    <col min="3332" max="3332" width="9.125" style="442" customWidth="1"/>
    <col min="3333" max="3333" width="7.25" style="442" customWidth="1"/>
    <col min="3334" max="3336" width="0" style="442" hidden="1" customWidth="1"/>
    <col min="3337" max="3342" width="5.875" style="442" customWidth="1"/>
    <col min="3343" max="3345" width="6.625" style="442" customWidth="1"/>
    <col min="3346" max="3347" width="6.75" style="442" customWidth="1"/>
    <col min="3348" max="3348" width="5.875" style="442" customWidth="1"/>
    <col min="3349" max="3351" width="6" style="442" customWidth="1"/>
    <col min="3352" max="3359" width="6.375" style="442" customWidth="1"/>
    <col min="3360" max="3360" width="5.125" style="442" customWidth="1"/>
    <col min="3361" max="3361" width="5.375" style="442" customWidth="1"/>
    <col min="3362" max="3362" width="8.125" style="442" customWidth="1"/>
    <col min="3363" max="3363" width="5.375" style="442" customWidth="1"/>
    <col min="3364" max="3366" width="0" style="442" hidden="1" customWidth="1"/>
    <col min="3367" max="3584" width="7.75" style="442"/>
    <col min="3585" max="3585" width="4.625" style="442" customWidth="1"/>
    <col min="3586" max="3586" width="20.25" style="442" customWidth="1"/>
    <col min="3587" max="3587" width="8.875" style="442" customWidth="1"/>
    <col min="3588" max="3588" width="9.125" style="442" customWidth="1"/>
    <col min="3589" max="3589" width="7.25" style="442" customWidth="1"/>
    <col min="3590" max="3592" width="0" style="442" hidden="1" customWidth="1"/>
    <col min="3593" max="3598" width="5.875" style="442" customWidth="1"/>
    <col min="3599" max="3601" width="6.625" style="442" customWidth="1"/>
    <col min="3602" max="3603" width="6.75" style="442" customWidth="1"/>
    <col min="3604" max="3604" width="5.875" style="442" customWidth="1"/>
    <col min="3605" max="3607" width="6" style="442" customWidth="1"/>
    <col min="3608" max="3615" width="6.375" style="442" customWidth="1"/>
    <col min="3616" max="3616" width="5.125" style="442" customWidth="1"/>
    <col min="3617" max="3617" width="5.375" style="442" customWidth="1"/>
    <col min="3618" max="3618" width="8.125" style="442" customWidth="1"/>
    <col min="3619" max="3619" width="5.375" style="442" customWidth="1"/>
    <col min="3620" max="3622" width="0" style="442" hidden="1" customWidth="1"/>
    <col min="3623" max="3840" width="7.75" style="442"/>
    <col min="3841" max="3841" width="4.625" style="442" customWidth="1"/>
    <col min="3842" max="3842" width="20.25" style="442" customWidth="1"/>
    <col min="3843" max="3843" width="8.875" style="442" customWidth="1"/>
    <col min="3844" max="3844" width="9.125" style="442" customWidth="1"/>
    <col min="3845" max="3845" width="7.25" style="442" customWidth="1"/>
    <col min="3846" max="3848" width="0" style="442" hidden="1" customWidth="1"/>
    <col min="3849" max="3854" width="5.875" style="442" customWidth="1"/>
    <col min="3855" max="3857" width="6.625" style="442" customWidth="1"/>
    <col min="3858" max="3859" width="6.75" style="442" customWidth="1"/>
    <col min="3860" max="3860" width="5.875" style="442" customWidth="1"/>
    <col min="3861" max="3863" width="6" style="442" customWidth="1"/>
    <col min="3864" max="3871" width="6.375" style="442" customWidth="1"/>
    <col min="3872" max="3872" width="5.125" style="442" customWidth="1"/>
    <col min="3873" max="3873" width="5.375" style="442" customWidth="1"/>
    <col min="3874" max="3874" width="8.125" style="442" customWidth="1"/>
    <col min="3875" max="3875" width="5.375" style="442" customWidth="1"/>
    <col min="3876" max="3878" width="0" style="442" hidden="1" customWidth="1"/>
    <col min="3879" max="4096" width="7.75" style="442"/>
    <col min="4097" max="4097" width="4.625" style="442" customWidth="1"/>
    <col min="4098" max="4098" width="20.25" style="442" customWidth="1"/>
    <col min="4099" max="4099" width="8.875" style="442" customWidth="1"/>
    <col min="4100" max="4100" width="9.125" style="442" customWidth="1"/>
    <col min="4101" max="4101" width="7.25" style="442" customWidth="1"/>
    <col min="4102" max="4104" width="0" style="442" hidden="1" customWidth="1"/>
    <col min="4105" max="4110" width="5.875" style="442" customWidth="1"/>
    <col min="4111" max="4113" width="6.625" style="442" customWidth="1"/>
    <col min="4114" max="4115" width="6.75" style="442" customWidth="1"/>
    <col min="4116" max="4116" width="5.875" style="442" customWidth="1"/>
    <col min="4117" max="4119" width="6" style="442" customWidth="1"/>
    <col min="4120" max="4127" width="6.375" style="442" customWidth="1"/>
    <col min="4128" max="4128" width="5.125" style="442" customWidth="1"/>
    <col min="4129" max="4129" width="5.375" style="442" customWidth="1"/>
    <col min="4130" max="4130" width="8.125" style="442" customWidth="1"/>
    <col min="4131" max="4131" width="5.375" style="442" customWidth="1"/>
    <col min="4132" max="4134" width="0" style="442" hidden="1" customWidth="1"/>
    <col min="4135" max="4352" width="7.75" style="442"/>
    <col min="4353" max="4353" width="4.625" style="442" customWidth="1"/>
    <col min="4354" max="4354" width="20.25" style="442" customWidth="1"/>
    <col min="4355" max="4355" width="8.875" style="442" customWidth="1"/>
    <col min="4356" max="4356" width="9.125" style="442" customWidth="1"/>
    <col min="4357" max="4357" width="7.25" style="442" customWidth="1"/>
    <col min="4358" max="4360" width="0" style="442" hidden="1" customWidth="1"/>
    <col min="4361" max="4366" width="5.875" style="442" customWidth="1"/>
    <col min="4367" max="4369" width="6.625" style="442" customWidth="1"/>
    <col min="4370" max="4371" width="6.75" style="442" customWidth="1"/>
    <col min="4372" max="4372" width="5.875" style="442" customWidth="1"/>
    <col min="4373" max="4375" width="6" style="442" customWidth="1"/>
    <col min="4376" max="4383" width="6.375" style="442" customWidth="1"/>
    <col min="4384" max="4384" width="5.125" style="442" customWidth="1"/>
    <col min="4385" max="4385" width="5.375" style="442" customWidth="1"/>
    <col min="4386" max="4386" width="8.125" style="442" customWidth="1"/>
    <col min="4387" max="4387" width="5.375" style="442" customWidth="1"/>
    <col min="4388" max="4390" width="0" style="442" hidden="1" customWidth="1"/>
    <col min="4391" max="4608" width="7.75" style="442"/>
    <col min="4609" max="4609" width="4.625" style="442" customWidth="1"/>
    <col min="4610" max="4610" width="20.25" style="442" customWidth="1"/>
    <col min="4611" max="4611" width="8.875" style="442" customWidth="1"/>
    <col min="4612" max="4612" width="9.125" style="442" customWidth="1"/>
    <col min="4613" max="4613" width="7.25" style="442" customWidth="1"/>
    <col min="4614" max="4616" width="0" style="442" hidden="1" customWidth="1"/>
    <col min="4617" max="4622" width="5.875" style="442" customWidth="1"/>
    <col min="4623" max="4625" width="6.625" style="442" customWidth="1"/>
    <col min="4626" max="4627" width="6.75" style="442" customWidth="1"/>
    <col min="4628" max="4628" width="5.875" style="442" customWidth="1"/>
    <col min="4629" max="4631" width="6" style="442" customWidth="1"/>
    <col min="4632" max="4639" width="6.375" style="442" customWidth="1"/>
    <col min="4640" max="4640" width="5.125" style="442" customWidth="1"/>
    <col min="4641" max="4641" width="5.375" style="442" customWidth="1"/>
    <col min="4642" max="4642" width="8.125" style="442" customWidth="1"/>
    <col min="4643" max="4643" width="5.375" style="442" customWidth="1"/>
    <col min="4644" max="4646" width="0" style="442" hidden="1" customWidth="1"/>
    <col min="4647" max="4864" width="7.75" style="442"/>
    <col min="4865" max="4865" width="4.625" style="442" customWidth="1"/>
    <col min="4866" max="4866" width="20.25" style="442" customWidth="1"/>
    <col min="4867" max="4867" width="8.875" style="442" customWidth="1"/>
    <col min="4868" max="4868" width="9.125" style="442" customWidth="1"/>
    <col min="4869" max="4869" width="7.25" style="442" customWidth="1"/>
    <col min="4870" max="4872" width="0" style="442" hidden="1" customWidth="1"/>
    <col min="4873" max="4878" width="5.875" style="442" customWidth="1"/>
    <col min="4879" max="4881" width="6.625" style="442" customWidth="1"/>
    <col min="4882" max="4883" width="6.75" style="442" customWidth="1"/>
    <col min="4884" max="4884" width="5.875" style="442" customWidth="1"/>
    <col min="4885" max="4887" width="6" style="442" customWidth="1"/>
    <col min="4888" max="4895" width="6.375" style="442" customWidth="1"/>
    <col min="4896" max="4896" width="5.125" style="442" customWidth="1"/>
    <col min="4897" max="4897" width="5.375" style="442" customWidth="1"/>
    <col min="4898" max="4898" width="8.125" style="442" customWidth="1"/>
    <col min="4899" max="4899" width="5.375" style="442" customWidth="1"/>
    <col min="4900" max="4902" width="0" style="442" hidden="1" customWidth="1"/>
    <col min="4903" max="5120" width="7.75" style="442"/>
    <col min="5121" max="5121" width="4.625" style="442" customWidth="1"/>
    <col min="5122" max="5122" width="20.25" style="442" customWidth="1"/>
    <col min="5123" max="5123" width="8.875" style="442" customWidth="1"/>
    <col min="5124" max="5124" width="9.125" style="442" customWidth="1"/>
    <col min="5125" max="5125" width="7.25" style="442" customWidth="1"/>
    <col min="5126" max="5128" width="0" style="442" hidden="1" customWidth="1"/>
    <col min="5129" max="5134" width="5.875" style="442" customWidth="1"/>
    <col min="5135" max="5137" width="6.625" style="442" customWidth="1"/>
    <col min="5138" max="5139" width="6.75" style="442" customWidth="1"/>
    <col min="5140" max="5140" width="5.875" style="442" customWidth="1"/>
    <col min="5141" max="5143" width="6" style="442" customWidth="1"/>
    <col min="5144" max="5151" width="6.375" style="442" customWidth="1"/>
    <col min="5152" max="5152" width="5.125" style="442" customWidth="1"/>
    <col min="5153" max="5153" width="5.375" style="442" customWidth="1"/>
    <col min="5154" max="5154" width="8.125" style="442" customWidth="1"/>
    <col min="5155" max="5155" width="5.375" style="442" customWidth="1"/>
    <col min="5156" max="5158" width="0" style="442" hidden="1" customWidth="1"/>
    <col min="5159" max="5376" width="7.75" style="442"/>
    <col min="5377" max="5377" width="4.625" style="442" customWidth="1"/>
    <col min="5378" max="5378" width="20.25" style="442" customWidth="1"/>
    <col min="5379" max="5379" width="8.875" style="442" customWidth="1"/>
    <col min="5380" max="5380" width="9.125" style="442" customWidth="1"/>
    <col min="5381" max="5381" width="7.25" style="442" customWidth="1"/>
    <col min="5382" max="5384" width="0" style="442" hidden="1" customWidth="1"/>
    <col min="5385" max="5390" width="5.875" style="442" customWidth="1"/>
    <col min="5391" max="5393" width="6.625" style="442" customWidth="1"/>
    <col min="5394" max="5395" width="6.75" style="442" customWidth="1"/>
    <col min="5396" max="5396" width="5.875" style="442" customWidth="1"/>
    <col min="5397" max="5399" width="6" style="442" customWidth="1"/>
    <col min="5400" max="5407" width="6.375" style="442" customWidth="1"/>
    <col min="5408" max="5408" width="5.125" style="442" customWidth="1"/>
    <col min="5409" max="5409" width="5.375" style="442" customWidth="1"/>
    <col min="5410" max="5410" width="8.125" style="442" customWidth="1"/>
    <col min="5411" max="5411" width="5.375" style="442" customWidth="1"/>
    <col min="5412" max="5414" width="0" style="442" hidden="1" customWidth="1"/>
    <col min="5415" max="5632" width="7.75" style="442"/>
    <col min="5633" max="5633" width="4.625" style="442" customWidth="1"/>
    <col min="5634" max="5634" width="20.25" style="442" customWidth="1"/>
    <col min="5635" max="5635" width="8.875" style="442" customWidth="1"/>
    <col min="5636" max="5636" width="9.125" style="442" customWidth="1"/>
    <col min="5637" max="5637" width="7.25" style="442" customWidth="1"/>
    <col min="5638" max="5640" width="0" style="442" hidden="1" customWidth="1"/>
    <col min="5641" max="5646" width="5.875" style="442" customWidth="1"/>
    <col min="5647" max="5649" width="6.625" style="442" customWidth="1"/>
    <col min="5650" max="5651" width="6.75" style="442" customWidth="1"/>
    <col min="5652" max="5652" width="5.875" style="442" customWidth="1"/>
    <col min="5653" max="5655" width="6" style="442" customWidth="1"/>
    <col min="5656" max="5663" width="6.375" style="442" customWidth="1"/>
    <col min="5664" max="5664" width="5.125" style="442" customWidth="1"/>
    <col min="5665" max="5665" width="5.375" style="442" customWidth="1"/>
    <col min="5666" max="5666" width="8.125" style="442" customWidth="1"/>
    <col min="5667" max="5667" width="5.375" style="442" customWidth="1"/>
    <col min="5668" max="5670" width="0" style="442" hidden="1" customWidth="1"/>
    <col min="5671" max="5888" width="7.75" style="442"/>
    <col min="5889" max="5889" width="4.625" style="442" customWidth="1"/>
    <col min="5890" max="5890" width="20.25" style="442" customWidth="1"/>
    <col min="5891" max="5891" width="8.875" style="442" customWidth="1"/>
    <col min="5892" max="5892" width="9.125" style="442" customWidth="1"/>
    <col min="5893" max="5893" width="7.25" style="442" customWidth="1"/>
    <col min="5894" max="5896" width="0" style="442" hidden="1" customWidth="1"/>
    <col min="5897" max="5902" width="5.875" style="442" customWidth="1"/>
    <col min="5903" max="5905" width="6.625" style="442" customWidth="1"/>
    <col min="5906" max="5907" width="6.75" style="442" customWidth="1"/>
    <col min="5908" max="5908" width="5.875" style="442" customWidth="1"/>
    <col min="5909" max="5911" width="6" style="442" customWidth="1"/>
    <col min="5912" max="5919" width="6.375" style="442" customWidth="1"/>
    <col min="5920" max="5920" width="5.125" style="442" customWidth="1"/>
    <col min="5921" max="5921" width="5.375" style="442" customWidth="1"/>
    <col min="5922" max="5922" width="8.125" style="442" customWidth="1"/>
    <col min="5923" max="5923" width="5.375" style="442" customWidth="1"/>
    <col min="5924" max="5926" width="0" style="442" hidden="1" customWidth="1"/>
    <col min="5927" max="6144" width="7.75" style="442"/>
    <col min="6145" max="6145" width="4.625" style="442" customWidth="1"/>
    <col min="6146" max="6146" width="20.25" style="442" customWidth="1"/>
    <col min="6147" max="6147" width="8.875" style="442" customWidth="1"/>
    <col min="6148" max="6148" width="9.125" style="442" customWidth="1"/>
    <col min="6149" max="6149" width="7.25" style="442" customWidth="1"/>
    <col min="6150" max="6152" width="0" style="442" hidden="1" customWidth="1"/>
    <col min="6153" max="6158" width="5.875" style="442" customWidth="1"/>
    <col min="6159" max="6161" width="6.625" style="442" customWidth="1"/>
    <col min="6162" max="6163" width="6.75" style="442" customWidth="1"/>
    <col min="6164" max="6164" width="5.875" style="442" customWidth="1"/>
    <col min="6165" max="6167" width="6" style="442" customWidth="1"/>
    <col min="6168" max="6175" width="6.375" style="442" customWidth="1"/>
    <col min="6176" max="6176" width="5.125" style="442" customWidth="1"/>
    <col min="6177" max="6177" width="5.375" style="442" customWidth="1"/>
    <col min="6178" max="6178" width="8.125" style="442" customWidth="1"/>
    <col min="6179" max="6179" width="5.375" style="442" customWidth="1"/>
    <col min="6180" max="6182" width="0" style="442" hidden="1" customWidth="1"/>
    <col min="6183" max="6400" width="7.75" style="442"/>
    <col min="6401" max="6401" width="4.625" style="442" customWidth="1"/>
    <col min="6402" max="6402" width="20.25" style="442" customWidth="1"/>
    <col min="6403" max="6403" width="8.875" style="442" customWidth="1"/>
    <col min="6404" max="6404" width="9.125" style="442" customWidth="1"/>
    <col min="6405" max="6405" width="7.25" style="442" customWidth="1"/>
    <col min="6406" max="6408" width="0" style="442" hidden="1" customWidth="1"/>
    <col min="6409" max="6414" width="5.875" style="442" customWidth="1"/>
    <col min="6415" max="6417" width="6.625" style="442" customWidth="1"/>
    <col min="6418" max="6419" width="6.75" style="442" customWidth="1"/>
    <col min="6420" max="6420" width="5.875" style="442" customWidth="1"/>
    <col min="6421" max="6423" width="6" style="442" customWidth="1"/>
    <col min="6424" max="6431" width="6.375" style="442" customWidth="1"/>
    <col min="6432" max="6432" width="5.125" style="442" customWidth="1"/>
    <col min="6433" max="6433" width="5.375" style="442" customWidth="1"/>
    <col min="6434" max="6434" width="8.125" style="442" customWidth="1"/>
    <col min="6435" max="6435" width="5.375" style="442" customWidth="1"/>
    <col min="6436" max="6438" width="0" style="442" hidden="1" customWidth="1"/>
    <col min="6439" max="6656" width="7.75" style="442"/>
    <col min="6657" max="6657" width="4.625" style="442" customWidth="1"/>
    <col min="6658" max="6658" width="20.25" style="442" customWidth="1"/>
    <col min="6659" max="6659" width="8.875" style="442" customWidth="1"/>
    <col min="6660" max="6660" width="9.125" style="442" customWidth="1"/>
    <col min="6661" max="6661" width="7.25" style="442" customWidth="1"/>
    <col min="6662" max="6664" width="0" style="442" hidden="1" customWidth="1"/>
    <col min="6665" max="6670" width="5.875" style="442" customWidth="1"/>
    <col min="6671" max="6673" width="6.625" style="442" customWidth="1"/>
    <col min="6674" max="6675" width="6.75" style="442" customWidth="1"/>
    <col min="6676" max="6676" width="5.875" style="442" customWidth="1"/>
    <col min="6677" max="6679" width="6" style="442" customWidth="1"/>
    <col min="6680" max="6687" width="6.375" style="442" customWidth="1"/>
    <col min="6688" max="6688" width="5.125" style="442" customWidth="1"/>
    <col min="6689" max="6689" width="5.375" style="442" customWidth="1"/>
    <col min="6690" max="6690" width="8.125" style="442" customWidth="1"/>
    <col min="6691" max="6691" width="5.375" style="442" customWidth="1"/>
    <col min="6692" max="6694" width="0" style="442" hidden="1" customWidth="1"/>
    <col min="6695" max="6912" width="7.75" style="442"/>
    <col min="6913" max="6913" width="4.625" style="442" customWidth="1"/>
    <col min="6914" max="6914" width="20.25" style="442" customWidth="1"/>
    <col min="6915" max="6915" width="8.875" style="442" customWidth="1"/>
    <col min="6916" max="6916" width="9.125" style="442" customWidth="1"/>
    <col min="6917" max="6917" width="7.25" style="442" customWidth="1"/>
    <col min="6918" max="6920" width="0" style="442" hidden="1" customWidth="1"/>
    <col min="6921" max="6926" width="5.875" style="442" customWidth="1"/>
    <col min="6927" max="6929" width="6.625" style="442" customWidth="1"/>
    <col min="6930" max="6931" width="6.75" style="442" customWidth="1"/>
    <col min="6932" max="6932" width="5.875" style="442" customWidth="1"/>
    <col min="6933" max="6935" width="6" style="442" customWidth="1"/>
    <col min="6936" max="6943" width="6.375" style="442" customWidth="1"/>
    <col min="6944" max="6944" width="5.125" style="442" customWidth="1"/>
    <col min="6945" max="6945" width="5.375" style="442" customWidth="1"/>
    <col min="6946" max="6946" width="8.125" style="442" customWidth="1"/>
    <col min="6947" max="6947" width="5.375" style="442" customWidth="1"/>
    <col min="6948" max="6950" width="0" style="442" hidden="1" customWidth="1"/>
    <col min="6951" max="7168" width="7.75" style="442"/>
    <col min="7169" max="7169" width="4.625" style="442" customWidth="1"/>
    <col min="7170" max="7170" width="20.25" style="442" customWidth="1"/>
    <col min="7171" max="7171" width="8.875" style="442" customWidth="1"/>
    <col min="7172" max="7172" width="9.125" style="442" customWidth="1"/>
    <col min="7173" max="7173" width="7.25" style="442" customWidth="1"/>
    <col min="7174" max="7176" width="0" style="442" hidden="1" customWidth="1"/>
    <col min="7177" max="7182" width="5.875" style="442" customWidth="1"/>
    <col min="7183" max="7185" width="6.625" style="442" customWidth="1"/>
    <col min="7186" max="7187" width="6.75" style="442" customWidth="1"/>
    <col min="7188" max="7188" width="5.875" style="442" customWidth="1"/>
    <col min="7189" max="7191" width="6" style="442" customWidth="1"/>
    <col min="7192" max="7199" width="6.375" style="442" customWidth="1"/>
    <col min="7200" max="7200" width="5.125" style="442" customWidth="1"/>
    <col min="7201" max="7201" width="5.375" style="442" customWidth="1"/>
    <col min="7202" max="7202" width="8.125" style="442" customWidth="1"/>
    <col min="7203" max="7203" width="5.375" style="442" customWidth="1"/>
    <col min="7204" max="7206" width="0" style="442" hidden="1" customWidth="1"/>
    <col min="7207" max="7424" width="7.75" style="442"/>
    <col min="7425" max="7425" width="4.625" style="442" customWidth="1"/>
    <col min="7426" max="7426" width="20.25" style="442" customWidth="1"/>
    <col min="7427" max="7427" width="8.875" style="442" customWidth="1"/>
    <col min="7428" max="7428" width="9.125" style="442" customWidth="1"/>
    <col min="7429" max="7429" width="7.25" style="442" customWidth="1"/>
    <col min="7430" max="7432" width="0" style="442" hidden="1" customWidth="1"/>
    <col min="7433" max="7438" width="5.875" style="442" customWidth="1"/>
    <col min="7439" max="7441" width="6.625" style="442" customWidth="1"/>
    <col min="7442" max="7443" width="6.75" style="442" customWidth="1"/>
    <col min="7444" max="7444" width="5.875" style="442" customWidth="1"/>
    <col min="7445" max="7447" width="6" style="442" customWidth="1"/>
    <col min="7448" max="7455" width="6.375" style="442" customWidth="1"/>
    <col min="7456" max="7456" width="5.125" style="442" customWidth="1"/>
    <col min="7457" max="7457" width="5.375" style="442" customWidth="1"/>
    <col min="7458" max="7458" width="8.125" style="442" customWidth="1"/>
    <col min="7459" max="7459" width="5.375" style="442" customWidth="1"/>
    <col min="7460" max="7462" width="0" style="442" hidden="1" customWidth="1"/>
    <col min="7463" max="7680" width="7.75" style="442"/>
    <col min="7681" max="7681" width="4.625" style="442" customWidth="1"/>
    <col min="7682" max="7682" width="20.25" style="442" customWidth="1"/>
    <col min="7683" max="7683" width="8.875" style="442" customWidth="1"/>
    <col min="7684" max="7684" width="9.125" style="442" customWidth="1"/>
    <col min="7685" max="7685" width="7.25" style="442" customWidth="1"/>
    <col min="7686" max="7688" width="0" style="442" hidden="1" customWidth="1"/>
    <col min="7689" max="7694" width="5.875" style="442" customWidth="1"/>
    <col min="7695" max="7697" width="6.625" style="442" customWidth="1"/>
    <col min="7698" max="7699" width="6.75" style="442" customWidth="1"/>
    <col min="7700" max="7700" width="5.875" style="442" customWidth="1"/>
    <col min="7701" max="7703" width="6" style="442" customWidth="1"/>
    <col min="7704" max="7711" width="6.375" style="442" customWidth="1"/>
    <col min="7712" max="7712" width="5.125" style="442" customWidth="1"/>
    <col min="7713" max="7713" width="5.375" style="442" customWidth="1"/>
    <col min="7714" max="7714" width="8.125" style="442" customWidth="1"/>
    <col min="7715" max="7715" width="5.375" style="442" customWidth="1"/>
    <col min="7716" max="7718" width="0" style="442" hidden="1" customWidth="1"/>
    <col min="7719" max="7936" width="7.75" style="442"/>
    <col min="7937" max="7937" width="4.625" style="442" customWidth="1"/>
    <col min="7938" max="7938" width="20.25" style="442" customWidth="1"/>
    <col min="7939" max="7939" width="8.875" style="442" customWidth="1"/>
    <col min="7940" max="7940" width="9.125" style="442" customWidth="1"/>
    <col min="7941" max="7941" width="7.25" style="442" customWidth="1"/>
    <col min="7942" max="7944" width="0" style="442" hidden="1" customWidth="1"/>
    <col min="7945" max="7950" width="5.875" style="442" customWidth="1"/>
    <col min="7951" max="7953" width="6.625" style="442" customWidth="1"/>
    <col min="7954" max="7955" width="6.75" style="442" customWidth="1"/>
    <col min="7956" max="7956" width="5.875" style="442" customWidth="1"/>
    <col min="7957" max="7959" width="6" style="442" customWidth="1"/>
    <col min="7960" max="7967" width="6.375" style="442" customWidth="1"/>
    <col min="7968" max="7968" width="5.125" style="442" customWidth="1"/>
    <col min="7969" max="7969" width="5.375" style="442" customWidth="1"/>
    <col min="7970" max="7970" width="8.125" style="442" customWidth="1"/>
    <col min="7971" max="7971" width="5.375" style="442" customWidth="1"/>
    <col min="7972" max="7974" width="0" style="442" hidden="1" customWidth="1"/>
    <col min="7975" max="8192" width="7.75" style="442"/>
    <col min="8193" max="8193" width="4.625" style="442" customWidth="1"/>
    <col min="8194" max="8194" width="20.25" style="442" customWidth="1"/>
    <col min="8195" max="8195" width="8.875" style="442" customWidth="1"/>
    <col min="8196" max="8196" width="9.125" style="442" customWidth="1"/>
    <col min="8197" max="8197" width="7.25" style="442" customWidth="1"/>
    <col min="8198" max="8200" width="0" style="442" hidden="1" customWidth="1"/>
    <col min="8201" max="8206" width="5.875" style="442" customWidth="1"/>
    <col min="8207" max="8209" width="6.625" style="442" customWidth="1"/>
    <col min="8210" max="8211" width="6.75" style="442" customWidth="1"/>
    <col min="8212" max="8212" width="5.875" style="442" customWidth="1"/>
    <col min="8213" max="8215" width="6" style="442" customWidth="1"/>
    <col min="8216" max="8223" width="6.375" style="442" customWidth="1"/>
    <col min="8224" max="8224" width="5.125" style="442" customWidth="1"/>
    <col min="8225" max="8225" width="5.375" style="442" customWidth="1"/>
    <col min="8226" max="8226" width="8.125" style="442" customWidth="1"/>
    <col min="8227" max="8227" width="5.375" style="442" customWidth="1"/>
    <col min="8228" max="8230" width="0" style="442" hidden="1" customWidth="1"/>
    <col min="8231" max="8448" width="7.75" style="442"/>
    <col min="8449" max="8449" width="4.625" style="442" customWidth="1"/>
    <col min="8450" max="8450" width="20.25" style="442" customWidth="1"/>
    <col min="8451" max="8451" width="8.875" style="442" customWidth="1"/>
    <col min="8452" max="8452" width="9.125" style="442" customWidth="1"/>
    <col min="8453" max="8453" width="7.25" style="442" customWidth="1"/>
    <col min="8454" max="8456" width="0" style="442" hidden="1" customWidth="1"/>
    <col min="8457" max="8462" width="5.875" style="442" customWidth="1"/>
    <col min="8463" max="8465" width="6.625" style="442" customWidth="1"/>
    <col min="8466" max="8467" width="6.75" style="442" customWidth="1"/>
    <col min="8468" max="8468" width="5.875" style="442" customWidth="1"/>
    <col min="8469" max="8471" width="6" style="442" customWidth="1"/>
    <col min="8472" max="8479" width="6.375" style="442" customWidth="1"/>
    <col min="8480" max="8480" width="5.125" style="442" customWidth="1"/>
    <col min="8481" max="8481" width="5.375" style="442" customWidth="1"/>
    <col min="8482" max="8482" width="8.125" style="442" customWidth="1"/>
    <col min="8483" max="8483" width="5.375" style="442" customWidth="1"/>
    <col min="8484" max="8486" width="0" style="442" hidden="1" customWidth="1"/>
    <col min="8487" max="8704" width="7.75" style="442"/>
    <col min="8705" max="8705" width="4.625" style="442" customWidth="1"/>
    <col min="8706" max="8706" width="20.25" style="442" customWidth="1"/>
    <col min="8707" max="8707" width="8.875" style="442" customWidth="1"/>
    <col min="8708" max="8708" width="9.125" style="442" customWidth="1"/>
    <col min="8709" max="8709" width="7.25" style="442" customWidth="1"/>
    <col min="8710" max="8712" width="0" style="442" hidden="1" customWidth="1"/>
    <col min="8713" max="8718" width="5.875" style="442" customWidth="1"/>
    <col min="8719" max="8721" width="6.625" style="442" customWidth="1"/>
    <col min="8722" max="8723" width="6.75" style="442" customWidth="1"/>
    <col min="8724" max="8724" width="5.875" style="442" customWidth="1"/>
    <col min="8725" max="8727" width="6" style="442" customWidth="1"/>
    <col min="8728" max="8735" width="6.375" style="442" customWidth="1"/>
    <col min="8736" max="8736" width="5.125" style="442" customWidth="1"/>
    <col min="8737" max="8737" width="5.375" style="442" customWidth="1"/>
    <col min="8738" max="8738" width="8.125" style="442" customWidth="1"/>
    <col min="8739" max="8739" width="5.375" style="442" customWidth="1"/>
    <col min="8740" max="8742" width="0" style="442" hidden="1" customWidth="1"/>
    <col min="8743" max="8960" width="7.75" style="442"/>
    <col min="8961" max="8961" width="4.625" style="442" customWidth="1"/>
    <col min="8962" max="8962" width="20.25" style="442" customWidth="1"/>
    <col min="8963" max="8963" width="8.875" style="442" customWidth="1"/>
    <col min="8964" max="8964" width="9.125" style="442" customWidth="1"/>
    <col min="8965" max="8965" width="7.25" style="442" customWidth="1"/>
    <col min="8966" max="8968" width="0" style="442" hidden="1" customWidth="1"/>
    <col min="8969" max="8974" width="5.875" style="442" customWidth="1"/>
    <col min="8975" max="8977" width="6.625" style="442" customWidth="1"/>
    <col min="8978" max="8979" width="6.75" style="442" customWidth="1"/>
    <col min="8980" max="8980" width="5.875" style="442" customWidth="1"/>
    <col min="8981" max="8983" width="6" style="442" customWidth="1"/>
    <col min="8984" max="8991" width="6.375" style="442" customWidth="1"/>
    <col min="8992" max="8992" width="5.125" style="442" customWidth="1"/>
    <col min="8993" max="8993" width="5.375" style="442" customWidth="1"/>
    <col min="8994" max="8994" width="8.125" style="442" customWidth="1"/>
    <col min="8995" max="8995" width="5.375" style="442" customWidth="1"/>
    <col min="8996" max="8998" width="0" style="442" hidden="1" customWidth="1"/>
    <col min="8999" max="9216" width="7.75" style="442"/>
    <col min="9217" max="9217" width="4.625" style="442" customWidth="1"/>
    <col min="9218" max="9218" width="20.25" style="442" customWidth="1"/>
    <col min="9219" max="9219" width="8.875" style="442" customWidth="1"/>
    <col min="9220" max="9220" width="9.125" style="442" customWidth="1"/>
    <col min="9221" max="9221" width="7.25" style="442" customWidth="1"/>
    <col min="9222" max="9224" width="0" style="442" hidden="1" customWidth="1"/>
    <col min="9225" max="9230" width="5.875" style="442" customWidth="1"/>
    <col min="9231" max="9233" width="6.625" style="442" customWidth="1"/>
    <col min="9234" max="9235" width="6.75" style="442" customWidth="1"/>
    <col min="9236" max="9236" width="5.875" style="442" customWidth="1"/>
    <col min="9237" max="9239" width="6" style="442" customWidth="1"/>
    <col min="9240" max="9247" width="6.375" style="442" customWidth="1"/>
    <col min="9248" max="9248" width="5.125" style="442" customWidth="1"/>
    <col min="9249" max="9249" width="5.375" style="442" customWidth="1"/>
    <col min="9250" max="9250" width="8.125" style="442" customWidth="1"/>
    <col min="9251" max="9251" width="5.375" style="442" customWidth="1"/>
    <col min="9252" max="9254" width="0" style="442" hidden="1" customWidth="1"/>
    <col min="9255" max="9472" width="7.75" style="442"/>
    <col min="9473" max="9473" width="4.625" style="442" customWidth="1"/>
    <col min="9474" max="9474" width="20.25" style="442" customWidth="1"/>
    <col min="9475" max="9475" width="8.875" style="442" customWidth="1"/>
    <col min="9476" max="9476" width="9.125" style="442" customWidth="1"/>
    <col min="9477" max="9477" width="7.25" style="442" customWidth="1"/>
    <col min="9478" max="9480" width="0" style="442" hidden="1" customWidth="1"/>
    <col min="9481" max="9486" width="5.875" style="442" customWidth="1"/>
    <col min="9487" max="9489" width="6.625" style="442" customWidth="1"/>
    <col min="9490" max="9491" width="6.75" style="442" customWidth="1"/>
    <col min="9492" max="9492" width="5.875" style="442" customWidth="1"/>
    <col min="9493" max="9495" width="6" style="442" customWidth="1"/>
    <col min="9496" max="9503" width="6.375" style="442" customWidth="1"/>
    <col min="9504" max="9504" width="5.125" style="442" customWidth="1"/>
    <col min="9505" max="9505" width="5.375" style="442" customWidth="1"/>
    <col min="9506" max="9506" width="8.125" style="442" customWidth="1"/>
    <col min="9507" max="9507" width="5.375" style="442" customWidth="1"/>
    <col min="9508" max="9510" width="0" style="442" hidden="1" customWidth="1"/>
    <col min="9511" max="9728" width="7.75" style="442"/>
    <col min="9729" max="9729" width="4.625" style="442" customWidth="1"/>
    <col min="9730" max="9730" width="20.25" style="442" customWidth="1"/>
    <col min="9731" max="9731" width="8.875" style="442" customWidth="1"/>
    <col min="9732" max="9732" width="9.125" style="442" customWidth="1"/>
    <col min="9733" max="9733" width="7.25" style="442" customWidth="1"/>
    <col min="9734" max="9736" width="0" style="442" hidden="1" customWidth="1"/>
    <col min="9737" max="9742" width="5.875" style="442" customWidth="1"/>
    <col min="9743" max="9745" width="6.625" style="442" customWidth="1"/>
    <col min="9746" max="9747" width="6.75" style="442" customWidth="1"/>
    <col min="9748" max="9748" width="5.875" style="442" customWidth="1"/>
    <col min="9749" max="9751" width="6" style="442" customWidth="1"/>
    <col min="9752" max="9759" width="6.375" style="442" customWidth="1"/>
    <col min="9760" max="9760" width="5.125" style="442" customWidth="1"/>
    <col min="9761" max="9761" width="5.375" style="442" customWidth="1"/>
    <col min="9762" max="9762" width="8.125" style="442" customWidth="1"/>
    <col min="9763" max="9763" width="5.375" style="442" customWidth="1"/>
    <col min="9764" max="9766" width="0" style="442" hidden="1" customWidth="1"/>
    <col min="9767" max="9984" width="7.75" style="442"/>
    <col min="9985" max="9985" width="4.625" style="442" customWidth="1"/>
    <col min="9986" max="9986" width="20.25" style="442" customWidth="1"/>
    <col min="9987" max="9987" width="8.875" style="442" customWidth="1"/>
    <col min="9988" max="9988" width="9.125" style="442" customWidth="1"/>
    <col min="9989" max="9989" width="7.25" style="442" customWidth="1"/>
    <col min="9990" max="9992" width="0" style="442" hidden="1" customWidth="1"/>
    <col min="9993" max="9998" width="5.875" style="442" customWidth="1"/>
    <col min="9999" max="10001" width="6.625" style="442" customWidth="1"/>
    <col min="10002" max="10003" width="6.75" style="442" customWidth="1"/>
    <col min="10004" max="10004" width="5.875" style="442" customWidth="1"/>
    <col min="10005" max="10007" width="6" style="442" customWidth="1"/>
    <col min="10008" max="10015" width="6.375" style="442" customWidth="1"/>
    <col min="10016" max="10016" width="5.125" style="442" customWidth="1"/>
    <col min="10017" max="10017" width="5.375" style="442" customWidth="1"/>
    <col min="10018" max="10018" width="8.125" style="442" customWidth="1"/>
    <col min="10019" max="10019" width="5.375" style="442" customWidth="1"/>
    <col min="10020" max="10022" width="0" style="442" hidden="1" customWidth="1"/>
    <col min="10023" max="10240" width="7.75" style="442"/>
    <col min="10241" max="10241" width="4.625" style="442" customWidth="1"/>
    <col min="10242" max="10242" width="20.25" style="442" customWidth="1"/>
    <col min="10243" max="10243" width="8.875" style="442" customWidth="1"/>
    <col min="10244" max="10244" width="9.125" style="442" customWidth="1"/>
    <col min="10245" max="10245" width="7.25" style="442" customWidth="1"/>
    <col min="10246" max="10248" width="0" style="442" hidden="1" customWidth="1"/>
    <col min="10249" max="10254" width="5.875" style="442" customWidth="1"/>
    <col min="10255" max="10257" width="6.625" style="442" customWidth="1"/>
    <col min="10258" max="10259" width="6.75" style="442" customWidth="1"/>
    <col min="10260" max="10260" width="5.875" style="442" customWidth="1"/>
    <col min="10261" max="10263" width="6" style="442" customWidth="1"/>
    <col min="10264" max="10271" width="6.375" style="442" customWidth="1"/>
    <col min="10272" max="10272" width="5.125" style="442" customWidth="1"/>
    <col min="10273" max="10273" width="5.375" style="442" customWidth="1"/>
    <col min="10274" max="10274" width="8.125" style="442" customWidth="1"/>
    <col min="10275" max="10275" width="5.375" style="442" customWidth="1"/>
    <col min="10276" max="10278" width="0" style="442" hidden="1" customWidth="1"/>
    <col min="10279" max="10496" width="7.75" style="442"/>
    <col min="10497" max="10497" width="4.625" style="442" customWidth="1"/>
    <col min="10498" max="10498" width="20.25" style="442" customWidth="1"/>
    <col min="10499" max="10499" width="8.875" style="442" customWidth="1"/>
    <col min="10500" max="10500" width="9.125" style="442" customWidth="1"/>
    <col min="10501" max="10501" width="7.25" style="442" customWidth="1"/>
    <col min="10502" max="10504" width="0" style="442" hidden="1" customWidth="1"/>
    <col min="10505" max="10510" width="5.875" style="442" customWidth="1"/>
    <col min="10511" max="10513" width="6.625" style="442" customWidth="1"/>
    <col min="10514" max="10515" width="6.75" style="442" customWidth="1"/>
    <col min="10516" max="10516" width="5.875" style="442" customWidth="1"/>
    <col min="10517" max="10519" width="6" style="442" customWidth="1"/>
    <col min="10520" max="10527" width="6.375" style="442" customWidth="1"/>
    <col min="10528" max="10528" width="5.125" style="442" customWidth="1"/>
    <col min="10529" max="10529" width="5.375" style="442" customWidth="1"/>
    <col min="10530" max="10530" width="8.125" style="442" customWidth="1"/>
    <col min="10531" max="10531" width="5.375" style="442" customWidth="1"/>
    <col min="10532" max="10534" width="0" style="442" hidden="1" customWidth="1"/>
    <col min="10535" max="10752" width="7.75" style="442"/>
    <col min="10753" max="10753" width="4.625" style="442" customWidth="1"/>
    <col min="10754" max="10754" width="20.25" style="442" customWidth="1"/>
    <col min="10755" max="10755" width="8.875" style="442" customWidth="1"/>
    <col min="10756" max="10756" width="9.125" style="442" customWidth="1"/>
    <col min="10757" max="10757" width="7.25" style="442" customWidth="1"/>
    <col min="10758" max="10760" width="0" style="442" hidden="1" customWidth="1"/>
    <col min="10761" max="10766" width="5.875" style="442" customWidth="1"/>
    <col min="10767" max="10769" width="6.625" style="442" customWidth="1"/>
    <col min="10770" max="10771" width="6.75" style="442" customWidth="1"/>
    <col min="10772" max="10772" width="5.875" style="442" customWidth="1"/>
    <col min="10773" max="10775" width="6" style="442" customWidth="1"/>
    <col min="10776" max="10783" width="6.375" style="442" customWidth="1"/>
    <col min="10784" max="10784" width="5.125" style="442" customWidth="1"/>
    <col min="10785" max="10785" width="5.375" style="442" customWidth="1"/>
    <col min="10786" max="10786" width="8.125" style="442" customWidth="1"/>
    <col min="10787" max="10787" width="5.375" style="442" customWidth="1"/>
    <col min="10788" max="10790" width="0" style="442" hidden="1" customWidth="1"/>
    <col min="10791" max="11008" width="7.75" style="442"/>
    <col min="11009" max="11009" width="4.625" style="442" customWidth="1"/>
    <col min="11010" max="11010" width="20.25" style="442" customWidth="1"/>
    <col min="11011" max="11011" width="8.875" style="442" customWidth="1"/>
    <col min="11012" max="11012" width="9.125" style="442" customWidth="1"/>
    <col min="11013" max="11013" width="7.25" style="442" customWidth="1"/>
    <col min="11014" max="11016" width="0" style="442" hidden="1" customWidth="1"/>
    <col min="11017" max="11022" width="5.875" style="442" customWidth="1"/>
    <col min="11023" max="11025" width="6.625" style="442" customWidth="1"/>
    <col min="11026" max="11027" width="6.75" style="442" customWidth="1"/>
    <col min="11028" max="11028" width="5.875" style="442" customWidth="1"/>
    <col min="11029" max="11031" width="6" style="442" customWidth="1"/>
    <col min="11032" max="11039" width="6.375" style="442" customWidth="1"/>
    <col min="11040" max="11040" width="5.125" style="442" customWidth="1"/>
    <col min="11041" max="11041" width="5.375" style="442" customWidth="1"/>
    <col min="11042" max="11042" width="8.125" style="442" customWidth="1"/>
    <col min="11043" max="11043" width="5.375" style="442" customWidth="1"/>
    <col min="11044" max="11046" width="0" style="442" hidden="1" customWidth="1"/>
    <col min="11047" max="11264" width="7.75" style="442"/>
    <col min="11265" max="11265" width="4.625" style="442" customWidth="1"/>
    <col min="11266" max="11266" width="20.25" style="442" customWidth="1"/>
    <col min="11267" max="11267" width="8.875" style="442" customWidth="1"/>
    <col min="11268" max="11268" width="9.125" style="442" customWidth="1"/>
    <col min="11269" max="11269" width="7.25" style="442" customWidth="1"/>
    <col min="11270" max="11272" width="0" style="442" hidden="1" customWidth="1"/>
    <col min="11273" max="11278" width="5.875" style="442" customWidth="1"/>
    <col min="11279" max="11281" width="6.625" style="442" customWidth="1"/>
    <col min="11282" max="11283" width="6.75" style="442" customWidth="1"/>
    <col min="11284" max="11284" width="5.875" style="442" customWidth="1"/>
    <col min="11285" max="11287" width="6" style="442" customWidth="1"/>
    <col min="11288" max="11295" width="6.375" style="442" customWidth="1"/>
    <col min="11296" max="11296" width="5.125" style="442" customWidth="1"/>
    <col min="11297" max="11297" width="5.375" style="442" customWidth="1"/>
    <col min="11298" max="11298" width="8.125" style="442" customWidth="1"/>
    <col min="11299" max="11299" width="5.375" style="442" customWidth="1"/>
    <col min="11300" max="11302" width="0" style="442" hidden="1" customWidth="1"/>
    <col min="11303" max="11520" width="7.75" style="442"/>
    <col min="11521" max="11521" width="4.625" style="442" customWidth="1"/>
    <col min="11522" max="11522" width="20.25" style="442" customWidth="1"/>
    <col min="11523" max="11523" width="8.875" style="442" customWidth="1"/>
    <col min="11524" max="11524" width="9.125" style="442" customWidth="1"/>
    <col min="11525" max="11525" width="7.25" style="442" customWidth="1"/>
    <col min="11526" max="11528" width="0" style="442" hidden="1" customWidth="1"/>
    <col min="11529" max="11534" width="5.875" style="442" customWidth="1"/>
    <col min="11535" max="11537" width="6.625" style="442" customWidth="1"/>
    <col min="11538" max="11539" width="6.75" style="442" customWidth="1"/>
    <col min="11540" max="11540" width="5.875" style="442" customWidth="1"/>
    <col min="11541" max="11543" width="6" style="442" customWidth="1"/>
    <col min="11544" max="11551" width="6.375" style="442" customWidth="1"/>
    <col min="11552" max="11552" width="5.125" style="442" customWidth="1"/>
    <col min="11553" max="11553" width="5.375" style="442" customWidth="1"/>
    <col min="11554" max="11554" width="8.125" style="442" customWidth="1"/>
    <col min="11555" max="11555" width="5.375" style="442" customWidth="1"/>
    <col min="11556" max="11558" width="0" style="442" hidden="1" customWidth="1"/>
    <col min="11559" max="11776" width="7.75" style="442"/>
    <col min="11777" max="11777" width="4.625" style="442" customWidth="1"/>
    <col min="11778" max="11778" width="20.25" style="442" customWidth="1"/>
    <col min="11779" max="11779" width="8.875" style="442" customWidth="1"/>
    <col min="11780" max="11780" width="9.125" style="442" customWidth="1"/>
    <col min="11781" max="11781" width="7.25" style="442" customWidth="1"/>
    <col min="11782" max="11784" width="0" style="442" hidden="1" customWidth="1"/>
    <col min="11785" max="11790" width="5.875" style="442" customWidth="1"/>
    <col min="11791" max="11793" width="6.625" style="442" customWidth="1"/>
    <col min="11794" max="11795" width="6.75" style="442" customWidth="1"/>
    <col min="11796" max="11796" width="5.875" style="442" customWidth="1"/>
    <col min="11797" max="11799" width="6" style="442" customWidth="1"/>
    <col min="11800" max="11807" width="6.375" style="442" customWidth="1"/>
    <col min="11808" max="11808" width="5.125" style="442" customWidth="1"/>
    <col min="11809" max="11809" width="5.375" style="442" customWidth="1"/>
    <col min="11810" max="11810" width="8.125" style="442" customWidth="1"/>
    <col min="11811" max="11811" width="5.375" style="442" customWidth="1"/>
    <col min="11812" max="11814" width="0" style="442" hidden="1" customWidth="1"/>
    <col min="11815" max="12032" width="7.75" style="442"/>
    <col min="12033" max="12033" width="4.625" style="442" customWidth="1"/>
    <col min="12034" max="12034" width="20.25" style="442" customWidth="1"/>
    <col min="12035" max="12035" width="8.875" style="442" customWidth="1"/>
    <col min="12036" max="12036" width="9.125" style="442" customWidth="1"/>
    <col min="12037" max="12037" width="7.25" style="442" customWidth="1"/>
    <col min="12038" max="12040" width="0" style="442" hidden="1" customWidth="1"/>
    <col min="12041" max="12046" width="5.875" style="442" customWidth="1"/>
    <col min="12047" max="12049" width="6.625" style="442" customWidth="1"/>
    <col min="12050" max="12051" width="6.75" style="442" customWidth="1"/>
    <col min="12052" max="12052" width="5.875" style="442" customWidth="1"/>
    <col min="12053" max="12055" width="6" style="442" customWidth="1"/>
    <col min="12056" max="12063" width="6.375" style="442" customWidth="1"/>
    <col min="12064" max="12064" width="5.125" style="442" customWidth="1"/>
    <col min="12065" max="12065" width="5.375" style="442" customWidth="1"/>
    <col min="12066" max="12066" width="8.125" style="442" customWidth="1"/>
    <col min="12067" max="12067" width="5.375" style="442" customWidth="1"/>
    <col min="12068" max="12070" width="0" style="442" hidden="1" customWidth="1"/>
    <col min="12071" max="12288" width="7.75" style="442"/>
    <col min="12289" max="12289" width="4.625" style="442" customWidth="1"/>
    <col min="12290" max="12290" width="20.25" style="442" customWidth="1"/>
    <col min="12291" max="12291" width="8.875" style="442" customWidth="1"/>
    <col min="12292" max="12292" width="9.125" style="442" customWidth="1"/>
    <col min="12293" max="12293" width="7.25" style="442" customWidth="1"/>
    <col min="12294" max="12296" width="0" style="442" hidden="1" customWidth="1"/>
    <col min="12297" max="12302" width="5.875" style="442" customWidth="1"/>
    <col min="12303" max="12305" width="6.625" style="442" customWidth="1"/>
    <col min="12306" max="12307" width="6.75" style="442" customWidth="1"/>
    <col min="12308" max="12308" width="5.875" style="442" customWidth="1"/>
    <col min="12309" max="12311" width="6" style="442" customWidth="1"/>
    <col min="12312" max="12319" width="6.375" style="442" customWidth="1"/>
    <col min="12320" max="12320" width="5.125" style="442" customWidth="1"/>
    <col min="12321" max="12321" width="5.375" style="442" customWidth="1"/>
    <col min="12322" max="12322" width="8.125" style="442" customWidth="1"/>
    <col min="12323" max="12323" width="5.375" style="442" customWidth="1"/>
    <col min="12324" max="12326" width="0" style="442" hidden="1" customWidth="1"/>
    <col min="12327" max="12544" width="7.75" style="442"/>
    <col min="12545" max="12545" width="4.625" style="442" customWidth="1"/>
    <col min="12546" max="12546" width="20.25" style="442" customWidth="1"/>
    <col min="12547" max="12547" width="8.875" style="442" customWidth="1"/>
    <col min="12548" max="12548" width="9.125" style="442" customWidth="1"/>
    <col min="12549" max="12549" width="7.25" style="442" customWidth="1"/>
    <col min="12550" max="12552" width="0" style="442" hidden="1" customWidth="1"/>
    <col min="12553" max="12558" width="5.875" style="442" customWidth="1"/>
    <col min="12559" max="12561" width="6.625" style="442" customWidth="1"/>
    <col min="12562" max="12563" width="6.75" style="442" customWidth="1"/>
    <col min="12564" max="12564" width="5.875" style="442" customWidth="1"/>
    <col min="12565" max="12567" width="6" style="442" customWidth="1"/>
    <col min="12568" max="12575" width="6.375" style="442" customWidth="1"/>
    <col min="12576" max="12576" width="5.125" style="442" customWidth="1"/>
    <col min="12577" max="12577" width="5.375" style="442" customWidth="1"/>
    <col min="12578" max="12578" width="8.125" style="442" customWidth="1"/>
    <col min="12579" max="12579" width="5.375" style="442" customWidth="1"/>
    <col min="12580" max="12582" width="0" style="442" hidden="1" customWidth="1"/>
    <col min="12583" max="12800" width="7.75" style="442"/>
    <col min="12801" max="12801" width="4.625" style="442" customWidth="1"/>
    <col min="12802" max="12802" width="20.25" style="442" customWidth="1"/>
    <col min="12803" max="12803" width="8.875" style="442" customWidth="1"/>
    <col min="12804" max="12804" width="9.125" style="442" customWidth="1"/>
    <col min="12805" max="12805" width="7.25" style="442" customWidth="1"/>
    <col min="12806" max="12808" width="0" style="442" hidden="1" customWidth="1"/>
    <col min="12809" max="12814" width="5.875" style="442" customWidth="1"/>
    <col min="12815" max="12817" width="6.625" style="442" customWidth="1"/>
    <col min="12818" max="12819" width="6.75" style="442" customWidth="1"/>
    <col min="12820" max="12820" width="5.875" style="442" customWidth="1"/>
    <col min="12821" max="12823" width="6" style="442" customWidth="1"/>
    <col min="12824" max="12831" width="6.375" style="442" customWidth="1"/>
    <col min="12832" max="12832" width="5.125" style="442" customWidth="1"/>
    <col min="12833" max="12833" width="5.375" style="442" customWidth="1"/>
    <col min="12834" max="12834" width="8.125" style="442" customWidth="1"/>
    <col min="12835" max="12835" width="5.375" style="442" customWidth="1"/>
    <col min="12836" max="12838" width="0" style="442" hidden="1" customWidth="1"/>
    <col min="12839" max="13056" width="7.75" style="442"/>
    <col min="13057" max="13057" width="4.625" style="442" customWidth="1"/>
    <col min="13058" max="13058" width="20.25" style="442" customWidth="1"/>
    <col min="13059" max="13059" width="8.875" style="442" customWidth="1"/>
    <col min="13060" max="13060" width="9.125" style="442" customWidth="1"/>
    <col min="13061" max="13061" width="7.25" style="442" customWidth="1"/>
    <col min="13062" max="13064" width="0" style="442" hidden="1" customWidth="1"/>
    <col min="13065" max="13070" width="5.875" style="442" customWidth="1"/>
    <col min="13071" max="13073" width="6.625" style="442" customWidth="1"/>
    <col min="13074" max="13075" width="6.75" style="442" customWidth="1"/>
    <col min="13076" max="13076" width="5.875" style="442" customWidth="1"/>
    <col min="13077" max="13079" width="6" style="442" customWidth="1"/>
    <col min="13080" max="13087" width="6.375" style="442" customWidth="1"/>
    <col min="13088" max="13088" width="5.125" style="442" customWidth="1"/>
    <col min="13089" max="13089" width="5.375" style="442" customWidth="1"/>
    <col min="13090" max="13090" width="8.125" style="442" customWidth="1"/>
    <col min="13091" max="13091" width="5.375" style="442" customWidth="1"/>
    <col min="13092" max="13094" width="0" style="442" hidden="1" customWidth="1"/>
    <col min="13095" max="13312" width="7.75" style="442"/>
    <col min="13313" max="13313" width="4.625" style="442" customWidth="1"/>
    <col min="13314" max="13314" width="20.25" style="442" customWidth="1"/>
    <col min="13315" max="13315" width="8.875" style="442" customWidth="1"/>
    <col min="13316" max="13316" width="9.125" style="442" customWidth="1"/>
    <col min="13317" max="13317" width="7.25" style="442" customWidth="1"/>
    <col min="13318" max="13320" width="0" style="442" hidden="1" customWidth="1"/>
    <col min="13321" max="13326" width="5.875" style="442" customWidth="1"/>
    <col min="13327" max="13329" width="6.625" style="442" customWidth="1"/>
    <col min="13330" max="13331" width="6.75" style="442" customWidth="1"/>
    <col min="13332" max="13332" width="5.875" style="442" customWidth="1"/>
    <col min="13333" max="13335" width="6" style="442" customWidth="1"/>
    <col min="13336" max="13343" width="6.375" style="442" customWidth="1"/>
    <col min="13344" max="13344" width="5.125" style="442" customWidth="1"/>
    <col min="13345" max="13345" width="5.375" style="442" customWidth="1"/>
    <col min="13346" max="13346" width="8.125" style="442" customWidth="1"/>
    <col min="13347" max="13347" width="5.375" style="442" customWidth="1"/>
    <col min="13348" max="13350" width="0" style="442" hidden="1" customWidth="1"/>
    <col min="13351" max="13568" width="7.75" style="442"/>
    <col min="13569" max="13569" width="4.625" style="442" customWidth="1"/>
    <col min="13570" max="13570" width="20.25" style="442" customWidth="1"/>
    <col min="13571" max="13571" width="8.875" style="442" customWidth="1"/>
    <col min="13572" max="13572" width="9.125" style="442" customWidth="1"/>
    <col min="13573" max="13573" width="7.25" style="442" customWidth="1"/>
    <col min="13574" max="13576" width="0" style="442" hidden="1" customWidth="1"/>
    <col min="13577" max="13582" width="5.875" style="442" customWidth="1"/>
    <col min="13583" max="13585" width="6.625" style="442" customWidth="1"/>
    <col min="13586" max="13587" width="6.75" style="442" customWidth="1"/>
    <col min="13588" max="13588" width="5.875" style="442" customWidth="1"/>
    <col min="13589" max="13591" width="6" style="442" customWidth="1"/>
    <col min="13592" max="13599" width="6.375" style="442" customWidth="1"/>
    <col min="13600" max="13600" width="5.125" style="442" customWidth="1"/>
    <col min="13601" max="13601" width="5.375" style="442" customWidth="1"/>
    <col min="13602" max="13602" width="8.125" style="442" customWidth="1"/>
    <col min="13603" max="13603" width="5.375" style="442" customWidth="1"/>
    <col min="13604" max="13606" width="0" style="442" hidden="1" customWidth="1"/>
    <col min="13607" max="13824" width="7.75" style="442"/>
    <col min="13825" max="13825" width="4.625" style="442" customWidth="1"/>
    <col min="13826" max="13826" width="20.25" style="442" customWidth="1"/>
    <col min="13827" max="13827" width="8.875" style="442" customWidth="1"/>
    <col min="13828" max="13828" width="9.125" style="442" customWidth="1"/>
    <col min="13829" max="13829" width="7.25" style="442" customWidth="1"/>
    <col min="13830" max="13832" width="0" style="442" hidden="1" customWidth="1"/>
    <col min="13833" max="13838" width="5.875" style="442" customWidth="1"/>
    <col min="13839" max="13841" width="6.625" style="442" customWidth="1"/>
    <col min="13842" max="13843" width="6.75" style="442" customWidth="1"/>
    <col min="13844" max="13844" width="5.875" style="442" customWidth="1"/>
    <col min="13845" max="13847" width="6" style="442" customWidth="1"/>
    <col min="13848" max="13855" width="6.375" style="442" customWidth="1"/>
    <col min="13856" max="13856" width="5.125" style="442" customWidth="1"/>
    <col min="13857" max="13857" width="5.375" style="442" customWidth="1"/>
    <col min="13858" max="13858" width="8.125" style="442" customWidth="1"/>
    <col min="13859" max="13859" width="5.375" style="442" customWidth="1"/>
    <col min="13860" max="13862" width="0" style="442" hidden="1" customWidth="1"/>
    <col min="13863" max="14080" width="7.75" style="442"/>
    <col min="14081" max="14081" width="4.625" style="442" customWidth="1"/>
    <col min="14082" max="14082" width="20.25" style="442" customWidth="1"/>
    <col min="14083" max="14083" width="8.875" style="442" customWidth="1"/>
    <col min="14084" max="14084" width="9.125" style="442" customWidth="1"/>
    <col min="14085" max="14085" width="7.25" style="442" customWidth="1"/>
    <col min="14086" max="14088" width="0" style="442" hidden="1" customWidth="1"/>
    <col min="14089" max="14094" width="5.875" style="442" customWidth="1"/>
    <col min="14095" max="14097" width="6.625" style="442" customWidth="1"/>
    <col min="14098" max="14099" width="6.75" style="442" customWidth="1"/>
    <col min="14100" max="14100" width="5.875" style="442" customWidth="1"/>
    <col min="14101" max="14103" width="6" style="442" customWidth="1"/>
    <col min="14104" max="14111" width="6.375" style="442" customWidth="1"/>
    <col min="14112" max="14112" width="5.125" style="442" customWidth="1"/>
    <col min="14113" max="14113" width="5.375" style="442" customWidth="1"/>
    <col min="14114" max="14114" width="8.125" style="442" customWidth="1"/>
    <col min="14115" max="14115" width="5.375" style="442" customWidth="1"/>
    <col min="14116" max="14118" width="0" style="442" hidden="1" customWidth="1"/>
    <col min="14119" max="14336" width="7.75" style="442"/>
    <col min="14337" max="14337" width="4.625" style="442" customWidth="1"/>
    <col min="14338" max="14338" width="20.25" style="442" customWidth="1"/>
    <col min="14339" max="14339" width="8.875" style="442" customWidth="1"/>
    <col min="14340" max="14340" width="9.125" style="442" customWidth="1"/>
    <col min="14341" max="14341" width="7.25" style="442" customWidth="1"/>
    <col min="14342" max="14344" width="0" style="442" hidden="1" customWidth="1"/>
    <col min="14345" max="14350" width="5.875" style="442" customWidth="1"/>
    <col min="14351" max="14353" width="6.625" style="442" customWidth="1"/>
    <col min="14354" max="14355" width="6.75" style="442" customWidth="1"/>
    <col min="14356" max="14356" width="5.875" style="442" customWidth="1"/>
    <col min="14357" max="14359" width="6" style="442" customWidth="1"/>
    <col min="14360" max="14367" width="6.375" style="442" customWidth="1"/>
    <col min="14368" max="14368" width="5.125" style="442" customWidth="1"/>
    <col min="14369" max="14369" width="5.375" style="442" customWidth="1"/>
    <col min="14370" max="14370" width="8.125" style="442" customWidth="1"/>
    <col min="14371" max="14371" width="5.375" style="442" customWidth="1"/>
    <col min="14372" max="14374" width="0" style="442" hidden="1" customWidth="1"/>
    <col min="14375" max="14592" width="7.75" style="442"/>
    <col min="14593" max="14593" width="4.625" style="442" customWidth="1"/>
    <col min="14594" max="14594" width="20.25" style="442" customWidth="1"/>
    <col min="14595" max="14595" width="8.875" style="442" customWidth="1"/>
    <col min="14596" max="14596" width="9.125" style="442" customWidth="1"/>
    <col min="14597" max="14597" width="7.25" style="442" customWidth="1"/>
    <col min="14598" max="14600" width="0" style="442" hidden="1" customWidth="1"/>
    <col min="14601" max="14606" width="5.875" style="442" customWidth="1"/>
    <col min="14607" max="14609" width="6.625" style="442" customWidth="1"/>
    <col min="14610" max="14611" width="6.75" style="442" customWidth="1"/>
    <col min="14612" max="14612" width="5.875" style="442" customWidth="1"/>
    <col min="14613" max="14615" width="6" style="442" customWidth="1"/>
    <col min="14616" max="14623" width="6.375" style="442" customWidth="1"/>
    <col min="14624" max="14624" width="5.125" style="442" customWidth="1"/>
    <col min="14625" max="14625" width="5.375" style="442" customWidth="1"/>
    <col min="14626" max="14626" width="8.125" style="442" customWidth="1"/>
    <col min="14627" max="14627" width="5.375" style="442" customWidth="1"/>
    <col min="14628" max="14630" width="0" style="442" hidden="1" customWidth="1"/>
    <col min="14631" max="14848" width="7.75" style="442"/>
    <col min="14849" max="14849" width="4.625" style="442" customWidth="1"/>
    <col min="14850" max="14850" width="20.25" style="442" customWidth="1"/>
    <col min="14851" max="14851" width="8.875" style="442" customWidth="1"/>
    <col min="14852" max="14852" width="9.125" style="442" customWidth="1"/>
    <col min="14853" max="14853" width="7.25" style="442" customWidth="1"/>
    <col min="14854" max="14856" width="0" style="442" hidden="1" customWidth="1"/>
    <col min="14857" max="14862" width="5.875" style="442" customWidth="1"/>
    <col min="14863" max="14865" width="6.625" style="442" customWidth="1"/>
    <col min="14866" max="14867" width="6.75" style="442" customWidth="1"/>
    <col min="14868" max="14868" width="5.875" style="442" customWidth="1"/>
    <col min="14869" max="14871" width="6" style="442" customWidth="1"/>
    <col min="14872" max="14879" width="6.375" style="442" customWidth="1"/>
    <col min="14880" max="14880" width="5.125" style="442" customWidth="1"/>
    <col min="14881" max="14881" width="5.375" style="442" customWidth="1"/>
    <col min="14882" max="14882" width="8.125" style="442" customWidth="1"/>
    <col min="14883" max="14883" width="5.375" style="442" customWidth="1"/>
    <col min="14884" max="14886" width="0" style="442" hidden="1" customWidth="1"/>
    <col min="14887" max="15104" width="7.75" style="442"/>
    <col min="15105" max="15105" width="4.625" style="442" customWidth="1"/>
    <col min="15106" max="15106" width="20.25" style="442" customWidth="1"/>
    <col min="15107" max="15107" width="8.875" style="442" customWidth="1"/>
    <col min="15108" max="15108" width="9.125" style="442" customWidth="1"/>
    <col min="15109" max="15109" width="7.25" style="442" customWidth="1"/>
    <col min="15110" max="15112" width="0" style="442" hidden="1" customWidth="1"/>
    <col min="15113" max="15118" width="5.875" style="442" customWidth="1"/>
    <col min="15119" max="15121" width="6.625" style="442" customWidth="1"/>
    <col min="15122" max="15123" width="6.75" style="442" customWidth="1"/>
    <col min="15124" max="15124" width="5.875" style="442" customWidth="1"/>
    <col min="15125" max="15127" width="6" style="442" customWidth="1"/>
    <col min="15128" max="15135" width="6.375" style="442" customWidth="1"/>
    <col min="15136" max="15136" width="5.125" style="442" customWidth="1"/>
    <col min="15137" max="15137" width="5.375" style="442" customWidth="1"/>
    <col min="15138" max="15138" width="8.125" style="442" customWidth="1"/>
    <col min="15139" max="15139" width="5.375" style="442" customWidth="1"/>
    <col min="15140" max="15142" width="0" style="442" hidden="1" customWidth="1"/>
    <col min="15143" max="15360" width="7.75" style="442"/>
    <col min="15361" max="15361" width="4.625" style="442" customWidth="1"/>
    <col min="15362" max="15362" width="20.25" style="442" customWidth="1"/>
    <col min="15363" max="15363" width="8.875" style="442" customWidth="1"/>
    <col min="15364" max="15364" width="9.125" style="442" customWidth="1"/>
    <col min="15365" max="15365" width="7.25" style="442" customWidth="1"/>
    <col min="15366" max="15368" width="0" style="442" hidden="1" customWidth="1"/>
    <col min="15369" max="15374" width="5.875" style="442" customWidth="1"/>
    <col min="15375" max="15377" width="6.625" style="442" customWidth="1"/>
    <col min="15378" max="15379" width="6.75" style="442" customWidth="1"/>
    <col min="15380" max="15380" width="5.875" style="442" customWidth="1"/>
    <col min="15381" max="15383" width="6" style="442" customWidth="1"/>
    <col min="15384" max="15391" width="6.375" style="442" customWidth="1"/>
    <col min="15392" max="15392" width="5.125" style="442" customWidth="1"/>
    <col min="15393" max="15393" width="5.375" style="442" customWidth="1"/>
    <col min="15394" max="15394" width="8.125" style="442" customWidth="1"/>
    <col min="15395" max="15395" width="5.375" style="442" customWidth="1"/>
    <col min="15396" max="15398" width="0" style="442" hidden="1" customWidth="1"/>
    <col min="15399" max="15616" width="7.75" style="442"/>
    <col min="15617" max="15617" width="4.625" style="442" customWidth="1"/>
    <col min="15618" max="15618" width="20.25" style="442" customWidth="1"/>
    <col min="15619" max="15619" width="8.875" style="442" customWidth="1"/>
    <col min="15620" max="15620" width="9.125" style="442" customWidth="1"/>
    <col min="15621" max="15621" width="7.25" style="442" customWidth="1"/>
    <col min="15622" max="15624" width="0" style="442" hidden="1" customWidth="1"/>
    <col min="15625" max="15630" width="5.875" style="442" customWidth="1"/>
    <col min="15631" max="15633" width="6.625" style="442" customWidth="1"/>
    <col min="15634" max="15635" width="6.75" style="442" customWidth="1"/>
    <col min="15636" max="15636" width="5.875" style="442" customWidth="1"/>
    <col min="15637" max="15639" width="6" style="442" customWidth="1"/>
    <col min="15640" max="15647" width="6.375" style="442" customWidth="1"/>
    <col min="15648" max="15648" width="5.125" style="442" customWidth="1"/>
    <col min="15649" max="15649" width="5.375" style="442" customWidth="1"/>
    <col min="15650" max="15650" width="8.125" style="442" customWidth="1"/>
    <col min="15651" max="15651" width="5.375" style="442" customWidth="1"/>
    <col min="15652" max="15654" width="0" style="442" hidden="1" customWidth="1"/>
    <col min="15655" max="15872" width="7.75" style="442"/>
    <col min="15873" max="15873" width="4.625" style="442" customWidth="1"/>
    <col min="15874" max="15874" width="20.25" style="442" customWidth="1"/>
    <col min="15875" max="15875" width="8.875" style="442" customWidth="1"/>
    <col min="15876" max="15876" width="9.125" style="442" customWidth="1"/>
    <col min="15877" max="15877" width="7.25" style="442" customWidth="1"/>
    <col min="15878" max="15880" width="0" style="442" hidden="1" customWidth="1"/>
    <col min="15881" max="15886" width="5.875" style="442" customWidth="1"/>
    <col min="15887" max="15889" width="6.625" style="442" customWidth="1"/>
    <col min="15890" max="15891" width="6.75" style="442" customWidth="1"/>
    <col min="15892" max="15892" width="5.875" style="442" customWidth="1"/>
    <col min="15893" max="15895" width="6" style="442" customWidth="1"/>
    <col min="15896" max="15903" width="6.375" style="442" customWidth="1"/>
    <col min="15904" max="15904" width="5.125" style="442" customWidth="1"/>
    <col min="15905" max="15905" width="5.375" style="442" customWidth="1"/>
    <col min="15906" max="15906" width="8.125" style="442" customWidth="1"/>
    <col min="15907" max="15907" width="5.375" style="442" customWidth="1"/>
    <col min="15908" max="15910" width="0" style="442" hidden="1" customWidth="1"/>
    <col min="15911" max="16128" width="7.75" style="442"/>
    <col min="16129" max="16129" width="4.625" style="442" customWidth="1"/>
    <col min="16130" max="16130" width="20.25" style="442" customWidth="1"/>
    <col min="16131" max="16131" width="8.875" style="442" customWidth="1"/>
    <col min="16132" max="16132" width="9.125" style="442" customWidth="1"/>
    <col min="16133" max="16133" width="7.25" style="442" customWidth="1"/>
    <col min="16134" max="16136" width="0" style="442" hidden="1" customWidth="1"/>
    <col min="16137" max="16142" width="5.875" style="442" customWidth="1"/>
    <col min="16143" max="16145" width="6.625" style="442" customWidth="1"/>
    <col min="16146" max="16147" width="6.75" style="442" customWidth="1"/>
    <col min="16148" max="16148" width="5.875" style="442" customWidth="1"/>
    <col min="16149" max="16151" width="6" style="442" customWidth="1"/>
    <col min="16152" max="16159" width="6.375" style="442" customWidth="1"/>
    <col min="16160" max="16160" width="5.125" style="442" customWidth="1"/>
    <col min="16161" max="16161" width="5.375" style="442" customWidth="1"/>
    <col min="16162" max="16162" width="8.125" style="442" customWidth="1"/>
    <col min="16163" max="16163" width="5.375" style="442" customWidth="1"/>
    <col min="16164" max="16166" width="0" style="442" hidden="1" customWidth="1"/>
    <col min="16167" max="16384" width="7.75" style="442"/>
  </cols>
  <sheetData>
    <row r="1" spans="1:38" s="440" customFormat="1" ht="26.25" x14ac:dyDescent="0.25">
      <c r="A1" s="1164" t="s">
        <v>491</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row>
    <row r="2" spans="1:38" s="440" customFormat="1" ht="26.25" x14ac:dyDescent="0.25">
      <c r="A2" s="1042" t="s">
        <v>1191</v>
      </c>
      <c r="B2" s="1042"/>
      <c r="C2" s="1042"/>
      <c r="D2" s="1042"/>
      <c r="E2" s="1042"/>
      <c r="F2" s="1042"/>
      <c r="G2" s="1042"/>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c r="AF2" s="1042"/>
      <c r="AG2" s="1042"/>
      <c r="AH2" s="1042"/>
      <c r="AI2" s="1042"/>
      <c r="AJ2" s="1042"/>
      <c r="AK2" s="1042"/>
      <c r="AL2" s="1042"/>
    </row>
    <row r="3" spans="1:38" ht="23.25" x14ac:dyDescent="0.25">
      <c r="H3" s="616"/>
      <c r="I3" s="474"/>
      <c r="J3" s="617"/>
      <c r="K3" s="617"/>
      <c r="L3" s="474"/>
      <c r="M3" s="617"/>
      <c r="N3" s="617"/>
      <c r="O3" s="617"/>
      <c r="P3" s="617"/>
      <c r="Q3" s="617"/>
      <c r="R3" s="617"/>
      <c r="S3" s="617"/>
      <c r="T3" s="617"/>
      <c r="U3" s="617"/>
      <c r="V3" s="617"/>
      <c r="W3" s="617"/>
      <c r="X3" s="617"/>
      <c r="AA3" s="617"/>
      <c r="AF3" s="1182" t="s">
        <v>492</v>
      </c>
      <c r="AG3" s="1182"/>
      <c r="AH3" s="1182"/>
      <c r="AI3" s="1182"/>
      <c r="AK3" s="1183" t="s">
        <v>492</v>
      </c>
      <c r="AL3" s="1183"/>
    </row>
    <row r="4" spans="1:38" s="444" customFormat="1" ht="21" customHeight="1" x14ac:dyDescent="0.25">
      <c r="A4" s="1162" t="s">
        <v>1</v>
      </c>
      <c r="B4" s="1162" t="s">
        <v>36</v>
      </c>
      <c r="C4" s="1162" t="s">
        <v>328</v>
      </c>
      <c r="D4" s="1162"/>
      <c r="E4" s="1162"/>
      <c r="F4" s="1184" t="s">
        <v>493</v>
      </c>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6"/>
      <c r="AJ4" s="618"/>
      <c r="AK4" s="618"/>
      <c r="AL4" s="618"/>
    </row>
    <row r="5" spans="1:38" s="444" customFormat="1" ht="12.75" x14ac:dyDescent="0.25">
      <c r="A5" s="1162"/>
      <c r="B5" s="1162"/>
      <c r="C5" s="1162"/>
      <c r="D5" s="1162"/>
      <c r="E5" s="1162"/>
      <c r="F5" s="1157" t="s">
        <v>494</v>
      </c>
      <c r="G5" s="1157"/>
      <c r="H5" s="1157"/>
      <c r="I5" s="1187" t="s">
        <v>495</v>
      </c>
      <c r="J5" s="1187"/>
      <c r="K5" s="1187"/>
      <c r="L5" s="1187" t="s">
        <v>496</v>
      </c>
      <c r="M5" s="1187"/>
      <c r="N5" s="1187"/>
      <c r="O5" s="1187" t="s">
        <v>497</v>
      </c>
      <c r="P5" s="1187"/>
      <c r="Q5" s="1187"/>
      <c r="R5" s="1187" t="s">
        <v>498</v>
      </c>
      <c r="S5" s="1187"/>
      <c r="T5" s="1187"/>
      <c r="U5" s="1187" t="s">
        <v>499</v>
      </c>
      <c r="V5" s="1187"/>
      <c r="W5" s="1187"/>
      <c r="X5" s="1187" t="s">
        <v>500</v>
      </c>
      <c r="Y5" s="1187"/>
      <c r="Z5" s="1187"/>
      <c r="AA5" s="1187" t="s">
        <v>501</v>
      </c>
      <c r="AB5" s="1187"/>
      <c r="AC5" s="1187"/>
      <c r="AD5" s="1187" t="s">
        <v>502</v>
      </c>
      <c r="AE5" s="1187"/>
      <c r="AF5" s="1187"/>
      <c r="AG5" s="1187" t="s">
        <v>503</v>
      </c>
      <c r="AH5" s="1187"/>
      <c r="AI5" s="1187"/>
      <c r="AJ5" s="1157" t="s">
        <v>504</v>
      </c>
      <c r="AK5" s="1157"/>
      <c r="AL5" s="1157"/>
    </row>
    <row r="6" spans="1:38" s="444" customFormat="1" ht="22.5" customHeight="1" x14ac:dyDescent="0.25">
      <c r="A6" s="1162"/>
      <c r="B6" s="1162"/>
      <c r="C6" s="1162"/>
      <c r="D6" s="1162"/>
      <c r="E6" s="1162"/>
      <c r="F6" s="1157"/>
      <c r="G6" s="1157"/>
      <c r="H6" s="1157"/>
      <c r="I6" s="1187"/>
      <c r="J6" s="1187"/>
      <c r="K6" s="1187"/>
      <c r="L6" s="1187"/>
      <c r="M6" s="1187"/>
      <c r="N6" s="1187"/>
      <c r="O6" s="1187"/>
      <c r="P6" s="1187"/>
      <c r="Q6" s="1187"/>
      <c r="R6" s="1187"/>
      <c r="S6" s="1187"/>
      <c r="T6" s="1187"/>
      <c r="U6" s="1187"/>
      <c r="V6" s="1187"/>
      <c r="W6" s="1187"/>
      <c r="X6" s="1187"/>
      <c r="Y6" s="1187"/>
      <c r="Z6" s="1187"/>
      <c r="AA6" s="1187"/>
      <c r="AB6" s="1187"/>
      <c r="AC6" s="1187"/>
      <c r="AD6" s="1187"/>
      <c r="AE6" s="1187"/>
      <c r="AF6" s="1187"/>
      <c r="AG6" s="1187"/>
      <c r="AH6" s="1187"/>
      <c r="AI6" s="1187"/>
      <c r="AJ6" s="1157"/>
      <c r="AK6" s="1157"/>
      <c r="AL6" s="1157"/>
    </row>
    <row r="7" spans="1:38" s="444" customFormat="1" ht="12.75" x14ac:dyDescent="0.25">
      <c r="A7" s="1162"/>
      <c r="B7" s="1162"/>
      <c r="C7" s="1162"/>
      <c r="D7" s="1162"/>
      <c r="E7" s="1162"/>
      <c r="F7" s="1157"/>
      <c r="G7" s="1157"/>
      <c r="H7" s="1157"/>
      <c r="I7" s="1187"/>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57"/>
      <c r="AK7" s="1157"/>
      <c r="AL7" s="1157"/>
    </row>
    <row r="8" spans="1:38" s="444" customFormat="1" ht="108.75" customHeight="1" x14ac:dyDescent="0.25">
      <c r="A8" s="1162"/>
      <c r="B8" s="1162"/>
      <c r="C8" s="1162"/>
      <c r="D8" s="1162"/>
      <c r="E8" s="1162"/>
      <c r="F8" s="1157"/>
      <c r="G8" s="1157"/>
      <c r="H8" s="1157"/>
      <c r="I8" s="1187"/>
      <c r="J8" s="1187"/>
      <c r="K8" s="1187"/>
      <c r="L8" s="1187"/>
      <c r="M8" s="1187"/>
      <c r="N8" s="1187"/>
      <c r="O8" s="1187"/>
      <c r="P8" s="1187"/>
      <c r="Q8" s="1187"/>
      <c r="R8" s="1187"/>
      <c r="S8" s="1187"/>
      <c r="T8" s="1187"/>
      <c r="U8" s="1187"/>
      <c r="V8" s="1187"/>
      <c r="W8" s="1187"/>
      <c r="X8" s="1187"/>
      <c r="Y8" s="1187"/>
      <c r="Z8" s="1187"/>
      <c r="AA8" s="1187"/>
      <c r="AB8" s="1187"/>
      <c r="AC8" s="1187"/>
      <c r="AD8" s="1187"/>
      <c r="AE8" s="1187"/>
      <c r="AF8" s="1187"/>
      <c r="AG8" s="1187"/>
      <c r="AH8" s="1187"/>
      <c r="AI8" s="1187"/>
      <c r="AJ8" s="1157"/>
      <c r="AK8" s="1157"/>
      <c r="AL8" s="1157"/>
    </row>
    <row r="9" spans="1:38" s="444" customFormat="1" ht="19.5" customHeight="1" x14ac:dyDescent="0.25">
      <c r="A9" s="446" t="s">
        <v>4</v>
      </c>
      <c r="B9" s="446" t="s">
        <v>5</v>
      </c>
      <c r="C9" s="446">
        <v>1</v>
      </c>
      <c r="D9" s="446">
        <v>2</v>
      </c>
      <c r="E9" s="446">
        <v>3</v>
      </c>
      <c r="F9" s="446">
        <v>4</v>
      </c>
      <c r="G9" s="446">
        <v>5</v>
      </c>
      <c r="H9" s="446">
        <v>6</v>
      </c>
      <c r="I9" s="446">
        <v>4</v>
      </c>
      <c r="J9" s="446">
        <v>5</v>
      </c>
      <c r="K9" s="446">
        <v>6</v>
      </c>
      <c r="L9" s="446">
        <v>7</v>
      </c>
      <c r="M9" s="446">
        <v>8</v>
      </c>
      <c r="N9" s="446">
        <v>9</v>
      </c>
      <c r="O9" s="446">
        <v>10</v>
      </c>
      <c r="P9" s="446">
        <v>11</v>
      </c>
      <c r="Q9" s="446">
        <v>12</v>
      </c>
      <c r="R9" s="446">
        <v>13</v>
      </c>
      <c r="S9" s="446">
        <v>14</v>
      </c>
      <c r="T9" s="446">
        <v>15</v>
      </c>
      <c r="U9" s="446">
        <v>16</v>
      </c>
      <c r="V9" s="446">
        <v>17</v>
      </c>
      <c r="W9" s="446">
        <v>18</v>
      </c>
      <c r="X9" s="446">
        <v>19</v>
      </c>
      <c r="Y9" s="446">
        <v>20</v>
      </c>
      <c r="Z9" s="446">
        <v>21</v>
      </c>
      <c r="AA9" s="446">
        <v>22</v>
      </c>
      <c r="AB9" s="446">
        <v>23</v>
      </c>
      <c r="AC9" s="446">
        <v>24</v>
      </c>
      <c r="AD9" s="446">
        <v>25</v>
      </c>
      <c r="AE9" s="446">
        <v>26</v>
      </c>
      <c r="AF9" s="446">
        <v>27</v>
      </c>
      <c r="AG9" s="446">
        <v>28</v>
      </c>
      <c r="AH9" s="446">
        <v>29</v>
      </c>
      <c r="AI9" s="446">
        <v>30</v>
      </c>
      <c r="AJ9" s="446">
        <v>7</v>
      </c>
      <c r="AK9" s="446">
        <v>8</v>
      </c>
      <c r="AL9" s="446">
        <v>9</v>
      </c>
    </row>
    <row r="10" spans="1:38" s="444" customFormat="1" ht="19.5" customHeight="1" x14ac:dyDescent="0.25">
      <c r="A10" s="1188"/>
      <c r="B10" s="1188" t="s">
        <v>34</v>
      </c>
      <c r="C10" s="446" t="s">
        <v>358</v>
      </c>
      <c r="D10" s="446" t="s">
        <v>218</v>
      </c>
      <c r="E10" s="446" t="s">
        <v>359</v>
      </c>
      <c r="F10" s="446" t="s">
        <v>358</v>
      </c>
      <c r="G10" s="446" t="s">
        <v>218</v>
      </c>
      <c r="H10" s="446" t="s">
        <v>359</v>
      </c>
      <c r="I10" s="446" t="s">
        <v>358</v>
      </c>
      <c r="J10" s="447" t="s">
        <v>218</v>
      </c>
      <c r="K10" s="447" t="s">
        <v>359</v>
      </c>
      <c r="L10" s="446" t="s">
        <v>358</v>
      </c>
      <c r="M10" s="447" t="s">
        <v>218</v>
      </c>
      <c r="N10" s="447" t="s">
        <v>359</v>
      </c>
      <c r="O10" s="446" t="s">
        <v>37</v>
      </c>
      <c r="P10" s="447" t="s">
        <v>218</v>
      </c>
      <c r="Q10" s="447" t="s">
        <v>359</v>
      </c>
      <c r="R10" s="446" t="s">
        <v>37</v>
      </c>
      <c r="S10" s="447" t="s">
        <v>218</v>
      </c>
      <c r="T10" s="447" t="s">
        <v>359</v>
      </c>
      <c r="U10" s="447" t="s">
        <v>37</v>
      </c>
      <c r="V10" s="446" t="s">
        <v>218</v>
      </c>
      <c r="W10" s="446" t="s">
        <v>359</v>
      </c>
      <c r="X10" s="446" t="s">
        <v>37</v>
      </c>
      <c r="Y10" s="446" t="s">
        <v>218</v>
      </c>
      <c r="Z10" s="446" t="s">
        <v>359</v>
      </c>
      <c r="AA10" s="446" t="s">
        <v>37</v>
      </c>
      <c r="AB10" s="446" t="s">
        <v>218</v>
      </c>
      <c r="AC10" s="446" t="s">
        <v>359</v>
      </c>
      <c r="AD10" s="447" t="s">
        <v>37</v>
      </c>
      <c r="AE10" s="446" t="s">
        <v>218</v>
      </c>
      <c r="AF10" s="446" t="s">
        <v>359</v>
      </c>
      <c r="AG10" s="446" t="s">
        <v>358</v>
      </c>
      <c r="AH10" s="446" t="s">
        <v>218</v>
      </c>
      <c r="AI10" s="446" t="s">
        <v>359</v>
      </c>
      <c r="AJ10" s="446" t="s">
        <v>358</v>
      </c>
      <c r="AK10" s="446" t="s">
        <v>218</v>
      </c>
      <c r="AL10" s="446" t="s">
        <v>359</v>
      </c>
    </row>
    <row r="11" spans="1:38" s="444" customFormat="1" ht="19.5" customHeight="1" x14ac:dyDescent="0.25">
      <c r="A11" s="1189"/>
      <c r="B11" s="1189"/>
      <c r="C11" s="644">
        <f>C12+C26</f>
        <v>28816</v>
      </c>
      <c r="D11" s="644">
        <f t="shared" ref="D11:AI11" si="0">D12+D26</f>
        <v>27444</v>
      </c>
      <c r="E11" s="644">
        <f t="shared" si="0"/>
        <v>1372</v>
      </c>
      <c r="F11" s="644">
        <f t="shared" si="0"/>
        <v>0</v>
      </c>
      <c r="G11" s="644">
        <f t="shared" si="0"/>
        <v>0</v>
      </c>
      <c r="H11" s="644">
        <f t="shared" si="0"/>
        <v>0</v>
      </c>
      <c r="I11" s="644">
        <f t="shared" si="0"/>
        <v>4700</v>
      </c>
      <c r="J11" s="644">
        <f t="shared" si="0"/>
        <v>4476</v>
      </c>
      <c r="K11" s="644">
        <f t="shared" si="0"/>
        <v>224</v>
      </c>
      <c r="L11" s="644">
        <f t="shared" si="0"/>
        <v>16030</v>
      </c>
      <c r="M11" s="644">
        <f t="shared" si="0"/>
        <v>15270</v>
      </c>
      <c r="N11" s="644">
        <f t="shared" si="0"/>
        <v>760</v>
      </c>
      <c r="O11" s="644">
        <f t="shared" si="0"/>
        <v>84</v>
      </c>
      <c r="P11" s="644">
        <f t="shared" si="0"/>
        <v>80</v>
      </c>
      <c r="Q11" s="644">
        <f t="shared" si="0"/>
        <v>4</v>
      </c>
      <c r="R11" s="644">
        <f t="shared" si="0"/>
        <v>549</v>
      </c>
      <c r="S11" s="644">
        <f t="shared" si="0"/>
        <v>523</v>
      </c>
      <c r="T11" s="644">
        <f t="shared" si="0"/>
        <v>26</v>
      </c>
      <c r="U11" s="644">
        <f t="shared" si="0"/>
        <v>2718</v>
      </c>
      <c r="V11" s="644">
        <f t="shared" si="0"/>
        <v>2588</v>
      </c>
      <c r="W11" s="644">
        <f t="shared" si="0"/>
        <v>130</v>
      </c>
      <c r="X11" s="644">
        <f t="shared" si="0"/>
        <v>760</v>
      </c>
      <c r="Y11" s="644">
        <f t="shared" si="0"/>
        <v>724</v>
      </c>
      <c r="Z11" s="644">
        <f t="shared" si="0"/>
        <v>36</v>
      </c>
      <c r="AA11" s="644">
        <f t="shared" si="0"/>
        <v>1025</v>
      </c>
      <c r="AB11" s="644">
        <f t="shared" si="0"/>
        <v>976</v>
      </c>
      <c r="AC11" s="644">
        <f t="shared" si="0"/>
        <v>49</v>
      </c>
      <c r="AD11" s="644">
        <f t="shared" si="0"/>
        <v>200</v>
      </c>
      <c r="AE11" s="644">
        <f t="shared" si="0"/>
        <v>191</v>
      </c>
      <c r="AF11" s="644">
        <f t="shared" si="0"/>
        <v>9</v>
      </c>
      <c r="AG11" s="644">
        <f t="shared" si="0"/>
        <v>2750</v>
      </c>
      <c r="AH11" s="644">
        <f t="shared" si="0"/>
        <v>2616</v>
      </c>
      <c r="AI11" s="644">
        <f t="shared" si="0"/>
        <v>134</v>
      </c>
      <c r="AJ11" s="449">
        <f>SUM(AJ13:AJ34)</f>
        <v>0</v>
      </c>
      <c r="AK11" s="449">
        <f>SUM(AK13:AK34)</f>
        <v>0</v>
      </c>
      <c r="AL11" s="449">
        <f>SUM(AL13:AL34)</f>
        <v>0</v>
      </c>
    </row>
    <row r="12" spans="1:38" s="444" customFormat="1" ht="19.5" customHeight="1" x14ac:dyDescent="0.25">
      <c r="A12" s="619" t="s">
        <v>46</v>
      </c>
      <c r="B12" s="619" t="s">
        <v>241</v>
      </c>
      <c r="C12" s="645">
        <f>SUM(C13:C25)</f>
        <v>9892</v>
      </c>
      <c r="D12" s="645">
        <f>SUM(D13:D25)</f>
        <v>9421</v>
      </c>
      <c r="E12" s="645">
        <f>SUM(E13:E25)</f>
        <v>471</v>
      </c>
      <c r="F12" s="645">
        <f t="shared" ref="F12:AI12" si="1">SUM(F13:F25)</f>
        <v>0</v>
      </c>
      <c r="G12" s="645">
        <f t="shared" si="1"/>
        <v>0</v>
      </c>
      <c r="H12" s="645">
        <f t="shared" si="1"/>
        <v>0</v>
      </c>
      <c r="I12" s="645">
        <f t="shared" si="1"/>
        <v>3975</v>
      </c>
      <c r="J12" s="645">
        <f t="shared" si="1"/>
        <v>3785</v>
      </c>
      <c r="K12" s="645">
        <f t="shared" si="1"/>
        <v>190</v>
      </c>
      <c r="L12" s="645">
        <f t="shared" si="1"/>
        <v>1285</v>
      </c>
      <c r="M12" s="645">
        <f t="shared" si="1"/>
        <v>1224</v>
      </c>
      <c r="N12" s="645">
        <f t="shared" si="1"/>
        <v>61</v>
      </c>
      <c r="O12" s="645">
        <f t="shared" si="1"/>
        <v>84</v>
      </c>
      <c r="P12" s="645">
        <f t="shared" si="1"/>
        <v>80</v>
      </c>
      <c r="Q12" s="645">
        <f t="shared" si="1"/>
        <v>4</v>
      </c>
      <c r="R12" s="645">
        <f t="shared" si="1"/>
        <v>0</v>
      </c>
      <c r="S12" s="645">
        <f t="shared" si="1"/>
        <v>0</v>
      </c>
      <c r="T12" s="645">
        <f t="shared" si="1"/>
        <v>0</v>
      </c>
      <c r="U12" s="645">
        <f t="shared" si="1"/>
        <v>448</v>
      </c>
      <c r="V12" s="645">
        <f t="shared" si="1"/>
        <v>426</v>
      </c>
      <c r="W12" s="645">
        <f t="shared" si="1"/>
        <v>22</v>
      </c>
      <c r="X12" s="645">
        <f t="shared" si="1"/>
        <v>760</v>
      </c>
      <c r="Y12" s="645">
        <f t="shared" si="1"/>
        <v>724</v>
      </c>
      <c r="Z12" s="645">
        <f t="shared" si="1"/>
        <v>36</v>
      </c>
      <c r="AA12" s="645">
        <f t="shared" si="1"/>
        <v>950</v>
      </c>
      <c r="AB12" s="645">
        <f t="shared" si="1"/>
        <v>906</v>
      </c>
      <c r="AC12" s="645">
        <f t="shared" si="1"/>
        <v>44</v>
      </c>
      <c r="AD12" s="645">
        <f t="shared" si="1"/>
        <v>200</v>
      </c>
      <c r="AE12" s="645">
        <f t="shared" si="1"/>
        <v>191</v>
      </c>
      <c r="AF12" s="645">
        <f t="shared" si="1"/>
        <v>9</v>
      </c>
      <c r="AG12" s="645">
        <f t="shared" si="1"/>
        <v>2190</v>
      </c>
      <c r="AH12" s="645">
        <f t="shared" si="1"/>
        <v>2085</v>
      </c>
      <c r="AI12" s="645">
        <f t="shared" si="1"/>
        <v>105</v>
      </c>
      <c r="AJ12" s="620"/>
      <c r="AK12" s="620"/>
      <c r="AL12" s="620"/>
    </row>
    <row r="13" spans="1:38" s="462" customFormat="1" ht="35.25" customHeight="1" x14ac:dyDescent="0.25">
      <c r="A13" s="451">
        <v>1</v>
      </c>
      <c r="B13" s="621" t="s">
        <v>505</v>
      </c>
      <c r="C13" s="646">
        <f t="shared" ref="C13:C22" si="2">D13+E13</f>
        <v>2365</v>
      </c>
      <c r="D13" s="646">
        <f>G13+M13+P13+S13+V13+AB13+AE13+AH13+AK13+Y13+J13</f>
        <v>2252</v>
      </c>
      <c r="E13" s="646">
        <f>H13+N13+Q13+T13+W13+AC13+AF13+AI13+AL13+Z13+K13</f>
        <v>113</v>
      </c>
      <c r="F13" s="646">
        <f>G13+H13</f>
        <v>0</v>
      </c>
      <c r="G13" s="647"/>
      <c r="H13" s="647"/>
      <c r="I13" s="646">
        <f>J13+K13</f>
        <v>0</v>
      </c>
      <c r="J13" s="647"/>
      <c r="K13" s="647"/>
      <c r="L13" s="646">
        <f>M13+N13</f>
        <v>855</v>
      </c>
      <c r="M13" s="647">
        <f>'[3]Mục 3'!D12</f>
        <v>814</v>
      </c>
      <c r="N13" s="647">
        <f>'[3]Mục 3'!E12</f>
        <v>41</v>
      </c>
      <c r="O13" s="647">
        <f t="shared" ref="O13:O34" si="3">P13+Q13</f>
        <v>0</v>
      </c>
      <c r="P13" s="646"/>
      <c r="Q13" s="646"/>
      <c r="R13" s="647">
        <f>S13+T13</f>
        <v>0</v>
      </c>
      <c r="S13" s="646"/>
      <c r="T13" s="646"/>
      <c r="U13" s="646">
        <f>V13+W13</f>
        <v>0</v>
      </c>
      <c r="V13" s="646"/>
      <c r="W13" s="646"/>
      <c r="X13" s="646">
        <f t="shared" ref="X13:X22" si="4">Y13+Z13</f>
        <v>0</v>
      </c>
      <c r="Y13" s="647"/>
      <c r="Z13" s="647"/>
      <c r="AA13" s="646">
        <f t="shared" ref="AA13:AA23" si="5">AB13+AC13</f>
        <v>0</v>
      </c>
      <c r="AB13" s="647"/>
      <c r="AC13" s="647"/>
      <c r="AD13" s="646">
        <f>AE13+AF13</f>
        <v>0</v>
      </c>
      <c r="AE13" s="647"/>
      <c r="AF13" s="647"/>
      <c r="AG13" s="646">
        <f>AH13+AI13</f>
        <v>1510</v>
      </c>
      <c r="AH13" s="646">
        <f>'[3]Mục 10'!D12</f>
        <v>1438</v>
      </c>
      <c r="AI13" s="646">
        <f>'[3]Mục 10'!E12</f>
        <v>72</v>
      </c>
      <c r="AJ13" s="454">
        <f>AK13+AL13</f>
        <v>0</v>
      </c>
      <c r="AK13" s="455"/>
      <c r="AL13" s="455"/>
    </row>
    <row r="14" spans="1:38" s="450" customFormat="1" ht="25.5" x14ac:dyDescent="0.25">
      <c r="A14" s="461">
        <v>2</v>
      </c>
      <c r="B14" s="622" t="s">
        <v>363</v>
      </c>
      <c r="C14" s="648">
        <f>D14+E14</f>
        <v>5003</v>
      </c>
      <c r="D14" s="648">
        <f t="shared" ref="D14:E34" si="6">G14+M14+P14+S14+V14+AB14+AE14+AH14+AK14+Y14+J14</f>
        <v>4763</v>
      </c>
      <c r="E14" s="648">
        <f t="shared" si="6"/>
        <v>240</v>
      </c>
      <c r="F14" s="648">
        <f>G14+H14</f>
        <v>0</v>
      </c>
      <c r="G14" s="649"/>
      <c r="H14" s="649"/>
      <c r="I14" s="648">
        <f>J14+K14</f>
        <v>3975</v>
      </c>
      <c r="J14" s="649">
        <f>'[3]Mục 2'!D10</f>
        <v>3785</v>
      </c>
      <c r="K14" s="649">
        <f>'[3]Mục 2'!E10</f>
        <v>190</v>
      </c>
      <c r="L14" s="648">
        <f>M14+N14</f>
        <v>0</v>
      </c>
      <c r="M14" s="649">
        <f>'[3]Mục 3'!D14</f>
        <v>0</v>
      </c>
      <c r="N14" s="649">
        <f>'[3]Mục 3'!E14</f>
        <v>0</v>
      </c>
      <c r="O14" s="649">
        <f t="shared" si="3"/>
        <v>0</v>
      </c>
      <c r="P14" s="648"/>
      <c r="Q14" s="648"/>
      <c r="R14" s="649">
        <f>S14+T14</f>
        <v>0</v>
      </c>
      <c r="S14" s="648"/>
      <c r="T14" s="648"/>
      <c r="U14" s="648">
        <f>V14+W14</f>
        <v>448</v>
      </c>
      <c r="V14" s="648">
        <f>'[3]Mục 6'!D12</f>
        <v>426</v>
      </c>
      <c r="W14" s="648">
        <f>'[3]Mục 6'!E12</f>
        <v>22</v>
      </c>
      <c r="X14" s="648">
        <f t="shared" si="4"/>
        <v>500</v>
      </c>
      <c r="Y14" s="649">
        <f>'[3]Mục 7'!D13</f>
        <v>476</v>
      </c>
      <c r="Z14" s="649">
        <f>'[3]Mục 7'!E13</f>
        <v>24</v>
      </c>
      <c r="AA14" s="648">
        <f t="shared" si="5"/>
        <v>0</v>
      </c>
      <c r="AB14" s="649"/>
      <c r="AC14" s="649"/>
      <c r="AD14" s="648">
        <f>AE14+AF14</f>
        <v>0</v>
      </c>
      <c r="AE14" s="649"/>
      <c r="AF14" s="649"/>
      <c r="AG14" s="648">
        <f>AH14+AI14</f>
        <v>80</v>
      </c>
      <c r="AH14" s="648">
        <f>'[3]Mục 10'!D13</f>
        <v>76</v>
      </c>
      <c r="AI14" s="648">
        <f>'[3]Mục 10'!E13</f>
        <v>4</v>
      </c>
      <c r="AJ14" s="459">
        <f>AK14+AL14</f>
        <v>0</v>
      </c>
      <c r="AK14" s="460"/>
      <c r="AL14" s="460"/>
    </row>
    <row r="15" spans="1:38" s="450" customFormat="1" ht="25.5" customHeight="1" x14ac:dyDescent="0.25">
      <c r="A15" s="461">
        <v>3</v>
      </c>
      <c r="B15" s="622" t="s">
        <v>221</v>
      </c>
      <c r="C15" s="648">
        <f t="shared" si="2"/>
        <v>84</v>
      </c>
      <c r="D15" s="648">
        <f t="shared" si="6"/>
        <v>80</v>
      </c>
      <c r="E15" s="648">
        <f t="shared" si="6"/>
        <v>4</v>
      </c>
      <c r="F15" s="648"/>
      <c r="G15" s="649"/>
      <c r="H15" s="649"/>
      <c r="I15" s="648">
        <f t="shared" ref="I15:I22" si="7">J15+K15</f>
        <v>0</v>
      </c>
      <c r="J15" s="649"/>
      <c r="K15" s="649"/>
      <c r="L15" s="648">
        <f t="shared" ref="L15:L22" si="8">M15+N15</f>
        <v>0</v>
      </c>
      <c r="M15" s="649"/>
      <c r="N15" s="649"/>
      <c r="O15" s="649">
        <f t="shared" si="3"/>
        <v>84</v>
      </c>
      <c r="P15" s="648">
        <f>'[3]Mục 4'!D11</f>
        <v>80</v>
      </c>
      <c r="Q15" s="648">
        <f>'[3]Mục 4'!E11</f>
        <v>4</v>
      </c>
      <c r="R15" s="649"/>
      <c r="S15" s="648"/>
      <c r="T15" s="648"/>
      <c r="U15" s="648">
        <f>V15+W15</f>
        <v>0</v>
      </c>
      <c r="V15" s="648"/>
      <c r="W15" s="648"/>
      <c r="X15" s="648">
        <f t="shared" si="4"/>
        <v>0</v>
      </c>
      <c r="Y15" s="649"/>
      <c r="Z15" s="649"/>
      <c r="AA15" s="648">
        <f t="shared" si="5"/>
        <v>0</v>
      </c>
      <c r="AB15" s="649"/>
      <c r="AC15" s="649"/>
      <c r="AD15" s="648"/>
      <c r="AE15" s="649"/>
      <c r="AF15" s="649"/>
      <c r="AG15" s="648"/>
      <c r="AH15" s="648"/>
      <c r="AI15" s="648"/>
      <c r="AJ15" s="459"/>
      <c r="AK15" s="460"/>
      <c r="AL15" s="460"/>
    </row>
    <row r="16" spans="1:38" x14ac:dyDescent="0.25">
      <c r="A16" s="461">
        <v>4</v>
      </c>
      <c r="B16" s="622" t="s">
        <v>89</v>
      </c>
      <c r="C16" s="648">
        <f t="shared" si="2"/>
        <v>250</v>
      </c>
      <c r="D16" s="648">
        <f t="shared" si="6"/>
        <v>238</v>
      </c>
      <c r="E16" s="648">
        <f t="shared" si="6"/>
        <v>12</v>
      </c>
      <c r="F16" s="648"/>
      <c r="G16" s="649"/>
      <c r="H16" s="649"/>
      <c r="I16" s="648">
        <f t="shared" si="7"/>
        <v>0</v>
      </c>
      <c r="J16" s="649"/>
      <c r="K16" s="649"/>
      <c r="L16" s="648">
        <f t="shared" si="8"/>
        <v>0</v>
      </c>
      <c r="M16" s="649"/>
      <c r="N16" s="649"/>
      <c r="O16" s="649">
        <f t="shared" si="3"/>
        <v>0</v>
      </c>
      <c r="P16" s="648"/>
      <c r="Q16" s="648"/>
      <c r="R16" s="649">
        <f t="shared" ref="R16:R33" si="9">S16+T16</f>
        <v>0</v>
      </c>
      <c r="S16" s="648"/>
      <c r="T16" s="648"/>
      <c r="U16" s="648">
        <f t="shared" ref="U16:U22" si="10">V16+W16</f>
        <v>0</v>
      </c>
      <c r="V16" s="648"/>
      <c r="W16" s="648"/>
      <c r="X16" s="648">
        <f t="shared" si="4"/>
        <v>0</v>
      </c>
      <c r="Y16" s="649"/>
      <c r="Z16" s="649"/>
      <c r="AA16" s="648">
        <f t="shared" si="5"/>
        <v>0</v>
      </c>
      <c r="AB16" s="649"/>
      <c r="AC16" s="649"/>
      <c r="AD16" s="648"/>
      <c r="AE16" s="649"/>
      <c r="AF16" s="649"/>
      <c r="AG16" s="648">
        <f>AH16+AI16</f>
        <v>250</v>
      </c>
      <c r="AH16" s="648">
        <f>'[3]Mục 10'!D14</f>
        <v>238</v>
      </c>
      <c r="AI16" s="648">
        <f>'[3]Mục 10'!E14</f>
        <v>12</v>
      </c>
      <c r="AJ16" s="459"/>
      <c r="AK16" s="460"/>
      <c r="AL16" s="460"/>
    </row>
    <row r="17" spans="1:38" x14ac:dyDescent="0.25">
      <c r="A17" s="461">
        <v>5</v>
      </c>
      <c r="B17" s="622" t="s">
        <v>131</v>
      </c>
      <c r="C17" s="648">
        <f t="shared" si="2"/>
        <v>60</v>
      </c>
      <c r="D17" s="648">
        <f t="shared" si="6"/>
        <v>57</v>
      </c>
      <c r="E17" s="648">
        <f t="shared" si="6"/>
        <v>3</v>
      </c>
      <c r="F17" s="648"/>
      <c r="G17" s="649"/>
      <c r="H17" s="649"/>
      <c r="I17" s="648">
        <f t="shared" si="7"/>
        <v>0</v>
      </c>
      <c r="J17" s="649"/>
      <c r="K17" s="649"/>
      <c r="L17" s="648">
        <f t="shared" si="8"/>
        <v>0</v>
      </c>
      <c r="M17" s="649"/>
      <c r="N17" s="649"/>
      <c r="O17" s="649">
        <f t="shared" si="3"/>
        <v>0</v>
      </c>
      <c r="P17" s="648"/>
      <c r="Q17" s="648"/>
      <c r="R17" s="649">
        <f t="shared" si="9"/>
        <v>0</v>
      </c>
      <c r="S17" s="648"/>
      <c r="T17" s="648"/>
      <c r="U17" s="648">
        <f t="shared" si="10"/>
        <v>0</v>
      </c>
      <c r="V17" s="648"/>
      <c r="W17" s="648"/>
      <c r="X17" s="648">
        <f t="shared" si="4"/>
        <v>60</v>
      </c>
      <c r="Y17" s="649">
        <f>'[3]Mục 7'!D14</f>
        <v>57</v>
      </c>
      <c r="Z17" s="649">
        <f>'[3]Mục 7'!E14</f>
        <v>3</v>
      </c>
      <c r="AA17" s="648">
        <f t="shared" si="5"/>
        <v>0</v>
      </c>
      <c r="AB17" s="649"/>
      <c r="AC17" s="649"/>
      <c r="AD17" s="648"/>
      <c r="AE17" s="649"/>
      <c r="AF17" s="649"/>
      <c r="AG17" s="648">
        <f t="shared" ref="AG17:AG24" si="11">AH17+AI17</f>
        <v>0</v>
      </c>
      <c r="AH17" s="648"/>
      <c r="AI17" s="648"/>
      <c r="AJ17" s="459"/>
      <c r="AK17" s="460"/>
      <c r="AL17" s="460"/>
    </row>
    <row r="18" spans="1:38" x14ac:dyDescent="0.25">
      <c r="A18" s="461">
        <v>6</v>
      </c>
      <c r="B18" s="622" t="s">
        <v>506</v>
      </c>
      <c r="C18" s="648">
        <f t="shared" si="2"/>
        <v>230</v>
      </c>
      <c r="D18" s="648">
        <f t="shared" si="6"/>
        <v>219</v>
      </c>
      <c r="E18" s="648">
        <f t="shared" si="6"/>
        <v>11</v>
      </c>
      <c r="F18" s="648"/>
      <c r="G18" s="649"/>
      <c r="H18" s="649"/>
      <c r="I18" s="648">
        <f t="shared" si="7"/>
        <v>0</v>
      </c>
      <c r="J18" s="649"/>
      <c r="K18" s="649"/>
      <c r="L18" s="648">
        <f t="shared" si="8"/>
        <v>230</v>
      </c>
      <c r="M18" s="649">
        <f>'[3]Mục 3'!D13</f>
        <v>219</v>
      </c>
      <c r="N18" s="649">
        <f>'[3]Mục 3'!E13</f>
        <v>11</v>
      </c>
      <c r="O18" s="649">
        <f t="shared" si="3"/>
        <v>0</v>
      </c>
      <c r="P18" s="648"/>
      <c r="Q18" s="648"/>
      <c r="R18" s="649">
        <f t="shared" si="9"/>
        <v>0</v>
      </c>
      <c r="S18" s="648"/>
      <c r="T18" s="648"/>
      <c r="U18" s="648">
        <f t="shared" si="10"/>
        <v>0</v>
      </c>
      <c r="V18" s="648"/>
      <c r="W18" s="648"/>
      <c r="X18" s="648">
        <f t="shared" si="4"/>
        <v>0</v>
      </c>
      <c r="Y18" s="649"/>
      <c r="Z18" s="649"/>
      <c r="AA18" s="648">
        <f t="shared" si="5"/>
        <v>0</v>
      </c>
      <c r="AB18" s="649"/>
      <c r="AC18" s="649"/>
      <c r="AD18" s="648"/>
      <c r="AE18" s="649"/>
      <c r="AF18" s="649"/>
      <c r="AG18" s="648">
        <f t="shared" si="11"/>
        <v>0</v>
      </c>
      <c r="AH18" s="648"/>
      <c r="AI18" s="648"/>
      <c r="AJ18" s="459"/>
      <c r="AK18" s="460"/>
      <c r="AL18" s="460"/>
    </row>
    <row r="19" spans="1:38" ht="25.5" x14ac:dyDescent="0.25">
      <c r="A19" s="461">
        <v>7</v>
      </c>
      <c r="B19" s="622" t="s">
        <v>219</v>
      </c>
      <c r="C19" s="648">
        <f>D19+E19</f>
        <v>200</v>
      </c>
      <c r="D19" s="648">
        <f>G19+M19+P19+S19+V19+AB19+AE19+AH19+AK19+Y19+J19</f>
        <v>191</v>
      </c>
      <c r="E19" s="648">
        <f>H19+N19+Q19+T19+W19+AC19+AF19+AI19+AL19+Z19+K19</f>
        <v>9</v>
      </c>
      <c r="F19" s="648"/>
      <c r="G19" s="649"/>
      <c r="H19" s="649"/>
      <c r="I19" s="648"/>
      <c r="J19" s="649"/>
      <c r="K19" s="649"/>
      <c r="L19" s="648"/>
      <c r="M19" s="649"/>
      <c r="N19" s="649"/>
      <c r="O19" s="649"/>
      <c r="P19" s="648"/>
      <c r="Q19" s="648"/>
      <c r="R19" s="649"/>
      <c r="S19" s="648"/>
      <c r="T19" s="648"/>
      <c r="U19" s="648"/>
      <c r="V19" s="648"/>
      <c r="W19" s="648"/>
      <c r="X19" s="648">
        <f t="shared" si="4"/>
        <v>200</v>
      </c>
      <c r="Y19" s="649">
        <f>'[3]Mục 7'!D12</f>
        <v>191</v>
      </c>
      <c r="Z19" s="649">
        <f>'[3]Mục 7'!E12</f>
        <v>9</v>
      </c>
      <c r="AA19" s="648"/>
      <c r="AB19" s="649"/>
      <c r="AC19" s="649"/>
      <c r="AD19" s="648"/>
      <c r="AE19" s="649"/>
      <c r="AF19" s="649"/>
      <c r="AG19" s="648">
        <f>AH19+AI19</f>
        <v>0</v>
      </c>
      <c r="AH19" s="648"/>
      <c r="AI19" s="648"/>
      <c r="AJ19" s="459"/>
      <c r="AK19" s="460"/>
      <c r="AL19" s="460"/>
    </row>
    <row r="20" spans="1:38" ht="25.5" x14ac:dyDescent="0.25">
      <c r="A20" s="461">
        <v>8</v>
      </c>
      <c r="B20" s="622" t="s">
        <v>364</v>
      </c>
      <c r="C20" s="648">
        <f>D20+E20</f>
        <v>350</v>
      </c>
      <c r="D20" s="648">
        <f>G20+M20+P20+S20+V20+AB20+AE20+AH20+AK20+Y20+J20</f>
        <v>333</v>
      </c>
      <c r="E20" s="648">
        <f>H20+N20+Q20+T20+W20+AC20+AF20+AI20+AL20+Z20+K20</f>
        <v>17</v>
      </c>
      <c r="F20" s="648"/>
      <c r="G20" s="649"/>
      <c r="H20" s="649"/>
      <c r="I20" s="648"/>
      <c r="J20" s="649"/>
      <c r="K20" s="649"/>
      <c r="L20" s="648"/>
      <c r="M20" s="649"/>
      <c r="N20" s="649"/>
      <c r="O20" s="649"/>
      <c r="P20" s="648"/>
      <c r="Q20" s="648"/>
      <c r="R20" s="649"/>
      <c r="S20" s="648"/>
      <c r="T20" s="648"/>
      <c r="U20" s="648"/>
      <c r="V20" s="648"/>
      <c r="W20" s="648"/>
      <c r="X20" s="648"/>
      <c r="Y20" s="649"/>
      <c r="Z20" s="649"/>
      <c r="AA20" s="648"/>
      <c r="AB20" s="649"/>
      <c r="AC20" s="649"/>
      <c r="AD20" s="648"/>
      <c r="AE20" s="649"/>
      <c r="AF20" s="649"/>
      <c r="AG20" s="648">
        <f>AH20+AI20</f>
        <v>350</v>
      </c>
      <c r="AH20" s="648">
        <f>'[3]Mục 10'!D15</f>
        <v>333</v>
      </c>
      <c r="AI20" s="648">
        <f>'[3]Mục 10'!E15</f>
        <v>17</v>
      </c>
      <c r="AJ20" s="459"/>
      <c r="AK20" s="460"/>
      <c r="AL20" s="460"/>
    </row>
    <row r="21" spans="1:38" x14ac:dyDescent="0.25">
      <c r="A21" s="461">
        <v>9</v>
      </c>
      <c r="B21" s="622" t="s">
        <v>231</v>
      </c>
      <c r="C21" s="648">
        <f>D21+E21</f>
        <v>300</v>
      </c>
      <c r="D21" s="648">
        <f t="shared" si="6"/>
        <v>286</v>
      </c>
      <c r="E21" s="648">
        <f t="shared" si="6"/>
        <v>14</v>
      </c>
      <c r="F21" s="648"/>
      <c r="G21" s="649"/>
      <c r="H21" s="649"/>
      <c r="I21" s="648">
        <f t="shared" si="7"/>
        <v>0</v>
      </c>
      <c r="J21" s="649"/>
      <c r="K21" s="649"/>
      <c r="L21" s="648">
        <f t="shared" si="8"/>
        <v>0</v>
      </c>
      <c r="M21" s="649">
        <f>'[3]Mục 3'!D16</f>
        <v>0</v>
      </c>
      <c r="N21" s="649">
        <f>'[3]Mục 3'!E16</f>
        <v>0</v>
      </c>
      <c r="O21" s="649">
        <f t="shared" si="3"/>
        <v>0</v>
      </c>
      <c r="P21" s="648"/>
      <c r="Q21" s="648"/>
      <c r="R21" s="649">
        <f t="shared" si="9"/>
        <v>0</v>
      </c>
      <c r="S21" s="648"/>
      <c r="T21" s="648"/>
      <c r="U21" s="648">
        <f t="shared" si="10"/>
        <v>0</v>
      </c>
      <c r="V21" s="648"/>
      <c r="W21" s="648"/>
      <c r="X21" s="648">
        <f t="shared" si="4"/>
        <v>0</v>
      </c>
      <c r="Y21" s="649"/>
      <c r="Z21" s="649"/>
      <c r="AA21" s="648">
        <f t="shared" si="5"/>
        <v>300</v>
      </c>
      <c r="AB21" s="649">
        <f>'[3]Mục 8'!D12</f>
        <v>286</v>
      </c>
      <c r="AC21" s="649">
        <f>'[3]Mục 8'!E12</f>
        <v>14</v>
      </c>
      <c r="AD21" s="648"/>
      <c r="AE21" s="649"/>
      <c r="AF21" s="649"/>
      <c r="AG21" s="648">
        <f t="shared" si="11"/>
        <v>0</v>
      </c>
      <c r="AH21" s="648"/>
      <c r="AI21" s="648"/>
      <c r="AJ21" s="459"/>
      <c r="AK21" s="460"/>
      <c r="AL21" s="460"/>
    </row>
    <row r="22" spans="1:38" x14ac:dyDescent="0.25">
      <c r="A22" s="461">
        <v>10</v>
      </c>
      <c r="B22" s="622" t="s">
        <v>507</v>
      </c>
      <c r="C22" s="648">
        <f t="shared" si="2"/>
        <v>350</v>
      </c>
      <c r="D22" s="648">
        <f t="shared" si="6"/>
        <v>334</v>
      </c>
      <c r="E22" s="648">
        <f t="shared" si="6"/>
        <v>16</v>
      </c>
      <c r="F22" s="648"/>
      <c r="G22" s="649"/>
      <c r="H22" s="649"/>
      <c r="I22" s="648">
        <f t="shared" si="7"/>
        <v>0</v>
      </c>
      <c r="J22" s="649"/>
      <c r="K22" s="649"/>
      <c r="L22" s="648">
        <f t="shared" si="8"/>
        <v>0</v>
      </c>
      <c r="M22" s="649"/>
      <c r="N22" s="649"/>
      <c r="O22" s="649">
        <f t="shared" si="3"/>
        <v>0</v>
      </c>
      <c r="P22" s="648"/>
      <c r="Q22" s="648"/>
      <c r="R22" s="649">
        <f t="shared" si="9"/>
        <v>0</v>
      </c>
      <c r="S22" s="648"/>
      <c r="T22" s="648"/>
      <c r="U22" s="648">
        <f t="shared" si="10"/>
        <v>0</v>
      </c>
      <c r="V22" s="648">
        <f>'[3]Mục 6'!D13</f>
        <v>0</v>
      </c>
      <c r="W22" s="648">
        <f>'[3]Mục 6'!E13</f>
        <v>0</v>
      </c>
      <c r="X22" s="648">
        <f t="shared" si="4"/>
        <v>0</v>
      </c>
      <c r="Y22" s="649"/>
      <c r="Z22" s="649"/>
      <c r="AA22" s="648">
        <f t="shared" si="5"/>
        <v>350</v>
      </c>
      <c r="AB22" s="649">
        <f>'[3]Mục 8'!D13</f>
        <v>334</v>
      </c>
      <c r="AC22" s="649">
        <f>'[3]Mục 8'!E13</f>
        <v>16</v>
      </c>
      <c r="AD22" s="648"/>
      <c r="AE22" s="649"/>
      <c r="AF22" s="649"/>
      <c r="AG22" s="648">
        <f t="shared" si="11"/>
        <v>0</v>
      </c>
      <c r="AH22" s="648"/>
      <c r="AI22" s="648"/>
      <c r="AJ22" s="459"/>
      <c r="AK22" s="460"/>
      <c r="AL22" s="460"/>
    </row>
    <row r="23" spans="1:38" x14ac:dyDescent="0.25">
      <c r="A23" s="461">
        <v>11</v>
      </c>
      <c r="B23" s="622" t="s">
        <v>508</v>
      </c>
      <c r="C23" s="648">
        <f>D23+E23</f>
        <v>300</v>
      </c>
      <c r="D23" s="648">
        <f t="shared" si="6"/>
        <v>286</v>
      </c>
      <c r="E23" s="648">
        <f t="shared" si="6"/>
        <v>14</v>
      </c>
      <c r="F23" s="648"/>
      <c r="G23" s="649"/>
      <c r="H23" s="649"/>
      <c r="I23" s="648"/>
      <c r="J23" s="649"/>
      <c r="K23" s="649"/>
      <c r="L23" s="648"/>
      <c r="M23" s="649"/>
      <c r="N23" s="649"/>
      <c r="O23" s="649"/>
      <c r="P23" s="648"/>
      <c r="Q23" s="648"/>
      <c r="R23" s="649"/>
      <c r="S23" s="648"/>
      <c r="T23" s="648"/>
      <c r="U23" s="648"/>
      <c r="V23" s="648"/>
      <c r="W23" s="648"/>
      <c r="X23" s="648"/>
      <c r="Y23" s="649"/>
      <c r="Z23" s="649"/>
      <c r="AA23" s="648">
        <f t="shared" si="5"/>
        <v>300</v>
      </c>
      <c r="AB23" s="649">
        <f>'[3]Mục 8'!D14</f>
        <v>286</v>
      </c>
      <c r="AC23" s="649">
        <f>'[3]Mục 8'!E14</f>
        <v>14</v>
      </c>
      <c r="AD23" s="648"/>
      <c r="AE23" s="649"/>
      <c r="AF23" s="649"/>
      <c r="AG23" s="648"/>
      <c r="AH23" s="648"/>
      <c r="AI23" s="648"/>
      <c r="AJ23" s="459"/>
      <c r="AK23" s="460"/>
      <c r="AL23" s="460"/>
    </row>
    <row r="24" spans="1:38" ht="20.25" customHeight="1" x14ac:dyDescent="0.25">
      <c r="A24" s="461">
        <v>12</v>
      </c>
      <c r="B24" s="622" t="s">
        <v>229</v>
      </c>
      <c r="C24" s="648">
        <f>D24+E24</f>
        <v>200</v>
      </c>
      <c r="D24" s="648">
        <f t="shared" si="6"/>
        <v>191</v>
      </c>
      <c r="E24" s="648">
        <f t="shared" si="6"/>
        <v>9</v>
      </c>
      <c r="F24" s="648"/>
      <c r="G24" s="649"/>
      <c r="H24" s="649"/>
      <c r="I24" s="648"/>
      <c r="J24" s="649"/>
      <c r="K24" s="649"/>
      <c r="L24" s="648"/>
      <c r="M24" s="649"/>
      <c r="N24" s="649"/>
      <c r="O24" s="649"/>
      <c r="P24" s="648"/>
      <c r="Q24" s="648"/>
      <c r="R24" s="649"/>
      <c r="S24" s="648"/>
      <c r="T24" s="648"/>
      <c r="U24" s="648"/>
      <c r="V24" s="648"/>
      <c r="W24" s="648"/>
      <c r="X24" s="648"/>
      <c r="Y24" s="649"/>
      <c r="Z24" s="649"/>
      <c r="AA24" s="648"/>
      <c r="AB24" s="649"/>
      <c r="AC24" s="649"/>
      <c r="AD24" s="648">
        <f>AE24+AF24</f>
        <v>200</v>
      </c>
      <c r="AE24" s="649">
        <f>'[3]Mục 9'!G10</f>
        <v>191</v>
      </c>
      <c r="AF24" s="649">
        <f>'[3]Mục 9'!E10</f>
        <v>9</v>
      </c>
      <c r="AG24" s="648">
        <f t="shared" si="11"/>
        <v>0</v>
      </c>
      <c r="AH24" s="648"/>
      <c r="AI24" s="648"/>
      <c r="AJ24" s="459"/>
      <c r="AK24" s="460"/>
      <c r="AL24" s="460"/>
    </row>
    <row r="25" spans="1:38" ht="20.25" customHeight="1" x14ac:dyDescent="0.25">
      <c r="A25" s="623">
        <v>13</v>
      </c>
      <c r="B25" s="624" t="s">
        <v>230</v>
      </c>
      <c r="C25" s="650">
        <f>D25+E25</f>
        <v>200</v>
      </c>
      <c r="D25" s="650">
        <f>G25+M25+P25+S25+V25+AB25+AE25+AH25+AK25+Y25+J25</f>
        <v>191</v>
      </c>
      <c r="E25" s="650">
        <f>H25+N25+Q25+T25+W25+AC25+AF25+AI25+AL25+Z25+K25</f>
        <v>9</v>
      </c>
      <c r="F25" s="650"/>
      <c r="G25" s="651"/>
      <c r="H25" s="651"/>
      <c r="I25" s="650">
        <f>J25+K25</f>
        <v>0</v>
      </c>
      <c r="J25" s="651"/>
      <c r="K25" s="651"/>
      <c r="L25" s="650">
        <f>M25+N25</f>
        <v>200</v>
      </c>
      <c r="M25" s="651">
        <f>'[3]Mục 3'!D17</f>
        <v>191</v>
      </c>
      <c r="N25" s="651">
        <f>'[3]Mục 3'!E17</f>
        <v>9</v>
      </c>
      <c r="O25" s="651">
        <f>P25+Q25</f>
        <v>0</v>
      </c>
      <c r="P25" s="650"/>
      <c r="Q25" s="650"/>
      <c r="R25" s="651">
        <f>S25+T25</f>
        <v>0</v>
      </c>
      <c r="S25" s="650"/>
      <c r="T25" s="650"/>
      <c r="U25" s="650">
        <f>V25+W25</f>
        <v>0</v>
      </c>
      <c r="V25" s="650"/>
      <c r="W25" s="650"/>
      <c r="X25" s="650">
        <f>Y25+Z25</f>
        <v>0</v>
      </c>
      <c r="Y25" s="651"/>
      <c r="Z25" s="651"/>
      <c r="AA25" s="650">
        <f>AB25+AC25</f>
        <v>0</v>
      </c>
      <c r="AB25" s="651"/>
      <c r="AC25" s="651"/>
      <c r="AD25" s="650"/>
      <c r="AE25" s="651"/>
      <c r="AF25" s="651"/>
      <c r="AG25" s="650">
        <f>AH25+AI25</f>
        <v>0</v>
      </c>
      <c r="AH25" s="650"/>
      <c r="AI25" s="650"/>
      <c r="AJ25" s="459"/>
      <c r="AK25" s="460"/>
      <c r="AL25" s="460"/>
    </row>
    <row r="26" spans="1:38" ht="20.25" customHeight="1" x14ac:dyDescent="0.25">
      <c r="A26" s="447" t="s">
        <v>31</v>
      </c>
      <c r="B26" s="626" t="s">
        <v>509</v>
      </c>
      <c r="C26" s="644">
        <f>SUM(C27:C34)</f>
        <v>18924</v>
      </c>
      <c r="D26" s="644">
        <f t="shared" ref="D26:AI26" si="12">SUM(D27:D34)</f>
        <v>18023</v>
      </c>
      <c r="E26" s="644">
        <f t="shared" si="12"/>
        <v>901</v>
      </c>
      <c r="F26" s="644">
        <f t="shared" si="12"/>
        <v>0</v>
      </c>
      <c r="G26" s="644">
        <f t="shared" si="12"/>
        <v>0</v>
      </c>
      <c r="H26" s="644">
        <f t="shared" si="12"/>
        <v>0</v>
      </c>
      <c r="I26" s="644">
        <f t="shared" si="12"/>
        <v>725</v>
      </c>
      <c r="J26" s="644">
        <f t="shared" si="12"/>
        <v>691</v>
      </c>
      <c r="K26" s="644">
        <f t="shared" si="12"/>
        <v>34</v>
      </c>
      <c r="L26" s="644">
        <f t="shared" si="12"/>
        <v>14745</v>
      </c>
      <c r="M26" s="644">
        <f t="shared" si="12"/>
        <v>14046</v>
      </c>
      <c r="N26" s="644">
        <f t="shared" si="12"/>
        <v>699</v>
      </c>
      <c r="O26" s="644">
        <f t="shared" si="12"/>
        <v>0</v>
      </c>
      <c r="P26" s="644">
        <f t="shared" si="12"/>
        <v>0</v>
      </c>
      <c r="Q26" s="644">
        <f t="shared" si="12"/>
        <v>0</v>
      </c>
      <c r="R26" s="644">
        <f t="shared" si="12"/>
        <v>549</v>
      </c>
      <c r="S26" s="644">
        <f t="shared" si="12"/>
        <v>523</v>
      </c>
      <c r="T26" s="644">
        <f t="shared" si="12"/>
        <v>26</v>
      </c>
      <c r="U26" s="644">
        <f t="shared" si="12"/>
        <v>2270</v>
      </c>
      <c r="V26" s="644">
        <f t="shared" si="12"/>
        <v>2162</v>
      </c>
      <c r="W26" s="644">
        <f t="shared" si="12"/>
        <v>108</v>
      </c>
      <c r="X26" s="644">
        <f t="shared" si="12"/>
        <v>0</v>
      </c>
      <c r="Y26" s="644">
        <f t="shared" si="12"/>
        <v>0</v>
      </c>
      <c r="Z26" s="644">
        <f t="shared" si="12"/>
        <v>0</v>
      </c>
      <c r="AA26" s="644">
        <f t="shared" si="12"/>
        <v>75</v>
      </c>
      <c r="AB26" s="644">
        <f t="shared" si="12"/>
        <v>70</v>
      </c>
      <c r="AC26" s="644">
        <f t="shared" si="12"/>
        <v>5</v>
      </c>
      <c r="AD26" s="644">
        <f t="shared" si="12"/>
        <v>0</v>
      </c>
      <c r="AE26" s="644">
        <f t="shared" si="12"/>
        <v>0</v>
      </c>
      <c r="AF26" s="644">
        <f t="shared" si="12"/>
        <v>0</v>
      </c>
      <c r="AG26" s="644">
        <f t="shared" si="12"/>
        <v>560</v>
      </c>
      <c r="AH26" s="644">
        <f t="shared" si="12"/>
        <v>531</v>
      </c>
      <c r="AI26" s="644">
        <f t="shared" si="12"/>
        <v>29</v>
      </c>
      <c r="AJ26" s="459"/>
      <c r="AK26" s="460"/>
      <c r="AL26" s="460"/>
    </row>
    <row r="27" spans="1:38" s="450" customFormat="1" ht="20.25" customHeight="1" x14ac:dyDescent="0.25">
      <c r="A27" s="627">
        <v>1</v>
      </c>
      <c r="B27" s="628" t="s">
        <v>41</v>
      </c>
      <c r="C27" s="652">
        <f t="shared" ref="C27:C34" si="13">D27+E27</f>
        <v>4134</v>
      </c>
      <c r="D27" s="652">
        <f t="shared" si="6"/>
        <v>3936</v>
      </c>
      <c r="E27" s="652">
        <f t="shared" si="6"/>
        <v>198</v>
      </c>
      <c r="F27" s="652">
        <f t="shared" ref="F27:F34" si="14">G27+H27</f>
        <v>0</v>
      </c>
      <c r="G27" s="652"/>
      <c r="H27" s="652"/>
      <c r="I27" s="652">
        <f t="shared" ref="I27:I34" si="15">J27+K27</f>
        <v>225</v>
      </c>
      <c r="J27" s="652">
        <f>'[3]Mục 2'!D14</f>
        <v>214</v>
      </c>
      <c r="K27" s="652">
        <f>'[3]Mục 2'!E14</f>
        <v>11</v>
      </c>
      <c r="L27" s="652">
        <f t="shared" ref="L27:L34" si="16">M27+N27</f>
        <v>3624</v>
      </c>
      <c r="M27" s="652">
        <f>'[3]Mục 3'!D19</f>
        <v>3452</v>
      </c>
      <c r="N27" s="652">
        <f>'[3]Mục 3'!E19</f>
        <v>172</v>
      </c>
      <c r="O27" s="653">
        <f t="shared" si="3"/>
        <v>0</v>
      </c>
      <c r="P27" s="652"/>
      <c r="Q27" s="652"/>
      <c r="R27" s="653">
        <f t="shared" si="9"/>
        <v>0</v>
      </c>
      <c r="S27" s="652"/>
      <c r="T27" s="652"/>
      <c r="U27" s="652">
        <f t="shared" ref="U27:U34" si="17">V27+W27</f>
        <v>200</v>
      </c>
      <c r="V27" s="652">
        <f>'[3]Mục 6'!D15</f>
        <v>190</v>
      </c>
      <c r="W27" s="652">
        <f>'[3]Mục 6'!E15</f>
        <v>10</v>
      </c>
      <c r="X27" s="652">
        <f t="shared" ref="X27:X34" si="18">Y27+Z27</f>
        <v>0</v>
      </c>
      <c r="Y27" s="652"/>
      <c r="Z27" s="652"/>
      <c r="AA27" s="652">
        <f t="shared" ref="AA27:AA34" si="19">AB27+AC27</f>
        <v>10</v>
      </c>
      <c r="AB27" s="652">
        <f>'[3]Mục 8'!D16</f>
        <v>9</v>
      </c>
      <c r="AC27" s="652">
        <f>'[3]Mục 8'!E16</f>
        <v>1</v>
      </c>
      <c r="AD27" s="652">
        <f t="shared" ref="AD27:AD34" si="20">AE27+AF27</f>
        <v>0</v>
      </c>
      <c r="AE27" s="652"/>
      <c r="AF27" s="652"/>
      <c r="AG27" s="652">
        <f t="shared" ref="AG27:AG34" si="21">AH27+AI27</f>
        <v>75</v>
      </c>
      <c r="AH27" s="652">
        <f>'[3]Mục 10'!D17</f>
        <v>71</v>
      </c>
      <c r="AI27" s="652">
        <f>'[3]Mục 10'!E17</f>
        <v>4</v>
      </c>
      <c r="AJ27" s="459">
        <f t="shared" ref="AJ27:AJ34" si="22">AK27+AL27</f>
        <v>0</v>
      </c>
      <c r="AK27" s="459">
        <f>'[3]Mục 11'!G11</f>
        <v>0</v>
      </c>
      <c r="AL27" s="459">
        <f>'[3]Mục 11'!H11</f>
        <v>0</v>
      </c>
    </row>
    <row r="28" spans="1:38" s="450" customFormat="1" ht="20.25" customHeight="1" x14ac:dyDescent="0.25">
      <c r="A28" s="461">
        <v>2</v>
      </c>
      <c r="B28" s="629" t="s">
        <v>44</v>
      </c>
      <c r="C28" s="648">
        <f t="shared" si="13"/>
        <v>4171</v>
      </c>
      <c r="D28" s="648">
        <f t="shared" si="6"/>
        <v>3973</v>
      </c>
      <c r="E28" s="648">
        <f t="shared" si="6"/>
        <v>198</v>
      </c>
      <c r="F28" s="648">
        <f t="shared" si="14"/>
        <v>0</v>
      </c>
      <c r="G28" s="648"/>
      <c r="H28" s="648"/>
      <c r="I28" s="648">
        <f t="shared" si="15"/>
        <v>325</v>
      </c>
      <c r="J28" s="648">
        <f>'[3]Mục 2'!D13</f>
        <v>310</v>
      </c>
      <c r="K28" s="648">
        <f>'[3]Mục 2'!E13</f>
        <v>15</v>
      </c>
      <c r="L28" s="648">
        <f t="shared" si="16"/>
        <v>2856</v>
      </c>
      <c r="M28" s="648">
        <f>'[3]Mục 3'!D20</f>
        <v>2721</v>
      </c>
      <c r="N28" s="648">
        <f>'[3]Mục 3'!E20</f>
        <v>135</v>
      </c>
      <c r="O28" s="649">
        <f t="shared" si="3"/>
        <v>0</v>
      </c>
      <c r="P28" s="648"/>
      <c r="Q28" s="648"/>
      <c r="R28" s="649">
        <f t="shared" si="9"/>
        <v>0</v>
      </c>
      <c r="S28" s="648"/>
      <c r="T28" s="648"/>
      <c r="U28" s="648">
        <f t="shared" si="17"/>
        <v>900</v>
      </c>
      <c r="V28" s="648">
        <f>'[3]Mục 6'!D16</f>
        <v>857</v>
      </c>
      <c r="W28" s="648">
        <f>'[3]Mục 6'!E16</f>
        <v>43</v>
      </c>
      <c r="X28" s="648">
        <f t="shared" si="18"/>
        <v>0</v>
      </c>
      <c r="Y28" s="648"/>
      <c r="Z28" s="648"/>
      <c r="AA28" s="648">
        <f t="shared" si="19"/>
        <v>10</v>
      </c>
      <c r="AB28" s="648">
        <f>'[3]Mục 8'!D17</f>
        <v>9</v>
      </c>
      <c r="AC28" s="648">
        <f>'[3]Mục 8'!E17</f>
        <v>1</v>
      </c>
      <c r="AD28" s="648">
        <f t="shared" si="20"/>
        <v>0</v>
      </c>
      <c r="AE28" s="648"/>
      <c r="AF28" s="648"/>
      <c r="AG28" s="648">
        <f t="shared" si="21"/>
        <v>80</v>
      </c>
      <c r="AH28" s="648">
        <f>'[3]Mục 10'!D18</f>
        <v>76</v>
      </c>
      <c r="AI28" s="648">
        <f>'[3]Mục 10'!E18</f>
        <v>4</v>
      </c>
      <c r="AJ28" s="459">
        <f t="shared" si="22"/>
        <v>0</v>
      </c>
      <c r="AK28" s="459"/>
      <c r="AL28" s="459"/>
    </row>
    <row r="29" spans="1:38" s="450" customFormat="1" ht="20.25" customHeight="1" x14ac:dyDescent="0.25">
      <c r="A29" s="461">
        <v>3</v>
      </c>
      <c r="B29" s="629" t="s">
        <v>39</v>
      </c>
      <c r="C29" s="648">
        <f t="shared" si="13"/>
        <v>5162</v>
      </c>
      <c r="D29" s="648">
        <f t="shared" si="6"/>
        <v>4916</v>
      </c>
      <c r="E29" s="648">
        <f t="shared" si="6"/>
        <v>246</v>
      </c>
      <c r="F29" s="648">
        <f t="shared" si="14"/>
        <v>0</v>
      </c>
      <c r="G29" s="648"/>
      <c r="H29" s="648"/>
      <c r="I29" s="648">
        <f t="shared" si="15"/>
        <v>0</v>
      </c>
      <c r="J29" s="648"/>
      <c r="K29" s="648"/>
      <c r="L29" s="648">
        <f t="shared" si="16"/>
        <v>4563</v>
      </c>
      <c r="M29" s="648">
        <f>'[3]Mục 3'!D21</f>
        <v>4346</v>
      </c>
      <c r="N29" s="648">
        <f>'[3]Mục 3'!E21</f>
        <v>217</v>
      </c>
      <c r="O29" s="649">
        <f t="shared" si="3"/>
        <v>0</v>
      </c>
      <c r="P29" s="648"/>
      <c r="Q29" s="648"/>
      <c r="R29" s="649">
        <f t="shared" si="9"/>
        <v>99</v>
      </c>
      <c r="S29" s="648">
        <f>'[3]Mục 5'!D10</f>
        <v>94</v>
      </c>
      <c r="T29" s="648">
        <f>'[3]Mục 5'!E10</f>
        <v>5</v>
      </c>
      <c r="U29" s="648">
        <f t="shared" si="17"/>
        <v>370</v>
      </c>
      <c r="V29" s="648">
        <f>'[3]Mục 6'!D17</f>
        <v>353</v>
      </c>
      <c r="W29" s="648">
        <f>'[3]Mục 6'!E17</f>
        <v>17</v>
      </c>
      <c r="X29" s="648">
        <f t="shared" si="18"/>
        <v>0</v>
      </c>
      <c r="Y29" s="648"/>
      <c r="Z29" s="648"/>
      <c r="AA29" s="648">
        <f t="shared" si="19"/>
        <v>25</v>
      </c>
      <c r="AB29" s="648">
        <f>'[3]Mục 8'!D18</f>
        <v>23</v>
      </c>
      <c r="AC29" s="648">
        <f>'[3]Mục 8'!E18</f>
        <v>2</v>
      </c>
      <c r="AD29" s="648">
        <f t="shared" si="20"/>
        <v>0</v>
      </c>
      <c r="AE29" s="648"/>
      <c r="AF29" s="648"/>
      <c r="AG29" s="648">
        <f t="shared" si="21"/>
        <v>105</v>
      </c>
      <c r="AH29" s="648">
        <f>'[3]Mục 10'!D19</f>
        <v>100</v>
      </c>
      <c r="AI29" s="648">
        <f>'[3]Mục 10'!E19</f>
        <v>5</v>
      </c>
      <c r="AJ29" s="459">
        <f t="shared" si="22"/>
        <v>0</v>
      </c>
      <c r="AK29" s="459">
        <f>'[3]Mục 11'!G13</f>
        <v>0</v>
      </c>
      <c r="AL29" s="459">
        <f>'[3]Mục 11'!H13</f>
        <v>0</v>
      </c>
    </row>
    <row r="30" spans="1:38" s="450" customFormat="1" ht="20.25" customHeight="1" x14ac:dyDescent="0.25">
      <c r="A30" s="461">
        <v>4</v>
      </c>
      <c r="B30" s="629" t="s">
        <v>38</v>
      </c>
      <c r="C30" s="648">
        <f t="shared" si="13"/>
        <v>950</v>
      </c>
      <c r="D30" s="648">
        <f t="shared" si="6"/>
        <v>905</v>
      </c>
      <c r="E30" s="648">
        <f t="shared" si="6"/>
        <v>45</v>
      </c>
      <c r="F30" s="648">
        <f t="shared" si="14"/>
        <v>0</v>
      </c>
      <c r="G30" s="648"/>
      <c r="H30" s="648"/>
      <c r="I30" s="648">
        <f t="shared" si="15"/>
        <v>0</v>
      </c>
      <c r="J30" s="648"/>
      <c r="K30" s="648"/>
      <c r="L30" s="648">
        <f t="shared" si="16"/>
        <v>370</v>
      </c>
      <c r="M30" s="648">
        <f>'[3]Mục 3'!D22</f>
        <v>353</v>
      </c>
      <c r="N30" s="648">
        <f>'[3]Mục 3'!E22</f>
        <v>17</v>
      </c>
      <c r="O30" s="649">
        <f t="shared" si="3"/>
        <v>0</v>
      </c>
      <c r="P30" s="648"/>
      <c r="Q30" s="648"/>
      <c r="R30" s="649">
        <f t="shared" si="9"/>
        <v>0</v>
      </c>
      <c r="S30" s="648">
        <f>'[3]Mục 5'!D13</f>
        <v>0</v>
      </c>
      <c r="T30" s="648">
        <f>'[3]Mục 5'!E13</f>
        <v>0</v>
      </c>
      <c r="U30" s="648">
        <f t="shared" si="17"/>
        <v>500</v>
      </c>
      <c r="V30" s="648">
        <f>'[3]Mục 6'!D18</f>
        <v>476</v>
      </c>
      <c r="W30" s="648">
        <f>'[3]Mục 6'!E18</f>
        <v>24</v>
      </c>
      <c r="X30" s="648">
        <f t="shared" si="18"/>
        <v>0</v>
      </c>
      <c r="Y30" s="648"/>
      <c r="Z30" s="648"/>
      <c r="AA30" s="648">
        <f t="shared" si="19"/>
        <v>5</v>
      </c>
      <c r="AB30" s="648">
        <f>'[3]Mục 8'!D19</f>
        <v>5</v>
      </c>
      <c r="AC30" s="648">
        <f>'[3]Mục 8'!E19</f>
        <v>0</v>
      </c>
      <c r="AD30" s="648">
        <f t="shared" si="20"/>
        <v>0</v>
      </c>
      <c r="AE30" s="648"/>
      <c r="AF30" s="648"/>
      <c r="AG30" s="648">
        <f t="shared" si="21"/>
        <v>75</v>
      </c>
      <c r="AH30" s="648">
        <f>'[3]Mục 10'!D20</f>
        <v>71</v>
      </c>
      <c r="AI30" s="648">
        <f>'[3]Mục 10'!E20</f>
        <v>4</v>
      </c>
      <c r="AJ30" s="459">
        <f t="shared" si="22"/>
        <v>0</v>
      </c>
      <c r="AK30" s="459">
        <f>'[3]Mục 11'!G14</f>
        <v>0</v>
      </c>
      <c r="AL30" s="459">
        <f>'[3]Mục 11'!H14</f>
        <v>0</v>
      </c>
    </row>
    <row r="31" spans="1:38" s="462" customFormat="1" ht="20.25" customHeight="1" x14ac:dyDescent="0.25">
      <c r="A31" s="461">
        <v>5</v>
      </c>
      <c r="B31" s="629" t="s">
        <v>42</v>
      </c>
      <c r="C31" s="648">
        <f t="shared" si="13"/>
        <v>830</v>
      </c>
      <c r="D31" s="648">
        <f t="shared" si="6"/>
        <v>790</v>
      </c>
      <c r="E31" s="648">
        <f t="shared" si="6"/>
        <v>40</v>
      </c>
      <c r="F31" s="648">
        <f t="shared" si="14"/>
        <v>0</v>
      </c>
      <c r="G31" s="648"/>
      <c r="H31" s="648"/>
      <c r="I31" s="648">
        <f t="shared" si="15"/>
        <v>175</v>
      </c>
      <c r="J31" s="648">
        <f>'[3]Mục 2'!D15</f>
        <v>167</v>
      </c>
      <c r="K31" s="648">
        <f>'[3]Mục 2'!E15</f>
        <v>8</v>
      </c>
      <c r="L31" s="648">
        <f t="shared" si="16"/>
        <v>550</v>
      </c>
      <c r="M31" s="648">
        <f>'[3]Mục 3'!D23</f>
        <v>524</v>
      </c>
      <c r="N31" s="648">
        <f>'[3]Mục 3'!E23</f>
        <v>26</v>
      </c>
      <c r="O31" s="649">
        <f t="shared" si="3"/>
        <v>0</v>
      </c>
      <c r="P31" s="648"/>
      <c r="Q31" s="648"/>
      <c r="R31" s="649">
        <f t="shared" si="9"/>
        <v>0</v>
      </c>
      <c r="S31" s="648">
        <f>'[3]Mục 5'!D14</f>
        <v>0</v>
      </c>
      <c r="T31" s="648">
        <f>'[3]Mục 5'!E14</f>
        <v>0</v>
      </c>
      <c r="U31" s="648">
        <f t="shared" si="17"/>
        <v>0</v>
      </c>
      <c r="V31" s="648">
        <f>'[3]Mục 6'!D19</f>
        <v>0</v>
      </c>
      <c r="W31" s="648">
        <f>'[3]Mục 6'!E19</f>
        <v>0</v>
      </c>
      <c r="X31" s="648">
        <f t="shared" si="18"/>
        <v>0</v>
      </c>
      <c r="Y31" s="648"/>
      <c r="Z31" s="648"/>
      <c r="AA31" s="648">
        <f t="shared" si="19"/>
        <v>15</v>
      </c>
      <c r="AB31" s="648">
        <f>'[3]Mục 8'!D20</f>
        <v>14</v>
      </c>
      <c r="AC31" s="648">
        <f>'[3]Mục 8'!E20</f>
        <v>1</v>
      </c>
      <c r="AD31" s="648">
        <f t="shared" si="20"/>
        <v>0</v>
      </c>
      <c r="AE31" s="648"/>
      <c r="AF31" s="648"/>
      <c r="AG31" s="648">
        <f t="shared" si="21"/>
        <v>90</v>
      </c>
      <c r="AH31" s="648">
        <f>'[3]Mục 10'!D21</f>
        <v>85</v>
      </c>
      <c r="AI31" s="648">
        <f>'[3]Mục 10'!E21</f>
        <v>5</v>
      </c>
      <c r="AJ31" s="630">
        <f t="shared" si="22"/>
        <v>0</v>
      </c>
      <c r="AK31" s="459">
        <f>'[3]Mục 11'!G15</f>
        <v>0</v>
      </c>
      <c r="AL31" s="459">
        <f>'[3]Mục 11'!H15</f>
        <v>0</v>
      </c>
    </row>
    <row r="32" spans="1:38" s="632" customFormat="1" ht="20.25" customHeight="1" x14ac:dyDescent="0.25">
      <c r="A32" s="461">
        <v>6</v>
      </c>
      <c r="B32" s="629" t="s">
        <v>43</v>
      </c>
      <c r="C32" s="648">
        <f>D32+E32</f>
        <v>628</v>
      </c>
      <c r="D32" s="648">
        <f t="shared" si="6"/>
        <v>598</v>
      </c>
      <c r="E32" s="648">
        <f t="shared" si="6"/>
        <v>30</v>
      </c>
      <c r="F32" s="648">
        <f>G32+H32</f>
        <v>0</v>
      </c>
      <c r="G32" s="648"/>
      <c r="H32" s="648"/>
      <c r="I32" s="648">
        <f>J32+K32</f>
        <v>0</v>
      </c>
      <c r="J32" s="648"/>
      <c r="K32" s="648"/>
      <c r="L32" s="648">
        <f>M32+N32</f>
        <v>568</v>
      </c>
      <c r="M32" s="648">
        <f>'[3]Mục 3'!D24</f>
        <v>541</v>
      </c>
      <c r="N32" s="648">
        <f>'[3]Mục 3'!E24</f>
        <v>27</v>
      </c>
      <c r="O32" s="649">
        <f>P32+Q32</f>
        <v>0</v>
      </c>
      <c r="P32" s="648"/>
      <c r="Q32" s="648"/>
      <c r="R32" s="649"/>
      <c r="S32" s="648"/>
      <c r="T32" s="648"/>
      <c r="U32" s="648">
        <f>V32+W32</f>
        <v>0</v>
      </c>
      <c r="V32" s="648">
        <v>0</v>
      </c>
      <c r="W32" s="648">
        <v>0</v>
      </c>
      <c r="X32" s="648">
        <f>Y32+Z32</f>
        <v>0</v>
      </c>
      <c r="Y32" s="648"/>
      <c r="Z32" s="648"/>
      <c r="AA32" s="648">
        <f>AB32+AC32</f>
        <v>0</v>
      </c>
      <c r="AB32" s="648">
        <f>'[3]Mục 8'!D21</f>
        <v>0</v>
      </c>
      <c r="AC32" s="648">
        <f>'[3]Mục 8'!E21</f>
        <v>0</v>
      </c>
      <c r="AD32" s="648">
        <f>AE32+AF32</f>
        <v>0</v>
      </c>
      <c r="AE32" s="648"/>
      <c r="AF32" s="648"/>
      <c r="AG32" s="648">
        <f>AH32+AI32</f>
        <v>60</v>
      </c>
      <c r="AH32" s="648">
        <f>'[3]Mục 10'!D22</f>
        <v>57</v>
      </c>
      <c r="AI32" s="648">
        <f>'[3]Mục 10'!E22</f>
        <v>3</v>
      </c>
      <c r="AJ32" s="631">
        <f>AK32+AL32</f>
        <v>0</v>
      </c>
      <c r="AK32" s="625"/>
      <c r="AL32" s="625"/>
    </row>
    <row r="33" spans="1:38" s="632" customFormat="1" ht="20.25" customHeight="1" x14ac:dyDescent="0.25">
      <c r="A33" s="461">
        <v>7</v>
      </c>
      <c r="B33" s="629" t="s">
        <v>40</v>
      </c>
      <c r="C33" s="648">
        <f t="shared" si="13"/>
        <v>688</v>
      </c>
      <c r="D33" s="648">
        <f t="shared" si="6"/>
        <v>655</v>
      </c>
      <c r="E33" s="648">
        <f t="shared" si="6"/>
        <v>33</v>
      </c>
      <c r="F33" s="648">
        <f t="shared" si="14"/>
        <v>0</v>
      </c>
      <c r="G33" s="648"/>
      <c r="H33" s="648"/>
      <c r="I33" s="648">
        <f t="shared" si="15"/>
        <v>0</v>
      </c>
      <c r="J33" s="648"/>
      <c r="K33" s="648"/>
      <c r="L33" s="648">
        <f t="shared" si="16"/>
        <v>428</v>
      </c>
      <c r="M33" s="648">
        <f>'[3]Mục 3'!D25</f>
        <v>407</v>
      </c>
      <c r="N33" s="648">
        <f>'[3]Mục 3'!E25</f>
        <v>21</v>
      </c>
      <c r="O33" s="649">
        <f t="shared" si="3"/>
        <v>0</v>
      </c>
      <c r="P33" s="648"/>
      <c r="Q33" s="648"/>
      <c r="R33" s="649">
        <f t="shared" si="9"/>
        <v>0</v>
      </c>
      <c r="S33" s="648">
        <f>'[3]Mục 5'!D15</f>
        <v>0</v>
      </c>
      <c r="T33" s="648">
        <f>'[3]Mục 5'!E15</f>
        <v>0</v>
      </c>
      <c r="U33" s="648">
        <f t="shared" si="17"/>
        <v>200</v>
      </c>
      <c r="V33" s="648">
        <f>'[3]Mục 6'!D20</f>
        <v>191</v>
      </c>
      <c r="W33" s="648">
        <f>'[3]Mục 6'!E20</f>
        <v>9</v>
      </c>
      <c r="X33" s="648">
        <f t="shared" si="18"/>
        <v>0</v>
      </c>
      <c r="Y33" s="648"/>
      <c r="Z33" s="648"/>
      <c r="AA33" s="648">
        <f t="shared" si="19"/>
        <v>5</v>
      </c>
      <c r="AB33" s="648">
        <f>'[3]Mục 8'!D22</f>
        <v>5</v>
      </c>
      <c r="AC33" s="648">
        <f>'[3]Mục 8'!E22</f>
        <v>0</v>
      </c>
      <c r="AD33" s="648">
        <f t="shared" si="20"/>
        <v>0</v>
      </c>
      <c r="AE33" s="648"/>
      <c r="AF33" s="648"/>
      <c r="AG33" s="648">
        <f t="shared" si="21"/>
        <v>55</v>
      </c>
      <c r="AH33" s="648">
        <f>'[3]Mục 10'!D23</f>
        <v>52</v>
      </c>
      <c r="AI33" s="648">
        <f>'[3]Mục 10'!E23</f>
        <v>3</v>
      </c>
      <c r="AJ33" s="631">
        <f t="shared" si="22"/>
        <v>0</v>
      </c>
      <c r="AK33" s="625"/>
      <c r="AL33" s="625"/>
    </row>
    <row r="34" spans="1:38" s="450" customFormat="1" ht="20.25" customHeight="1" x14ac:dyDescent="0.25">
      <c r="A34" s="633">
        <v>8</v>
      </c>
      <c r="B34" s="634" t="s">
        <v>45</v>
      </c>
      <c r="C34" s="654">
        <f t="shared" si="13"/>
        <v>2361</v>
      </c>
      <c r="D34" s="654">
        <f t="shared" si="6"/>
        <v>2250</v>
      </c>
      <c r="E34" s="654">
        <f t="shared" si="6"/>
        <v>111</v>
      </c>
      <c r="F34" s="654">
        <f t="shared" si="14"/>
        <v>0</v>
      </c>
      <c r="G34" s="654"/>
      <c r="H34" s="654"/>
      <c r="I34" s="654">
        <f t="shared" si="15"/>
        <v>0</v>
      </c>
      <c r="J34" s="654"/>
      <c r="K34" s="654"/>
      <c r="L34" s="654">
        <f t="shared" si="16"/>
        <v>1786</v>
      </c>
      <c r="M34" s="654">
        <f>'[3]Mục 3'!D26</f>
        <v>1702</v>
      </c>
      <c r="N34" s="654">
        <f>'[3]Mục 3'!E26</f>
        <v>84</v>
      </c>
      <c r="O34" s="655">
        <f t="shared" si="3"/>
        <v>0</v>
      </c>
      <c r="P34" s="654">
        <f>'[3]Mục 4'!D13</f>
        <v>0</v>
      </c>
      <c r="Q34" s="654">
        <f>'[3]Mục 4'!E13</f>
        <v>0</v>
      </c>
      <c r="R34" s="655">
        <f>S34+T34</f>
        <v>450</v>
      </c>
      <c r="S34" s="654">
        <f>'[3]Mục 5'!D11</f>
        <v>429</v>
      </c>
      <c r="T34" s="654">
        <f>'[3]Mục 5'!E11</f>
        <v>21</v>
      </c>
      <c r="U34" s="654">
        <f t="shared" si="17"/>
        <v>100</v>
      </c>
      <c r="V34" s="654">
        <f>'[3]Mục 6'!D21</f>
        <v>95</v>
      </c>
      <c r="W34" s="654">
        <f>'[3]Mục 6'!E21</f>
        <v>5</v>
      </c>
      <c r="X34" s="654">
        <f t="shared" si="18"/>
        <v>0</v>
      </c>
      <c r="Y34" s="654"/>
      <c r="Z34" s="654"/>
      <c r="AA34" s="654">
        <f t="shared" si="19"/>
        <v>5</v>
      </c>
      <c r="AB34" s="654">
        <f>'[3]Mục 8'!D23</f>
        <v>5</v>
      </c>
      <c r="AC34" s="654">
        <v>0</v>
      </c>
      <c r="AD34" s="654">
        <f t="shared" si="20"/>
        <v>0</v>
      </c>
      <c r="AE34" s="654"/>
      <c r="AF34" s="654"/>
      <c r="AG34" s="654">
        <f t="shared" si="21"/>
        <v>20</v>
      </c>
      <c r="AH34" s="654">
        <f>'[3]Mục 10'!D24</f>
        <v>19</v>
      </c>
      <c r="AI34" s="654">
        <f>'[3]Mục 10'!E24</f>
        <v>1</v>
      </c>
      <c r="AJ34" s="635">
        <f t="shared" si="22"/>
        <v>0</v>
      </c>
      <c r="AK34" s="636">
        <f>'[3]Mục 11'!G17</f>
        <v>0</v>
      </c>
      <c r="AL34" s="636">
        <f>'[3]Mục 11'!H17</f>
        <v>0</v>
      </c>
    </row>
  </sheetData>
  <mergeCells count="21">
    <mergeCell ref="A10:A11"/>
    <mergeCell ref="B10:B11"/>
    <mergeCell ref="L5:N8"/>
    <mergeCell ref="O5:Q8"/>
    <mergeCell ref="R5:T8"/>
    <mergeCell ref="A1:AL1"/>
    <mergeCell ref="A2:AL2"/>
    <mergeCell ref="AF3:AI3"/>
    <mergeCell ref="AK3:AL3"/>
    <mergeCell ref="A4:A8"/>
    <mergeCell ref="B4:B8"/>
    <mergeCell ref="C4:E8"/>
    <mergeCell ref="F4:AI4"/>
    <mergeCell ref="F5:H8"/>
    <mergeCell ref="I5:K8"/>
    <mergeCell ref="AD5:AF8"/>
    <mergeCell ref="AG5:AI8"/>
    <mergeCell ref="AJ5:AL8"/>
    <mergeCell ref="U5:W8"/>
    <mergeCell ref="X5:Z8"/>
    <mergeCell ref="AA5:AC8"/>
  </mergeCells>
  <pageMargins left="0.59055118110236204" right="0.31496062992126" top="0.59055118110236204" bottom="0.59055118110236204" header="0.31496062992126" footer="0.31496062992126"/>
  <pageSetup paperSize="9" scale="54" firstPageNumber="46" orientation="landscape" useFirstPageNumber="1" r:id="rId1"/>
  <headerFooter>
    <oddHeader>&amp;RPhụ lục số 03</oddHead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Layout" zoomScale="85" zoomScaleNormal="85" zoomScaleSheetLayoutView="100" zoomScalePageLayoutView="85" workbookViewId="0">
      <selection sqref="A1:XFD1048576"/>
    </sheetView>
  </sheetViews>
  <sheetFormatPr defaultRowHeight="15" x14ac:dyDescent="0.25"/>
  <cols>
    <col min="1" max="1" width="3.25" style="915" customWidth="1"/>
    <col min="2" max="2" width="16" style="915" customWidth="1"/>
    <col min="3" max="3" width="6.375" style="915" customWidth="1"/>
    <col min="4" max="4" width="11.25" style="915" hidden="1" customWidth="1"/>
    <col min="5" max="5" width="6.875" style="915" customWidth="1"/>
    <col min="6" max="6" width="5.5" style="915" customWidth="1"/>
    <col min="7" max="9" width="6.75" style="915" hidden="1" customWidth="1"/>
    <col min="10" max="10" width="6.75" style="915" customWidth="1"/>
    <col min="11" max="11" width="6.875" style="915" customWidth="1"/>
    <col min="12" max="12" width="7.25" style="915" customWidth="1"/>
    <col min="13" max="13" width="6.75" style="915" customWidth="1"/>
    <col min="14" max="14" width="8.125" style="915" customWidth="1"/>
    <col min="15" max="15" width="7" style="915" customWidth="1"/>
    <col min="16" max="16" width="6.75" style="915" customWidth="1"/>
    <col min="17" max="17" width="6.875" style="915" customWidth="1"/>
    <col min="18" max="18" width="6.625" style="915" customWidth="1"/>
    <col min="19" max="19" width="6.25" style="915" customWidth="1"/>
    <col min="20" max="20" width="7.625" style="915" customWidth="1"/>
    <col min="21" max="21" width="7.375" style="915" customWidth="1"/>
    <col min="22" max="22" width="6.75" style="915" customWidth="1"/>
    <col min="23" max="23" width="7.25" style="915" customWidth="1"/>
    <col min="24" max="24" width="7" style="915" customWidth="1"/>
    <col min="25" max="25" width="6.75" style="915" customWidth="1"/>
    <col min="26" max="26" width="7.25" style="915" customWidth="1"/>
    <col min="27" max="27" width="7.875" style="915" customWidth="1"/>
    <col min="28" max="28" width="14.875" style="915" hidden="1" customWidth="1"/>
    <col min="29" max="29" width="0" style="915" hidden="1" customWidth="1"/>
    <col min="30" max="16384" width="9" style="915"/>
  </cols>
  <sheetData>
    <row r="1" spans="1:28" ht="30" customHeight="1" x14ac:dyDescent="0.25">
      <c r="A1" s="1199" t="s">
        <v>1216</v>
      </c>
      <c r="B1" s="1199"/>
      <c r="C1" s="1199"/>
      <c r="D1" s="1199"/>
      <c r="E1" s="1199"/>
      <c r="F1" s="1199"/>
      <c r="G1" s="1199"/>
      <c r="H1" s="1199"/>
      <c r="I1" s="1199"/>
      <c r="J1" s="1199"/>
      <c r="K1" s="1199"/>
      <c r="L1" s="1199"/>
      <c r="M1" s="1199"/>
      <c r="N1" s="1199"/>
      <c r="O1" s="1199"/>
      <c r="P1" s="1199"/>
      <c r="Q1" s="1199"/>
      <c r="R1" s="1199"/>
      <c r="S1" s="1199"/>
      <c r="T1" s="1199"/>
      <c r="U1" s="1199"/>
      <c r="V1" s="1199"/>
      <c r="W1" s="1199"/>
      <c r="X1" s="1199"/>
      <c r="Y1" s="1199"/>
      <c r="Z1" s="1199"/>
      <c r="AA1" s="1199"/>
    </row>
    <row r="2" spans="1:28" ht="28.5" customHeight="1" x14ac:dyDescent="0.25">
      <c r="A2" s="1200" t="str">
        <f>'PL03-NTM'!A2:AL2</f>
        <v>(Kèm theo Nghị quyết số             /NQ-HĐND ngày             /12/2022 của HĐND tỉnh Bắc Kạn)</v>
      </c>
      <c r="B2" s="1200"/>
      <c r="C2" s="1200"/>
      <c r="D2" s="1200"/>
      <c r="E2" s="1200"/>
      <c r="F2" s="1200"/>
      <c r="G2" s="1200"/>
      <c r="H2" s="1200"/>
      <c r="I2" s="1200"/>
      <c r="J2" s="1200"/>
      <c r="K2" s="1200"/>
      <c r="L2" s="1200"/>
      <c r="M2" s="1200"/>
      <c r="N2" s="1200"/>
      <c r="O2" s="1200"/>
      <c r="P2" s="1200"/>
      <c r="Q2" s="1200"/>
      <c r="R2" s="1200"/>
      <c r="S2" s="1200"/>
      <c r="T2" s="1200"/>
      <c r="U2" s="1200"/>
      <c r="V2" s="1200"/>
      <c r="W2" s="1200"/>
      <c r="X2" s="1200"/>
      <c r="Y2" s="1200"/>
      <c r="Z2" s="1200"/>
      <c r="AA2" s="1200"/>
    </row>
    <row r="3" spans="1:28" ht="30" customHeight="1" x14ac:dyDescent="0.25">
      <c r="A3" s="1194" t="s">
        <v>1</v>
      </c>
      <c r="B3" s="1194" t="s">
        <v>36</v>
      </c>
      <c r="C3" s="1191" t="s">
        <v>1194</v>
      </c>
      <c r="D3" s="1192"/>
      <c r="E3" s="1192"/>
      <c r="F3" s="1193"/>
      <c r="G3" s="1196" t="s">
        <v>1195</v>
      </c>
      <c r="H3" s="1197"/>
      <c r="I3" s="1197"/>
      <c r="J3" s="1197"/>
      <c r="K3" s="1197"/>
      <c r="L3" s="1197"/>
      <c r="M3" s="1197"/>
      <c r="N3" s="1197"/>
      <c r="O3" s="1198"/>
      <c r="P3" s="1196" t="s">
        <v>1214</v>
      </c>
      <c r="Q3" s="1197"/>
      <c r="R3" s="1197"/>
      <c r="S3" s="1197"/>
      <c r="T3" s="1197"/>
      <c r="U3" s="1198"/>
      <c r="V3" s="1196" t="s">
        <v>1215</v>
      </c>
      <c r="W3" s="1197"/>
      <c r="X3" s="1197"/>
      <c r="Y3" s="1197"/>
      <c r="Z3" s="1197"/>
      <c r="AA3" s="1198"/>
      <c r="AB3" s="477"/>
    </row>
    <row r="4" spans="1:28" ht="35.25" customHeight="1" x14ac:dyDescent="0.25">
      <c r="A4" s="1201"/>
      <c r="B4" s="1201"/>
      <c r="C4" s="1194" t="s">
        <v>1196</v>
      </c>
      <c r="D4" s="1194" t="s">
        <v>1196</v>
      </c>
      <c r="E4" s="1196" t="s">
        <v>1197</v>
      </c>
      <c r="F4" s="1198"/>
      <c r="G4" s="1196" t="s">
        <v>1198</v>
      </c>
      <c r="H4" s="1197"/>
      <c r="I4" s="1198"/>
      <c r="J4" s="1196" t="s">
        <v>1199</v>
      </c>
      <c r="K4" s="1197"/>
      <c r="L4" s="1198"/>
      <c r="M4" s="1196" t="s">
        <v>1200</v>
      </c>
      <c r="N4" s="1197"/>
      <c r="O4" s="1198"/>
      <c r="P4" s="1196" t="s">
        <v>1199</v>
      </c>
      <c r="Q4" s="1197"/>
      <c r="R4" s="1198"/>
      <c r="S4" s="1196" t="s">
        <v>1200</v>
      </c>
      <c r="T4" s="1197"/>
      <c r="U4" s="1198"/>
      <c r="V4" s="1196" t="s">
        <v>1201</v>
      </c>
      <c r="W4" s="1197"/>
      <c r="X4" s="1198"/>
      <c r="Y4" s="1196" t="s">
        <v>1202</v>
      </c>
      <c r="Z4" s="1197"/>
      <c r="AA4" s="1198"/>
      <c r="AB4" s="477"/>
    </row>
    <row r="5" spans="1:28" ht="66" customHeight="1" x14ac:dyDescent="0.25">
      <c r="A5" s="1195"/>
      <c r="B5" s="1195"/>
      <c r="C5" s="1195"/>
      <c r="D5" s="1195"/>
      <c r="E5" s="916" t="s">
        <v>1203</v>
      </c>
      <c r="F5" s="916" t="s">
        <v>1204</v>
      </c>
      <c r="G5" s="917" t="s">
        <v>1205</v>
      </c>
      <c r="H5" s="917" t="s">
        <v>1206</v>
      </c>
      <c r="I5" s="917" t="s">
        <v>1207</v>
      </c>
      <c r="J5" s="917" t="s">
        <v>1205</v>
      </c>
      <c r="K5" s="917" t="s">
        <v>1206</v>
      </c>
      <c r="L5" s="917" t="str">
        <f>I5</f>
        <v>Nhu cầu kinh phí (triệu đồng)</v>
      </c>
      <c r="M5" s="917" t="s">
        <v>1208</v>
      </c>
      <c r="N5" s="917" t="s">
        <v>1209</v>
      </c>
      <c r="O5" s="917" t="str">
        <f>L5</f>
        <v>Nhu cầu kinh phí (triệu đồng)</v>
      </c>
      <c r="P5" s="917" t="s">
        <v>1205</v>
      </c>
      <c r="Q5" s="917" t="s">
        <v>1206</v>
      </c>
      <c r="R5" s="917" t="str">
        <f>O5</f>
        <v>Nhu cầu kinh phí (triệu đồng)</v>
      </c>
      <c r="S5" s="917" t="s">
        <v>1205</v>
      </c>
      <c r="T5" s="917" t="s">
        <v>1206</v>
      </c>
      <c r="U5" s="917" t="str">
        <f>R5</f>
        <v>Nhu cầu kinh phí (triệu đồng)</v>
      </c>
      <c r="V5" s="917" t="s">
        <v>1205</v>
      </c>
      <c r="W5" s="917" t="s">
        <v>1206</v>
      </c>
      <c r="X5" s="917" t="str">
        <f>O5</f>
        <v>Nhu cầu kinh phí (triệu đồng)</v>
      </c>
      <c r="Y5" s="917" t="s">
        <v>1208</v>
      </c>
      <c r="Z5" s="917" t="s">
        <v>1209</v>
      </c>
      <c r="AA5" s="917" t="str">
        <f>X5</f>
        <v>Nhu cầu kinh phí (triệu đồng)</v>
      </c>
      <c r="AB5" s="477"/>
    </row>
    <row r="6" spans="1:28" s="919" customFormat="1" ht="21" customHeight="1" x14ac:dyDescent="0.25">
      <c r="A6" s="926">
        <v>1</v>
      </c>
      <c r="B6" s="927" t="s">
        <v>1210</v>
      </c>
      <c r="C6" s="932">
        <v>660</v>
      </c>
      <c r="D6" s="933">
        <f>E6+F6</f>
        <v>659.89159999999993</v>
      </c>
      <c r="E6" s="934">
        <f>L6+O6+R6+U6+X6+AA6</f>
        <v>604.77799999999991</v>
      </c>
      <c r="F6" s="934">
        <f>(R6+U6+X6+AA6)*10%</f>
        <v>55.113599999999998</v>
      </c>
      <c r="G6" s="935"/>
      <c r="H6" s="935"/>
      <c r="I6" s="936"/>
      <c r="J6" s="937">
        <v>0.05</v>
      </c>
      <c r="K6" s="934">
        <v>362.83999999999992</v>
      </c>
      <c r="L6" s="938">
        <f>J6*K6</f>
        <v>18.141999999999996</v>
      </c>
      <c r="M6" s="939">
        <v>0.05</v>
      </c>
      <c r="N6" s="938">
        <v>710</v>
      </c>
      <c r="O6" s="940">
        <f t="shared" ref="O6:O12" si="0">N6*M6</f>
        <v>35.5</v>
      </c>
      <c r="P6" s="936">
        <f>0.3*9/12</f>
        <v>0.22499999999999998</v>
      </c>
      <c r="Q6" s="940">
        <v>362.83999999999992</v>
      </c>
      <c r="R6" s="940">
        <f>P6*Q6</f>
        <v>81.638999999999967</v>
      </c>
      <c r="S6" s="936">
        <f>0.3*9/12</f>
        <v>0.22499999999999998</v>
      </c>
      <c r="T6" s="940">
        <v>710</v>
      </c>
      <c r="U6" s="940">
        <f>S6*T6</f>
        <v>159.74999999999997</v>
      </c>
      <c r="V6" s="941">
        <v>0.3</v>
      </c>
      <c r="W6" s="938">
        <v>769.46</v>
      </c>
      <c r="X6" s="938">
        <f t="shared" ref="X6:X12" si="1">V6*W6</f>
        <v>230.83799999999999</v>
      </c>
      <c r="Y6" s="942">
        <v>0.3</v>
      </c>
      <c r="Z6" s="938">
        <v>263.02999999999997</v>
      </c>
      <c r="AA6" s="940">
        <f t="shared" ref="AA6:AA12" si="2">Y6*Z6</f>
        <v>78.908999999999992</v>
      </c>
      <c r="AB6" s="918"/>
    </row>
    <row r="7" spans="1:28" s="919" customFormat="1" ht="21" customHeight="1" x14ac:dyDescent="0.25">
      <c r="A7" s="928">
        <v>2</v>
      </c>
      <c r="B7" s="929" t="s">
        <v>44</v>
      </c>
      <c r="C7" s="943">
        <v>692</v>
      </c>
      <c r="D7" s="944">
        <f t="shared" ref="D7:D12" si="3">E7+F7</f>
        <v>691.94472499999995</v>
      </c>
      <c r="E7" s="945">
        <f t="shared" ref="E7:E12" si="4">L7+O7+R7+U7+X7+AA7</f>
        <v>638.72224999999992</v>
      </c>
      <c r="F7" s="945">
        <f t="shared" ref="F7:F12" si="5">(R7+U7+X7+AA7)*10%</f>
        <v>53.222475000000003</v>
      </c>
      <c r="G7" s="946"/>
      <c r="H7" s="947"/>
      <c r="I7" s="947"/>
      <c r="J7" s="948">
        <v>0.05</v>
      </c>
      <c r="K7" s="945">
        <v>879.95</v>
      </c>
      <c r="L7" s="949">
        <f t="shared" ref="L7:L12" si="6">J7*K7</f>
        <v>43.997500000000002</v>
      </c>
      <c r="M7" s="950">
        <v>0.05</v>
      </c>
      <c r="N7" s="949">
        <v>1250</v>
      </c>
      <c r="O7" s="951">
        <f t="shared" si="0"/>
        <v>62.5</v>
      </c>
      <c r="P7" s="947">
        <f t="shared" ref="P7:P12" si="7">0.3*9/12</f>
        <v>0.22499999999999998</v>
      </c>
      <c r="Q7" s="951">
        <v>879.95</v>
      </c>
      <c r="R7" s="951">
        <f t="shared" ref="R7:R12" si="8">P7*Q7</f>
        <v>197.98874999999998</v>
      </c>
      <c r="S7" s="947">
        <f t="shared" ref="S7:S12" si="9">0.3*9/12</f>
        <v>0.22499999999999998</v>
      </c>
      <c r="T7" s="951">
        <v>1250</v>
      </c>
      <c r="U7" s="951">
        <f t="shared" ref="U7:U12" si="10">S7*T7</f>
        <v>281.25</v>
      </c>
      <c r="V7" s="952">
        <v>0.3</v>
      </c>
      <c r="W7" s="949">
        <v>15.72</v>
      </c>
      <c r="X7" s="949">
        <f t="shared" si="1"/>
        <v>4.7160000000000002</v>
      </c>
      <c r="Y7" s="953">
        <v>0.3</v>
      </c>
      <c r="Z7" s="949">
        <v>160.9</v>
      </c>
      <c r="AA7" s="951">
        <f t="shared" si="2"/>
        <v>48.27</v>
      </c>
      <c r="AB7" s="918"/>
    </row>
    <row r="8" spans="1:28" s="919" customFormat="1" ht="21" customHeight="1" x14ac:dyDescent="0.3">
      <c r="A8" s="928">
        <v>3</v>
      </c>
      <c r="B8" s="929" t="s">
        <v>40</v>
      </c>
      <c r="C8" s="943">
        <v>201</v>
      </c>
      <c r="D8" s="944">
        <f t="shared" si="3"/>
        <v>200.709575</v>
      </c>
      <c r="E8" s="945">
        <f t="shared" si="4"/>
        <v>184.78475</v>
      </c>
      <c r="F8" s="945">
        <f t="shared" si="5"/>
        <v>15.924824999999998</v>
      </c>
      <c r="G8" s="946"/>
      <c r="H8" s="947"/>
      <c r="I8" s="947"/>
      <c r="J8" s="948">
        <v>0.05</v>
      </c>
      <c r="K8" s="945">
        <v>360.73</v>
      </c>
      <c r="L8" s="949">
        <f>J8*K8</f>
        <v>18.0365</v>
      </c>
      <c r="M8" s="950">
        <v>0.05</v>
      </c>
      <c r="N8" s="954">
        <v>150</v>
      </c>
      <c r="O8" s="951">
        <f t="shared" si="0"/>
        <v>7.5</v>
      </c>
      <c r="P8" s="947">
        <f t="shared" si="7"/>
        <v>0.22499999999999998</v>
      </c>
      <c r="Q8" s="951">
        <v>360.73</v>
      </c>
      <c r="R8" s="951">
        <f t="shared" si="8"/>
        <v>81.164249999999996</v>
      </c>
      <c r="S8" s="947">
        <f t="shared" si="9"/>
        <v>0.22499999999999998</v>
      </c>
      <c r="T8" s="951">
        <v>150</v>
      </c>
      <c r="U8" s="951">
        <f t="shared" si="10"/>
        <v>33.75</v>
      </c>
      <c r="V8" s="952">
        <v>0.3</v>
      </c>
      <c r="W8" s="951"/>
      <c r="X8" s="949">
        <f t="shared" si="1"/>
        <v>0</v>
      </c>
      <c r="Y8" s="953">
        <v>0.3</v>
      </c>
      <c r="Z8" s="955">
        <v>147.78</v>
      </c>
      <c r="AA8" s="951">
        <f t="shared" si="2"/>
        <v>44.333999999999996</v>
      </c>
      <c r="AB8" s="918"/>
    </row>
    <row r="9" spans="1:28" s="919" customFormat="1" ht="21" customHeight="1" x14ac:dyDescent="0.3">
      <c r="A9" s="928">
        <v>4</v>
      </c>
      <c r="B9" s="929" t="s">
        <v>41</v>
      </c>
      <c r="C9" s="943">
        <v>424</v>
      </c>
      <c r="D9" s="944">
        <f t="shared" si="3"/>
        <v>424.34805</v>
      </c>
      <c r="E9" s="945">
        <f t="shared" si="4"/>
        <v>392.25450000000001</v>
      </c>
      <c r="F9" s="945">
        <f t="shared" si="5"/>
        <v>32.09355</v>
      </c>
      <c r="G9" s="946"/>
      <c r="H9" s="947"/>
      <c r="I9" s="947"/>
      <c r="J9" s="948">
        <v>0.05</v>
      </c>
      <c r="K9" s="945">
        <f>152.84+73.54</f>
        <v>226.38</v>
      </c>
      <c r="L9" s="949">
        <f t="shared" si="6"/>
        <v>11.319000000000001</v>
      </c>
      <c r="M9" s="950">
        <v>0.05</v>
      </c>
      <c r="N9" s="949">
        <v>1200</v>
      </c>
      <c r="O9" s="951">
        <f t="shared" si="0"/>
        <v>60</v>
      </c>
      <c r="P9" s="947">
        <f t="shared" si="7"/>
        <v>0.22499999999999998</v>
      </c>
      <c r="Q9" s="951">
        <v>226.38</v>
      </c>
      <c r="R9" s="951">
        <f t="shared" si="8"/>
        <v>50.93549999999999</v>
      </c>
      <c r="S9" s="947">
        <f t="shared" si="9"/>
        <v>0.22499999999999998</v>
      </c>
      <c r="T9" s="951">
        <v>1200</v>
      </c>
      <c r="U9" s="951">
        <f t="shared" si="10"/>
        <v>270</v>
      </c>
      <c r="V9" s="952">
        <v>0.3</v>
      </c>
      <c r="W9" s="951"/>
      <c r="X9" s="949">
        <f t="shared" si="1"/>
        <v>0</v>
      </c>
      <c r="Y9" s="953">
        <v>0.3</v>
      </c>
      <c r="Z9" s="955"/>
      <c r="AA9" s="951">
        <f t="shared" si="2"/>
        <v>0</v>
      </c>
      <c r="AB9" s="918"/>
    </row>
    <row r="10" spans="1:28" s="921" customFormat="1" ht="21" customHeight="1" x14ac:dyDescent="0.3">
      <c r="A10" s="928">
        <v>5</v>
      </c>
      <c r="B10" s="929" t="s">
        <v>39</v>
      </c>
      <c r="C10" s="943">
        <v>4519</v>
      </c>
      <c r="D10" s="944">
        <f t="shared" si="3"/>
        <v>4519.0099250000003</v>
      </c>
      <c r="E10" s="945">
        <f t="shared" si="4"/>
        <v>4152.7002499999999</v>
      </c>
      <c r="F10" s="945">
        <f t="shared" si="5"/>
        <v>366.30967499999997</v>
      </c>
      <c r="G10" s="956"/>
      <c r="H10" s="956"/>
      <c r="I10" s="956"/>
      <c r="J10" s="948">
        <v>0.05</v>
      </c>
      <c r="K10" s="945">
        <v>3420.7500000000009</v>
      </c>
      <c r="L10" s="949">
        <f t="shared" si="6"/>
        <v>171.03750000000005</v>
      </c>
      <c r="M10" s="950">
        <v>0.05</v>
      </c>
      <c r="N10" s="949">
        <v>6371.32</v>
      </c>
      <c r="O10" s="951">
        <f t="shared" si="0"/>
        <v>318.56600000000003</v>
      </c>
      <c r="P10" s="947">
        <f t="shared" si="7"/>
        <v>0.22499999999999998</v>
      </c>
      <c r="Q10" s="951">
        <v>3420.7500000000009</v>
      </c>
      <c r="R10" s="951">
        <f t="shared" si="8"/>
        <v>769.66875000000016</v>
      </c>
      <c r="S10" s="947">
        <f t="shared" si="9"/>
        <v>0.22499999999999998</v>
      </c>
      <c r="T10" s="951">
        <v>6371.32</v>
      </c>
      <c r="U10" s="951">
        <f t="shared" si="10"/>
        <v>1433.5469999999998</v>
      </c>
      <c r="V10" s="952">
        <v>0.3</v>
      </c>
      <c r="W10" s="955">
        <v>1930.12</v>
      </c>
      <c r="X10" s="949">
        <f t="shared" si="1"/>
        <v>579.03599999999994</v>
      </c>
      <c r="Y10" s="953">
        <v>0.3</v>
      </c>
      <c r="Z10" s="955">
        <v>2936.15</v>
      </c>
      <c r="AA10" s="951">
        <f t="shared" si="2"/>
        <v>880.84500000000003</v>
      </c>
      <c r="AB10" s="920" t="s">
        <v>1211</v>
      </c>
    </row>
    <row r="11" spans="1:28" ht="21" customHeight="1" x14ac:dyDescent="0.3">
      <c r="A11" s="928">
        <v>6</v>
      </c>
      <c r="B11" s="929" t="s">
        <v>38</v>
      </c>
      <c r="C11" s="943">
        <v>1311</v>
      </c>
      <c r="D11" s="944">
        <f t="shared" si="3"/>
        <v>1311.045075</v>
      </c>
      <c r="E11" s="945">
        <f t="shared" si="4"/>
        <v>1206.9337499999999</v>
      </c>
      <c r="F11" s="945">
        <f t="shared" si="5"/>
        <v>104.11132499999999</v>
      </c>
      <c r="G11" s="957"/>
      <c r="H11" s="957"/>
      <c r="I11" s="957"/>
      <c r="J11" s="948">
        <v>0.05</v>
      </c>
      <c r="K11" s="945">
        <f>1366.41</f>
        <v>1366.41</v>
      </c>
      <c r="L11" s="949">
        <f t="shared" si="6"/>
        <v>68.32050000000001</v>
      </c>
      <c r="M11" s="950">
        <v>0.05</v>
      </c>
      <c r="N11" s="949">
        <v>1950</v>
      </c>
      <c r="O11" s="951">
        <f t="shared" si="0"/>
        <v>97.5</v>
      </c>
      <c r="P11" s="947">
        <f t="shared" si="7"/>
        <v>0.22499999999999998</v>
      </c>
      <c r="Q11" s="951">
        <v>1366.41</v>
      </c>
      <c r="R11" s="951">
        <f t="shared" si="8"/>
        <v>307.44225</v>
      </c>
      <c r="S11" s="947">
        <f t="shared" si="9"/>
        <v>0.22499999999999998</v>
      </c>
      <c r="T11" s="951">
        <v>1950</v>
      </c>
      <c r="U11" s="951">
        <f t="shared" si="10"/>
        <v>438.74999999999994</v>
      </c>
      <c r="V11" s="952">
        <v>0.3</v>
      </c>
      <c r="W11" s="955"/>
      <c r="X11" s="949">
        <f t="shared" si="1"/>
        <v>0</v>
      </c>
      <c r="Y11" s="953">
        <v>0.3</v>
      </c>
      <c r="Z11" s="955">
        <v>983.07</v>
      </c>
      <c r="AA11" s="951">
        <f t="shared" si="2"/>
        <v>294.92099999999999</v>
      </c>
    </row>
    <row r="12" spans="1:28" ht="21" customHeight="1" x14ac:dyDescent="0.3">
      <c r="A12" s="930">
        <v>7</v>
      </c>
      <c r="B12" s="931" t="s">
        <v>42</v>
      </c>
      <c r="C12" s="958">
        <v>572</v>
      </c>
      <c r="D12" s="959">
        <f t="shared" si="3"/>
        <v>572.03895</v>
      </c>
      <c r="E12" s="960">
        <f t="shared" si="4"/>
        <v>528.77549999999997</v>
      </c>
      <c r="F12" s="960">
        <f t="shared" si="5"/>
        <v>43.263450000000006</v>
      </c>
      <c r="G12" s="961"/>
      <c r="H12" s="962"/>
      <c r="I12" s="963"/>
      <c r="J12" s="964">
        <v>0.05</v>
      </c>
      <c r="K12" s="960">
        <f>952.82</f>
        <v>952.82</v>
      </c>
      <c r="L12" s="965">
        <f t="shared" si="6"/>
        <v>47.641000000000005</v>
      </c>
      <c r="M12" s="966">
        <v>0.05</v>
      </c>
      <c r="N12" s="965">
        <v>970</v>
      </c>
      <c r="O12" s="967">
        <f t="shared" si="0"/>
        <v>48.5</v>
      </c>
      <c r="P12" s="968">
        <f t="shared" si="7"/>
        <v>0.22499999999999998</v>
      </c>
      <c r="Q12" s="967">
        <v>952.82</v>
      </c>
      <c r="R12" s="967">
        <f t="shared" si="8"/>
        <v>214.3845</v>
      </c>
      <c r="S12" s="968">
        <f t="shared" si="9"/>
        <v>0.22499999999999998</v>
      </c>
      <c r="T12" s="967">
        <v>970</v>
      </c>
      <c r="U12" s="967">
        <f t="shared" si="10"/>
        <v>218.24999999999997</v>
      </c>
      <c r="V12" s="969">
        <v>0.3</v>
      </c>
      <c r="W12" s="970"/>
      <c r="X12" s="965">
        <f t="shared" si="1"/>
        <v>0</v>
      </c>
      <c r="Y12" s="971">
        <v>0.3</v>
      </c>
      <c r="Z12" s="970"/>
      <c r="AA12" s="967">
        <f t="shared" si="2"/>
        <v>0</v>
      </c>
    </row>
    <row r="13" spans="1:28" ht="21" customHeight="1" x14ac:dyDescent="0.25">
      <c r="A13" s="1190" t="s">
        <v>290</v>
      </c>
      <c r="B13" s="1190"/>
      <c r="C13" s="973">
        <f>SUM(C6:C12)</f>
        <v>8379</v>
      </c>
      <c r="D13" s="972">
        <f t="shared" ref="D13:I13" si="11">SUM(D6:D12)</f>
        <v>8378.9879000000001</v>
      </c>
      <c r="E13" s="973">
        <f t="shared" si="11"/>
        <v>7708.9489999999996</v>
      </c>
      <c r="F13" s="973">
        <f t="shared" si="11"/>
        <v>670.03890000000001</v>
      </c>
      <c r="G13" s="973">
        <f t="shared" si="11"/>
        <v>0</v>
      </c>
      <c r="H13" s="973">
        <f t="shared" si="11"/>
        <v>0</v>
      </c>
      <c r="I13" s="973">
        <f t="shared" si="11"/>
        <v>0</v>
      </c>
      <c r="J13" s="973"/>
      <c r="K13" s="973">
        <f>SUM(K6:K12)</f>
        <v>7569.880000000001</v>
      </c>
      <c r="L13" s="973">
        <f>SUM(L6:L12)</f>
        <v>378.49400000000009</v>
      </c>
      <c r="M13" s="973">
        <f>SUM(M6:M12)</f>
        <v>0.35</v>
      </c>
      <c r="N13" s="973">
        <f>SUM(N6:N12)</f>
        <v>12601.32</v>
      </c>
      <c r="O13" s="973">
        <f>SUM(O6:O12)</f>
        <v>630.06600000000003</v>
      </c>
      <c r="P13" s="973"/>
      <c r="Q13" s="973">
        <f t="shared" ref="Q13:AA13" si="12">SUM(Q6:Q12)</f>
        <v>7569.880000000001</v>
      </c>
      <c r="R13" s="973">
        <f t="shared" si="12"/>
        <v>1703.223</v>
      </c>
      <c r="S13" s="973">
        <f t="shared" si="12"/>
        <v>1.5750000000000002</v>
      </c>
      <c r="T13" s="973">
        <f t="shared" si="12"/>
        <v>12601.32</v>
      </c>
      <c r="U13" s="973">
        <f t="shared" si="12"/>
        <v>2835.2969999999996</v>
      </c>
      <c r="V13" s="973">
        <f t="shared" si="12"/>
        <v>2.1</v>
      </c>
      <c r="W13" s="973">
        <f t="shared" si="12"/>
        <v>2715.3</v>
      </c>
      <c r="X13" s="973">
        <f t="shared" si="12"/>
        <v>814.58999999999992</v>
      </c>
      <c r="Y13" s="973">
        <f t="shared" si="12"/>
        <v>2.1</v>
      </c>
      <c r="Z13" s="973">
        <f t="shared" si="12"/>
        <v>4490.93</v>
      </c>
      <c r="AA13" s="973">
        <f t="shared" si="12"/>
        <v>1347.279</v>
      </c>
      <c r="AB13" s="922"/>
    </row>
    <row r="14" spans="1:28" x14ac:dyDescent="0.25">
      <c r="AB14" s="923"/>
    </row>
    <row r="15" spans="1:28" x14ac:dyDescent="0.25">
      <c r="D15" s="923"/>
      <c r="AB15" s="922">
        <f>X13+AA13</f>
        <v>2161.8689999999997</v>
      </c>
    </row>
    <row r="16" spans="1:28" x14ac:dyDescent="0.25">
      <c r="AB16" s="915">
        <f>(X13+AA13)*10%</f>
        <v>216.18689999999998</v>
      </c>
    </row>
    <row r="17" spans="28:29" x14ac:dyDescent="0.25">
      <c r="AB17" s="924">
        <f>SUM(AB15:AB16)</f>
        <v>2378.0558999999998</v>
      </c>
    </row>
    <row r="19" spans="28:29" x14ac:dyDescent="0.25">
      <c r="AB19" s="925">
        <f>8379-AB17</f>
        <v>6000.9441000000006</v>
      </c>
      <c r="AC19" s="915" t="s">
        <v>1212</v>
      </c>
    </row>
    <row r="20" spans="28:29" x14ac:dyDescent="0.25">
      <c r="AB20" s="923">
        <f>AB19/0.2975</f>
        <v>20171.240672268912</v>
      </c>
      <c r="AC20" s="915" t="s">
        <v>1213</v>
      </c>
    </row>
    <row r="21" spans="28:29" x14ac:dyDescent="0.25">
      <c r="AB21" s="923">
        <f>AB20-K13</f>
        <v>12601.360672268911</v>
      </c>
    </row>
  </sheetData>
  <mergeCells count="19">
    <mergeCell ref="A1:AA1"/>
    <mergeCell ref="A2:AA2"/>
    <mergeCell ref="A3:A5"/>
    <mergeCell ref="B3:B5"/>
    <mergeCell ref="G3:O3"/>
    <mergeCell ref="P3:U3"/>
    <mergeCell ref="V3:AA3"/>
    <mergeCell ref="D4:D5"/>
    <mergeCell ref="E4:F4"/>
    <mergeCell ref="Y4:AA4"/>
    <mergeCell ref="M4:O4"/>
    <mergeCell ref="P4:R4"/>
    <mergeCell ref="S4:U4"/>
    <mergeCell ref="V4:X4"/>
    <mergeCell ref="A13:B13"/>
    <mergeCell ref="C3:F3"/>
    <mergeCell ref="C4:C5"/>
    <mergeCell ref="G4:I4"/>
    <mergeCell ref="J4:L4"/>
  </mergeCells>
  <pageMargins left="0.78740157480314965" right="0.19685039370078741" top="0.78740157480314965" bottom="0.78740157480314965" header="0.31496062992125984" footer="0.31496062992125984"/>
  <pageSetup paperSize="9" scale="52" firstPageNumber="77" orientation="portrait" useFirstPageNumber="1" verticalDpi="4294967295" r:id="rId1"/>
  <headerFooter>
    <oddHeader>&amp;RPhụ lục số 10</oddHead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4"/>
  <sheetViews>
    <sheetView topLeftCell="A6" zoomScale="85" zoomScaleNormal="85" workbookViewId="0">
      <pane xSplit="2" ySplit="1" topLeftCell="C7" activePane="bottomRight" state="frozen"/>
      <selection activeCell="A6" sqref="A6"/>
      <selection pane="topRight" activeCell="C6" sqref="C6"/>
      <selection pane="bottomLeft" activeCell="A7" sqref="A7"/>
      <selection pane="bottomRight" activeCell="C7" sqref="C7"/>
    </sheetView>
  </sheetViews>
  <sheetFormatPr defaultColWidth="7.75" defaultRowHeight="18.75" x14ac:dyDescent="0.25"/>
  <cols>
    <col min="1" max="1" width="6.75" style="8" customWidth="1"/>
    <col min="2" max="2" width="47.125" style="85" customWidth="1"/>
    <col min="3" max="3" width="12.5" style="8" customWidth="1"/>
    <col min="4" max="4" width="13.375" style="85" customWidth="1"/>
    <col min="5" max="7" width="13.375" style="91" customWidth="1"/>
    <col min="8" max="10" width="13.375" style="85" customWidth="1"/>
    <col min="11" max="11" width="13.375" style="91" customWidth="1"/>
    <col min="12" max="12" width="13.375" style="85" customWidth="1"/>
    <col min="13" max="13" width="13.875" style="85" customWidth="1"/>
    <col min="14" max="14" width="9.25" style="85" bestFit="1" customWidth="1"/>
    <col min="15" max="16384" width="7.75" style="85"/>
  </cols>
  <sheetData>
    <row r="1" spans="1:256" s="84" customFormat="1" ht="24.75" customHeight="1" x14ac:dyDescent="0.25">
      <c r="A1" s="4"/>
      <c r="B1" s="4"/>
      <c r="C1" s="5"/>
      <c r="D1" s="5"/>
      <c r="E1" s="5"/>
      <c r="F1" s="5"/>
      <c r="G1" s="5"/>
      <c r="H1" s="5"/>
      <c r="I1" s="1204" t="s">
        <v>146</v>
      </c>
      <c r="J1" s="1204"/>
      <c r="K1" s="1204"/>
      <c r="L1" s="1204"/>
      <c r="M1" s="1204"/>
      <c r="N1" s="1204"/>
      <c r="O1" s="15"/>
      <c r="P1" s="15"/>
      <c r="Q1" s="15"/>
      <c r="R1" s="15"/>
      <c r="S1" s="15"/>
      <c r="T1" s="15"/>
      <c r="U1" s="15"/>
      <c r="V1" s="15"/>
      <c r="W1" s="15"/>
      <c r="X1" s="15"/>
    </row>
    <row r="2" spans="1:256" s="84" customFormat="1" ht="21.75" customHeight="1" x14ac:dyDescent="0.25">
      <c r="A2" s="1032" t="s">
        <v>58</v>
      </c>
      <c r="B2" s="1032"/>
      <c r="C2" s="1032"/>
      <c r="D2" s="1032"/>
      <c r="E2" s="1032"/>
      <c r="F2" s="1032"/>
      <c r="G2" s="1032"/>
      <c r="H2" s="1032"/>
      <c r="I2" s="1032"/>
      <c r="J2" s="1032"/>
      <c r="K2" s="1032"/>
      <c r="L2" s="1032"/>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1203"/>
      <c r="BS2" s="1203"/>
      <c r="BT2" s="1203"/>
      <c r="BU2" s="1203"/>
      <c r="BV2" s="1203"/>
      <c r="BW2" s="1203"/>
      <c r="BX2" s="1203"/>
      <c r="BY2" s="1203"/>
      <c r="BZ2" s="1203"/>
      <c r="CA2" s="1203"/>
      <c r="CB2" s="1203"/>
      <c r="CC2" s="1203"/>
      <c r="CD2" s="1203"/>
      <c r="CE2" s="1203"/>
      <c r="CF2" s="1203"/>
      <c r="CG2" s="1203"/>
      <c r="CH2" s="1203"/>
      <c r="CI2" s="1203"/>
      <c r="CJ2" s="1203"/>
      <c r="CK2" s="1203"/>
      <c r="CL2" s="1203"/>
      <c r="CM2" s="1203"/>
      <c r="CN2" s="1203"/>
      <c r="CO2" s="1203"/>
      <c r="CP2" s="1203"/>
      <c r="CQ2" s="1203"/>
      <c r="CR2" s="1203"/>
      <c r="CS2" s="1203"/>
      <c r="CT2" s="1203"/>
      <c r="CU2" s="1203"/>
      <c r="CV2" s="1203"/>
      <c r="CW2" s="1203"/>
      <c r="CX2" s="1203"/>
      <c r="CY2" s="1203"/>
      <c r="CZ2" s="1203"/>
      <c r="DA2" s="1203"/>
      <c r="DB2" s="1203"/>
      <c r="DC2" s="1203"/>
      <c r="DD2" s="1203"/>
      <c r="DE2" s="1203"/>
      <c r="DF2" s="1203"/>
      <c r="DG2" s="1203"/>
      <c r="DH2" s="1203"/>
      <c r="DI2" s="1203"/>
      <c r="DJ2" s="1203"/>
      <c r="DK2" s="1203"/>
      <c r="DL2" s="1203"/>
      <c r="DM2" s="1203"/>
      <c r="DN2" s="1203"/>
      <c r="DO2" s="1203"/>
      <c r="DP2" s="1203"/>
      <c r="DQ2" s="1203"/>
      <c r="DR2" s="1203"/>
      <c r="DS2" s="1203"/>
      <c r="DT2" s="1203"/>
      <c r="DU2" s="1203"/>
      <c r="DV2" s="1203"/>
      <c r="DW2" s="1203"/>
      <c r="DX2" s="1203"/>
      <c r="DY2" s="1203"/>
      <c r="DZ2" s="1203"/>
      <c r="EA2" s="1203"/>
      <c r="EB2" s="1203"/>
      <c r="EC2" s="1203"/>
      <c r="ED2" s="1203"/>
      <c r="EE2" s="1203"/>
      <c r="EF2" s="1203"/>
      <c r="EG2" s="1203"/>
      <c r="EH2" s="1203"/>
      <c r="EI2" s="1203"/>
      <c r="EJ2" s="1203"/>
      <c r="EK2" s="1203"/>
      <c r="EL2" s="1203"/>
      <c r="EM2" s="1203"/>
      <c r="EN2" s="1203"/>
      <c r="EO2" s="1203"/>
      <c r="EP2" s="1203"/>
      <c r="EQ2" s="1203"/>
      <c r="ER2" s="1203"/>
      <c r="ES2" s="1203"/>
      <c r="ET2" s="1203"/>
      <c r="EU2" s="1203"/>
      <c r="EV2" s="1203"/>
      <c r="EW2" s="1203"/>
      <c r="EX2" s="1203"/>
      <c r="EY2" s="1203"/>
      <c r="EZ2" s="1203"/>
      <c r="FA2" s="1203"/>
      <c r="FB2" s="1203"/>
      <c r="FC2" s="1203"/>
      <c r="FD2" s="1203"/>
      <c r="FE2" s="1203"/>
      <c r="FF2" s="1203"/>
      <c r="FG2" s="1203"/>
      <c r="FH2" s="1203"/>
      <c r="FI2" s="1203"/>
      <c r="FJ2" s="1203"/>
      <c r="FK2" s="1203"/>
      <c r="FL2" s="1203"/>
      <c r="FM2" s="1203"/>
      <c r="FN2" s="1203"/>
      <c r="FO2" s="1203"/>
      <c r="FP2" s="1203"/>
      <c r="FQ2" s="1203"/>
      <c r="FR2" s="1203"/>
      <c r="FS2" s="1203"/>
      <c r="FT2" s="1203"/>
      <c r="FU2" s="1203"/>
      <c r="FV2" s="1203"/>
      <c r="FW2" s="1203"/>
      <c r="FX2" s="1203"/>
      <c r="FY2" s="1203"/>
      <c r="FZ2" s="1203"/>
      <c r="GA2" s="1203"/>
      <c r="GB2" s="1203"/>
      <c r="GC2" s="1203"/>
      <c r="GD2" s="1203"/>
      <c r="GE2" s="1203"/>
      <c r="GF2" s="1203"/>
      <c r="GG2" s="1203"/>
      <c r="GH2" s="1203"/>
      <c r="GI2" s="1203"/>
      <c r="GJ2" s="1203"/>
      <c r="GK2" s="1203"/>
      <c r="GL2" s="1203"/>
      <c r="GM2" s="1203"/>
      <c r="GN2" s="1203"/>
      <c r="GO2" s="1203"/>
      <c r="GP2" s="1203"/>
      <c r="GQ2" s="1203"/>
      <c r="GR2" s="1203"/>
      <c r="GS2" s="1203"/>
      <c r="GT2" s="1203"/>
      <c r="GU2" s="1203"/>
      <c r="GV2" s="1203"/>
      <c r="GW2" s="1203"/>
      <c r="GX2" s="1203"/>
      <c r="GY2" s="1203"/>
      <c r="GZ2" s="1203"/>
      <c r="HA2" s="1203"/>
      <c r="HB2" s="1203"/>
      <c r="HC2" s="1203"/>
      <c r="HD2" s="1203"/>
      <c r="HE2" s="1203"/>
      <c r="HF2" s="1203"/>
      <c r="HG2" s="1203"/>
      <c r="HH2" s="1203"/>
      <c r="HI2" s="1203"/>
      <c r="HJ2" s="1203"/>
      <c r="HK2" s="1203"/>
      <c r="HL2" s="1203"/>
      <c r="HM2" s="1203"/>
      <c r="HN2" s="1203"/>
      <c r="HO2" s="1203"/>
      <c r="HP2" s="1203"/>
      <c r="HQ2" s="1203"/>
      <c r="HR2" s="1203"/>
      <c r="HS2" s="1203"/>
      <c r="HT2" s="1203"/>
      <c r="HU2" s="1203"/>
      <c r="HV2" s="1203"/>
      <c r="HW2" s="1203"/>
      <c r="HX2" s="1203"/>
      <c r="HY2" s="1203"/>
      <c r="HZ2" s="1203"/>
      <c r="IA2" s="1203"/>
      <c r="IB2" s="1203"/>
      <c r="IC2" s="1203"/>
      <c r="ID2" s="1203"/>
      <c r="IE2" s="1203"/>
      <c r="IF2" s="1203"/>
      <c r="IG2" s="1203"/>
      <c r="IH2" s="1203"/>
      <c r="II2" s="1203"/>
      <c r="IJ2" s="1203"/>
      <c r="IK2" s="1203"/>
      <c r="IL2" s="1203"/>
      <c r="IM2" s="1203"/>
      <c r="IN2" s="1203"/>
      <c r="IO2" s="1203"/>
      <c r="IP2" s="1203"/>
      <c r="IQ2" s="1203"/>
      <c r="IR2" s="1203"/>
      <c r="IS2" s="1203"/>
      <c r="IT2" s="1203"/>
      <c r="IU2" s="1203"/>
      <c r="IV2" s="1203"/>
    </row>
    <row r="3" spans="1:256" s="84" customFormat="1" ht="21.75" customHeight="1" x14ac:dyDescent="0.25">
      <c r="A3" s="1032" t="s">
        <v>59</v>
      </c>
      <c r="B3" s="1032"/>
      <c r="C3" s="1032"/>
      <c r="D3" s="1032"/>
      <c r="E3" s="1032"/>
      <c r="F3" s="1032"/>
      <c r="G3" s="1032"/>
      <c r="H3" s="1032"/>
      <c r="I3" s="1032"/>
      <c r="J3" s="1032"/>
      <c r="K3" s="1032"/>
      <c r="L3" s="1032"/>
      <c r="M3" s="9"/>
      <c r="N3" s="9"/>
      <c r="O3" s="15"/>
      <c r="P3" s="15"/>
      <c r="Q3" s="15"/>
      <c r="R3" s="15"/>
      <c r="S3" s="15"/>
      <c r="T3" s="15"/>
      <c r="U3" s="15"/>
      <c r="V3" s="15"/>
      <c r="W3" s="15"/>
      <c r="X3" s="15"/>
    </row>
    <row r="4" spans="1:256" s="84" customFormat="1" ht="21.75" customHeight="1" x14ac:dyDescent="0.25">
      <c r="A4" s="1203" t="s">
        <v>145</v>
      </c>
      <c r="B4" s="1203"/>
      <c r="C4" s="1203"/>
      <c r="D4" s="1203"/>
      <c r="E4" s="1203"/>
      <c r="F4" s="1203"/>
      <c r="G4" s="1203"/>
      <c r="H4" s="1203"/>
      <c r="I4" s="1203"/>
      <c r="J4" s="1203"/>
      <c r="K4" s="1203"/>
      <c r="L4" s="1203"/>
      <c r="M4" s="9"/>
      <c r="N4" s="9"/>
      <c r="O4" s="15"/>
      <c r="P4" s="15"/>
      <c r="Q4" s="15"/>
      <c r="R4" s="15"/>
      <c r="S4" s="15"/>
      <c r="T4" s="15"/>
      <c r="U4" s="15"/>
      <c r="V4" s="15"/>
      <c r="W4" s="15"/>
      <c r="X4" s="15"/>
    </row>
    <row r="5" spans="1:256" ht="24" customHeight="1" x14ac:dyDescent="0.25">
      <c r="A5" s="104"/>
      <c r="B5" s="105"/>
      <c r="C5" s="104"/>
      <c r="D5" s="105"/>
      <c r="E5" s="106"/>
      <c r="F5" s="106"/>
      <c r="G5" s="106"/>
      <c r="H5" s="106"/>
      <c r="I5" s="106"/>
      <c r="J5" s="1202"/>
      <c r="K5" s="1202"/>
      <c r="L5" s="1202"/>
    </row>
    <row r="6" spans="1:256" s="7" customFormat="1" ht="50.25" customHeight="1" x14ac:dyDescent="0.25">
      <c r="A6" s="102" t="s">
        <v>1</v>
      </c>
      <c r="B6" s="102" t="s">
        <v>35</v>
      </c>
      <c r="C6" s="102" t="s">
        <v>36</v>
      </c>
      <c r="D6" s="102" t="s">
        <v>37</v>
      </c>
      <c r="E6" s="103" t="s">
        <v>38</v>
      </c>
      <c r="F6" s="103" t="s">
        <v>39</v>
      </c>
      <c r="G6" s="103" t="s">
        <v>40</v>
      </c>
      <c r="H6" s="102" t="s">
        <v>41</v>
      </c>
      <c r="I6" s="102" t="s">
        <v>42</v>
      </c>
      <c r="J6" s="102" t="s">
        <v>43</v>
      </c>
      <c r="K6" s="103" t="s">
        <v>44</v>
      </c>
      <c r="L6" s="102" t="s">
        <v>45</v>
      </c>
      <c r="M6" s="12"/>
      <c r="N6" s="12"/>
      <c r="O6" s="12"/>
      <c r="P6" s="12"/>
      <c r="Q6" s="12"/>
      <c r="R6" s="12"/>
      <c r="S6" s="12"/>
      <c r="T6" s="12"/>
      <c r="U6" s="12"/>
      <c r="V6" s="12"/>
      <c r="W6" s="12"/>
      <c r="X6" s="12"/>
    </row>
    <row r="7" spans="1:256" s="7" customFormat="1" ht="24" customHeight="1" x14ac:dyDescent="0.25">
      <c r="A7" s="107" t="s">
        <v>46</v>
      </c>
      <c r="B7" s="122" t="s">
        <v>47</v>
      </c>
      <c r="C7" s="107"/>
      <c r="D7" s="107"/>
      <c r="E7" s="108"/>
      <c r="F7" s="108"/>
      <c r="G7" s="108"/>
      <c r="H7" s="107"/>
      <c r="I7" s="107"/>
      <c r="J7" s="107"/>
      <c r="K7" s="108"/>
      <c r="L7" s="107"/>
      <c r="M7" s="12"/>
      <c r="N7" s="12"/>
      <c r="O7" s="12"/>
      <c r="P7" s="12"/>
      <c r="Q7" s="12"/>
      <c r="R7" s="12"/>
      <c r="S7" s="12"/>
      <c r="T7" s="12"/>
      <c r="U7" s="12"/>
      <c r="V7" s="12"/>
      <c r="W7" s="12"/>
      <c r="X7" s="12"/>
    </row>
    <row r="8" spans="1:256" s="7" customFormat="1" ht="24" customHeight="1" x14ac:dyDescent="0.25">
      <c r="A8" s="109"/>
      <c r="B8" s="121" t="s">
        <v>139</v>
      </c>
      <c r="C8" s="109"/>
      <c r="D8" s="109"/>
      <c r="E8" s="110"/>
      <c r="F8" s="110"/>
      <c r="G8" s="110"/>
      <c r="H8" s="109"/>
      <c r="I8" s="109"/>
      <c r="J8" s="109"/>
      <c r="K8" s="110"/>
      <c r="L8" s="109"/>
      <c r="M8" s="12"/>
      <c r="N8" s="12"/>
      <c r="O8" s="12"/>
      <c r="P8" s="12"/>
      <c r="Q8" s="12"/>
      <c r="R8" s="12"/>
      <c r="S8" s="12"/>
      <c r="T8" s="12"/>
      <c r="U8" s="12"/>
      <c r="V8" s="12"/>
      <c r="W8" s="12"/>
      <c r="X8" s="12"/>
    </row>
    <row r="9" spans="1:256" ht="24" customHeight="1" x14ac:dyDescent="0.25">
      <c r="A9" s="111">
        <v>1</v>
      </c>
      <c r="B9" s="112" t="s">
        <v>48</v>
      </c>
      <c r="C9" s="111" t="s">
        <v>49</v>
      </c>
      <c r="D9" s="124">
        <f>SUM(E9:L9)</f>
        <v>905</v>
      </c>
      <c r="E9" s="125">
        <v>239</v>
      </c>
      <c r="F9" s="125">
        <v>53</v>
      </c>
      <c r="G9" s="125">
        <v>0</v>
      </c>
      <c r="H9" s="124">
        <v>11</v>
      </c>
      <c r="I9" s="124">
        <v>22</v>
      </c>
      <c r="J9" s="124">
        <v>441</v>
      </c>
      <c r="K9" s="125">
        <v>139</v>
      </c>
      <c r="L9" s="124">
        <v>0</v>
      </c>
      <c r="M9" s="16"/>
      <c r="N9" s="16"/>
      <c r="O9" s="16"/>
      <c r="P9" s="16"/>
      <c r="Q9" s="16"/>
      <c r="R9" s="16"/>
      <c r="S9" s="16"/>
      <c r="T9" s="16"/>
      <c r="U9" s="16"/>
      <c r="V9" s="16"/>
      <c r="W9" s="16"/>
      <c r="X9" s="16"/>
    </row>
    <row r="10" spans="1:256" ht="24" customHeight="1" x14ac:dyDescent="0.25">
      <c r="A10" s="111">
        <v>2</v>
      </c>
      <c r="B10" s="112" t="s">
        <v>50</v>
      </c>
      <c r="C10" s="111" t="s">
        <v>49</v>
      </c>
      <c r="D10" s="124">
        <f>SUM(E10:L10)</f>
        <v>3973</v>
      </c>
      <c r="E10" s="125">
        <v>385</v>
      </c>
      <c r="F10" s="125">
        <v>442</v>
      </c>
      <c r="G10" s="125">
        <v>414</v>
      </c>
      <c r="H10" s="124">
        <v>248</v>
      </c>
      <c r="I10" s="124">
        <v>746</v>
      </c>
      <c r="J10" s="124">
        <v>1117</v>
      </c>
      <c r="K10" s="125">
        <v>614</v>
      </c>
      <c r="L10" s="124">
        <v>7</v>
      </c>
      <c r="M10" s="16"/>
      <c r="N10" s="16"/>
      <c r="O10" s="16"/>
      <c r="P10" s="16"/>
      <c r="Q10" s="16"/>
      <c r="R10" s="16"/>
      <c r="S10" s="16"/>
      <c r="T10" s="16"/>
      <c r="U10" s="16"/>
      <c r="V10" s="16"/>
      <c r="W10" s="16"/>
      <c r="X10" s="16"/>
    </row>
    <row r="11" spans="1:256" ht="39.75" customHeight="1" x14ac:dyDescent="0.25">
      <c r="A11" s="109"/>
      <c r="B11" s="121" t="s">
        <v>140</v>
      </c>
      <c r="C11" s="109"/>
      <c r="D11" s="124"/>
      <c r="E11" s="125"/>
      <c r="F11" s="125"/>
      <c r="G11" s="125"/>
      <c r="H11" s="124"/>
      <c r="I11" s="124"/>
      <c r="J11" s="124"/>
      <c r="K11" s="125"/>
      <c r="L11" s="124"/>
      <c r="M11" s="16"/>
      <c r="N11" s="16"/>
      <c r="O11" s="16"/>
      <c r="P11" s="16"/>
      <c r="Q11" s="16"/>
      <c r="R11" s="16"/>
      <c r="S11" s="16"/>
      <c r="T11" s="16"/>
      <c r="U11" s="16"/>
      <c r="V11" s="16"/>
      <c r="W11" s="16"/>
      <c r="X11" s="16"/>
    </row>
    <row r="12" spans="1:256" ht="24" customHeight="1" x14ac:dyDescent="0.25">
      <c r="A12" s="111">
        <v>1</v>
      </c>
      <c r="B12" s="112" t="s">
        <v>48</v>
      </c>
      <c r="C12" s="111" t="s">
        <v>49</v>
      </c>
      <c r="D12" s="124">
        <f>SUM(E12:L12)</f>
        <v>246</v>
      </c>
      <c r="E12" s="125">
        <v>50</v>
      </c>
      <c r="F12" s="125">
        <v>19</v>
      </c>
      <c r="G12" s="125">
        <v>0</v>
      </c>
      <c r="H12" s="124">
        <v>8</v>
      </c>
      <c r="I12" s="124">
        <v>6</v>
      </c>
      <c r="J12" s="124">
        <v>134</v>
      </c>
      <c r="K12" s="125">
        <v>29</v>
      </c>
      <c r="L12" s="124">
        <v>0</v>
      </c>
      <c r="M12" s="16"/>
      <c r="N12" s="16"/>
      <c r="O12" s="16"/>
      <c r="P12" s="16"/>
      <c r="Q12" s="16"/>
      <c r="R12" s="16"/>
      <c r="S12" s="16"/>
      <c r="T12" s="16"/>
      <c r="U12" s="16"/>
      <c r="V12" s="16"/>
      <c r="W12" s="16"/>
      <c r="X12" s="16"/>
    </row>
    <row r="13" spans="1:256" ht="24" customHeight="1" x14ac:dyDescent="0.25">
      <c r="A13" s="111">
        <v>2</v>
      </c>
      <c r="B13" s="112" t="s">
        <v>50</v>
      </c>
      <c r="C13" s="111" t="s">
        <v>49</v>
      </c>
      <c r="D13" s="124">
        <f>SUM(E13:L13)</f>
        <v>490</v>
      </c>
      <c r="E13" s="125">
        <v>58</v>
      </c>
      <c r="F13" s="125">
        <v>50</v>
      </c>
      <c r="G13" s="125">
        <v>70</v>
      </c>
      <c r="H13" s="124">
        <v>31</v>
      </c>
      <c r="I13" s="124">
        <v>119</v>
      </c>
      <c r="J13" s="124">
        <v>62</v>
      </c>
      <c r="K13" s="125">
        <v>98</v>
      </c>
      <c r="L13" s="124">
        <v>2</v>
      </c>
      <c r="M13" s="16"/>
      <c r="N13" s="16"/>
      <c r="O13" s="16"/>
      <c r="P13" s="16"/>
      <c r="Q13" s="16"/>
      <c r="R13" s="16"/>
      <c r="S13" s="16"/>
      <c r="T13" s="16"/>
      <c r="U13" s="16"/>
      <c r="V13" s="16"/>
      <c r="W13" s="16"/>
      <c r="X13" s="16"/>
    </row>
    <row r="14" spans="1:256" ht="24" customHeight="1" x14ac:dyDescent="0.25">
      <c r="A14" s="109"/>
      <c r="B14" s="121" t="s">
        <v>147</v>
      </c>
      <c r="C14" s="109"/>
      <c r="D14" s="124"/>
      <c r="E14" s="125"/>
      <c r="F14" s="125"/>
      <c r="G14" s="125"/>
      <c r="H14" s="124"/>
      <c r="I14" s="124"/>
      <c r="J14" s="124"/>
      <c r="K14" s="125"/>
      <c r="L14" s="124"/>
      <c r="M14" s="16"/>
      <c r="N14" s="16"/>
      <c r="O14" s="16"/>
      <c r="P14" s="16"/>
      <c r="Q14" s="16"/>
      <c r="R14" s="16"/>
      <c r="S14" s="16"/>
      <c r="T14" s="16"/>
      <c r="U14" s="16"/>
      <c r="V14" s="16"/>
      <c r="W14" s="16"/>
      <c r="X14" s="16"/>
    </row>
    <row r="15" spans="1:256" ht="24" customHeight="1" x14ac:dyDescent="0.25">
      <c r="A15" s="111">
        <v>1</v>
      </c>
      <c r="B15" s="112" t="s">
        <v>48</v>
      </c>
      <c r="C15" s="111" t="s">
        <v>49</v>
      </c>
      <c r="D15" s="124">
        <f>SUM(E15:L15)</f>
        <v>659</v>
      </c>
      <c r="E15" s="125">
        <f>E9-E12</f>
        <v>189</v>
      </c>
      <c r="F15" s="125">
        <f t="shared" ref="F15:L15" si="0">F9-F12</f>
        <v>34</v>
      </c>
      <c r="G15" s="125">
        <f t="shared" si="0"/>
        <v>0</v>
      </c>
      <c r="H15" s="125">
        <f t="shared" si="0"/>
        <v>3</v>
      </c>
      <c r="I15" s="125">
        <f t="shared" si="0"/>
        <v>16</v>
      </c>
      <c r="J15" s="125">
        <f t="shared" si="0"/>
        <v>307</v>
      </c>
      <c r="K15" s="125">
        <f t="shared" si="0"/>
        <v>110</v>
      </c>
      <c r="L15" s="125">
        <f t="shared" si="0"/>
        <v>0</v>
      </c>
      <c r="M15" s="16"/>
      <c r="N15" s="16"/>
      <c r="O15" s="16"/>
      <c r="P15" s="16"/>
      <c r="Q15" s="16"/>
      <c r="R15" s="16"/>
      <c r="S15" s="16"/>
      <c r="T15" s="16"/>
      <c r="U15" s="16"/>
      <c r="V15" s="16"/>
      <c r="W15" s="16"/>
      <c r="X15" s="16"/>
    </row>
    <row r="16" spans="1:256" ht="24" customHeight="1" x14ac:dyDescent="0.25">
      <c r="A16" s="111">
        <v>2</v>
      </c>
      <c r="B16" s="112" t="s">
        <v>50</v>
      </c>
      <c r="C16" s="111" t="s">
        <v>49</v>
      </c>
      <c r="D16" s="124">
        <f>SUM(E16:L16)</f>
        <v>3483</v>
      </c>
      <c r="E16" s="125">
        <f>E10-E13</f>
        <v>327</v>
      </c>
      <c r="F16" s="125">
        <f t="shared" ref="F16:L16" si="1">F10-F13</f>
        <v>392</v>
      </c>
      <c r="G16" s="125">
        <f t="shared" si="1"/>
        <v>344</v>
      </c>
      <c r="H16" s="125">
        <f t="shared" si="1"/>
        <v>217</v>
      </c>
      <c r="I16" s="125">
        <f t="shared" si="1"/>
        <v>627</v>
      </c>
      <c r="J16" s="125">
        <f t="shared" si="1"/>
        <v>1055</v>
      </c>
      <c r="K16" s="125">
        <f t="shared" si="1"/>
        <v>516</v>
      </c>
      <c r="L16" s="125">
        <f t="shared" si="1"/>
        <v>5</v>
      </c>
      <c r="M16" s="16"/>
      <c r="N16" s="16"/>
      <c r="O16" s="16"/>
      <c r="P16" s="16"/>
      <c r="Q16" s="16"/>
      <c r="R16" s="16"/>
      <c r="S16" s="16"/>
      <c r="T16" s="16"/>
      <c r="U16" s="16"/>
      <c r="V16" s="16"/>
      <c r="W16" s="16"/>
      <c r="X16" s="16"/>
    </row>
    <row r="17" spans="1:24" ht="24" customHeight="1" x14ac:dyDescent="0.25">
      <c r="A17" s="109"/>
      <c r="B17" s="121" t="s">
        <v>141</v>
      </c>
      <c r="C17" s="111"/>
      <c r="D17" s="124"/>
      <c r="E17" s="125"/>
      <c r="F17" s="125"/>
      <c r="G17" s="125"/>
      <c r="H17" s="124"/>
      <c r="I17" s="124"/>
      <c r="J17" s="124"/>
      <c r="K17" s="125"/>
      <c r="L17" s="124"/>
      <c r="M17" s="16"/>
      <c r="N17" s="16"/>
      <c r="O17" s="16"/>
      <c r="P17" s="16"/>
      <c r="Q17" s="16"/>
      <c r="R17" s="16"/>
      <c r="S17" s="16"/>
      <c r="T17" s="16"/>
      <c r="U17" s="16"/>
      <c r="V17" s="16"/>
      <c r="W17" s="16"/>
      <c r="X17" s="16"/>
    </row>
    <row r="18" spans="1:24" ht="24" customHeight="1" x14ac:dyDescent="0.25">
      <c r="A18" s="111">
        <v>1</v>
      </c>
      <c r="B18" s="112" t="s">
        <v>48</v>
      </c>
      <c r="C18" s="111" t="s">
        <v>49</v>
      </c>
      <c r="D18" s="124">
        <f t="shared" ref="D18:D19" si="2">SUM(E18:L18)</f>
        <v>0</v>
      </c>
      <c r="E18" s="125">
        <f>E9-E12-E15</f>
        <v>0</v>
      </c>
      <c r="F18" s="125">
        <f t="shared" ref="F18:L18" si="3">F9-F12-F15</f>
        <v>0</v>
      </c>
      <c r="G18" s="125">
        <f t="shared" si="3"/>
        <v>0</v>
      </c>
      <c r="H18" s="125">
        <f t="shared" si="3"/>
        <v>0</v>
      </c>
      <c r="I18" s="125">
        <f t="shared" si="3"/>
        <v>0</v>
      </c>
      <c r="J18" s="125">
        <f t="shared" si="3"/>
        <v>0</v>
      </c>
      <c r="K18" s="125">
        <f t="shared" si="3"/>
        <v>0</v>
      </c>
      <c r="L18" s="125">
        <f t="shared" si="3"/>
        <v>0</v>
      </c>
      <c r="M18" s="16"/>
      <c r="N18" s="16"/>
      <c r="O18" s="16"/>
      <c r="P18" s="16"/>
      <c r="Q18" s="16"/>
      <c r="R18" s="16"/>
      <c r="S18" s="16"/>
      <c r="T18" s="16"/>
      <c r="U18" s="16"/>
      <c r="V18" s="16"/>
      <c r="W18" s="16"/>
      <c r="X18" s="16"/>
    </row>
    <row r="19" spans="1:24" ht="24" customHeight="1" x14ac:dyDescent="0.25">
      <c r="A19" s="111">
        <v>2</v>
      </c>
      <c r="B19" s="112" t="s">
        <v>50</v>
      </c>
      <c r="C19" s="111" t="s">
        <v>49</v>
      </c>
      <c r="D19" s="124">
        <f t="shared" si="2"/>
        <v>0</v>
      </c>
      <c r="E19" s="125">
        <f>E10-E13-E16</f>
        <v>0</v>
      </c>
      <c r="F19" s="125">
        <f t="shared" ref="F19:L19" si="4">F10-F13-F16</f>
        <v>0</v>
      </c>
      <c r="G19" s="125">
        <f t="shared" si="4"/>
        <v>0</v>
      </c>
      <c r="H19" s="125">
        <f t="shared" si="4"/>
        <v>0</v>
      </c>
      <c r="I19" s="125">
        <f t="shared" si="4"/>
        <v>0</v>
      </c>
      <c r="J19" s="125">
        <f t="shared" si="4"/>
        <v>0</v>
      </c>
      <c r="K19" s="125">
        <f t="shared" si="4"/>
        <v>0</v>
      </c>
      <c r="L19" s="125">
        <f t="shared" si="4"/>
        <v>0</v>
      </c>
      <c r="M19" s="16"/>
      <c r="N19" s="16"/>
      <c r="O19" s="16"/>
      <c r="P19" s="16"/>
      <c r="Q19" s="16"/>
      <c r="R19" s="16"/>
      <c r="S19" s="16"/>
      <c r="T19" s="16"/>
      <c r="U19" s="16"/>
      <c r="V19" s="16"/>
      <c r="W19" s="16"/>
      <c r="X19" s="16"/>
    </row>
    <row r="20" spans="1:24" s="86" customFormat="1" ht="24" customHeight="1" x14ac:dyDescent="0.25">
      <c r="A20" s="109" t="s">
        <v>31</v>
      </c>
      <c r="B20" s="121" t="s">
        <v>79</v>
      </c>
      <c r="C20" s="109"/>
      <c r="D20" s="126">
        <f>SUM(D21:D22)</f>
        <v>170.39</v>
      </c>
      <c r="E20" s="126">
        <f t="shared" ref="E20:L20" si="5">SUM(E21:E22)</f>
        <v>28.71</v>
      </c>
      <c r="F20" s="126">
        <f t="shared" si="5"/>
        <v>15.16</v>
      </c>
      <c r="G20" s="126">
        <f t="shared" si="5"/>
        <v>10.32</v>
      </c>
      <c r="H20" s="126">
        <f t="shared" si="5"/>
        <v>6.81</v>
      </c>
      <c r="I20" s="126">
        <f t="shared" si="5"/>
        <v>20.41</v>
      </c>
      <c r="J20" s="126">
        <f t="shared" si="5"/>
        <v>62.35</v>
      </c>
      <c r="K20" s="126">
        <f t="shared" si="5"/>
        <v>26.479999999999997</v>
      </c>
      <c r="L20" s="126">
        <f t="shared" si="5"/>
        <v>0.15</v>
      </c>
      <c r="M20" s="17"/>
      <c r="N20" s="17"/>
      <c r="O20" s="17"/>
      <c r="P20" s="17"/>
      <c r="Q20" s="17"/>
      <c r="R20" s="17"/>
      <c r="S20" s="17"/>
      <c r="T20" s="17"/>
      <c r="U20" s="17"/>
      <c r="V20" s="17"/>
      <c r="W20" s="17"/>
      <c r="X20" s="17"/>
    </row>
    <row r="21" spans="1:24" ht="24" customHeight="1" x14ac:dyDescent="0.25">
      <c r="A21" s="111">
        <v>1</v>
      </c>
      <c r="B21" s="112" t="s">
        <v>52</v>
      </c>
      <c r="C21" s="111">
        <v>0.1</v>
      </c>
      <c r="D21" s="124">
        <f>SUM(E21:L21)</f>
        <v>65.900000000000006</v>
      </c>
      <c r="E21" s="125">
        <f>$C$21*E15</f>
        <v>18.900000000000002</v>
      </c>
      <c r="F21" s="125">
        <f t="shared" ref="F21:L21" si="6">$C$21*F15</f>
        <v>3.4000000000000004</v>
      </c>
      <c r="G21" s="125">
        <f t="shared" si="6"/>
        <v>0</v>
      </c>
      <c r="H21" s="125">
        <f t="shared" si="6"/>
        <v>0.30000000000000004</v>
      </c>
      <c r="I21" s="125">
        <f t="shared" si="6"/>
        <v>1.6</v>
      </c>
      <c r="J21" s="125">
        <f t="shared" si="6"/>
        <v>30.700000000000003</v>
      </c>
      <c r="K21" s="125">
        <f t="shared" si="6"/>
        <v>11</v>
      </c>
      <c r="L21" s="125">
        <f t="shared" si="6"/>
        <v>0</v>
      </c>
      <c r="M21" s="16"/>
      <c r="N21" s="16"/>
      <c r="O21" s="16"/>
      <c r="P21" s="16"/>
      <c r="Q21" s="16"/>
      <c r="R21" s="16"/>
      <c r="S21" s="16"/>
      <c r="T21" s="16"/>
      <c r="U21" s="16"/>
      <c r="V21" s="16"/>
      <c r="W21" s="16"/>
      <c r="X21" s="16"/>
    </row>
    <row r="22" spans="1:24" ht="24" customHeight="1" x14ac:dyDescent="0.25">
      <c r="A22" s="111">
        <v>2</v>
      </c>
      <c r="B22" s="112" t="s">
        <v>53</v>
      </c>
      <c r="C22" s="111">
        <v>0.03</v>
      </c>
      <c r="D22" s="124">
        <f>SUM(E22:L22)</f>
        <v>104.49</v>
      </c>
      <c r="E22" s="125">
        <f>$C$22*E16</f>
        <v>9.81</v>
      </c>
      <c r="F22" s="125">
        <f t="shared" ref="F22:L22" si="7">$C$22*F16</f>
        <v>11.76</v>
      </c>
      <c r="G22" s="125">
        <f t="shared" si="7"/>
        <v>10.32</v>
      </c>
      <c r="H22" s="125">
        <f t="shared" si="7"/>
        <v>6.51</v>
      </c>
      <c r="I22" s="125">
        <f t="shared" si="7"/>
        <v>18.809999999999999</v>
      </c>
      <c r="J22" s="125">
        <f t="shared" si="7"/>
        <v>31.65</v>
      </c>
      <c r="K22" s="125">
        <f t="shared" si="7"/>
        <v>15.479999999999999</v>
      </c>
      <c r="L22" s="125">
        <f t="shared" si="7"/>
        <v>0.15</v>
      </c>
      <c r="M22" s="16"/>
      <c r="N22" s="16"/>
      <c r="O22" s="16"/>
      <c r="P22" s="16"/>
      <c r="Q22" s="16"/>
      <c r="R22" s="16"/>
      <c r="S22" s="16"/>
      <c r="T22" s="16"/>
      <c r="U22" s="16"/>
      <c r="V22" s="16"/>
      <c r="W22" s="16"/>
      <c r="X22" s="16"/>
    </row>
    <row r="23" spans="1:24" s="88" customFormat="1" ht="24" customHeight="1" x14ac:dyDescent="0.25">
      <c r="A23" s="114" t="s">
        <v>54</v>
      </c>
      <c r="B23" s="115" t="s">
        <v>148</v>
      </c>
      <c r="C23" s="114"/>
      <c r="D23" s="128">
        <v>17933</v>
      </c>
      <c r="E23" s="129">
        <f t="shared" ref="E23:L23" si="8">SUM(E24:E25)</f>
        <v>3021.6352485474508</v>
      </c>
      <c r="F23" s="129">
        <f t="shared" si="8"/>
        <v>1595.5412876342509</v>
      </c>
      <c r="G23" s="127">
        <f t="shared" si="8"/>
        <v>1086.1468396032633</v>
      </c>
      <c r="H23" s="126">
        <f t="shared" si="8"/>
        <v>716.73061799401376</v>
      </c>
      <c r="I23" s="126">
        <f t="shared" si="8"/>
        <v>2148.0869182463762</v>
      </c>
      <c r="J23" s="126">
        <f t="shared" si="8"/>
        <v>6562.1371559363815</v>
      </c>
      <c r="K23" s="129">
        <f t="shared" si="8"/>
        <v>2786.934914020776</v>
      </c>
      <c r="L23" s="128">
        <f t="shared" si="8"/>
        <v>15.78701801748929</v>
      </c>
      <c r="M23" s="87"/>
      <c r="N23" s="87"/>
      <c r="O23" s="87"/>
      <c r="P23" s="87"/>
      <c r="Q23" s="87"/>
      <c r="R23" s="87"/>
      <c r="S23" s="87"/>
      <c r="T23" s="87"/>
      <c r="U23" s="87"/>
      <c r="V23" s="87"/>
      <c r="W23" s="87"/>
      <c r="X23" s="87"/>
    </row>
    <row r="24" spans="1:24" s="89" customFormat="1" ht="24" customHeight="1" x14ac:dyDescent="0.25">
      <c r="A24" s="116">
        <v>1</v>
      </c>
      <c r="B24" s="117" t="s">
        <v>151</v>
      </c>
      <c r="C24" s="116" t="s">
        <v>55</v>
      </c>
      <c r="D24" s="130">
        <f>SUM(E24:L24)</f>
        <v>6935.7632490169617</v>
      </c>
      <c r="E24" s="131">
        <f>$D$23/$D$20*E21</f>
        <v>1989.1642702036509</v>
      </c>
      <c r="F24" s="131">
        <f>$D$23/$D$20*F21</f>
        <v>357.8390750630906</v>
      </c>
      <c r="G24" s="131">
        <f t="shared" ref="G24:L24" si="9">$D$23/$D$20*G21</f>
        <v>0</v>
      </c>
      <c r="H24" s="131">
        <f t="shared" si="9"/>
        <v>31.574036034978587</v>
      </c>
      <c r="I24" s="131">
        <f t="shared" si="9"/>
        <v>168.39485885321912</v>
      </c>
      <c r="J24" s="131">
        <f t="shared" si="9"/>
        <v>3231.0763542461418</v>
      </c>
      <c r="K24" s="131">
        <f>$D$23/$D$20*K21</f>
        <v>1157.7146546158813</v>
      </c>
      <c r="L24" s="131">
        <f t="shared" si="9"/>
        <v>0</v>
      </c>
      <c r="M24" s="18"/>
      <c r="N24" s="18"/>
      <c r="O24" s="18"/>
      <c r="P24" s="18"/>
      <c r="Q24" s="18"/>
      <c r="R24" s="18"/>
      <c r="S24" s="18"/>
      <c r="T24" s="18"/>
      <c r="U24" s="18"/>
      <c r="V24" s="18"/>
      <c r="W24" s="18"/>
      <c r="X24" s="18"/>
    </row>
    <row r="25" spans="1:24" s="89" customFormat="1" ht="24" customHeight="1" x14ac:dyDescent="0.25">
      <c r="A25" s="116">
        <v>2</v>
      </c>
      <c r="B25" s="118" t="s">
        <v>152</v>
      </c>
      <c r="C25" s="116" t="s">
        <v>55</v>
      </c>
      <c r="D25" s="130">
        <f>SUM(E25:L25)</f>
        <v>10997.236750983038</v>
      </c>
      <c r="E25" s="131">
        <f>$D$23/$D$20*E22</f>
        <v>1032.4709783437997</v>
      </c>
      <c r="F25" s="131">
        <f t="shared" ref="F25:L25" si="10">$D$23/$D$20*F22</f>
        <v>1237.7022125711603</v>
      </c>
      <c r="G25" s="131">
        <f t="shared" si="10"/>
        <v>1086.1468396032633</v>
      </c>
      <c r="H25" s="131">
        <f t="shared" si="10"/>
        <v>685.15658195903518</v>
      </c>
      <c r="I25" s="131">
        <f t="shared" si="10"/>
        <v>1979.692059393157</v>
      </c>
      <c r="J25" s="131">
        <f t="shared" si="10"/>
        <v>3331.0608016902402</v>
      </c>
      <c r="K25" s="131">
        <f t="shared" si="10"/>
        <v>1629.2202594048947</v>
      </c>
      <c r="L25" s="131">
        <f t="shared" si="10"/>
        <v>15.78701801748929</v>
      </c>
      <c r="M25" s="18"/>
      <c r="N25" s="18"/>
      <c r="O25" s="18"/>
      <c r="P25" s="18"/>
      <c r="Q25" s="18"/>
      <c r="R25" s="18"/>
      <c r="S25" s="18"/>
      <c r="T25" s="18"/>
      <c r="U25" s="18"/>
      <c r="V25" s="18"/>
      <c r="W25" s="18"/>
      <c r="X25" s="18"/>
    </row>
    <row r="26" spans="1:24" ht="39" customHeight="1" x14ac:dyDescent="0.25">
      <c r="A26" s="119" t="s">
        <v>56</v>
      </c>
      <c r="B26" s="120" t="s">
        <v>149</v>
      </c>
      <c r="C26" s="116" t="s">
        <v>55</v>
      </c>
      <c r="D26" s="128">
        <f>SUM(D27:D28)</f>
        <v>897</v>
      </c>
      <c r="E26" s="128">
        <f t="shared" ref="E26:L26" si="11">SUM(E27:E28)</f>
        <v>151</v>
      </c>
      <c r="F26" s="128">
        <f t="shared" si="11"/>
        <v>80</v>
      </c>
      <c r="G26" s="128">
        <f t="shared" si="11"/>
        <v>54</v>
      </c>
      <c r="H26" s="128">
        <f t="shared" si="11"/>
        <v>36</v>
      </c>
      <c r="I26" s="128">
        <f t="shared" si="11"/>
        <v>107</v>
      </c>
      <c r="J26" s="128">
        <f t="shared" si="11"/>
        <v>329</v>
      </c>
      <c r="K26" s="128">
        <f t="shared" si="11"/>
        <v>139</v>
      </c>
      <c r="L26" s="128">
        <f t="shared" si="11"/>
        <v>1</v>
      </c>
      <c r="M26" s="90"/>
    </row>
    <row r="27" spans="1:24" ht="24" customHeight="1" x14ac:dyDescent="0.25">
      <c r="A27" s="116">
        <v>1</v>
      </c>
      <c r="B27" s="117" t="s">
        <v>151</v>
      </c>
      <c r="C27" s="116" t="s">
        <v>55</v>
      </c>
      <c r="D27" s="131">
        <f>SUM(E27:L27)</f>
        <v>347</v>
      </c>
      <c r="E27" s="131">
        <f>ROUND(E24*5%,0)</f>
        <v>99</v>
      </c>
      <c r="F27" s="131">
        <f t="shared" ref="F27:L27" si="12">ROUND(F24*5%,0)</f>
        <v>18</v>
      </c>
      <c r="G27" s="131">
        <f t="shared" si="12"/>
        <v>0</v>
      </c>
      <c r="H27" s="131">
        <f t="shared" si="12"/>
        <v>2</v>
      </c>
      <c r="I27" s="131">
        <f t="shared" si="12"/>
        <v>8</v>
      </c>
      <c r="J27" s="131">
        <f t="shared" si="12"/>
        <v>162</v>
      </c>
      <c r="K27" s="131">
        <f t="shared" si="12"/>
        <v>58</v>
      </c>
      <c r="L27" s="131">
        <f t="shared" si="12"/>
        <v>0</v>
      </c>
      <c r="M27" s="94"/>
      <c r="N27" s="94"/>
    </row>
    <row r="28" spans="1:24" ht="24" customHeight="1" x14ac:dyDescent="0.25">
      <c r="A28" s="116">
        <v>2</v>
      </c>
      <c r="B28" s="118" t="s">
        <v>152</v>
      </c>
      <c r="C28" s="116" t="s">
        <v>55</v>
      </c>
      <c r="D28" s="131">
        <f>SUM(E28:L28)</f>
        <v>550</v>
      </c>
      <c r="E28" s="131">
        <f>ROUND(E25*5%,0)</f>
        <v>52</v>
      </c>
      <c r="F28" s="131">
        <f t="shared" ref="F28:L28" si="13">ROUND(F25*5%,0)</f>
        <v>62</v>
      </c>
      <c r="G28" s="131">
        <f t="shared" si="13"/>
        <v>54</v>
      </c>
      <c r="H28" s="131">
        <f t="shared" si="13"/>
        <v>34</v>
      </c>
      <c r="I28" s="131">
        <f t="shared" si="13"/>
        <v>99</v>
      </c>
      <c r="J28" s="131">
        <f t="shared" si="13"/>
        <v>167</v>
      </c>
      <c r="K28" s="131">
        <f t="shared" si="13"/>
        <v>81</v>
      </c>
      <c r="L28" s="131">
        <f t="shared" si="13"/>
        <v>1</v>
      </c>
      <c r="M28" s="94"/>
      <c r="N28" s="94"/>
    </row>
    <row r="29" spans="1:24" ht="24" customHeight="1" x14ac:dyDescent="0.25">
      <c r="A29" s="119" t="s">
        <v>57</v>
      </c>
      <c r="B29" s="120" t="s">
        <v>150</v>
      </c>
      <c r="C29" s="116" t="s">
        <v>55</v>
      </c>
      <c r="D29" s="128">
        <f>SUM(D30:D31)</f>
        <v>18830</v>
      </c>
      <c r="E29" s="128">
        <f t="shared" ref="E29:L29" si="14">SUM(E30:E31)</f>
        <v>3172</v>
      </c>
      <c r="F29" s="128">
        <f t="shared" si="14"/>
        <v>1676</v>
      </c>
      <c r="G29" s="128">
        <f t="shared" si="14"/>
        <v>1140</v>
      </c>
      <c r="H29" s="128">
        <f t="shared" si="14"/>
        <v>753</v>
      </c>
      <c r="I29" s="128">
        <f t="shared" si="14"/>
        <v>2255</v>
      </c>
      <c r="J29" s="128">
        <f t="shared" si="14"/>
        <v>6891</v>
      </c>
      <c r="K29" s="128">
        <f t="shared" si="14"/>
        <v>2926</v>
      </c>
      <c r="L29" s="128">
        <f t="shared" si="14"/>
        <v>17</v>
      </c>
      <c r="M29" s="90"/>
    </row>
    <row r="30" spans="1:24" ht="24" customHeight="1" x14ac:dyDescent="0.25">
      <c r="A30" s="116">
        <v>1</v>
      </c>
      <c r="B30" s="117" t="s">
        <v>151</v>
      </c>
      <c r="C30" s="116" t="s">
        <v>55</v>
      </c>
      <c r="D30" s="131">
        <f>SUM(E30:L30)</f>
        <v>7283</v>
      </c>
      <c r="E30" s="131">
        <f>ROUND(E24+E27,0)</f>
        <v>2088</v>
      </c>
      <c r="F30" s="131">
        <f t="shared" ref="F30:L30" si="15">ROUND(F24+F27,0)</f>
        <v>376</v>
      </c>
      <c r="G30" s="131">
        <f t="shared" si="15"/>
        <v>0</v>
      </c>
      <c r="H30" s="131">
        <f t="shared" si="15"/>
        <v>34</v>
      </c>
      <c r="I30" s="131">
        <f t="shared" si="15"/>
        <v>176</v>
      </c>
      <c r="J30" s="131">
        <f t="shared" si="15"/>
        <v>3393</v>
      </c>
      <c r="K30" s="131">
        <f t="shared" si="15"/>
        <v>1216</v>
      </c>
      <c r="L30" s="131">
        <f t="shared" si="15"/>
        <v>0</v>
      </c>
      <c r="M30" s="94"/>
      <c r="N30" s="94"/>
    </row>
    <row r="31" spans="1:24" ht="24" customHeight="1" x14ac:dyDescent="0.25">
      <c r="A31" s="123">
        <v>2</v>
      </c>
      <c r="B31" s="132" t="s">
        <v>152</v>
      </c>
      <c r="C31" s="123" t="s">
        <v>55</v>
      </c>
      <c r="D31" s="133">
        <f>SUM(E31:L31)</f>
        <v>11547</v>
      </c>
      <c r="E31" s="133">
        <f>ROUND(E25+E28,0)</f>
        <v>1084</v>
      </c>
      <c r="F31" s="133">
        <f t="shared" ref="F31:L31" si="16">ROUND(F25+F28,0)</f>
        <v>1300</v>
      </c>
      <c r="G31" s="133">
        <f t="shared" si="16"/>
        <v>1140</v>
      </c>
      <c r="H31" s="133">
        <f t="shared" si="16"/>
        <v>719</v>
      </c>
      <c r="I31" s="133">
        <f t="shared" si="16"/>
        <v>2079</v>
      </c>
      <c r="J31" s="133">
        <f t="shared" si="16"/>
        <v>3498</v>
      </c>
      <c r="K31" s="133">
        <f t="shared" si="16"/>
        <v>1710</v>
      </c>
      <c r="L31" s="133">
        <f t="shared" si="16"/>
        <v>17</v>
      </c>
      <c r="M31" s="94"/>
      <c r="N31" s="94"/>
    </row>
    <row r="32" spans="1:24" x14ac:dyDescent="0.25">
      <c r="E32" s="92"/>
      <c r="F32" s="92"/>
      <c r="G32" s="92"/>
      <c r="H32" s="92"/>
      <c r="I32" s="92"/>
      <c r="J32" s="92"/>
      <c r="K32" s="92"/>
      <c r="L32" s="92"/>
    </row>
    <row r="33" spans="5:12" x14ac:dyDescent="0.25">
      <c r="E33" s="92"/>
      <c r="F33" s="92"/>
      <c r="G33" s="92"/>
      <c r="H33" s="92"/>
      <c r="I33" s="92"/>
      <c r="J33" s="92"/>
      <c r="K33" s="92"/>
      <c r="L33" s="92"/>
    </row>
    <row r="34" spans="5:12" x14ac:dyDescent="0.25">
      <c r="E34" s="92"/>
      <c r="F34" s="92"/>
      <c r="G34" s="92"/>
      <c r="H34" s="92"/>
      <c r="I34" s="92"/>
      <c r="J34" s="92"/>
      <c r="K34" s="92"/>
      <c r="L34" s="92"/>
    </row>
  </sheetData>
  <mergeCells count="27">
    <mergeCell ref="M1:N1"/>
    <mergeCell ref="I1:L1"/>
    <mergeCell ref="M2:X2"/>
    <mergeCell ref="Y2:AJ2"/>
    <mergeCell ref="AK2:AV2"/>
    <mergeCell ref="IG2:IR2"/>
    <mergeCell ref="IS2:IV2"/>
    <mergeCell ref="HI2:HT2"/>
    <mergeCell ref="HU2:IF2"/>
    <mergeCell ref="AW2:BH2"/>
    <mergeCell ref="BI2:BT2"/>
    <mergeCell ref="BU2:CF2"/>
    <mergeCell ref="CG2:CR2"/>
    <mergeCell ref="CS2:DD2"/>
    <mergeCell ref="DE2:DP2"/>
    <mergeCell ref="GK2:GV2"/>
    <mergeCell ref="GW2:HH2"/>
    <mergeCell ref="DQ2:EB2"/>
    <mergeCell ref="EC2:EN2"/>
    <mergeCell ref="EO2:EZ2"/>
    <mergeCell ref="FA2:FL2"/>
    <mergeCell ref="J5:L5"/>
    <mergeCell ref="A4:L4"/>
    <mergeCell ref="A3:L3"/>
    <mergeCell ref="FM2:FX2"/>
    <mergeCell ref="FY2:GJ2"/>
    <mergeCell ref="A2:L2"/>
  </mergeCells>
  <pageMargins left="0.7" right="0.51" top="0.44" bottom="0.45" header="0.3" footer="0.3"/>
  <pageSetup paperSize="9" scale="75" fitToHeight="0" orientation="landscape"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25"/>
  <sheetViews>
    <sheetView topLeftCell="A5" zoomScaleNormal="100" workbookViewId="0">
      <pane xSplit="2" ySplit="1" topLeftCell="C9" activePane="bottomRight" state="frozen"/>
      <selection activeCell="A5" sqref="A5"/>
      <selection pane="topRight" activeCell="C5" sqref="C5"/>
      <selection pane="bottomLeft" activeCell="A6" sqref="A6"/>
      <selection pane="bottomRight" activeCell="P10" sqref="P10"/>
    </sheetView>
  </sheetViews>
  <sheetFormatPr defaultColWidth="7.75" defaultRowHeight="15.75" x14ac:dyDescent="0.25"/>
  <cols>
    <col min="1" max="1" width="6.75" style="19" customWidth="1"/>
    <col min="2" max="2" width="42.75" style="16" customWidth="1"/>
    <col min="3" max="3" width="10.75" style="19" customWidth="1"/>
    <col min="4" max="4" width="10.75" style="16" customWidth="1"/>
    <col min="5" max="7" width="10.75" style="20" customWidth="1"/>
    <col min="8" max="10" width="10.75" style="16" customWidth="1"/>
    <col min="11" max="11" width="10.75" style="20" customWidth="1"/>
    <col min="12" max="12" width="10.75" style="16" customWidth="1"/>
    <col min="13" max="13" width="10.75" style="19" customWidth="1"/>
    <col min="14" max="16384" width="7.75" style="16"/>
  </cols>
  <sheetData>
    <row r="1" spans="1:256" s="15" customFormat="1" ht="29.25" customHeight="1" x14ac:dyDescent="0.25">
      <c r="A1" s="4"/>
      <c r="B1" s="4"/>
      <c r="C1" s="5"/>
      <c r="D1" s="5"/>
      <c r="E1" s="5"/>
      <c r="F1" s="5"/>
      <c r="G1" s="5"/>
      <c r="H1" s="5"/>
      <c r="I1" s="1204" t="s">
        <v>159</v>
      </c>
      <c r="J1" s="1204"/>
      <c r="K1" s="1204"/>
      <c r="L1" s="1204"/>
      <c r="M1" s="1204"/>
      <c r="N1" s="4"/>
    </row>
    <row r="2" spans="1:256" s="15" customFormat="1" ht="23.25" customHeight="1" x14ac:dyDescent="0.25">
      <c r="A2" s="1203" t="s">
        <v>61</v>
      </c>
      <c r="B2" s="1203"/>
      <c r="C2" s="1203"/>
      <c r="D2" s="1203"/>
      <c r="E2" s="1203"/>
      <c r="F2" s="1203"/>
      <c r="G2" s="1203"/>
      <c r="H2" s="1203"/>
      <c r="I2" s="1203"/>
      <c r="J2" s="1203"/>
      <c r="K2" s="1203"/>
      <c r="L2" s="1203"/>
      <c r="M2" s="1203"/>
      <c r="N2" s="9"/>
      <c r="O2" s="9"/>
      <c r="P2" s="9"/>
      <c r="Q2" s="9"/>
      <c r="R2" s="9"/>
      <c r="S2" s="9"/>
      <c r="T2" s="9"/>
      <c r="U2" s="9"/>
      <c r="V2" s="9"/>
      <c r="W2" s="9"/>
      <c r="X2" s="9"/>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1203"/>
      <c r="BS2" s="1203"/>
      <c r="BT2" s="1203"/>
      <c r="BU2" s="1203"/>
      <c r="BV2" s="1203"/>
      <c r="BW2" s="1203"/>
      <c r="BX2" s="1203"/>
      <c r="BY2" s="1203"/>
      <c r="BZ2" s="1203"/>
      <c r="CA2" s="1203"/>
      <c r="CB2" s="1203"/>
      <c r="CC2" s="1203"/>
      <c r="CD2" s="1203"/>
      <c r="CE2" s="1203"/>
      <c r="CF2" s="1203"/>
      <c r="CG2" s="1203"/>
      <c r="CH2" s="1203"/>
      <c r="CI2" s="1203"/>
      <c r="CJ2" s="1203"/>
      <c r="CK2" s="1203"/>
      <c r="CL2" s="1203"/>
      <c r="CM2" s="1203"/>
      <c r="CN2" s="1203"/>
      <c r="CO2" s="1203"/>
      <c r="CP2" s="1203"/>
      <c r="CQ2" s="1203"/>
      <c r="CR2" s="1203"/>
      <c r="CS2" s="1203"/>
      <c r="CT2" s="1203"/>
      <c r="CU2" s="1203"/>
      <c r="CV2" s="1203"/>
      <c r="CW2" s="1203"/>
      <c r="CX2" s="1203"/>
      <c r="CY2" s="1203"/>
      <c r="CZ2" s="1203"/>
      <c r="DA2" s="1203"/>
      <c r="DB2" s="1203"/>
      <c r="DC2" s="1203"/>
      <c r="DD2" s="1203"/>
      <c r="DE2" s="1203"/>
      <c r="DF2" s="1203"/>
      <c r="DG2" s="1203"/>
      <c r="DH2" s="1203"/>
      <c r="DI2" s="1203"/>
      <c r="DJ2" s="1203"/>
      <c r="DK2" s="1203"/>
      <c r="DL2" s="1203"/>
      <c r="DM2" s="1203"/>
      <c r="DN2" s="1203"/>
      <c r="DO2" s="1203"/>
      <c r="DP2" s="1203"/>
      <c r="DQ2" s="1203"/>
      <c r="DR2" s="1203"/>
      <c r="DS2" s="1203"/>
      <c r="DT2" s="1203"/>
      <c r="DU2" s="1203"/>
      <c r="DV2" s="1203"/>
      <c r="DW2" s="1203"/>
      <c r="DX2" s="1203"/>
      <c r="DY2" s="1203"/>
      <c r="DZ2" s="1203"/>
      <c r="EA2" s="1203"/>
      <c r="EB2" s="1203"/>
      <c r="EC2" s="1203"/>
      <c r="ED2" s="1203"/>
      <c r="EE2" s="1203"/>
      <c r="EF2" s="1203"/>
      <c r="EG2" s="1203"/>
      <c r="EH2" s="1203"/>
      <c r="EI2" s="1203"/>
      <c r="EJ2" s="1203"/>
      <c r="EK2" s="1203"/>
      <c r="EL2" s="1203"/>
      <c r="EM2" s="1203"/>
      <c r="EN2" s="1203"/>
      <c r="EO2" s="1203"/>
      <c r="EP2" s="1203"/>
      <c r="EQ2" s="1203"/>
      <c r="ER2" s="1203"/>
      <c r="ES2" s="1203"/>
      <c r="ET2" s="1203"/>
      <c r="EU2" s="1203"/>
      <c r="EV2" s="1203"/>
      <c r="EW2" s="1203"/>
      <c r="EX2" s="1203"/>
      <c r="EY2" s="1203"/>
      <c r="EZ2" s="1203"/>
      <c r="FA2" s="1203"/>
      <c r="FB2" s="1203"/>
      <c r="FC2" s="1203"/>
      <c r="FD2" s="1203"/>
      <c r="FE2" s="1203"/>
      <c r="FF2" s="1203"/>
      <c r="FG2" s="1203"/>
      <c r="FH2" s="1203"/>
      <c r="FI2" s="1203"/>
      <c r="FJ2" s="1203"/>
      <c r="FK2" s="1203"/>
      <c r="FL2" s="1203"/>
      <c r="FM2" s="1203"/>
      <c r="FN2" s="1203"/>
      <c r="FO2" s="1203"/>
      <c r="FP2" s="1203"/>
      <c r="FQ2" s="1203"/>
      <c r="FR2" s="1203"/>
      <c r="FS2" s="1203"/>
      <c r="FT2" s="1203"/>
      <c r="FU2" s="1203"/>
      <c r="FV2" s="1203"/>
      <c r="FW2" s="1203"/>
      <c r="FX2" s="1203"/>
      <c r="FY2" s="1203"/>
      <c r="FZ2" s="1203"/>
      <c r="GA2" s="1203"/>
      <c r="GB2" s="1203"/>
      <c r="GC2" s="1203"/>
      <c r="GD2" s="1203"/>
      <c r="GE2" s="1203"/>
      <c r="GF2" s="1203"/>
      <c r="GG2" s="1203"/>
      <c r="GH2" s="1203"/>
      <c r="GI2" s="1203"/>
      <c r="GJ2" s="1203"/>
      <c r="GK2" s="1203"/>
      <c r="GL2" s="1203"/>
      <c r="GM2" s="1203"/>
      <c r="GN2" s="1203"/>
      <c r="GO2" s="1203"/>
      <c r="GP2" s="1203"/>
      <c r="GQ2" s="1203"/>
      <c r="GR2" s="1203"/>
      <c r="GS2" s="1203"/>
      <c r="GT2" s="1203"/>
      <c r="GU2" s="1203"/>
      <c r="GV2" s="1203"/>
      <c r="GW2" s="1203"/>
      <c r="GX2" s="1203"/>
      <c r="GY2" s="1203"/>
      <c r="GZ2" s="1203"/>
      <c r="HA2" s="1203"/>
      <c r="HB2" s="1203"/>
      <c r="HC2" s="1203"/>
      <c r="HD2" s="1203"/>
      <c r="HE2" s="1203"/>
      <c r="HF2" s="1203"/>
      <c r="HG2" s="1203"/>
      <c r="HH2" s="1203"/>
      <c r="HI2" s="1203"/>
      <c r="HJ2" s="1203"/>
      <c r="HK2" s="1203"/>
      <c r="HL2" s="1203"/>
      <c r="HM2" s="1203"/>
      <c r="HN2" s="1203"/>
      <c r="HO2" s="1203"/>
      <c r="HP2" s="1203"/>
      <c r="HQ2" s="1203"/>
      <c r="HR2" s="1203"/>
      <c r="HS2" s="1203"/>
      <c r="HT2" s="1203"/>
      <c r="HU2" s="1203"/>
      <c r="HV2" s="1203"/>
      <c r="HW2" s="1203"/>
      <c r="HX2" s="1203"/>
      <c r="HY2" s="1203"/>
      <c r="HZ2" s="1203"/>
      <c r="IA2" s="1203"/>
      <c r="IB2" s="1203"/>
      <c r="IC2" s="1203"/>
      <c r="ID2" s="1203"/>
      <c r="IE2" s="1203"/>
      <c r="IF2" s="1203"/>
      <c r="IG2" s="1203"/>
      <c r="IH2" s="1203"/>
      <c r="II2" s="1203"/>
      <c r="IJ2" s="1203"/>
      <c r="IK2" s="1203"/>
      <c r="IL2" s="1203"/>
      <c r="IM2" s="1203"/>
      <c r="IN2" s="1203"/>
      <c r="IO2" s="1203"/>
      <c r="IP2" s="1203"/>
      <c r="IQ2" s="1203"/>
      <c r="IR2" s="1203"/>
      <c r="IS2" s="1203"/>
      <c r="IT2" s="1203"/>
      <c r="IU2" s="1203"/>
      <c r="IV2" s="1203"/>
    </row>
    <row r="3" spans="1:256" s="15" customFormat="1" ht="23.25" customHeight="1" x14ac:dyDescent="0.25">
      <c r="A3" s="1203" t="s">
        <v>60</v>
      </c>
      <c r="B3" s="1203"/>
      <c r="C3" s="1203"/>
      <c r="D3" s="1203"/>
      <c r="E3" s="1203"/>
      <c r="F3" s="1203"/>
      <c r="G3" s="1203"/>
      <c r="H3" s="1203"/>
      <c r="I3" s="1203"/>
      <c r="J3" s="1203"/>
      <c r="K3" s="1203"/>
      <c r="L3" s="1203"/>
      <c r="M3" s="1203"/>
      <c r="N3" s="9"/>
    </row>
    <row r="4" spans="1:256" s="15" customFormat="1" ht="31.5" customHeight="1" x14ac:dyDescent="0.25">
      <c r="A4" s="1205" t="str">
        <f>'B3-DA1'!A4:L4</f>
        <v>(Kèm theo Tờ trình số:          /TTr-UBND ngày          tháng 11 năm 2022 của UBND tỉnh)</v>
      </c>
      <c r="B4" s="1205"/>
      <c r="C4" s="1205"/>
      <c r="D4" s="1205"/>
      <c r="E4" s="1205"/>
      <c r="F4" s="1205"/>
      <c r="G4" s="1205"/>
      <c r="H4" s="1205"/>
      <c r="I4" s="1205"/>
      <c r="J4" s="1205"/>
      <c r="K4" s="1205"/>
      <c r="L4" s="1205"/>
      <c r="M4" s="93"/>
      <c r="N4" s="9"/>
    </row>
    <row r="5" spans="1:256" s="12" customFormat="1" ht="57" customHeight="1" x14ac:dyDescent="0.25">
      <c r="A5" s="10" t="s">
        <v>1</v>
      </c>
      <c r="B5" s="10" t="s">
        <v>35</v>
      </c>
      <c r="C5" s="10" t="s">
        <v>36</v>
      </c>
      <c r="D5" s="10" t="s">
        <v>37</v>
      </c>
      <c r="E5" s="11" t="s">
        <v>38</v>
      </c>
      <c r="F5" s="11" t="s">
        <v>39</v>
      </c>
      <c r="G5" s="11" t="s">
        <v>40</v>
      </c>
      <c r="H5" s="10" t="s">
        <v>41</v>
      </c>
      <c r="I5" s="10" t="s">
        <v>42</v>
      </c>
      <c r="J5" s="10" t="s">
        <v>43</v>
      </c>
      <c r="K5" s="11" t="s">
        <v>44</v>
      </c>
      <c r="L5" s="10" t="s">
        <v>45</v>
      </c>
      <c r="M5" s="10" t="s">
        <v>156</v>
      </c>
    </row>
    <row r="6" spans="1:256" s="12" customFormat="1" ht="23.25" customHeight="1" x14ac:dyDescent="0.25">
      <c r="A6" s="107" t="s">
        <v>46</v>
      </c>
      <c r="B6" s="122" t="s">
        <v>47</v>
      </c>
      <c r="C6" s="107"/>
      <c r="D6" s="107"/>
      <c r="E6" s="108"/>
      <c r="F6" s="108"/>
      <c r="G6" s="108"/>
      <c r="H6" s="107"/>
      <c r="I6" s="107"/>
      <c r="J6" s="107"/>
      <c r="K6" s="108"/>
      <c r="L6" s="107"/>
      <c r="M6" s="107"/>
    </row>
    <row r="7" spans="1:256" ht="70.5" customHeight="1" x14ac:dyDescent="0.25">
      <c r="A7" s="111">
        <v>1</v>
      </c>
      <c r="B7" s="134" t="s">
        <v>153</v>
      </c>
      <c r="C7" s="135" t="s">
        <v>154</v>
      </c>
      <c r="D7" s="124">
        <f>SUM(E7:M7)</f>
        <v>67858.720000000001</v>
      </c>
      <c r="E7" s="131">
        <v>5375.7699999999995</v>
      </c>
      <c r="F7" s="131">
        <v>9261.880000000001</v>
      </c>
      <c r="G7" s="131">
        <v>11421.409999999998</v>
      </c>
      <c r="H7" s="131">
        <v>7362.29</v>
      </c>
      <c r="I7" s="131">
        <v>10774.67</v>
      </c>
      <c r="J7" s="131">
        <v>9497.2099999999991</v>
      </c>
      <c r="K7" s="131">
        <v>11737.08</v>
      </c>
      <c r="L7" s="124"/>
      <c r="M7" s="124">
        <v>2428.41</v>
      </c>
    </row>
    <row r="8" spans="1:256" ht="52.5" customHeight="1" x14ac:dyDescent="0.25">
      <c r="A8" s="111">
        <v>2</v>
      </c>
      <c r="B8" s="134" t="s">
        <v>62</v>
      </c>
      <c r="C8" s="135" t="s">
        <v>154</v>
      </c>
      <c r="D8" s="124">
        <f t="shared" ref="D8:D12" si="0">SUM(E8:M8)</f>
        <v>107734.64000000001</v>
      </c>
      <c r="E8" s="131">
        <v>12618.66</v>
      </c>
      <c r="F8" s="131">
        <v>14574.48</v>
      </c>
      <c r="G8" s="131">
        <v>21033.43</v>
      </c>
      <c r="H8" s="131">
        <v>12285.330000000002</v>
      </c>
      <c r="I8" s="131">
        <v>27105.269999999993</v>
      </c>
      <c r="J8" s="131">
        <v>12680.21</v>
      </c>
      <c r="K8" s="131">
        <v>7437.260000000002</v>
      </c>
      <c r="L8" s="131"/>
      <c r="M8" s="124"/>
    </row>
    <row r="9" spans="1:256" s="95" customFormat="1" ht="36" customHeight="1" x14ac:dyDescent="0.25">
      <c r="A9" s="136">
        <v>3</v>
      </c>
      <c r="B9" s="137" t="s">
        <v>63</v>
      </c>
      <c r="C9" s="135" t="s">
        <v>154</v>
      </c>
      <c r="D9" s="124">
        <f t="shared" si="0"/>
        <v>9664.0399999999991</v>
      </c>
      <c r="E9" s="138">
        <v>680.67</v>
      </c>
      <c r="F9" s="138">
        <v>506.78999999999991</v>
      </c>
      <c r="G9" s="138">
        <v>2505.6</v>
      </c>
      <c r="H9" s="138">
        <v>329.53</v>
      </c>
      <c r="I9" s="138">
        <v>1707.49</v>
      </c>
      <c r="J9" s="138">
        <v>2276.02</v>
      </c>
      <c r="K9" s="138">
        <v>1657.94</v>
      </c>
      <c r="L9" s="138"/>
      <c r="M9" s="139"/>
    </row>
    <row r="10" spans="1:256" s="95" customFormat="1" ht="36" customHeight="1" x14ac:dyDescent="0.25">
      <c r="A10" s="136">
        <v>4</v>
      </c>
      <c r="B10" s="137" t="s">
        <v>64</v>
      </c>
      <c r="C10" s="135" t="s">
        <v>154</v>
      </c>
      <c r="D10" s="124">
        <f t="shared" si="0"/>
        <v>1568</v>
      </c>
      <c r="E10" s="138">
        <v>400</v>
      </c>
      <c r="F10" s="138"/>
      <c r="G10" s="138">
        <v>40</v>
      </c>
      <c r="H10" s="138">
        <v>20</v>
      </c>
      <c r="I10" s="138">
        <v>453</v>
      </c>
      <c r="J10" s="138">
        <v>145</v>
      </c>
      <c r="K10" s="138">
        <v>510</v>
      </c>
      <c r="L10" s="138"/>
      <c r="M10" s="139"/>
    </row>
    <row r="11" spans="1:256" s="95" customFormat="1" ht="23.25" customHeight="1" x14ac:dyDescent="0.25">
      <c r="A11" s="136">
        <v>5</v>
      </c>
      <c r="B11" s="137" t="s">
        <v>65</v>
      </c>
      <c r="C11" s="135" t="s">
        <v>154</v>
      </c>
      <c r="D11" s="124">
        <f t="shared" si="0"/>
        <v>62</v>
      </c>
      <c r="E11" s="138"/>
      <c r="F11" s="138"/>
      <c r="G11" s="138">
        <v>10</v>
      </c>
      <c r="H11" s="138">
        <v>15</v>
      </c>
      <c r="I11" s="138">
        <v>37</v>
      </c>
      <c r="J11" s="138"/>
      <c r="K11" s="138"/>
      <c r="L11" s="138"/>
      <c r="M11" s="139"/>
    </row>
    <row r="12" spans="1:256" s="95" customFormat="1" ht="52.5" customHeight="1" x14ac:dyDescent="0.25">
      <c r="A12" s="136">
        <v>6</v>
      </c>
      <c r="B12" s="137" t="s">
        <v>66</v>
      </c>
      <c r="C12" s="140" t="s">
        <v>155</v>
      </c>
      <c r="D12" s="124">
        <f t="shared" si="0"/>
        <v>1323.9</v>
      </c>
      <c r="E12" s="138">
        <v>276.3</v>
      </c>
      <c r="F12" s="138">
        <v>0.72</v>
      </c>
      <c r="G12" s="138">
        <v>351.9</v>
      </c>
      <c r="H12" s="138">
        <v>3.78</v>
      </c>
      <c r="I12" s="138">
        <v>9.5399999999999991</v>
      </c>
      <c r="J12" s="138">
        <v>429.66</v>
      </c>
      <c r="K12" s="138">
        <v>252</v>
      </c>
      <c r="L12" s="138"/>
      <c r="M12" s="139"/>
    </row>
    <row r="13" spans="1:256" s="17" customFormat="1" ht="23.25" customHeight="1" x14ac:dyDescent="0.25">
      <c r="A13" s="109" t="s">
        <v>31</v>
      </c>
      <c r="B13" s="141" t="s">
        <v>51</v>
      </c>
      <c r="C13" s="142"/>
      <c r="D13" s="126">
        <f>SUM(D14:D19)</f>
        <v>1191.2660799999999</v>
      </c>
      <c r="E13" s="126">
        <f t="shared" ref="E13:M13" si="1">SUM(E14:E19)</f>
        <v>156.02444</v>
      </c>
      <c r="F13" s="126">
        <f t="shared" si="1"/>
        <v>103.54047999999999</v>
      </c>
      <c r="G13" s="126">
        <f t="shared" si="1"/>
        <v>219.13695999999999</v>
      </c>
      <c r="H13" s="126">
        <f t="shared" si="1"/>
        <v>90.81656000000001</v>
      </c>
      <c r="I13" s="126">
        <f t="shared" si="1"/>
        <v>236.38439999999997</v>
      </c>
      <c r="J13" s="126">
        <f t="shared" si="1"/>
        <v>191.18519999999998</v>
      </c>
      <c r="K13" s="126">
        <f t="shared" si="1"/>
        <v>184.46440000000001</v>
      </c>
      <c r="L13" s="126">
        <f t="shared" si="1"/>
        <v>0</v>
      </c>
      <c r="M13" s="126">
        <f t="shared" si="1"/>
        <v>9.7136399999999998</v>
      </c>
    </row>
    <row r="14" spans="1:256" ht="70.5" customHeight="1" x14ac:dyDescent="0.25">
      <c r="A14" s="111">
        <v>1</v>
      </c>
      <c r="B14" s="134" t="s">
        <v>153</v>
      </c>
      <c r="C14" s="135">
        <v>4.0000000000000001E-3</v>
      </c>
      <c r="D14" s="124">
        <f>SUM(E14:M14)</f>
        <v>271.43488000000002</v>
      </c>
      <c r="E14" s="124">
        <f>$C14*E7</f>
        <v>21.503079999999997</v>
      </c>
      <c r="F14" s="124">
        <f>$C14*F7</f>
        <v>37.047520000000006</v>
      </c>
      <c r="G14" s="124">
        <f t="shared" ref="G14:M14" si="2">$C14*G7</f>
        <v>45.685639999999992</v>
      </c>
      <c r="H14" s="124">
        <f t="shared" si="2"/>
        <v>29.449159999999999</v>
      </c>
      <c r="I14" s="124">
        <f t="shared" si="2"/>
        <v>43.098680000000002</v>
      </c>
      <c r="J14" s="124">
        <f t="shared" si="2"/>
        <v>37.988839999999996</v>
      </c>
      <c r="K14" s="124">
        <f t="shared" si="2"/>
        <v>46.948320000000002</v>
      </c>
      <c r="L14" s="124">
        <f t="shared" si="2"/>
        <v>0</v>
      </c>
      <c r="M14" s="124">
        <f t="shared" si="2"/>
        <v>9.7136399999999998</v>
      </c>
    </row>
    <row r="15" spans="1:256" ht="52.5" customHeight="1" x14ac:dyDescent="0.25">
      <c r="A15" s="111">
        <v>2</v>
      </c>
      <c r="B15" s="134" t="s">
        <v>62</v>
      </c>
      <c r="C15" s="135">
        <v>4.0000000000000001E-3</v>
      </c>
      <c r="D15" s="124">
        <f t="shared" ref="D15:D19" si="3">SUM(E15:M15)</f>
        <v>430.93855999999994</v>
      </c>
      <c r="E15" s="124">
        <f>$C15*E8</f>
        <v>50.474640000000001</v>
      </c>
      <c r="F15" s="124">
        <f t="shared" ref="F15:M15" si="4">$C15*F8</f>
        <v>58.297919999999998</v>
      </c>
      <c r="G15" s="124">
        <f t="shared" si="4"/>
        <v>84.133719999999997</v>
      </c>
      <c r="H15" s="124">
        <f t="shared" si="4"/>
        <v>49.141320000000007</v>
      </c>
      <c r="I15" s="124">
        <f t="shared" si="4"/>
        <v>108.42107999999998</v>
      </c>
      <c r="J15" s="124">
        <f t="shared" si="4"/>
        <v>50.720839999999995</v>
      </c>
      <c r="K15" s="124">
        <f t="shared" si="4"/>
        <v>29.749040000000008</v>
      </c>
      <c r="L15" s="124">
        <f t="shared" si="4"/>
        <v>0</v>
      </c>
      <c r="M15" s="124">
        <f t="shared" si="4"/>
        <v>0</v>
      </c>
    </row>
    <row r="16" spans="1:256" ht="36" customHeight="1" x14ac:dyDescent="0.25">
      <c r="A16" s="111">
        <v>3</v>
      </c>
      <c r="B16" s="134" t="s">
        <v>63</v>
      </c>
      <c r="C16" s="143">
        <v>1.6E-2</v>
      </c>
      <c r="D16" s="124">
        <f t="shared" si="3"/>
        <v>154.62464</v>
      </c>
      <c r="E16" s="124">
        <f t="shared" ref="E16:M18" si="5">$C16*E9</f>
        <v>10.89072</v>
      </c>
      <c r="F16" s="124">
        <f t="shared" si="5"/>
        <v>8.1086399999999994</v>
      </c>
      <c r="G16" s="124">
        <f t="shared" si="5"/>
        <v>40.089599999999997</v>
      </c>
      <c r="H16" s="124">
        <f t="shared" si="5"/>
        <v>5.2724799999999998</v>
      </c>
      <c r="I16" s="124">
        <f t="shared" si="5"/>
        <v>27.319839999999999</v>
      </c>
      <c r="J16" s="124">
        <f t="shared" si="5"/>
        <v>36.416319999999999</v>
      </c>
      <c r="K16" s="124">
        <f t="shared" si="5"/>
        <v>26.527040000000003</v>
      </c>
      <c r="L16" s="124">
        <f t="shared" si="5"/>
        <v>0</v>
      </c>
      <c r="M16" s="124">
        <f t="shared" si="5"/>
        <v>0</v>
      </c>
    </row>
    <row r="17" spans="1:13" ht="35.25" customHeight="1" x14ac:dyDescent="0.25">
      <c r="A17" s="111">
        <v>4</v>
      </c>
      <c r="B17" s="134" t="s">
        <v>64</v>
      </c>
      <c r="C17" s="144">
        <v>0.1</v>
      </c>
      <c r="D17" s="124">
        <f t="shared" si="3"/>
        <v>156.80000000000001</v>
      </c>
      <c r="E17" s="124">
        <f t="shared" si="5"/>
        <v>40</v>
      </c>
      <c r="F17" s="124">
        <f t="shared" si="5"/>
        <v>0</v>
      </c>
      <c r="G17" s="124">
        <f t="shared" si="5"/>
        <v>4</v>
      </c>
      <c r="H17" s="124">
        <f t="shared" si="5"/>
        <v>2</v>
      </c>
      <c r="I17" s="124">
        <f t="shared" si="5"/>
        <v>45.300000000000004</v>
      </c>
      <c r="J17" s="124">
        <f t="shared" si="5"/>
        <v>14.5</v>
      </c>
      <c r="K17" s="124">
        <f t="shared" si="5"/>
        <v>51</v>
      </c>
      <c r="L17" s="124">
        <f t="shared" si="5"/>
        <v>0</v>
      </c>
      <c r="M17" s="124">
        <f t="shared" si="5"/>
        <v>0</v>
      </c>
    </row>
    <row r="18" spans="1:13" ht="23.25" customHeight="1" x14ac:dyDescent="0.25">
      <c r="A18" s="111">
        <v>5</v>
      </c>
      <c r="B18" s="134" t="s">
        <v>65</v>
      </c>
      <c r="C18" s="144">
        <v>0.3</v>
      </c>
      <c r="D18" s="124">
        <f t="shared" si="3"/>
        <v>18.600000000000001</v>
      </c>
      <c r="E18" s="124">
        <f t="shared" si="5"/>
        <v>0</v>
      </c>
      <c r="F18" s="124">
        <f t="shared" si="5"/>
        <v>0</v>
      </c>
      <c r="G18" s="124">
        <f t="shared" si="5"/>
        <v>3</v>
      </c>
      <c r="H18" s="124">
        <f t="shared" si="5"/>
        <v>4.5</v>
      </c>
      <c r="I18" s="124">
        <f t="shared" si="5"/>
        <v>11.1</v>
      </c>
      <c r="J18" s="124">
        <f t="shared" si="5"/>
        <v>0</v>
      </c>
      <c r="K18" s="124">
        <f t="shared" si="5"/>
        <v>0</v>
      </c>
      <c r="L18" s="124">
        <f t="shared" si="5"/>
        <v>0</v>
      </c>
      <c r="M18" s="124">
        <f t="shared" si="5"/>
        <v>0</v>
      </c>
    </row>
    <row r="19" spans="1:13" ht="52.5" customHeight="1" x14ac:dyDescent="0.25">
      <c r="A19" s="111">
        <v>6</v>
      </c>
      <c r="B19" s="134" t="s">
        <v>66</v>
      </c>
      <c r="C19" s="140">
        <v>0.12</v>
      </c>
      <c r="D19" s="124">
        <f t="shared" si="3"/>
        <v>158.86799999999999</v>
      </c>
      <c r="E19" s="124">
        <f>$C19*E12</f>
        <v>33.155999999999999</v>
      </c>
      <c r="F19" s="124">
        <f t="shared" ref="F19:M19" si="6">$C19*F12</f>
        <v>8.6399999999999991E-2</v>
      </c>
      <c r="G19" s="124">
        <f t="shared" si="6"/>
        <v>42.227999999999994</v>
      </c>
      <c r="H19" s="124">
        <f t="shared" si="6"/>
        <v>0.45359999999999995</v>
      </c>
      <c r="I19" s="124">
        <f t="shared" si="6"/>
        <v>1.1447999999999998</v>
      </c>
      <c r="J19" s="124">
        <f t="shared" si="6"/>
        <v>51.559200000000004</v>
      </c>
      <c r="K19" s="124">
        <f t="shared" si="6"/>
        <v>30.24</v>
      </c>
      <c r="L19" s="124">
        <f t="shared" si="6"/>
        <v>0</v>
      </c>
      <c r="M19" s="124">
        <f t="shared" si="6"/>
        <v>0</v>
      </c>
    </row>
    <row r="20" spans="1:13" s="21" customFormat="1" ht="23.25" customHeight="1" x14ac:dyDescent="0.25">
      <c r="A20" s="109" t="s">
        <v>54</v>
      </c>
      <c r="B20" s="115" t="s">
        <v>148</v>
      </c>
      <c r="C20" s="145"/>
      <c r="D20" s="145">
        <v>105576</v>
      </c>
      <c r="E20" s="145">
        <f>E21</f>
        <v>13828</v>
      </c>
      <c r="F20" s="145">
        <f t="shared" ref="F20:M20" si="7">F21</f>
        <v>9176</v>
      </c>
      <c r="G20" s="145">
        <f t="shared" si="7"/>
        <v>19421</v>
      </c>
      <c r="H20" s="145">
        <f t="shared" si="7"/>
        <v>8049</v>
      </c>
      <c r="I20" s="145">
        <f t="shared" si="7"/>
        <v>20950</v>
      </c>
      <c r="J20" s="145">
        <f t="shared" si="7"/>
        <v>16944</v>
      </c>
      <c r="K20" s="145">
        <f t="shared" si="7"/>
        <v>16348</v>
      </c>
      <c r="L20" s="145">
        <f t="shared" si="7"/>
        <v>0</v>
      </c>
      <c r="M20" s="145">
        <f t="shared" si="7"/>
        <v>860</v>
      </c>
    </row>
    <row r="21" spans="1:13" s="22" customFormat="1" ht="35.25" customHeight="1" x14ac:dyDescent="0.25">
      <c r="A21" s="146">
        <v>1</v>
      </c>
      <c r="B21" s="147" t="s">
        <v>157</v>
      </c>
      <c r="C21" s="130" t="s">
        <v>55</v>
      </c>
      <c r="D21" s="130">
        <f>SUM(E21:M21)</f>
        <v>105576</v>
      </c>
      <c r="E21" s="125">
        <f>ROUND(($D$20/$D$13*E13),0)</f>
        <v>13828</v>
      </c>
      <c r="F21" s="125">
        <f t="shared" ref="F21:L21" si="8">ROUND(($D$20/$D$13*F13),0)</f>
        <v>9176</v>
      </c>
      <c r="G21" s="125">
        <f t="shared" si="8"/>
        <v>19421</v>
      </c>
      <c r="H21" s="125">
        <f t="shared" si="8"/>
        <v>8049</v>
      </c>
      <c r="I21" s="125">
        <f t="shared" si="8"/>
        <v>20950</v>
      </c>
      <c r="J21" s="125">
        <f t="shared" si="8"/>
        <v>16944</v>
      </c>
      <c r="K21" s="125">
        <f t="shared" si="8"/>
        <v>16348</v>
      </c>
      <c r="L21" s="125">
        <f t="shared" si="8"/>
        <v>0</v>
      </c>
      <c r="M21" s="125">
        <f>ROUND(($D$20/$D$13*M13-0.5),0)</f>
        <v>860</v>
      </c>
    </row>
    <row r="22" spans="1:13" s="21" customFormat="1" ht="36" customHeight="1" x14ac:dyDescent="0.25">
      <c r="A22" s="119" t="s">
        <v>56</v>
      </c>
      <c r="B22" s="120" t="s">
        <v>158</v>
      </c>
      <c r="C22" s="145"/>
      <c r="D22" s="145">
        <v>0</v>
      </c>
      <c r="E22" s="145">
        <f>E23</f>
        <v>0</v>
      </c>
      <c r="F22" s="145">
        <f t="shared" ref="F22" si="9">F23</f>
        <v>0</v>
      </c>
      <c r="G22" s="145">
        <f t="shared" ref="G22" si="10">G23</f>
        <v>0</v>
      </c>
      <c r="H22" s="145">
        <f t="shared" ref="H22" si="11">H23</f>
        <v>0</v>
      </c>
      <c r="I22" s="145">
        <f t="shared" ref="I22" si="12">I23</f>
        <v>0</v>
      </c>
      <c r="J22" s="145">
        <f t="shared" ref="J22" si="13">J23</f>
        <v>0</v>
      </c>
      <c r="K22" s="145">
        <f t="shared" ref="K22" si="14">K23</f>
        <v>0</v>
      </c>
      <c r="L22" s="145">
        <f t="shared" ref="L22" si="15">L23</f>
        <v>0</v>
      </c>
      <c r="M22" s="145">
        <f t="shared" ref="M22" si="16">M23</f>
        <v>0</v>
      </c>
    </row>
    <row r="23" spans="1:13" s="22" customFormat="1" ht="35.25" customHeight="1" x14ac:dyDescent="0.25">
      <c r="A23" s="146">
        <v>1</v>
      </c>
      <c r="B23" s="147" t="s">
        <v>157</v>
      </c>
      <c r="C23" s="130" t="s">
        <v>55</v>
      </c>
      <c r="D23" s="130">
        <f>SUM(E23:M23)</f>
        <v>0</v>
      </c>
      <c r="E23" s="125">
        <v>0</v>
      </c>
      <c r="F23" s="125">
        <v>0</v>
      </c>
      <c r="G23" s="125">
        <v>0</v>
      </c>
      <c r="H23" s="125">
        <v>0</v>
      </c>
      <c r="I23" s="125">
        <v>0</v>
      </c>
      <c r="J23" s="125">
        <v>0</v>
      </c>
      <c r="K23" s="125">
        <v>0</v>
      </c>
      <c r="L23" s="125">
        <v>0</v>
      </c>
      <c r="M23" s="125">
        <v>0</v>
      </c>
    </row>
    <row r="24" spans="1:13" s="21" customFormat="1" ht="23.25" customHeight="1" x14ac:dyDescent="0.25">
      <c r="A24" s="119" t="s">
        <v>57</v>
      </c>
      <c r="B24" s="120" t="s">
        <v>150</v>
      </c>
      <c r="C24" s="145"/>
      <c r="D24" s="145">
        <f>D25</f>
        <v>105576</v>
      </c>
      <c r="E24" s="145">
        <f t="shared" ref="E24:M24" si="17">E25</f>
        <v>13828</v>
      </c>
      <c r="F24" s="145">
        <f t="shared" si="17"/>
        <v>9176</v>
      </c>
      <c r="G24" s="145">
        <f t="shared" si="17"/>
        <v>19421</v>
      </c>
      <c r="H24" s="145">
        <f t="shared" si="17"/>
        <v>8049</v>
      </c>
      <c r="I24" s="145">
        <f t="shared" si="17"/>
        <v>20950</v>
      </c>
      <c r="J24" s="145">
        <f t="shared" si="17"/>
        <v>16944</v>
      </c>
      <c r="K24" s="145">
        <f t="shared" si="17"/>
        <v>16348</v>
      </c>
      <c r="L24" s="145">
        <f t="shared" si="17"/>
        <v>0</v>
      </c>
      <c r="M24" s="145">
        <f t="shared" si="17"/>
        <v>860</v>
      </c>
    </row>
    <row r="25" spans="1:13" s="22" customFormat="1" ht="35.25" customHeight="1" x14ac:dyDescent="0.25">
      <c r="A25" s="148">
        <v>1</v>
      </c>
      <c r="B25" s="149" t="s">
        <v>157</v>
      </c>
      <c r="C25" s="150" t="s">
        <v>55</v>
      </c>
      <c r="D25" s="150">
        <f>SUM(E25:M25)</f>
        <v>105576</v>
      </c>
      <c r="E25" s="151">
        <f>E21+E23</f>
        <v>13828</v>
      </c>
      <c r="F25" s="151">
        <f t="shared" ref="F25:M25" si="18">F21+F23</f>
        <v>9176</v>
      </c>
      <c r="G25" s="151">
        <f t="shared" si="18"/>
        <v>19421</v>
      </c>
      <c r="H25" s="151">
        <f t="shared" si="18"/>
        <v>8049</v>
      </c>
      <c r="I25" s="151">
        <f t="shared" si="18"/>
        <v>20950</v>
      </c>
      <c r="J25" s="151">
        <f t="shared" si="18"/>
        <v>16944</v>
      </c>
      <c r="K25" s="151">
        <f t="shared" si="18"/>
        <v>16348</v>
      </c>
      <c r="L25" s="151">
        <f t="shared" si="18"/>
        <v>0</v>
      </c>
      <c r="M25" s="151">
        <f t="shared" si="18"/>
        <v>860</v>
      </c>
    </row>
  </sheetData>
  <mergeCells count="24">
    <mergeCell ref="HI2:HT2"/>
    <mergeCell ref="HU2:IF2"/>
    <mergeCell ref="Y2:AJ2"/>
    <mergeCell ref="FM2:FX2"/>
    <mergeCell ref="AK2:AV2"/>
    <mergeCell ref="AW2:BH2"/>
    <mergeCell ref="BI2:BT2"/>
    <mergeCell ref="BU2:CF2"/>
    <mergeCell ref="I1:M1"/>
    <mergeCell ref="A2:M2"/>
    <mergeCell ref="A3:M3"/>
    <mergeCell ref="IS2:IV2"/>
    <mergeCell ref="A4:L4"/>
    <mergeCell ref="FY2:GJ2"/>
    <mergeCell ref="IG2:IR2"/>
    <mergeCell ref="DE2:DP2"/>
    <mergeCell ref="DQ2:EB2"/>
    <mergeCell ref="EC2:EN2"/>
    <mergeCell ref="EO2:EZ2"/>
    <mergeCell ref="FA2:FL2"/>
    <mergeCell ref="CG2:CR2"/>
    <mergeCell ref="CS2:DD2"/>
    <mergeCell ref="GK2:GV2"/>
    <mergeCell ref="GW2:HH2"/>
  </mergeCells>
  <pageMargins left="0.7" right="0.51" top="0.44" bottom="0.45" header="0.3" footer="0.3"/>
  <pageSetup paperSize="9" scale="75" fitToHeight="0"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L9"/>
  <sheetViews>
    <sheetView zoomScaleNormal="100" workbookViewId="0">
      <selection activeCell="F7" sqref="F7"/>
    </sheetView>
  </sheetViews>
  <sheetFormatPr defaultRowHeight="15.75" x14ac:dyDescent="0.25"/>
  <cols>
    <col min="1" max="1" width="5.375" style="29" customWidth="1"/>
    <col min="2" max="2" width="32.75" style="29" customWidth="1"/>
    <col min="3" max="3" width="9.75" style="30" customWidth="1"/>
    <col min="4" max="4" width="9.75" style="29" customWidth="1"/>
    <col min="5" max="5" width="10.625" style="29" customWidth="1"/>
    <col min="6" max="6" width="9.75" style="29" customWidth="1"/>
    <col min="7" max="7" width="10.625" style="30" customWidth="1"/>
    <col min="8" max="8" width="58" style="29" customWidth="1"/>
    <col min="9" max="16384" width="9" style="29"/>
  </cols>
  <sheetData>
    <row r="1" spans="1:246" s="27" customFormat="1" ht="29.25" customHeight="1" x14ac:dyDescent="0.25">
      <c r="A1" s="23"/>
      <c r="B1" s="23"/>
      <c r="C1" s="25"/>
      <c r="D1" s="24"/>
      <c r="E1" s="26"/>
      <c r="F1" s="26"/>
      <c r="G1" s="31"/>
      <c r="H1" s="5" t="s">
        <v>165</v>
      </c>
      <c r="I1" s="4"/>
      <c r="J1" s="4"/>
      <c r="K1" s="4"/>
    </row>
    <row r="2" spans="1:246" s="27" customFormat="1" ht="21" customHeight="1" x14ac:dyDescent="0.25">
      <c r="A2" s="1206" t="s">
        <v>61</v>
      </c>
      <c r="B2" s="1206"/>
      <c r="C2" s="1206"/>
      <c r="D2" s="1206"/>
      <c r="E2" s="1206"/>
      <c r="F2" s="1206"/>
      <c r="G2" s="1206"/>
      <c r="H2" s="1206"/>
      <c r="I2" s="1206"/>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c r="AN2" s="1206"/>
      <c r="AO2" s="1206"/>
      <c r="AP2" s="1206"/>
      <c r="AQ2" s="1206"/>
      <c r="AR2" s="1206"/>
      <c r="AS2" s="1206"/>
      <c r="AT2" s="1206"/>
      <c r="AU2" s="1206"/>
      <c r="AV2" s="1206"/>
      <c r="AW2" s="1206"/>
      <c r="AX2" s="1206"/>
      <c r="AY2" s="1206"/>
      <c r="AZ2" s="1206"/>
      <c r="BA2" s="1206"/>
      <c r="BB2" s="1206"/>
      <c r="BC2" s="1206"/>
      <c r="BD2" s="1206"/>
      <c r="BE2" s="1206"/>
      <c r="BF2" s="1206"/>
      <c r="BG2" s="1206"/>
      <c r="BH2" s="1206"/>
      <c r="BI2" s="1206"/>
      <c r="BJ2" s="1206"/>
      <c r="BK2" s="1206"/>
      <c r="BL2" s="1206"/>
      <c r="BM2" s="1206"/>
      <c r="BN2" s="1206"/>
      <c r="BO2" s="1206"/>
      <c r="BP2" s="1206"/>
      <c r="BQ2" s="1206"/>
      <c r="BR2" s="1206"/>
      <c r="BS2" s="1206"/>
      <c r="BT2" s="1206"/>
      <c r="BU2" s="1206"/>
      <c r="BV2" s="1206"/>
      <c r="BW2" s="1206"/>
      <c r="BX2" s="1206"/>
      <c r="BY2" s="1206"/>
      <c r="BZ2" s="1206"/>
      <c r="CA2" s="1206"/>
      <c r="CB2" s="1206"/>
      <c r="CC2" s="1206"/>
      <c r="CD2" s="1206"/>
      <c r="CE2" s="1206"/>
      <c r="CF2" s="1206"/>
      <c r="CG2" s="1206"/>
      <c r="CH2" s="1206"/>
      <c r="CI2" s="1206"/>
      <c r="CJ2" s="1206"/>
      <c r="CK2" s="1206"/>
      <c r="CL2" s="1206"/>
      <c r="CM2" s="1206"/>
      <c r="CN2" s="1206"/>
      <c r="CO2" s="1206"/>
      <c r="CP2" s="1206"/>
      <c r="CQ2" s="1206"/>
      <c r="CR2" s="1206"/>
      <c r="CS2" s="1206"/>
      <c r="CT2" s="1206"/>
      <c r="CU2" s="1206"/>
      <c r="CV2" s="1206"/>
      <c r="CW2" s="1206"/>
      <c r="CX2" s="1206"/>
      <c r="CY2" s="1206"/>
      <c r="CZ2" s="1206"/>
      <c r="DA2" s="1206"/>
      <c r="DB2" s="1206"/>
      <c r="DC2" s="1206"/>
      <c r="DD2" s="1206"/>
      <c r="DE2" s="1206"/>
      <c r="DF2" s="1206"/>
      <c r="DG2" s="1206"/>
      <c r="DH2" s="1206"/>
      <c r="DI2" s="1206"/>
      <c r="DJ2" s="1206"/>
      <c r="DK2" s="1206"/>
      <c r="DL2" s="1206"/>
      <c r="DM2" s="1206"/>
      <c r="DN2" s="1206"/>
      <c r="DO2" s="1206"/>
      <c r="DP2" s="1206"/>
      <c r="DQ2" s="1206"/>
      <c r="DR2" s="1206"/>
      <c r="DS2" s="1206"/>
      <c r="DT2" s="1206"/>
      <c r="DU2" s="1206"/>
      <c r="DV2" s="1206"/>
      <c r="DW2" s="1206"/>
      <c r="DX2" s="1206"/>
      <c r="DY2" s="1206"/>
      <c r="DZ2" s="1206"/>
      <c r="EA2" s="1206"/>
      <c r="EB2" s="1206"/>
      <c r="EC2" s="1206"/>
      <c r="ED2" s="1206"/>
      <c r="EE2" s="1206"/>
      <c r="EF2" s="1206"/>
      <c r="EG2" s="1206"/>
      <c r="EH2" s="1206"/>
      <c r="EI2" s="1206"/>
      <c r="EJ2" s="1206"/>
      <c r="EK2" s="1206"/>
      <c r="EL2" s="1206"/>
      <c r="EM2" s="1206"/>
      <c r="EN2" s="1206"/>
      <c r="EO2" s="1206"/>
      <c r="EP2" s="1206"/>
      <c r="EQ2" s="1206"/>
      <c r="ER2" s="1206"/>
      <c r="ES2" s="1206"/>
      <c r="ET2" s="1206"/>
      <c r="EU2" s="1206"/>
      <c r="EV2" s="1206"/>
      <c r="EW2" s="1206"/>
      <c r="EX2" s="1206"/>
      <c r="EY2" s="1206"/>
      <c r="EZ2" s="1206"/>
      <c r="FA2" s="1206"/>
      <c r="FB2" s="1206"/>
      <c r="FC2" s="1206"/>
      <c r="FD2" s="1206"/>
      <c r="FE2" s="1206"/>
      <c r="FF2" s="1206"/>
      <c r="FG2" s="1206"/>
      <c r="FH2" s="1206"/>
      <c r="FI2" s="1206"/>
      <c r="FJ2" s="1206"/>
      <c r="FK2" s="1206"/>
      <c r="FL2" s="1206"/>
      <c r="FM2" s="1206"/>
      <c r="FN2" s="1206"/>
      <c r="FO2" s="1206"/>
      <c r="FP2" s="1206"/>
      <c r="FQ2" s="1206"/>
      <c r="FR2" s="1206"/>
      <c r="FS2" s="1206"/>
      <c r="FT2" s="1206"/>
      <c r="FU2" s="1206"/>
      <c r="FV2" s="1206"/>
      <c r="FW2" s="1206"/>
      <c r="FX2" s="1206"/>
      <c r="FY2" s="1206"/>
      <c r="FZ2" s="1206"/>
      <c r="GA2" s="1206"/>
      <c r="GB2" s="1206"/>
      <c r="GC2" s="1206"/>
      <c r="GD2" s="1206"/>
      <c r="GE2" s="1206"/>
      <c r="GF2" s="1206"/>
      <c r="GG2" s="1206"/>
      <c r="GH2" s="1206"/>
      <c r="GI2" s="1206"/>
      <c r="GJ2" s="1206"/>
      <c r="GK2" s="1206"/>
      <c r="GL2" s="1206"/>
      <c r="GM2" s="1206"/>
      <c r="GN2" s="1206"/>
      <c r="GO2" s="1206"/>
      <c r="GP2" s="1206"/>
      <c r="GQ2" s="1206"/>
      <c r="GR2" s="1206"/>
      <c r="GS2" s="1206"/>
      <c r="GT2" s="1206"/>
      <c r="GU2" s="1206"/>
      <c r="GV2" s="1206"/>
      <c r="GW2" s="1206"/>
      <c r="GX2" s="1206"/>
      <c r="GY2" s="1206"/>
      <c r="GZ2" s="1206"/>
      <c r="HA2" s="1206"/>
      <c r="HB2" s="1206"/>
      <c r="HC2" s="1206"/>
      <c r="HD2" s="1206"/>
      <c r="HE2" s="1206"/>
      <c r="HF2" s="1206"/>
      <c r="HG2" s="1206"/>
      <c r="HH2" s="1206"/>
      <c r="HI2" s="1206"/>
      <c r="HJ2" s="1206"/>
      <c r="HK2" s="1206"/>
      <c r="HL2" s="1206"/>
      <c r="HM2" s="1206"/>
      <c r="HN2" s="1206"/>
      <c r="HO2" s="1206"/>
      <c r="HP2" s="1206"/>
      <c r="HQ2" s="1206"/>
      <c r="HR2" s="1206"/>
      <c r="HS2" s="1206"/>
      <c r="HT2" s="1206"/>
      <c r="HU2" s="1206"/>
      <c r="HV2" s="1206"/>
      <c r="HW2" s="1206"/>
      <c r="HX2" s="1206"/>
      <c r="HY2" s="1206"/>
      <c r="HZ2" s="1206"/>
      <c r="IA2" s="1206"/>
      <c r="IB2" s="1206"/>
      <c r="IC2" s="1206"/>
      <c r="ID2" s="1206"/>
      <c r="IE2" s="1206"/>
      <c r="IF2" s="1206"/>
      <c r="IG2" s="1206"/>
      <c r="IH2" s="1206"/>
      <c r="II2" s="1206"/>
      <c r="IJ2" s="1206"/>
      <c r="IK2" s="1206"/>
      <c r="IL2" s="1206"/>
    </row>
    <row r="3" spans="1:246" s="27" customFormat="1" ht="42" customHeight="1" x14ac:dyDescent="0.25">
      <c r="A3" s="1206" t="s">
        <v>68</v>
      </c>
      <c r="B3" s="1206"/>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6"/>
      <c r="AP3" s="1206"/>
      <c r="AQ3" s="1206"/>
      <c r="AR3" s="1206"/>
      <c r="AS3" s="1206"/>
      <c r="AT3" s="1206"/>
      <c r="AU3" s="1206"/>
      <c r="AV3" s="1206"/>
      <c r="AW3" s="1206"/>
      <c r="AX3" s="1206"/>
      <c r="AY3" s="1206"/>
      <c r="AZ3" s="1206"/>
      <c r="BA3" s="1206"/>
      <c r="BB3" s="1206"/>
      <c r="BC3" s="1206"/>
      <c r="BD3" s="1206"/>
      <c r="BE3" s="1206"/>
      <c r="BF3" s="1206"/>
      <c r="BG3" s="1206"/>
      <c r="BH3" s="1206"/>
      <c r="BI3" s="1206"/>
      <c r="BJ3" s="1206"/>
      <c r="BK3" s="1206"/>
      <c r="BL3" s="1206"/>
      <c r="BM3" s="1206"/>
      <c r="BN3" s="1206"/>
      <c r="BO3" s="1206"/>
      <c r="BP3" s="1206"/>
      <c r="BQ3" s="1206"/>
      <c r="BR3" s="1206"/>
      <c r="BS3" s="1206"/>
      <c r="BT3" s="1206"/>
      <c r="BU3" s="1206"/>
      <c r="BV3" s="1206"/>
      <c r="BW3" s="1206"/>
      <c r="BX3" s="1206"/>
      <c r="BY3" s="1206"/>
      <c r="BZ3" s="1206"/>
      <c r="CA3" s="1206"/>
      <c r="CB3" s="1206"/>
      <c r="CC3" s="1206"/>
      <c r="CD3" s="1206"/>
      <c r="CE3" s="1206"/>
      <c r="CF3" s="1206"/>
      <c r="CG3" s="1206"/>
      <c r="CH3" s="1206"/>
      <c r="CI3" s="1206"/>
      <c r="CJ3" s="1206"/>
      <c r="CK3" s="1206"/>
      <c r="CL3" s="1206"/>
      <c r="CM3" s="1206"/>
      <c r="CN3" s="1206"/>
      <c r="CO3" s="1206"/>
      <c r="CP3" s="1206"/>
      <c r="CQ3" s="1206"/>
      <c r="CR3" s="1206"/>
      <c r="CS3" s="1206"/>
      <c r="CT3" s="1206"/>
      <c r="CU3" s="1206"/>
      <c r="CV3" s="1206"/>
      <c r="CW3" s="1206"/>
      <c r="CX3" s="1206"/>
      <c r="CY3" s="1206"/>
      <c r="CZ3" s="1206"/>
      <c r="DA3" s="1206"/>
      <c r="DB3" s="1206"/>
      <c r="DC3" s="1206"/>
      <c r="DD3" s="1206"/>
      <c r="DE3" s="1206"/>
      <c r="DF3" s="1206"/>
      <c r="DG3" s="1206"/>
      <c r="DH3" s="1206"/>
      <c r="DI3" s="1206"/>
      <c r="DJ3" s="1206"/>
      <c r="DK3" s="1206"/>
      <c r="DL3" s="1206"/>
      <c r="DM3" s="1206"/>
      <c r="DN3" s="1206"/>
      <c r="DO3" s="1206"/>
      <c r="DP3" s="1206"/>
      <c r="DQ3" s="1206"/>
      <c r="DR3" s="1206"/>
      <c r="DS3" s="1206"/>
      <c r="DT3" s="1206"/>
      <c r="DU3" s="1206"/>
      <c r="DV3" s="1206"/>
      <c r="DW3" s="1206"/>
      <c r="DX3" s="1206"/>
      <c r="DY3" s="1206"/>
      <c r="DZ3" s="1206"/>
      <c r="EA3" s="1206"/>
      <c r="EB3" s="1206"/>
      <c r="EC3" s="1206"/>
      <c r="ED3" s="1206"/>
      <c r="EE3" s="1206"/>
      <c r="EF3" s="1206"/>
      <c r="EG3" s="1206"/>
      <c r="EH3" s="1206"/>
      <c r="EI3" s="1206"/>
      <c r="EJ3" s="1206"/>
      <c r="EK3" s="1206"/>
      <c r="EL3" s="1206"/>
      <c r="EM3" s="1206"/>
      <c r="EN3" s="1206"/>
      <c r="EO3" s="1206"/>
      <c r="EP3" s="1206"/>
      <c r="EQ3" s="1206"/>
      <c r="ER3" s="1206"/>
      <c r="ES3" s="1206"/>
      <c r="ET3" s="1206"/>
      <c r="EU3" s="1206"/>
      <c r="EV3" s="1206"/>
      <c r="EW3" s="1206"/>
      <c r="EX3" s="1206"/>
      <c r="EY3" s="1206"/>
      <c r="EZ3" s="1206"/>
      <c r="FA3" s="1206"/>
      <c r="FB3" s="1206"/>
      <c r="FC3" s="1206"/>
      <c r="FD3" s="1206"/>
      <c r="FE3" s="1206"/>
      <c r="FF3" s="1206"/>
      <c r="FG3" s="1206"/>
      <c r="FH3" s="1206"/>
      <c r="FI3" s="1206"/>
      <c r="FJ3" s="1206"/>
      <c r="FK3" s="1206"/>
      <c r="FL3" s="1206"/>
      <c r="FM3" s="1206"/>
      <c r="FN3" s="1206"/>
      <c r="FO3" s="1206"/>
      <c r="FP3" s="1206"/>
      <c r="FQ3" s="1206"/>
      <c r="FR3" s="1206"/>
      <c r="FS3" s="1206"/>
      <c r="FT3" s="1206"/>
      <c r="FU3" s="1206"/>
      <c r="FV3" s="1206"/>
      <c r="FW3" s="1206"/>
      <c r="FX3" s="1206"/>
      <c r="FY3" s="1206"/>
      <c r="FZ3" s="1206"/>
      <c r="GA3" s="1206"/>
      <c r="GB3" s="1206"/>
      <c r="GC3" s="1206"/>
      <c r="GD3" s="1206"/>
      <c r="GE3" s="1206"/>
      <c r="GF3" s="1206"/>
      <c r="GG3" s="1206"/>
      <c r="GH3" s="1206"/>
      <c r="GI3" s="1206"/>
      <c r="GJ3" s="1206"/>
      <c r="GK3" s="1206"/>
      <c r="GL3" s="1206"/>
      <c r="GM3" s="1206"/>
      <c r="GN3" s="1206"/>
      <c r="GO3" s="1206"/>
      <c r="GP3" s="1206"/>
      <c r="GQ3" s="1206"/>
      <c r="GR3" s="1206"/>
      <c r="GS3" s="1206"/>
      <c r="GT3" s="1206"/>
      <c r="GU3" s="1206"/>
      <c r="GV3" s="1206"/>
      <c r="GW3" s="1206"/>
      <c r="GX3" s="1206"/>
      <c r="GY3" s="1206"/>
      <c r="GZ3" s="1206"/>
      <c r="HA3" s="1206"/>
      <c r="HB3" s="1206"/>
      <c r="HC3" s="1206"/>
      <c r="HD3" s="1206"/>
      <c r="HE3" s="1206"/>
      <c r="HF3" s="1206"/>
      <c r="HG3" s="1206"/>
      <c r="HH3" s="1206"/>
      <c r="HI3" s="1206"/>
      <c r="HJ3" s="1206"/>
      <c r="HK3" s="1206"/>
      <c r="HL3" s="1206"/>
      <c r="HM3" s="1206"/>
      <c r="HN3" s="1206"/>
      <c r="HO3" s="1206"/>
      <c r="HP3" s="1206"/>
      <c r="HQ3" s="1206"/>
      <c r="HR3" s="1206"/>
      <c r="HS3" s="1206"/>
      <c r="HT3" s="1206"/>
      <c r="HU3" s="1206"/>
      <c r="HV3" s="1206"/>
      <c r="HW3" s="1206"/>
      <c r="HX3" s="1206"/>
      <c r="HY3" s="1206"/>
      <c r="HZ3" s="1206"/>
      <c r="IA3" s="1206"/>
      <c r="IB3" s="1206"/>
      <c r="IC3" s="1206"/>
      <c r="ID3" s="1206"/>
      <c r="IE3" s="1206"/>
      <c r="IF3" s="1206"/>
      <c r="IG3" s="1206"/>
      <c r="IH3" s="1206"/>
      <c r="II3" s="1206"/>
      <c r="IJ3" s="1206"/>
      <c r="IK3" s="1206"/>
      <c r="IL3" s="1206"/>
    </row>
    <row r="4" spans="1:246" s="27" customFormat="1" ht="21.75" customHeight="1" x14ac:dyDescent="0.25">
      <c r="A4" s="1208" t="str">
        <f>'B4-TDA1,DA3'!A4:L4</f>
        <v>(Kèm theo Tờ trình số:          /TTr-UBND ngày          tháng 11 năm 2022 của UBND tỉnh)</v>
      </c>
      <c r="B4" s="1209"/>
      <c r="C4" s="1209"/>
      <c r="D4" s="1209"/>
      <c r="E4" s="1209"/>
      <c r="F4" s="1209"/>
      <c r="G4" s="1209"/>
      <c r="H4" s="1209"/>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6"/>
      <c r="AP4" s="1206"/>
      <c r="AQ4" s="1206"/>
      <c r="AR4" s="1206"/>
      <c r="AS4" s="1206"/>
      <c r="AT4" s="1206"/>
      <c r="AU4" s="1206"/>
      <c r="AV4" s="1206"/>
      <c r="AW4" s="1206"/>
      <c r="AX4" s="1206"/>
      <c r="AY4" s="1206"/>
      <c r="AZ4" s="1206"/>
      <c r="BA4" s="1206"/>
      <c r="BB4" s="1206"/>
      <c r="BC4" s="1206"/>
      <c r="BD4" s="1206"/>
      <c r="BE4" s="1206"/>
      <c r="BF4" s="1206"/>
      <c r="BG4" s="1206"/>
      <c r="BH4" s="1206"/>
      <c r="BI4" s="1206"/>
      <c r="BJ4" s="1206"/>
      <c r="BK4" s="1206"/>
      <c r="BL4" s="1206"/>
      <c r="BM4" s="1206"/>
      <c r="BN4" s="1206"/>
      <c r="BO4" s="1206"/>
      <c r="BP4" s="1206"/>
      <c r="BQ4" s="1206"/>
      <c r="BR4" s="1206"/>
      <c r="BS4" s="1206"/>
      <c r="BT4" s="1206"/>
      <c r="BU4" s="1206"/>
      <c r="BV4" s="1206"/>
      <c r="BW4" s="1206"/>
      <c r="BX4" s="1206"/>
      <c r="BY4" s="1206"/>
      <c r="BZ4" s="1206"/>
      <c r="CA4" s="1206"/>
      <c r="CB4" s="1206"/>
      <c r="CC4" s="1206"/>
      <c r="CD4" s="1206"/>
      <c r="CE4" s="1206"/>
      <c r="CF4" s="1206"/>
      <c r="CG4" s="1206"/>
      <c r="CH4" s="1206"/>
      <c r="CI4" s="1206"/>
      <c r="CJ4" s="1206"/>
      <c r="CK4" s="1206"/>
      <c r="CL4" s="1206"/>
      <c r="CM4" s="1206"/>
      <c r="CN4" s="1206"/>
      <c r="CO4" s="1206"/>
      <c r="CP4" s="1206"/>
      <c r="CQ4" s="1206"/>
      <c r="CR4" s="1206"/>
      <c r="CS4" s="1206"/>
      <c r="CT4" s="1206"/>
      <c r="CU4" s="1206"/>
      <c r="CV4" s="1206"/>
      <c r="CW4" s="1206"/>
      <c r="CX4" s="1206"/>
      <c r="CY4" s="1206"/>
      <c r="CZ4" s="1206"/>
      <c r="DA4" s="1206"/>
      <c r="DB4" s="1206"/>
      <c r="DC4" s="1206"/>
      <c r="DD4" s="1206"/>
      <c r="DE4" s="1206"/>
      <c r="DF4" s="1206"/>
      <c r="DG4" s="1206"/>
      <c r="DH4" s="1206"/>
      <c r="DI4" s="1206"/>
      <c r="DJ4" s="1206"/>
      <c r="DK4" s="1206"/>
      <c r="DL4" s="1206"/>
      <c r="DM4" s="1206"/>
      <c r="DN4" s="1206"/>
      <c r="DO4" s="1206"/>
      <c r="DP4" s="1206"/>
      <c r="DQ4" s="1206"/>
      <c r="DR4" s="1206"/>
      <c r="DS4" s="1206"/>
      <c r="DT4" s="1206"/>
      <c r="DU4" s="1206"/>
      <c r="DV4" s="1206"/>
      <c r="DW4" s="1206"/>
      <c r="DX4" s="1206"/>
      <c r="DY4" s="1206"/>
      <c r="DZ4" s="1206"/>
      <c r="EA4" s="1206"/>
      <c r="EB4" s="1206"/>
      <c r="EC4" s="1206"/>
      <c r="ED4" s="1206"/>
      <c r="EE4" s="1206"/>
      <c r="EF4" s="1206"/>
      <c r="EG4" s="1206"/>
      <c r="EH4" s="1206"/>
      <c r="EI4" s="1206"/>
      <c r="EJ4" s="1206"/>
      <c r="EK4" s="1206"/>
      <c r="EL4" s="1206"/>
      <c r="EM4" s="1206"/>
      <c r="EN4" s="1206"/>
      <c r="EO4" s="1206"/>
      <c r="EP4" s="1206"/>
      <c r="EQ4" s="1206"/>
      <c r="ER4" s="1206"/>
      <c r="ES4" s="1206"/>
      <c r="ET4" s="1206"/>
      <c r="EU4" s="1206"/>
      <c r="EV4" s="1206"/>
      <c r="EW4" s="1206"/>
      <c r="EX4" s="1206"/>
      <c r="EY4" s="1206"/>
      <c r="EZ4" s="1206"/>
      <c r="FA4" s="1206"/>
      <c r="FB4" s="1206"/>
      <c r="FC4" s="1206"/>
      <c r="FD4" s="1206"/>
      <c r="FE4" s="1206"/>
      <c r="FF4" s="1206"/>
      <c r="FG4" s="1206"/>
      <c r="FH4" s="1206"/>
      <c r="FI4" s="1206"/>
      <c r="FJ4" s="1206"/>
      <c r="FK4" s="1206"/>
      <c r="FL4" s="1206"/>
      <c r="FM4" s="1206"/>
      <c r="FN4" s="1206"/>
      <c r="FO4" s="1206"/>
      <c r="FP4" s="1206"/>
      <c r="FQ4" s="1206"/>
      <c r="FR4" s="1206"/>
      <c r="FS4" s="1206"/>
      <c r="FT4" s="1206"/>
      <c r="FU4" s="1206"/>
      <c r="FV4" s="1206"/>
      <c r="FW4" s="1206"/>
      <c r="FX4" s="1206"/>
      <c r="FY4" s="1206"/>
      <c r="FZ4" s="1206"/>
      <c r="GA4" s="1206"/>
      <c r="GB4" s="1206"/>
      <c r="GC4" s="1206"/>
      <c r="GD4" s="1206"/>
      <c r="GE4" s="1206"/>
      <c r="GF4" s="1206"/>
      <c r="GG4" s="1206"/>
      <c r="GH4" s="1206"/>
      <c r="GI4" s="1206"/>
      <c r="GJ4" s="1206"/>
      <c r="GK4" s="1206"/>
      <c r="GL4" s="1206"/>
      <c r="GM4" s="1206"/>
      <c r="GN4" s="1206"/>
      <c r="GO4" s="1206"/>
      <c r="GP4" s="1206"/>
      <c r="GQ4" s="1206"/>
      <c r="GR4" s="1206"/>
      <c r="GS4" s="1206"/>
      <c r="GT4" s="1206"/>
      <c r="GU4" s="1206"/>
      <c r="GV4" s="1206"/>
      <c r="GW4" s="1206"/>
      <c r="GX4" s="1206"/>
      <c r="GY4" s="1206"/>
      <c r="GZ4" s="1206"/>
      <c r="HA4" s="1206"/>
      <c r="HB4" s="1206"/>
      <c r="HC4" s="1206"/>
      <c r="HD4" s="1206"/>
      <c r="HE4" s="1206"/>
      <c r="HF4" s="1206"/>
      <c r="HG4" s="1206"/>
      <c r="HH4" s="1206"/>
      <c r="HI4" s="1206"/>
      <c r="HJ4" s="1206"/>
      <c r="HK4" s="1206"/>
      <c r="HL4" s="1206"/>
      <c r="HM4" s="1206"/>
      <c r="HN4" s="1206"/>
      <c r="HO4" s="1206"/>
      <c r="HP4" s="1206"/>
      <c r="HQ4" s="1206"/>
      <c r="HR4" s="1206"/>
      <c r="HS4" s="1206"/>
      <c r="HT4" s="1206"/>
      <c r="HU4" s="1206"/>
      <c r="HV4" s="1206"/>
      <c r="HW4" s="1206"/>
      <c r="HX4" s="1206"/>
      <c r="HY4" s="1206"/>
      <c r="HZ4" s="1206"/>
      <c r="IA4" s="1206"/>
      <c r="IB4" s="1206"/>
      <c r="IC4" s="1206"/>
      <c r="ID4" s="1206"/>
      <c r="IE4" s="1206"/>
      <c r="IF4" s="1206"/>
      <c r="IG4" s="1206"/>
      <c r="IH4" s="1206"/>
      <c r="II4" s="1206"/>
      <c r="IJ4" s="1206"/>
      <c r="IK4" s="1206"/>
      <c r="IL4" s="1206"/>
    </row>
    <row r="5" spans="1:246" s="27" customFormat="1" ht="24" customHeight="1" x14ac:dyDescent="0.25">
      <c r="A5" s="1212" t="s">
        <v>1</v>
      </c>
      <c r="B5" s="1212" t="s">
        <v>35</v>
      </c>
      <c r="C5" s="1216" t="s">
        <v>37</v>
      </c>
      <c r="D5" s="1212" t="s">
        <v>160</v>
      </c>
      <c r="E5" s="1212"/>
      <c r="F5" s="1212" t="s">
        <v>161</v>
      </c>
      <c r="G5" s="1212"/>
      <c r="H5" s="1210" t="s">
        <v>3</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row>
    <row r="6" spans="1:246" s="27" customFormat="1" ht="39.75" customHeight="1" x14ac:dyDescent="0.25">
      <c r="A6" s="1212"/>
      <c r="B6" s="1212"/>
      <c r="C6" s="1217"/>
      <c r="D6" s="152" t="s">
        <v>162</v>
      </c>
      <c r="E6" s="152" t="s">
        <v>163</v>
      </c>
      <c r="F6" s="152" t="s">
        <v>162</v>
      </c>
      <c r="G6" s="152" t="s">
        <v>163</v>
      </c>
      <c r="H6" s="1211"/>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row>
    <row r="7" spans="1:246" ht="88.5" customHeight="1" x14ac:dyDescent="0.25">
      <c r="A7" s="153">
        <v>1</v>
      </c>
      <c r="B7" s="238" t="s">
        <v>321</v>
      </c>
      <c r="C7" s="154">
        <f>ROUND(E7+G7,0)</f>
        <v>8673</v>
      </c>
      <c r="D7" s="389">
        <v>0.114</v>
      </c>
      <c r="E7" s="154">
        <f>67431*D7</f>
        <v>7687.134</v>
      </c>
      <c r="F7" s="423">
        <v>0.1283</v>
      </c>
      <c r="G7" s="154">
        <f>E7*F7</f>
        <v>986.2592922</v>
      </c>
      <c r="H7" s="1213" t="s">
        <v>164</v>
      </c>
    </row>
    <row r="8" spans="1:246" ht="88.5" customHeight="1" x14ac:dyDescent="0.25">
      <c r="A8" s="156">
        <v>2</v>
      </c>
      <c r="B8" s="239" t="s">
        <v>320</v>
      </c>
      <c r="C8" s="157">
        <f>ROUND(E8+G8,0)</f>
        <v>67409</v>
      </c>
      <c r="D8" s="390">
        <v>0.88600000000000001</v>
      </c>
      <c r="E8" s="157">
        <f>67431*D8</f>
        <v>59743.866000000002</v>
      </c>
      <c r="F8" s="423">
        <v>0.1283</v>
      </c>
      <c r="G8" s="157">
        <f>E8*F8</f>
        <v>7665.1380078000002</v>
      </c>
      <c r="H8" s="1214"/>
    </row>
    <row r="9" spans="1:246" ht="54" customHeight="1" x14ac:dyDescent="0.25">
      <c r="A9" s="1207" t="s">
        <v>67</v>
      </c>
      <c r="B9" s="1207"/>
      <c r="C9" s="158">
        <f t="shared" ref="C9" si="0">SUM(C7:C8)</f>
        <v>76082</v>
      </c>
      <c r="D9" s="158"/>
      <c r="E9" s="158">
        <f>SUM(E7:E8)</f>
        <v>67431</v>
      </c>
      <c r="F9" s="158"/>
      <c r="G9" s="158">
        <f>SUM(G7:G8)</f>
        <v>8651.3973000000005</v>
      </c>
      <c r="H9" s="1215"/>
    </row>
  </sheetData>
  <mergeCells count="53">
    <mergeCell ref="GN4:HD4"/>
    <mergeCell ref="HE4:HU4"/>
    <mergeCell ref="HV4:IL4"/>
    <mergeCell ref="HE3:HU3"/>
    <mergeCell ref="HV3:IL3"/>
    <mergeCell ref="HV2:IL2"/>
    <mergeCell ref="A3:H3"/>
    <mergeCell ref="I3:Y3"/>
    <mergeCell ref="Z3:AP3"/>
    <mergeCell ref="AQ3:BG3"/>
    <mergeCell ref="BH3:BX3"/>
    <mergeCell ref="BY3:CO3"/>
    <mergeCell ref="A2:H2"/>
    <mergeCell ref="I2:Y2"/>
    <mergeCell ref="Z2:AP2"/>
    <mergeCell ref="FW2:GM2"/>
    <mergeCell ref="GN2:HD2"/>
    <mergeCell ref="HE2:HU2"/>
    <mergeCell ref="GN3:HD3"/>
    <mergeCell ref="DX3:EN3"/>
    <mergeCell ref="DG2:DW2"/>
    <mergeCell ref="FW4:GM4"/>
    <mergeCell ref="EO3:FE3"/>
    <mergeCell ref="FF3:FV3"/>
    <mergeCell ref="FW3:GM3"/>
    <mergeCell ref="DG4:DW4"/>
    <mergeCell ref="A9:B9"/>
    <mergeCell ref="A4:H4"/>
    <mergeCell ref="I4:Y4"/>
    <mergeCell ref="Z4:AP4"/>
    <mergeCell ref="H5:H6"/>
    <mergeCell ref="A5:A6"/>
    <mergeCell ref="B5:B6"/>
    <mergeCell ref="D5:E5"/>
    <mergeCell ref="H7:H9"/>
    <mergeCell ref="F5:G5"/>
    <mergeCell ref="C5:C6"/>
    <mergeCell ref="AQ2:BG2"/>
    <mergeCell ref="DX4:EN4"/>
    <mergeCell ref="EO4:FE4"/>
    <mergeCell ref="FF4:FV4"/>
    <mergeCell ref="BY4:CO4"/>
    <mergeCell ref="DX2:EN2"/>
    <mergeCell ref="AQ4:BG4"/>
    <mergeCell ref="BH4:BX4"/>
    <mergeCell ref="EO2:FE2"/>
    <mergeCell ref="FF2:FV2"/>
    <mergeCell ref="BH2:BX2"/>
    <mergeCell ref="BY2:CO2"/>
    <mergeCell ref="CP2:DF2"/>
    <mergeCell ref="CP3:DF3"/>
    <mergeCell ref="DG3:DW3"/>
    <mergeCell ref="CP4:DF4"/>
  </mergeCells>
  <pageMargins left="0.40625" right="0.375" top="0.47916666666666669"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5"/>
  <sheetViews>
    <sheetView topLeftCell="A4" zoomScale="85" zoomScaleNormal="85" workbookViewId="0">
      <pane xSplit="2" ySplit="1" topLeftCell="C5" activePane="bottomRight" state="frozen"/>
      <selection activeCell="A4" sqref="A4"/>
      <selection pane="topRight" activeCell="C4" sqref="C4"/>
      <selection pane="bottomLeft" activeCell="A5" sqref="A5"/>
      <selection pane="bottomRight" activeCell="N12" sqref="N12"/>
    </sheetView>
  </sheetViews>
  <sheetFormatPr defaultColWidth="7.75" defaultRowHeight="18.75" x14ac:dyDescent="0.25"/>
  <cols>
    <col min="1" max="1" width="6.75" style="39" customWidth="1"/>
    <col min="2" max="2" width="49.125" style="33" customWidth="1"/>
    <col min="3" max="3" width="12.375" style="39" customWidth="1"/>
    <col min="4" max="4" width="11.5" style="33" customWidth="1"/>
    <col min="5" max="5" width="11.5" style="40" customWidth="1"/>
    <col min="6" max="6" width="11.5" style="41" customWidth="1"/>
    <col min="7" max="9" width="11.5" style="40" customWidth="1"/>
    <col min="10" max="10" width="11.5" style="41" customWidth="1"/>
    <col min="11" max="11" width="11.5" style="40" customWidth="1"/>
    <col min="12" max="12" width="11.5" style="33" customWidth="1"/>
    <col min="13" max="13" width="13.25" style="33" bestFit="1" customWidth="1"/>
    <col min="14" max="16384" width="7.75" style="33"/>
  </cols>
  <sheetData>
    <row r="1" spans="1:12" s="31" customFormat="1" ht="24.75" customHeight="1" x14ac:dyDescent="0.25">
      <c r="A1" s="32"/>
      <c r="B1" s="32"/>
      <c r="C1" s="25"/>
      <c r="D1" s="25"/>
      <c r="E1" s="25"/>
      <c r="F1" s="25"/>
      <c r="I1" s="32"/>
      <c r="J1" s="1220" t="s">
        <v>167</v>
      </c>
      <c r="K1" s="1220"/>
      <c r="L1" s="1220"/>
    </row>
    <row r="2" spans="1:12" ht="52.9" customHeight="1" x14ac:dyDescent="0.25">
      <c r="A2" s="1218" t="s">
        <v>166</v>
      </c>
      <c r="B2" s="1218"/>
      <c r="C2" s="1218"/>
      <c r="D2" s="1218"/>
      <c r="E2" s="1218"/>
      <c r="F2" s="1218"/>
      <c r="G2" s="1218"/>
      <c r="H2" s="1218"/>
      <c r="I2" s="1218"/>
      <c r="J2" s="1218"/>
      <c r="K2" s="1218"/>
      <c r="L2" s="1218"/>
    </row>
    <row r="3" spans="1:12" ht="26.25" customHeight="1" x14ac:dyDescent="0.25">
      <c r="A3" s="1219" t="str">
        <f>'B5-TDA2,DA3'!A4:H4</f>
        <v>(Kèm theo Tờ trình số:          /TTr-UBND ngày          tháng 11 năm 2022 của UBND tỉnh)</v>
      </c>
      <c r="B3" s="1219"/>
      <c r="C3" s="1219"/>
      <c r="D3" s="1219"/>
      <c r="E3" s="1219"/>
      <c r="F3" s="1219"/>
      <c r="G3" s="1219"/>
      <c r="H3" s="1219"/>
      <c r="I3" s="1219"/>
      <c r="J3" s="1219"/>
      <c r="K3" s="1219"/>
      <c r="L3" s="1219"/>
    </row>
    <row r="4" spans="1:12" s="37" customFormat="1" ht="62.25" customHeight="1" x14ac:dyDescent="0.25">
      <c r="A4" s="34" t="s">
        <v>1</v>
      </c>
      <c r="B4" s="34" t="s">
        <v>35</v>
      </c>
      <c r="C4" s="34" t="s">
        <v>36</v>
      </c>
      <c r="D4" s="34" t="s">
        <v>37</v>
      </c>
      <c r="E4" s="35" t="s">
        <v>38</v>
      </c>
      <c r="F4" s="36" t="s">
        <v>39</v>
      </c>
      <c r="G4" s="35" t="s">
        <v>40</v>
      </c>
      <c r="H4" s="35" t="s">
        <v>41</v>
      </c>
      <c r="I4" s="35" t="s">
        <v>42</v>
      </c>
      <c r="J4" s="36" t="s">
        <v>43</v>
      </c>
      <c r="K4" s="35" t="s">
        <v>44</v>
      </c>
      <c r="L4" s="34" t="s">
        <v>45</v>
      </c>
    </row>
    <row r="5" spans="1:12" s="37" customFormat="1" ht="21.75" customHeight="1" x14ac:dyDescent="0.25">
      <c r="A5" s="159" t="s">
        <v>46</v>
      </c>
      <c r="B5" s="160" t="s">
        <v>47</v>
      </c>
      <c r="C5" s="159"/>
      <c r="D5" s="159"/>
      <c r="E5" s="161"/>
      <c r="F5" s="162"/>
      <c r="G5" s="161"/>
      <c r="H5" s="161"/>
      <c r="I5" s="161"/>
      <c r="J5" s="162"/>
      <c r="K5" s="161"/>
      <c r="L5" s="159"/>
    </row>
    <row r="6" spans="1:12" s="37" customFormat="1" ht="21.75" customHeight="1" x14ac:dyDescent="0.25">
      <c r="A6" s="163">
        <v>1</v>
      </c>
      <c r="B6" s="164" t="s">
        <v>69</v>
      </c>
      <c r="C6" s="165" t="s">
        <v>70</v>
      </c>
      <c r="D6" s="176">
        <f>SUM(E6:L6)</f>
        <v>66</v>
      </c>
      <c r="E6" s="177">
        <v>8</v>
      </c>
      <c r="F6" s="178">
        <v>8</v>
      </c>
      <c r="G6" s="177">
        <v>9</v>
      </c>
      <c r="H6" s="177">
        <v>8</v>
      </c>
      <c r="I6" s="177">
        <v>13</v>
      </c>
      <c r="J6" s="178">
        <v>10</v>
      </c>
      <c r="K6" s="177">
        <v>10</v>
      </c>
      <c r="L6" s="176">
        <v>0</v>
      </c>
    </row>
    <row r="7" spans="1:12" s="37" customFormat="1" ht="60" customHeight="1" x14ac:dyDescent="0.25">
      <c r="A7" s="163">
        <v>2</v>
      </c>
      <c r="B7" s="164" t="s">
        <v>71</v>
      </c>
      <c r="C7" s="165" t="s">
        <v>70</v>
      </c>
      <c r="D7" s="176">
        <f t="shared" ref="D7:D11" si="0">SUM(E7:L7)</f>
        <v>3</v>
      </c>
      <c r="E7" s="177">
        <v>0</v>
      </c>
      <c r="F7" s="178">
        <v>2</v>
      </c>
      <c r="G7" s="177">
        <v>0</v>
      </c>
      <c r="H7" s="177">
        <v>0</v>
      </c>
      <c r="I7" s="177">
        <v>1</v>
      </c>
      <c r="J7" s="178">
        <v>0</v>
      </c>
      <c r="K7" s="177">
        <v>0</v>
      </c>
      <c r="L7" s="176">
        <v>0</v>
      </c>
    </row>
    <row r="8" spans="1:12" s="37" customFormat="1" ht="60" customHeight="1" x14ac:dyDescent="0.25">
      <c r="A8" s="163">
        <v>3</v>
      </c>
      <c r="B8" s="164" t="s">
        <v>72</v>
      </c>
      <c r="C8" s="165" t="s">
        <v>73</v>
      </c>
      <c r="D8" s="176">
        <f t="shared" si="0"/>
        <v>55</v>
      </c>
      <c r="E8" s="177">
        <v>9</v>
      </c>
      <c r="F8" s="178">
        <v>13</v>
      </c>
      <c r="G8" s="177">
        <v>1</v>
      </c>
      <c r="H8" s="177">
        <v>10</v>
      </c>
      <c r="I8" s="177">
        <v>7</v>
      </c>
      <c r="J8" s="178">
        <v>0</v>
      </c>
      <c r="K8" s="177">
        <v>14</v>
      </c>
      <c r="L8" s="176">
        <v>1</v>
      </c>
    </row>
    <row r="9" spans="1:12" s="37" customFormat="1" ht="21.75" customHeight="1" x14ac:dyDescent="0.25">
      <c r="A9" s="163">
        <v>4</v>
      </c>
      <c r="B9" s="164" t="s">
        <v>74</v>
      </c>
      <c r="C9" s="165" t="s">
        <v>75</v>
      </c>
      <c r="D9" s="176">
        <f t="shared" si="0"/>
        <v>4</v>
      </c>
      <c r="E9" s="177"/>
      <c r="F9" s="178"/>
      <c r="G9" s="177"/>
      <c r="H9" s="177">
        <v>1</v>
      </c>
      <c r="I9" s="177">
        <v>3</v>
      </c>
      <c r="J9" s="178"/>
      <c r="K9" s="177"/>
      <c r="L9" s="176"/>
    </row>
    <row r="10" spans="1:12" s="37" customFormat="1" ht="21.75" customHeight="1" x14ac:dyDescent="0.25">
      <c r="A10" s="163">
        <v>5</v>
      </c>
      <c r="B10" s="166" t="s">
        <v>76</v>
      </c>
      <c r="C10" s="163" t="s">
        <v>70</v>
      </c>
      <c r="D10" s="176">
        <f t="shared" si="0"/>
        <v>9</v>
      </c>
      <c r="E10" s="177">
        <v>0</v>
      </c>
      <c r="F10" s="178">
        <v>2</v>
      </c>
      <c r="G10" s="177">
        <v>0</v>
      </c>
      <c r="H10" s="177">
        <v>3</v>
      </c>
      <c r="I10" s="177">
        <v>4</v>
      </c>
      <c r="J10" s="178">
        <v>0</v>
      </c>
      <c r="K10" s="177">
        <v>0</v>
      </c>
      <c r="L10" s="176">
        <v>0</v>
      </c>
    </row>
    <row r="11" spans="1:12" s="42" customFormat="1" ht="21.75" customHeight="1" x14ac:dyDescent="0.25">
      <c r="A11" s="163">
        <v>6</v>
      </c>
      <c r="B11" s="167" t="s">
        <v>77</v>
      </c>
      <c r="C11" s="168" t="s">
        <v>78</v>
      </c>
      <c r="D11" s="176">
        <f t="shared" si="0"/>
        <v>223.48418803418804</v>
      </c>
      <c r="E11" s="177">
        <f>214/8</f>
        <v>26.75</v>
      </c>
      <c r="F11" s="178">
        <f>242/8</f>
        <v>30.25</v>
      </c>
      <c r="G11" s="177">
        <f>352/9</f>
        <v>39.111111111111114</v>
      </c>
      <c r="H11" s="177">
        <f>230/8</f>
        <v>28.75</v>
      </c>
      <c r="I11" s="177">
        <f>415/13</f>
        <v>31.923076923076923</v>
      </c>
      <c r="J11" s="178">
        <f>351/10</f>
        <v>35.1</v>
      </c>
      <c r="K11" s="177">
        <f>316/10</f>
        <v>31.6</v>
      </c>
      <c r="L11" s="176"/>
    </row>
    <row r="12" spans="1:12" s="43" customFormat="1" ht="21.75" customHeight="1" x14ac:dyDescent="0.25">
      <c r="A12" s="169" t="s">
        <v>31</v>
      </c>
      <c r="B12" s="170" t="s">
        <v>79</v>
      </c>
      <c r="C12" s="169"/>
      <c r="D12" s="179">
        <f>SUM(D13:D18)</f>
        <v>742.70452564102561</v>
      </c>
      <c r="E12" s="179">
        <f t="shared" ref="E12:L12" si="1">SUM(E13:E18)</f>
        <v>89.002499999999998</v>
      </c>
      <c r="F12" s="179">
        <f t="shared" si="1"/>
        <v>114.3075</v>
      </c>
      <c r="G12" s="179">
        <f t="shared" si="1"/>
        <v>83.973333333333329</v>
      </c>
      <c r="H12" s="179">
        <f t="shared" si="1"/>
        <v>96.362499999999997</v>
      </c>
      <c r="I12" s="179">
        <f t="shared" si="1"/>
        <v>150.05769230769229</v>
      </c>
      <c r="J12" s="179">
        <f t="shared" si="1"/>
        <v>91.052999999999997</v>
      </c>
      <c r="K12" s="179">
        <f t="shared" si="1"/>
        <v>116.148</v>
      </c>
      <c r="L12" s="179">
        <f t="shared" si="1"/>
        <v>1.8</v>
      </c>
    </row>
    <row r="13" spans="1:12" ht="21.75" customHeight="1" x14ac:dyDescent="0.25">
      <c r="A13" s="163">
        <v>1</v>
      </c>
      <c r="B13" s="164" t="s">
        <v>69</v>
      </c>
      <c r="C13" s="165">
        <v>9</v>
      </c>
      <c r="D13" s="176">
        <f>SUM(E13:L13)</f>
        <v>594</v>
      </c>
      <c r="E13" s="177">
        <f>$C13*E6</f>
        <v>72</v>
      </c>
      <c r="F13" s="177">
        <f t="shared" ref="F13:L13" si="2">$C13*F6</f>
        <v>72</v>
      </c>
      <c r="G13" s="177">
        <f t="shared" si="2"/>
        <v>81</v>
      </c>
      <c r="H13" s="177">
        <f t="shared" si="2"/>
        <v>72</v>
      </c>
      <c r="I13" s="177">
        <f t="shared" si="2"/>
        <v>117</v>
      </c>
      <c r="J13" s="177">
        <f t="shared" si="2"/>
        <v>90</v>
      </c>
      <c r="K13" s="177">
        <f t="shared" si="2"/>
        <v>90</v>
      </c>
      <c r="L13" s="177">
        <f t="shared" si="2"/>
        <v>0</v>
      </c>
    </row>
    <row r="14" spans="1:12" ht="60" customHeight="1" x14ac:dyDescent="0.25">
      <c r="A14" s="163">
        <v>2</v>
      </c>
      <c r="B14" s="164" t="s">
        <v>71</v>
      </c>
      <c r="C14" s="165">
        <v>8</v>
      </c>
      <c r="D14" s="176">
        <f t="shared" ref="D14:D18" si="3">SUM(E14:L14)</f>
        <v>24</v>
      </c>
      <c r="E14" s="177">
        <f t="shared" ref="E14:L17" si="4">$C14*E7</f>
        <v>0</v>
      </c>
      <c r="F14" s="177">
        <f t="shared" si="4"/>
        <v>16</v>
      </c>
      <c r="G14" s="177">
        <f t="shared" si="4"/>
        <v>0</v>
      </c>
      <c r="H14" s="177">
        <f t="shared" si="4"/>
        <v>0</v>
      </c>
      <c r="I14" s="177">
        <f t="shared" si="4"/>
        <v>8</v>
      </c>
      <c r="J14" s="177">
        <f t="shared" si="4"/>
        <v>0</v>
      </c>
      <c r="K14" s="177">
        <f t="shared" si="4"/>
        <v>0</v>
      </c>
      <c r="L14" s="177">
        <f t="shared" si="4"/>
        <v>0</v>
      </c>
    </row>
    <row r="15" spans="1:12" ht="60" customHeight="1" x14ac:dyDescent="0.25">
      <c r="A15" s="163">
        <v>3</v>
      </c>
      <c r="B15" s="164" t="s">
        <v>72</v>
      </c>
      <c r="C15" s="174">
        <v>1.8</v>
      </c>
      <c r="D15" s="176">
        <f t="shared" si="3"/>
        <v>99</v>
      </c>
      <c r="E15" s="177">
        <f t="shared" si="4"/>
        <v>16.2</v>
      </c>
      <c r="F15" s="177">
        <f t="shared" si="4"/>
        <v>23.400000000000002</v>
      </c>
      <c r="G15" s="177">
        <f t="shared" si="4"/>
        <v>1.8</v>
      </c>
      <c r="H15" s="177">
        <f t="shared" si="4"/>
        <v>18</v>
      </c>
      <c r="I15" s="177">
        <f t="shared" si="4"/>
        <v>12.6</v>
      </c>
      <c r="J15" s="177">
        <f t="shared" si="4"/>
        <v>0</v>
      </c>
      <c r="K15" s="177">
        <f t="shared" si="4"/>
        <v>25.2</v>
      </c>
      <c r="L15" s="177">
        <f t="shared" si="4"/>
        <v>1.8</v>
      </c>
    </row>
    <row r="16" spans="1:12" ht="21.75" customHeight="1" x14ac:dyDescent="0.25">
      <c r="A16" s="163">
        <v>4</v>
      </c>
      <c r="B16" s="164" t="s">
        <v>74</v>
      </c>
      <c r="C16" s="174">
        <v>2.5</v>
      </c>
      <c r="D16" s="176">
        <f t="shared" si="3"/>
        <v>10</v>
      </c>
      <c r="E16" s="177">
        <f t="shared" si="4"/>
        <v>0</v>
      </c>
      <c r="F16" s="177">
        <f t="shared" si="4"/>
        <v>0</v>
      </c>
      <c r="G16" s="177">
        <f t="shared" si="4"/>
        <v>0</v>
      </c>
      <c r="H16" s="177">
        <f t="shared" si="4"/>
        <v>2.5</v>
      </c>
      <c r="I16" s="177">
        <f t="shared" si="4"/>
        <v>7.5</v>
      </c>
      <c r="J16" s="177">
        <f t="shared" si="4"/>
        <v>0</v>
      </c>
      <c r="K16" s="177">
        <f t="shared" si="4"/>
        <v>0</v>
      </c>
      <c r="L16" s="177">
        <f t="shared" si="4"/>
        <v>0</v>
      </c>
    </row>
    <row r="17" spans="1:12" ht="21.75" customHeight="1" x14ac:dyDescent="0.25">
      <c r="A17" s="163">
        <v>5</v>
      </c>
      <c r="B17" s="166" t="s">
        <v>76</v>
      </c>
      <c r="C17" s="165">
        <v>1</v>
      </c>
      <c r="D17" s="176">
        <f t="shared" si="3"/>
        <v>9</v>
      </c>
      <c r="E17" s="177">
        <f t="shared" si="4"/>
        <v>0</v>
      </c>
      <c r="F17" s="177">
        <f t="shared" si="4"/>
        <v>2</v>
      </c>
      <c r="G17" s="177">
        <f t="shared" si="4"/>
        <v>0</v>
      </c>
      <c r="H17" s="177">
        <f t="shared" si="4"/>
        <v>3</v>
      </c>
      <c r="I17" s="177">
        <f t="shared" si="4"/>
        <v>4</v>
      </c>
      <c r="J17" s="177">
        <f t="shared" si="4"/>
        <v>0</v>
      </c>
      <c r="K17" s="177">
        <f t="shared" si="4"/>
        <v>0</v>
      </c>
      <c r="L17" s="177">
        <f t="shared" si="4"/>
        <v>0</v>
      </c>
    </row>
    <row r="18" spans="1:12" ht="21.75" customHeight="1" x14ac:dyDescent="0.25">
      <c r="A18" s="163">
        <v>6</v>
      </c>
      <c r="B18" s="166" t="s">
        <v>77</v>
      </c>
      <c r="C18" s="175">
        <v>0.03</v>
      </c>
      <c r="D18" s="176">
        <f t="shared" si="3"/>
        <v>6.70452564102564</v>
      </c>
      <c r="E18" s="177">
        <f>$C18*E11</f>
        <v>0.80249999999999999</v>
      </c>
      <c r="F18" s="177">
        <f t="shared" ref="F18:L18" si="5">$C18*F11</f>
        <v>0.90749999999999997</v>
      </c>
      <c r="G18" s="177">
        <f t="shared" si="5"/>
        <v>1.1733333333333333</v>
      </c>
      <c r="H18" s="177">
        <f t="shared" si="5"/>
        <v>0.86249999999999993</v>
      </c>
      <c r="I18" s="177">
        <f t="shared" si="5"/>
        <v>0.95769230769230762</v>
      </c>
      <c r="J18" s="177">
        <f t="shared" si="5"/>
        <v>1.0529999999999999</v>
      </c>
      <c r="K18" s="177">
        <f t="shared" si="5"/>
        <v>0.94799999999999995</v>
      </c>
      <c r="L18" s="177">
        <f t="shared" si="5"/>
        <v>0</v>
      </c>
    </row>
    <row r="19" spans="1:12" s="38" customFormat="1" ht="21.75" customHeight="1" x14ac:dyDescent="0.25">
      <c r="A19" s="171" t="s">
        <v>54</v>
      </c>
      <c r="B19" s="172" t="s">
        <v>148</v>
      </c>
      <c r="C19" s="163"/>
      <c r="D19" s="179">
        <v>23291</v>
      </c>
      <c r="E19" s="180">
        <f>E20</f>
        <v>2792</v>
      </c>
      <c r="F19" s="180">
        <f t="shared" ref="F19:L19" si="6">F20</f>
        <v>3585</v>
      </c>
      <c r="G19" s="180">
        <f t="shared" si="6"/>
        <v>2633</v>
      </c>
      <c r="H19" s="180">
        <f t="shared" si="6"/>
        <v>3022</v>
      </c>
      <c r="I19" s="180">
        <f t="shared" si="6"/>
        <v>4706</v>
      </c>
      <c r="J19" s="180">
        <f t="shared" si="6"/>
        <v>2855</v>
      </c>
      <c r="K19" s="180">
        <f t="shared" si="6"/>
        <v>3642</v>
      </c>
      <c r="L19" s="180">
        <f t="shared" si="6"/>
        <v>56</v>
      </c>
    </row>
    <row r="20" spans="1:12" ht="57.75" customHeight="1" x14ac:dyDescent="0.25">
      <c r="A20" s="163">
        <v>1</v>
      </c>
      <c r="B20" s="183" t="s">
        <v>17</v>
      </c>
      <c r="C20" s="163" t="s">
        <v>55</v>
      </c>
      <c r="D20" s="176">
        <f>SUM(E20:L20)</f>
        <v>23291</v>
      </c>
      <c r="E20" s="177">
        <f>ROUND(($D$19/$D$12*E12+0.5),0)</f>
        <v>2792</v>
      </c>
      <c r="F20" s="177">
        <f t="shared" ref="F20:L20" si="7">ROUND(($D$19/$D$12*F12),0)</f>
        <v>3585</v>
      </c>
      <c r="G20" s="177">
        <f t="shared" si="7"/>
        <v>2633</v>
      </c>
      <c r="H20" s="177">
        <f t="shared" si="7"/>
        <v>3022</v>
      </c>
      <c r="I20" s="177">
        <f t="shared" si="7"/>
        <v>4706</v>
      </c>
      <c r="J20" s="177">
        <f t="shared" si="7"/>
        <v>2855</v>
      </c>
      <c r="K20" s="177">
        <f t="shared" si="7"/>
        <v>3642</v>
      </c>
      <c r="L20" s="177">
        <f t="shared" si="7"/>
        <v>56</v>
      </c>
    </row>
    <row r="21" spans="1:12" s="38" customFormat="1" ht="41.25" customHeight="1" x14ac:dyDescent="0.25">
      <c r="A21" s="171" t="s">
        <v>56</v>
      </c>
      <c r="B21" s="172" t="s">
        <v>149</v>
      </c>
      <c r="C21" s="163"/>
      <c r="D21" s="179">
        <f>D22</f>
        <v>1165</v>
      </c>
      <c r="E21" s="179">
        <f t="shared" ref="E21:L21" si="8">E22</f>
        <v>140</v>
      </c>
      <c r="F21" s="179">
        <f t="shared" si="8"/>
        <v>179</v>
      </c>
      <c r="G21" s="179">
        <f t="shared" si="8"/>
        <v>132</v>
      </c>
      <c r="H21" s="179">
        <f t="shared" si="8"/>
        <v>151</v>
      </c>
      <c r="I21" s="179">
        <f t="shared" si="8"/>
        <v>235</v>
      </c>
      <c r="J21" s="179">
        <f t="shared" si="8"/>
        <v>143</v>
      </c>
      <c r="K21" s="179">
        <f t="shared" si="8"/>
        <v>182</v>
      </c>
      <c r="L21" s="179">
        <f t="shared" si="8"/>
        <v>3</v>
      </c>
    </row>
    <row r="22" spans="1:12" ht="57.75" customHeight="1" x14ac:dyDescent="0.25">
      <c r="A22" s="163">
        <v>1</v>
      </c>
      <c r="B22" s="183" t="s">
        <v>17</v>
      </c>
      <c r="C22" s="163" t="s">
        <v>55</v>
      </c>
      <c r="D22" s="176">
        <f>SUM(E22:L22)</f>
        <v>1165</v>
      </c>
      <c r="E22" s="177">
        <f>ROUND(E20*5%,0)</f>
        <v>140</v>
      </c>
      <c r="F22" s="177">
        <f t="shared" ref="F22:L22" si="9">ROUND(F20*5%,0)</f>
        <v>179</v>
      </c>
      <c r="G22" s="177">
        <f t="shared" si="9"/>
        <v>132</v>
      </c>
      <c r="H22" s="177">
        <f t="shared" si="9"/>
        <v>151</v>
      </c>
      <c r="I22" s="177">
        <f t="shared" si="9"/>
        <v>235</v>
      </c>
      <c r="J22" s="177">
        <f t="shared" si="9"/>
        <v>143</v>
      </c>
      <c r="K22" s="177">
        <f t="shared" si="9"/>
        <v>182</v>
      </c>
      <c r="L22" s="177">
        <f t="shared" si="9"/>
        <v>3</v>
      </c>
    </row>
    <row r="23" spans="1:12" s="38" customFormat="1" ht="21.75" customHeight="1" x14ac:dyDescent="0.25">
      <c r="A23" s="181" t="s">
        <v>57</v>
      </c>
      <c r="B23" s="182" t="s">
        <v>150</v>
      </c>
      <c r="C23" s="163"/>
      <c r="D23" s="179">
        <f>D24</f>
        <v>24456</v>
      </c>
      <c r="E23" s="179">
        <f t="shared" ref="E23:L23" si="10">E24</f>
        <v>2932</v>
      </c>
      <c r="F23" s="179">
        <f t="shared" si="10"/>
        <v>3764</v>
      </c>
      <c r="G23" s="179">
        <f t="shared" si="10"/>
        <v>2765</v>
      </c>
      <c r="H23" s="179">
        <f t="shared" si="10"/>
        <v>3173</v>
      </c>
      <c r="I23" s="179">
        <f t="shared" si="10"/>
        <v>4941</v>
      </c>
      <c r="J23" s="179">
        <f t="shared" si="10"/>
        <v>2998</v>
      </c>
      <c r="K23" s="179">
        <f t="shared" si="10"/>
        <v>3824</v>
      </c>
      <c r="L23" s="179">
        <f t="shared" si="10"/>
        <v>59</v>
      </c>
    </row>
    <row r="24" spans="1:12" ht="57.75" customHeight="1" x14ac:dyDescent="0.25">
      <c r="A24" s="173">
        <v>1</v>
      </c>
      <c r="B24" s="184" t="s">
        <v>17</v>
      </c>
      <c r="C24" s="173" t="s">
        <v>55</v>
      </c>
      <c r="D24" s="185">
        <f>SUM(E24:L24)</f>
        <v>24456</v>
      </c>
      <c r="E24" s="186">
        <f>E20+E22</f>
        <v>2932</v>
      </c>
      <c r="F24" s="186">
        <f t="shared" ref="F24:L24" si="11">F20+F22</f>
        <v>3764</v>
      </c>
      <c r="G24" s="186">
        <f t="shared" si="11"/>
        <v>2765</v>
      </c>
      <c r="H24" s="186">
        <f t="shared" si="11"/>
        <v>3173</v>
      </c>
      <c r="I24" s="186">
        <f t="shared" si="11"/>
        <v>4941</v>
      </c>
      <c r="J24" s="186">
        <f t="shared" si="11"/>
        <v>2998</v>
      </c>
      <c r="K24" s="186">
        <f t="shared" si="11"/>
        <v>3824</v>
      </c>
      <c r="L24" s="186">
        <f t="shared" si="11"/>
        <v>59</v>
      </c>
    </row>
    <row r="25" spans="1:12" x14ac:dyDescent="0.25">
      <c r="D25" s="44"/>
    </row>
  </sheetData>
  <mergeCells count="3">
    <mergeCell ref="A2:L2"/>
    <mergeCell ref="A3:L3"/>
    <mergeCell ref="J1:L1"/>
  </mergeCells>
  <pageMargins left="0.70866141732283472" right="0.70866141732283472" top="0.74803149606299213" bottom="0.74803149606299213" header="0.31496062992125984" footer="0.31496062992125984"/>
  <pageSetup paperSize="9" scale="73"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Layout" zoomScaleNormal="115" workbookViewId="0">
      <selection activeCell="D11" sqref="D11"/>
    </sheetView>
  </sheetViews>
  <sheetFormatPr defaultRowHeight="15.75" x14ac:dyDescent="0.25"/>
  <cols>
    <col min="1" max="1" width="5.875" customWidth="1"/>
    <col min="2" max="2" width="77.625" customWidth="1"/>
    <col min="3" max="3" width="19.75" customWidth="1"/>
  </cols>
  <sheetData>
    <row r="1" spans="1:3" ht="18.75" x14ac:dyDescent="0.25">
      <c r="A1" s="1041" t="s">
        <v>1109</v>
      </c>
      <c r="B1" s="1041"/>
      <c r="C1" s="830"/>
    </row>
    <row r="2" spans="1:3" ht="18.75" x14ac:dyDescent="0.25">
      <c r="A2" s="1041" t="s">
        <v>1110</v>
      </c>
      <c r="B2" s="1041"/>
      <c r="C2" s="830"/>
    </row>
    <row r="3" spans="1:3" ht="18.75" x14ac:dyDescent="0.25">
      <c r="A3" s="1042" t="s">
        <v>1189</v>
      </c>
      <c r="B3" s="1042"/>
      <c r="C3" s="833"/>
    </row>
    <row r="4" spans="1:3" ht="18.75" x14ac:dyDescent="0.25">
      <c r="A4" s="829"/>
      <c r="B4" s="829"/>
      <c r="C4" s="833"/>
    </row>
    <row r="5" spans="1:3" ht="18.75" x14ac:dyDescent="0.25">
      <c r="B5" s="830" t="s">
        <v>1111</v>
      </c>
    </row>
    <row r="6" spans="1:3" ht="36.75" customHeight="1" x14ac:dyDescent="0.25">
      <c r="A6" s="1040" t="s">
        <v>1188</v>
      </c>
      <c r="B6" s="1040"/>
      <c r="C6" s="831"/>
    </row>
    <row r="7" spans="1:3" ht="28.5" customHeight="1" x14ac:dyDescent="0.25">
      <c r="B7" s="832" t="s">
        <v>1112</v>
      </c>
    </row>
    <row r="8" spans="1:3" ht="56.25" customHeight="1" x14ac:dyDescent="0.25">
      <c r="A8" s="1040" t="s">
        <v>1114</v>
      </c>
      <c r="B8" s="1040"/>
    </row>
    <row r="9" spans="1:3" ht="39.75" customHeight="1" x14ac:dyDescent="0.25">
      <c r="A9" s="1040" t="s">
        <v>1115</v>
      </c>
      <c r="B9" s="1040"/>
    </row>
    <row r="10" spans="1:3" ht="18.75" x14ac:dyDescent="0.25">
      <c r="A10" s="830"/>
      <c r="B10" s="830" t="s">
        <v>1113</v>
      </c>
    </row>
    <row r="11" spans="1:3" ht="18.75" x14ac:dyDescent="0.25">
      <c r="B11" s="832" t="s">
        <v>1192</v>
      </c>
    </row>
    <row r="12" spans="1:3" ht="40.5" customHeight="1" x14ac:dyDescent="0.25">
      <c r="A12" s="1040" t="s">
        <v>1193</v>
      </c>
      <c r="B12" s="1040"/>
    </row>
  </sheetData>
  <mergeCells count="7">
    <mergeCell ref="A9:B9"/>
    <mergeCell ref="A12:B12"/>
    <mergeCell ref="A1:B1"/>
    <mergeCell ref="A2:B2"/>
    <mergeCell ref="A3:B3"/>
    <mergeCell ref="A6:B6"/>
    <mergeCell ref="A8:B8"/>
  </mergeCells>
  <pageMargins left="0.78740157480314965" right="0.39370078740157483" top="0.78740157480314965" bottom="0.78740157480314965" header="0.31496062992125984" footer="0.31496062992125984"/>
  <pageSetup paperSize="9" firstPageNumber="40" orientation="portrait" useFirstPageNumber="1" r:id="rId1"/>
  <headerFooter>
    <oddHeader>&amp;RPhụ lục số 01</oddHead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6"/>
  <sheetViews>
    <sheetView topLeftCell="A4" zoomScaleNormal="100" workbookViewId="0">
      <selection activeCell="Q9" sqref="Q9"/>
    </sheetView>
  </sheetViews>
  <sheetFormatPr defaultColWidth="7.75" defaultRowHeight="15.75" x14ac:dyDescent="0.25"/>
  <cols>
    <col min="1" max="1" width="6.75" style="50" customWidth="1"/>
    <col min="2" max="2" width="36.25" style="13" customWidth="1"/>
    <col min="3" max="3" width="10.125" style="19" customWidth="1"/>
    <col min="4" max="7" width="11.25" style="13" customWidth="1"/>
    <col min="8" max="9" width="11.25" style="51" customWidth="1"/>
    <col min="10" max="10" width="11.25" style="13" customWidth="1"/>
    <col min="11" max="12" width="11.25" style="51" customWidth="1"/>
    <col min="13" max="14" width="11.25" style="13" customWidth="1"/>
    <col min="15" max="16384" width="7.75" style="13"/>
  </cols>
  <sheetData>
    <row r="1" spans="1:14" s="31" customFormat="1" ht="29.25" customHeight="1" x14ac:dyDescent="0.25">
      <c r="A1" s="32"/>
      <c r="B1" s="32"/>
      <c r="C1" s="25"/>
      <c r="D1" s="25"/>
      <c r="E1" s="25"/>
      <c r="F1" s="25"/>
      <c r="I1" s="32"/>
      <c r="K1" s="32"/>
      <c r="L1" s="1222" t="s">
        <v>172</v>
      </c>
      <c r="M1" s="1222"/>
      <c r="N1" s="1222"/>
    </row>
    <row r="2" spans="1:14" s="31" customFormat="1" ht="63.75" customHeight="1" x14ac:dyDescent="0.25">
      <c r="A2" s="1223" t="s">
        <v>87</v>
      </c>
      <c r="B2" s="1223"/>
      <c r="C2" s="1223"/>
      <c r="D2" s="1223"/>
      <c r="E2" s="1223"/>
      <c r="F2" s="1223"/>
      <c r="G2" s="1223"/>
      <c r="H2" s="1223"/>
      <c r="I2" s="1223"/>
      <c r="J2" s="1223"/>
      <c r="K2" s="1223"/>
      <c r="L2" s="1223"/>
      <c r="M2" s="1223"/>
      <c r="N2" s="1223"/>
    </row>
    <row r="3" spans="1:14" s="31" customFormat="1" ht="31.5" customHeight="1" x14ac:dyDescent="0.25">
      <c r="A3" s="1224" t="str">
        <f>'B6-DA4'!A3:L3</f>
        <v>(Kèm theo Tờ trình số:          /TTr-UBND ngày          tháng 11 năm 2022 của UBND tỉnh)</v>
      </c>
      <c r="B3" s="1224"/>
      <c r="C3" s="1224"/>
      <c r="D3" s="1224"/>
      <c r="E3" s="1224"/>
      <c r="F3" s="1224"/>
      <c r="G3" s="1224"/>
      <c r="H3" s="1224"/>
      <c r="I3" s="1224"/>
      <c r="J3" s="1224"/>
      <c r="K3" s="1224"/>
      <c r="L3" s="1224"/>
      <c r="M3" s="1224"/>
      <c r="N3" s="1224"/>
    </row>
    <row r="4" spans="1:14" x14ac:dyDescent="0.25">
      <c r="A4" s="1221"/>
      <c r="B4" s="1221"/>
      <c r="C4" s="1221"/>
      <c r="D4" s="1221"/>
      <c r="E4" s="1221"/>
      <c r="F4" s="1221"/>
      <c r="G4" s="1221"/>
      <c r="H4" s="1221"/>
      <c r="I4" s="1221"/>
      <c r="J4" s="1221"/>
      <c r="K4" s="1221"/>
      <c r="L4" s="1221"/>
      <c r="M4" s="1221"/>
      <c r="N4" s="1221"/>
    </row>
    <row r="5" spans="1:14" s="12" customFormat="1" ht="83.25" customHeight="1" x14ac:dyDescent="0.25">
      <c r="A5" s="45" t="s">
        <v>1</v>
      </c>
      <c r="B5" s="45" t="s">
        <v>35</v>
      </c>
      <c r="C5" s="45" t="s">
        <v>36</v>
      </c>
      <c r="D5" s="10" t="s">
        <v>37</v>
      </c>
      <c r="E5" s="10" t="s">
        <v>80</v>
      </c>
      <c r="F5" s="10" t="s">
        <v>171</v>
      </c>
      <c r="G5" s="46" t="s">
        <v>38</v>
      </c>
      <c r="H5" s="47" t="s">
        <v>39</v>
      </c>
      <c r="I5" s="47" t="s">
        <v>40</v>
      </c>
      <c r="J5" s="46" t="s">
        <v>41</v>
      </c>
      <c r="K5" s="47" t="s">
        <v>42</v>
      </c>
      <c r="L5" s="47" t="s">
        <v>43</v>
      </c>
      <c r="M5" s="46" t="s">
        <v>44</v>
      </c>
      <c r="N5" s="10" t="s">
        <v>45</v>
      </c>
    </row>
    <row r="6" spans="1:14" s="12" customFormat="1" ht="20.25" customHeight="1" x14ac:dyDescent="0.25">
      <c r="A6" s="107" t="s">
        <v>46</v>
      </c>
      <c r="B6" s="107" t="s">
        <v>47</v>
      </c>
      <c r="C6" s="107"/>
      <c r="D6" s="107"/>
      <c r="E6" s="107"/>
      <c r="F6" s="107"/>
      <c r="G6" s="107"/>
      <c r="H6" s="108"/>
      <c r="I6" s="108"/>
      <c r="J6" s="107"/>
      <c r="K6" s="108"/>
      <c r="L6" s="108"/>
      <c r="M6" s="107"/>
      <c r="N6" s="107"/>
    </row>
    <row r="7" spans="1:14" s="12" customFormat="1" ht="20.25" customHeight="1" x14ac:dyDescent="0.25">
      <c r="A7" s="111">
        <v>1</v>
      </c>
      <c r="B7" s="188" t="s">
        <v>81</v>
      </c>
      <c r="C7" s="111" t="s">
        <v>82</v>
      </c>
      <c r="D7" s="189">
        <f>SUM(E7:N7)</f>
        <v>850</v>
      </c>
      <c r="E7" s="189"/>
      <c r="F7" s="189"/>
      <c r="G7" s="189"/>
      <c r="H7" s="190">
        <v>140</v>
      </c>
      <c r="I7" s="190">
        <v>250</v>
      </c>
      <c r="J7" s="189">
        <v>20</v>
      </c>
      <c r="K7" s="190">
        <v>0</v>
      </c>
      <c r="L7" s="190">
        <v>440</v>
      </c>
      <c r="M7" s="189">
        <v>0</v>
      </c>
      <c r="N7" s="189"/>
    </row>
    <row r="8" spans="1:14" s="12" customFormat="1" ht="20.25" customHeight="1" x14ac:dyDescent="0.25">
      <c r="A8" s="111">
        <v>2</v>
      </c>
      <c r="B8" s="188" t="s">
        <v>83</v>
      </c>
      <c r="C8" s="111" t="s">
        <v>84</v>
      </c>
      <c r="D8" s="189">
        <f t="shared" ref="D8:D10" si="0">SUM(E8:N8)</f>
        <v>37</v>
      </c>
      <c r="E8" s="189"/>
      <c r="F8" s="189"/>
      <c r="G8" s="189"/>
      <c r="H8" s="190">
        <v>6</v>
      </c>
      <c r="I8" s="190">
        <v>10</v>
      </c>
      <c r="J8" s="189">
        <v>1</v>
      </c>
      <c r="K8" s="190">
        <v>0</v>
      </c>
      <c r="L8" s="190">
        <v>20</v>
      </c>
      <c r="M8" s="189">
        <v>0</v>
      </c>
      <c r="N8" s="189"/>
    </row>
    <row r="9" spans="1:14" s="12" customFormat="1" ht="34.5" customHeight="1" x14ac:dyDescent="0.25">
      <c r="A9" s="111">
        <v>3</v>
      </c>
      <c r="B9" s="188" t="s">
        <v>168</v>
      </c>
      <c r="C9" s="111" t="s">
        <v>85</v>
      </c>
      <c r="D9" s="189">
        <f t="shared" si="0"/>
        <v>850</v>
      </c>
      <c r="E9" s="189"/>
      <c r="F9" s="189"/>
      <c r="G9" s="189"/>
      <c r="H9" s="190">
        <v>140</v>
      </c>
      <c r="I9" s="190">
        <v>250</v>
      </c>
      <c r="J9" s="189">
        <v>20</v>
      </c>
      <c r="K9" s="190">
        <v>0</v>
      </c>
      <c r="L9" s="190">
        <v>440</v>
      </c>
      <c r="M9" s="189">
        <v>0</v>
      </c>
      <c r="N9" s="189"/>
    </row>
    <row r="10" spans="1:14" ht="20.25" customHeight="1" x14ac:dyDescent="0.25">
      <c r="A10" s="111">
        <v>4</v>
      </c>
      <c r="B10" s="191" t="s">
        <v>88</v>
      </c>
      <c r="C10" s="111" t="s">
        <v>86</v>
      </c>
      <c r="D10" s="189">
        <f t="shared" si="0"/>
        <v>40</v>
      </c>
      <c r="E10" s="189"/>
      <c r="F10" s="189">
        <v>1</v>
      </c>
      <c r="G10" s="189">
        <v>2</v>
      </c>
      <c r="H10" s="190">
        <v>6</v>
      </c>
      <c r="I10" s="190">
        <v>8</v>
      </c>
      <c r="J10" s="189">
        <v>0</v>
      </c>
      <c r="K10" s="190">
        <v>6</v>
      </c>
      <c r="L10" s="190">
        <v>10</v>
      </c>
      <c r="M10" s="189">
        <v>7</v>
      </c>
      <c r="N10" s="192"/>
    </row>
    <row r="11" spans="1:14" ht="20.25" customHeight="1" x14ac:dyDescent="0.25">
      <c r="A11" s="109" t="s">
        <v>31</v>
      </c>
      <c r="B11" s="193" t="s">
        <v>79</v>
      </c>
      <c r="C11" s="109"/>
      <c r="D11" s="194">
        <f>SUM(D12:D15)</f>
        <v>20837.5</v>
      </c>
      <c r="E11" s="194">
        <f t="shared" ref="E11:N11" si="1">SUM(E12:E15)</f>
        <v>0</v>
      </c>
      <c r="F11" s="194">
        <f t="shared" si="1"/>
        <v>500</v>
      </c>
      <c r="G11" s="194">
        <f t="shared" si="1"/>
        <v>1000</v>
      </c>
      <c r="H11" s="194">
        <f t="shared" si="1"/>
        <v>3137</v>
      </c>
      <c r="I11" s="194">
        <f t="shared" si="1"/>
        <v>4237.5</v>
      </c>
      <c r="J11" s="194">
        <f t="shared" si="1"/>
        <v>21</v>
      </c>
      <c r="K11" s="194">
        <f t="shared" si="1"/>
        <v>3000</v>
      </c>
      <c r="L11" s="194">
        <f t="shared" si="1"/>
        <v>5442</v>
      </c>
      <c r="M11" s="194">
        <f t="shared" si="1"/>
        <v>3500</v>
      </c>
      <c r="N11" s="194">
        <f t="shared" si="1"/>
        <v>0</v>
      </c>
    </row>
    <row r="12" spans="1:14" ht="20.25" customHeight="1" x14ac:dyDescent="0.25">
      <c r="A12" s="111">
        <v>1</v>
      </c>
      <c r="B12" s="188" t="s">
        <v>81</v>
      </c>
      <c r="C12" s="111">
        <v>0.5</v>
      </c>
      <c r="D12" s="189">
        <f>SUM(E12:N12)</f>
        <v>425</v>
      </c>
      <c r="E12" s="189">
        <f>$C12*E7</f>
        <v>0</v>
      </c>
      <c r="F12" s="189">
        <f t="shared" ref="F12:N12" si="2">$C12*F7</f>
        <v>0</v>
      </c>
      <c r="G12" s="189">
        <f t="shared" si="2"/>
        <v>0</v>
      </c>
      <c r="H12" s="189">
        <f t="shared" si="2"/>
        <v>70</v>
      </c>
      <c r="I12" s="189">
        <f t="shared" si="2"/>
        <v>125</v>
      </c>
      <c r="J12" s="189">
        <f t="shared" si="2"/>
        <v>10</v>
      </c>
      <c r="K12" s="189">
        <f t="shared" si="2"/>
        <v>0</v>
      </c>
      <c r="L12" s="189">
        <f t="shared" si="2"/>
        <v>220</v>
      </c>
      <c r="M12" s="189">
        <f t="shared" si="2"/>
        <v>0</v>
      </c>
      <c r="N12" s="189">
        <f t="shared" si="2"/>
        <v>0</v>
      </c>
    </row>
    <row r="13" spans="1:14" ht="20.25" customHeight="1" x14ac:dyDescent="0.25">
      <c r="A13" s="111">
        <v>2</v>
      </c>
      <c r="B13" s="188" t="s">
        <v>83</v>
      </c>
      <c r="C13" s="111">
        <v>10</v>
      </c>
      <c r="D13" s="189">
        <f t="shared" ref="D13:D14" si="3">SUM(E13:N13)</f>
        <v>370</v>
      </c>
      <c r="E13" s="189">
        <f t="shared" ref="E13:N15" si="4">$C13*E8</f>
        <v>0</v>
      </c>
      <c r="F13" s="189">
        <f t="shared" si="4"/>
        <v>0</v>
      </c>
      <c r="G13" s="189">
        <f t="shared" si="4"/>
        <v>0</v>
      </c>
      <c r="H13" s="189">
        <f t="shared" si="4"/>
        <v>60</v>
      </c>
      <c r="I13" s="189">
        <f t="shared" si="4"/>
        <v>100</v>
      </c>
      <c r="J13" s="189">
        <f t="shared" si="4"/>
        <v>10</v>
      </c>
      <c r="K13" s="189">
        <f t="shared" si="4"/>
        <v>0</v>
      </c>
      <c r="L13" s="189">
        <f t="shared" si="4"/>
        <v>200</v>
      </c>
      <c r="M13" s="189">
        <f t="shared" si="4"/>
        <v>0</v>
      </c>
      <c r="N13" s="189">
        <f t="shared" si="4"/>
        <v>0</v>
      </c>
    </row>
    <row r="14" spans="1:14" ht="34.5" customHeight="1" x14ac:dyDescent="0.25">
      <c r="A14" s="111">
        <v>3</v>
      </c>
      <c r="B14" s="188" t="s">
        <v>168</v>
      </c>
      <c r="C14" s="111">
        <v>0.05</v>
      </c>
      <c r="D14" s="189">
        <f t="shared" si="3"/>
        <v>42.5</v>
      </c>
      <c r="E14" s="189">
        <f t="shared" si="4"/>
        <v>0</v>
      </c>
      <c r="F14" s="189">
        <f t="shared" si="4"/>
        <v>0</v>
      </c>
      <c r="G14" s="189">
        <f t="shared" si="4"/>
        <v>0</v>
      </c>
      <c r="H14" s="189">
        <f t="shared" si="4"/>
        <v>7</v>
      </c>
      <c r="I14" s="189">
        <f t="shared" si="4"/>
        <v>12.5</v>
      </c>
      <c r="J14" s="189">
        <f t="shared" si="4"/>
        <v>1</v>
      </c>
      <c r="K14" s="189">
        <f t="shared" si="4"/>
        <v>0</v>
      </c>
      <c r="L14" s="189">
        <f t="shared" si="4"/>
        <v>22</v>
      </c>
      <c r="M14" s="189">
        <f t="shared" si="4"/>
        <v>0</v>
      </c>
      <c r="N14" s="189">
        <f t="shared" si="4"/>
        <v>0</v>
      </c>
    </row>
    <row r="15" spans="1:14" ht="20.25" customHeight="1" x14ac:dyDescent="0.25">
      <c r="A15" s="111">
        <v>4</v>
      </c>
      <c r="B15" s="191" t="s">
        <v>88</v>
      </c>
      <c r="C15" s="111">
        <v>500</v>
      </c>
      <c r="D15" s="189">
        <f>SUM(E15:N15)</f>
        <v>20000</v>
      </c>
      <c r="E15" s="189">
        <f>$C15*E10</f>
        <v>0</v>
      </c>
      <c r="F15" s="189">
        <f t="shared" si="4"/>
        <v>500</v>
      </c>
      <c r="G15" s="189">
        <f t="shared" si="4"/>
        <v>1000</v>
      </c>
      <c r="H15" s="189">
        <f t="shared" si="4"/>
        <v>3000</v>
      </c>
      <c r="I15" s="189">
        <f t="shared" si="4"/>
        <v>4000</v>
      </c>
      <c r="J15" s="189">
        <f t="shared" si="4"/>
        <v>0</v>
      </c>
      <c r="K15" s="189">
        <f t="shared" si="4"/>
        <v>3000</v>
      </c>
      <c r="L15" s="189">
        <f t="shared" si="4"/>
        <v>5000</v>
      </c>
      <c r="M15" s="189">
        <f t="shared" si="4"/>
        <v>3500</v>
      </c>
      <c r="N15" s="189">
        <f t="shared" si="4"/>
        <v>0</v>
      </c>
    </row>
    <row r="16" spans="1:14" ht="34.5" customHeight="1" x14ac:dyDescent="0.25">
      <c r="A16" s="109" t="s">
        <v>54</v>
      </c>
      <c r="B16" s="193" t="s">
        <v>169</v>
      </c>
      <c r="C16" s="111"/>
      <c r="D16" s="194">
        <v>12650</v>
      </c>
      <c r="E16" s="194">
        <f>E17</f>
        <v>1265</v>
      </c>
      <c r="F16" s="194">
        <f t="shared" ref="F16:N16" si="5">F17</f>
        <v>273</v>
      </c>
      <c r="G16" s="194">
        <f t="shared" si="5"/>
        <v>546</v>
      </c>
      <c r="H16" s="194">
        <f t="shared" si="5"/>
        <v>1715</v>
      </c>
      <c r="I16" s="194">
        <f t="shared" si="5"/>
        <v>2315</v>
      </c>
      <c r="J16" s="194">
        <f t="shared" si="5"/>
        <v>11</v>
      </c>
      <c r="K16" s="194">
        <f t="shared" si="5"/>
        <v>1640</v>
      </c>
      <c r="L16" s="194">
        <f t="shared" si="5"/>
        <v>2973</v>
      </c>
      <c r="M16" s="194">
        <f t="shared" si="5"/>
        <v>1912</v>
      </c>
      <c r="N16" s="194">
        <f t="shared" si="5"/>
        <v>0</v>
      </c>
    </row>
    <row r="17" spans="1:14" ht="20.25" customHeight="1" x14ac:dyDescent="0.25">
      <c r="A17" s="111">
        <v>1</v>
      </c>
      <c r="B17" s="188" t="s">
        <v>170</v>
      </c>
      <c r="C17" s="111" t="s">
        <v>55</v>
      </c>
      <c r="D17" s="189">
        <f>SUM(E17:N17)</f>
        <v>12650</v>
      </c>
      <c r="E17" s="189">
        <f>D16*10%</f>
        <v>1265</v>
      </c>
      <c r="F17" s="189">
        <f>ROUND((($D$16-$E$16)/$D$11*F11),0)</f>
        <v>273</v>
      </c>
      <c r="G17" s="189">
        <f t="shared" ref="G17:N17" si="6">ROUND((($D$16-$E$16)/$D$11*G11),0)</f>
        <v>546</v>
      </c>
      <c r="H17" s="189">
        <f>ROUND((($D$16-$E$16)/$D$11*H11+0.6),0)</f>
        <v>1715</v>
      </c>
      <c r="I17" s="189">
        <f t="shared" si="6"/>
        <v>2315</v>
      </c>
      <c r="J17" s="189">
        <f t="shared" si="6"/>
        <v>11</v>
      </c>
      <c r="K17" s="189">
        <f>ROUND((($D$16-$E$16)/$D$11*K11+0.5),0)</f>
        <v>1640</v>
      </c>
      <c r="L17" s="189">
        <f t="shared" si="6"/>
        <v>2973</v>
      </c>
      <c r="M17" s="189">
        <f t="shared" si="6"/>
        <v>1912</v>
      </c>
      <c r="N17" s="189">
        <f t="shared" si="6"/>
        <v>0</v>
      </c>
    </row>
    <row r="18" spans="1:14" ht="34.5" customHeight="1" x14ac:dyDescent="0.25">
      <c r="A18" s="109" t="s">
        <v>56</v>
      </c>
      <c r="B18" s="193" t="s">
        <v>324</v>
      </c>
      <c r="C18" s="111"/>
      <c r="D18" s="194">
        <f>D19</f>
        <v>949</v>
      </c>
      <c r="E18" s="194">
        <f t="shared" ref="E18:N18" si="7">E19</f>
        <v>95</v>
      </c>
      <c r="F18" s="194">
        <f t="shared" si="7"/>
        <v>20</v>
      </c>
      <c r="G18" s="194">
        <f t="shared" si="7"/>
        <v>41</v>
      </c>
      <c r="H18" s="194">
        <f t="shared" si="7"/>
        <v>129</v>
      </c>
      <c r="I18" s="194">
        <f t="shared" si="7"/>
        <v>174</v>
      </c>
      <c r="J18" s="194">
        <f t="shared" si="7"/>
        <v>1</v>
      </c>
      <c r="K18" s="194">
        <f t="shared" si="7"/>
        <v>123</v>
      </c>
      <c r="L18" s="194">
        <f t="shared" si="7"/>
        <v>223</v>
      </c>
      <c r="M18" s="194">
        <f t="shared" si="7"/>
        <v>143</v>
      </c>
      <c r="N18" s="194">
        <f t="shared" si="7"/>
        <v>0</v>
      </c>
    </row>
    <row r="19" spans="1:14" ht="21.75" customHeight="1" x14ac:dyDescent="0.25">
      <c r="A19" s="111">
        <v>1</v>
      </c>
      <c r="B19" s="188" t="s">
        <v>170</v>
      </c>
      <c r="C19" s="111" t="s">
        <v>55</v>
      </c>
      <c r="D19" s="189">
        <f>SUM(E19:N19)</f>
        <v>949</v>
      </c>
      <c r="E19" s="189">
        <f>ROUND(E17*7.5%,0)</f>
        <v>95</v>
      </c>
      <c r="F19" s="189">
        <f t="shared" ref="F19:N19" si="8">ROUND(F17*7.5%,0)</f>
        <v>20</v>
      </c>
      <c r="G19" s="189">
        <f t="shared" si="8"/>
        <v>41</v>
      </c>
      <c r="H19" s="189">
        <f t="shared" si="8"/>
        <v>129</v>
      </c>
      <c r="I19" s="189">
        <f t="shared" si="8"/>
        <v>174</v>
      </c>
      <c r="J19" s="189">
        <f t="shared" si="8"/>
        <v>1</v>
      </c>
      <c r="K19" s="189">
        <f t="shared" si="8"/>
        <v>123</v>
      </c>
      <c r="L19" s="189">
        <f t="shared" si="8"/>
        <v>223</v>
      </c>
      <c r="M19" s="189">
        <f t="shared" si="8"/>
        <v>143</v>
      </c>
      <c r="N19" s="189">
        <f t="shared" si="8"/>
        <v>0</v>
      </c>
    </row>
    <row r="20" spans="1:14" ht="21.75" customHeight="1" x14ac:dyDescent="0.25">
      <c r="A20" s="109" t="s">
        <v>57</v>
      </c>
      <c r="B20" s="193" t="s">
        <v>150</v>
      </c>
      <c r="C20" s="111"/>
      <c r="D20" s="194">
        <f>D21</f>
        <v>13599</v>
      </c>
      <c r="E20" s="194">
        <f t="shared" ref="E20:N20" si="9">E21</f>
        <v>1360</v>
      </c>
      <c r="F20" s="194">
        <f t="shared" si="9"/>
        <v>293</v>
      </c>
      <c r="G20" s="194">
        <f t="shared" si="9"/>
        <v>587</v>
      </c>
      <c r="H20" s="194">
        <f t="shared" si="9"/>
        <v>1844</v>
      </c>
      <c r="I20" s="194">
        <f t="shared" si="9"/>
        <v>2489</v>
      </c>
      <c r="J20" s="194">
        <f t="shared" si="9"/>
        <v>12</v>
      </c>
      <c r="K20" s="194">
        <f t="shared" si="9"/>
        <v>1763</v>
      </c>
      <c r="L20" s="194">
        <f t="shared" si="9"/>
        <v>3196</v>
      </c>
      <c r="M20" s="194">
        <f t="shared" si="9"/>
        <v>2055</v>
      </c>
      <c r="N20" s="194">
        <f t="shared" si="9"/>
        <v>0</v>
      </c>
    </row>
    <row r="21" spans="1:14" ht="21.75" customHeight="1" x14ac:dyDescent="0.25">
      <c r="A21" s="195">
        <v>1</v>
      </c>
      <c r="B21" s="196" t="s">
        <v>170</v>
      </c>
      <c r="C21" s="195" t="s">
        <v>55</v>
      </c>
      <c r="D21" s="197">
        <f>SUM(E21:N21)</f>
        <v>13599</v>
      </c>
      <c r="E21" s="197">
        <f>E17+E19</f>
        <v>1360</v>
      </c>
      <c r="F21" s="197">
        <f t="shared" ref="F21:N21" si="10">F17+F19</f>
        <v>293</v>
      </c>
      <c r="G21" s="197">
        <f t="shared" si="10"/>
        <v>587</v>
      </c>
      <c r="H21" s="197">
        <f t="shared" si="10"/>
        <v>1844</v>
      </c>
      <c r="I21" s="197">
        <f t="shared" si="10"/>
        <v>2489</v>
      </c>
      <c r="J21" s="197">
        <f t="shared" si="10"/>
        <v>12</v>
      </c>
      <c r="K21" s="197">
        <f t="shared" si="10"/>
        <v>1763</v>
      </c>
      <c r="L21" s="197">
        <f t="shared" si="10"/>
        <v>3196</v>
      </c>
      <c r="M21" s="197">
        <f t="shared" si="10"/>
        <v>2055</v>
      </c>
      <c r="N21" s="197">
        <f t="shared" si="10"/>
        <v>0</v>
      </c>
    </row>
    <row r="22" spans="1:14" x14ac:dyDescent="0.25">
      <c r="A22" s="48"/>
      <c r="B22" s="48"/>
      <c r="C22" s="48"/>
      <c r="D22" s="48"/>
      <c r="E22" s="48"/>
      <c r="F22" s="48"/>
      <c r="G22" s="48"/>
      <c r="H22" s="49"/>
      <c r="I22" s="49"/>
      <c r="J22" s="48"/>
      <c r="K22" s="49"/>
      <c r="L22" s="49"/>
      <c r="M22" s="48"/>
      <c r="N22" s="48"/>
    </row>
    <row r="23" spans="1:14" x14ac:dyDescent="0.25">
      <c r="H23" s="13"/>
      <c r="I23" s="13"/>
      <c r="K23" s="13"/>
      <c r="L23" s="13"/>
    </row>
    <row r="25" spans="1:14" x14ac:dyDescent="0.25">
      <c r="I25" s="51">
        <v>85873</v>
      </c>
      <c r="J25" s="13">
        <f>I25*5%</f>
        <v>4293.6500000000005</v>
      </c>
    </row>
    <row r="26" spans="1:14" x14ac:dyDescent="0.25">
      <c r="I26" s="51">
        <f>12650+44984</f>
        <v>57634</v>
      </c>
      <c r="J26" s="187">
        <f>J25/I26</f>
        <v>7.4498559877849896E-2</v>
      </c>
    </row>
  </sheetData>
  <mergeCells count="4">
    <mergeCell ref="A4:N4"/>
    <mergeCell ref="L1:N1"/>
    <mergeCell ref="A2:N2"/>
    <mergeCell ref="A3:N3"/>
  </mergeCells>
  <pageMargins left="0.7" right="0.7" top="0.75" bottom="0.75" header="0.3" footer="0.3"/>
  <pageSetup paperSize="9" scale="69"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zoomScale="85" zoomScaleNormal="85" zoomScalePageLayoutView="70" workbookViewId="0">
      <selection activeCell="N9" sqref="N9"/>
    </sheetView>
  </sheetViews>
  <sheetFormatPr defaultColWidth="7.75" defaultRowHeight="15.75" x14ac:dyDescent="0.25"/>
  <cols>
    <col min="1" max="1" width="6.75" style="55" customWidth="1"/>
    <col min="2" max="2" width="40.5" style="55" customWidth="1"/>
    <col min="3" max="3" width="10.125" style="55" customWidth="1"/>
    <col min="4" max="4" width="9.875" style="55" bestFit="1" customWidth="1"/>
    <col min="5" max="13" width="9.125" style="55" customWidth="1"/>
    <col min="14" max="14" width="45.875" style="55" customWidth="1"/>
    <col min="15" max="16384" width="7.75" style="55"/>
  </cols>
  <sheetData>
    <row r="1" spans="1:15" s="27" customFormat="1" ht="29.25" customHeight="1" x14ac:dyDescent="0.25">
      <c r="A1" s="23"/>
      <c r="B1" s="23"/>
      <c r="C1" s="26"/>
      <c r="D1" s="26"/>
      <c r="E1" s="26"/>
      <c r="F1" s="26"/>
      <c r="I1" s="23"/>
      <c r="K1" s="23"/>
      <c r="L1" s="1225" t="s">
        <v>172</v>
      </c>
      <c r="M1" s="1225"/>
      <c r="N1" s="1225"/>
    </row>
    <row r="2" spans="1:15" s="27" customFormat="1" ht="47.25" customHeight="1" x14ac:dyDescent="0.25">
      <c r="A2" s="1206" t="s">
        <v>91</v>
      </c>
      <c r="B2" s="1206"/>
      <c r="C2" s="1206"/>
      <c r="D2" s="1206"/>
      <c r="E2" s="1206"/>
      <c r="F2" s="1206"/>
      <c r="G2" s="1206"/>
      <c r="H2" s="1206"/>
      <c r="I2" s="1206"/>
      <c r="J2" s="1206"/>
      <c r="K2" s="1206"/>
      <c r="L2" s="1206"/>
      <c r="M2" s="1206"/>
      <c r="N2" s="1206"/>
    </row>
    <row r="3" spans="1:15" s="27" customFormat="1" ht="31.5" customHeight="1" x14ac:dyDescent="0.25">
      <c r="A3" s="1226" t="str">
        <f>'B7-TDA1,DA5'!A3:N3</f>
        <v>(Kèm theo Tờ trình số:          /TTr-UBND ngày          tháng 11 năm 2022 của UBND tỉnh)</v>
      </c>
      <c r="B3" s="1226"/>
      <c r="C3" s="1226"/>
      <c r="D3" s="1226"/>
      <c r="E3" s="1226"/>
      <c r="F3" s="1226"/>
      <c r="G3" s="1226"/>
      <c r="H3" s="1226"/>
      <c r="I3" s="1226"/>
      <c r="J3" s="1226"/>
      <c r="K3" s="1226"/>
      <c r="L3" s="1226"/>
      <c r="M3" s="1226"/>
      <c r="N3" s="1226"/>
    </row>
    <row r="4" spans="1:15" s="53" customFormat="1" ht="70.5" customHeight="1" x14ac:dyDescent="0.25">
      <c r="A4" s="52" t="s">
        <v>1</v>
      </c>
      <c r="B4" s="52" t="s">
        <v>35</v>
      </c>
      <c r="C4" s="52" t="s">
        <v>36</v>
      </c>
      <c r="D4" s="52" t="s">
        <v>37</v>
      </c>
      <c r="E4" s="52" t="s">
        <v>89</v>
      </c>
      <c r="F4" s="52" t="s">
        <v>38</v>
      </c>
      <c r="G4" s="52" t="s">
        <v>39</v>
      </c>
      <c r="H4" s="52" t="s">
        <v>40</v>
      </c>
      <c r="I4" s="52" t="s">
        <v>41</v>
      </c>
      <c r="J4" s="52" t="s">
        <v>42</v>
      </c>
      <c r="K4" s="52" t="s">
        <v>43</v>
      </c>
      <c r="L4" s="52" t="s">
        <v>44</v>
      </c>
      <c r="M4" s="52" t="s">
        <v>45</v>
      </c>
      <c r="N4" s="52" t="s">
        <v>3</v>
      </c>
    </row>
    <row r="5" spans="1:15" s="53" customFormat="1" ht="30.75" customHeight="1" x14ac:dyDescent="0.25">
      <c r="A5" s="198" t="s">
        <v>46</v>
      </c>
      <c r="B5" s="210" t="s">
        <v>47</v>
      </c>
      <c r="C5" s="198"/>
      <c r="D5" s="198"/>
      <c r="E5" s="198"/>
      <c r="F5" s="198"/>
      <c r="G5" s="198"/>
      <c r="H5" s="198"/>
      <c r="I5" s="198"/>
      <c r="J5" s="198"/>
      <c r="K5" s="198"/>
      <c r="L5" s="198"/>
      <c r="M5" s="198"/>
      <c r="N5" s="198"/>
    </row>
    <row r="6" spans="1:15" s="53" customFormat="1" ht="30.75" customHeight="1" x14ac:dyDescent="0.25">
      <c r="A6" s="199">
        <v>1</v>
      </c>
      <c r="B6" s="211" t="s">
        <v>90</v>
      </c>
      <c r="C6" s="200" t="s">
        <v>70</v>
      </c>
      <c r="D6" s="199">
        <f>SUM(F6:M6)</f>
        <v>108</v>
      </c>
      <c r="E6" s="199"/>
      <c r="F6" s="199">
        <v>14</v>
      </c>
      <c r="G6" s="199">
        <v>20</v>
      </c>
      <c r="H6" s="199">
        <v>10</v>
      </c>
      <c r="I6" s="199">
        <v>14</v>
      </c>
      <c r="J6" s="199">
        <v>17</v>
      </c>
      <c r="K6" s="199">
        <v>10</v>
      </c>
      <c r="L6" s="199">
        <v>15</v>
      </c>
      <c r="M6" s="199">
        <v>8</v>
      </c>
      <c r="N6" s="201"/>
    </row>
    <row r="7" spans="1:15" s="54" customFormat="1" ht="30.75" customHeight="1" x14ac:dyDescent="0.25">
      <c r="A7" s="202" t="s">
        <v>31</v>
      </c>
      <c r="B7" s="212" t="s">
        <v>79</v>
      </c>
      <c r="C7" s="202"/>
      <c r="D7" s="202"/>
      <c r="E7" s="202"/>
      <c r="F7" s="202"/>
      <c r="G7" s="202"/>
      <c r="H7" s="202"/>
      <c r="I7" s="202"/>
      <c r="J7" s="202"/>
      <c r="K7" s="202"/>
      <c r="L7" s="202"/>
      <c r="M7" s="202"/>
      <c r="N7" s="202"/>
    </row>
    <row r="8" spans="1:15" ht="30.75" customHeight="1" x14ac:dyDescent="0.25">
      <c r="A8" s="199">
        <v>1</v>
      </c>
      <c r="B8" s="211" t="s">
        <v>90</v>
      </c>
      <c r="C8" s="203">
        <v>0.20399999999999999</v>
      </c>
      <c r="D8" s="199">
        <f>SUM(F8:M8)</f>
        <v>22.032</v>
      </c>
      <c r="E8" s="199"/>
      <c r="F8" s="204">
        <f>F6*$C$8</f>
        <v>2.8559999999999999</v>
      </c>
      <c r="G8" s="204">
        <f t="shared" ref="G8:M8" si="0">G6*$C$8</f>
        <v>4.08</v>
      </c>
      <c r="H8" s="204">
        <f t="shared" si="0"/>
        <v>2.04</v>
      </c>
      <c r="I8" s="204">
        <f t="shared" si="0"/>
        <v>2.8559999999999999</v>
      </c>
      <c r="J8" s="204">
        <f>J6*$C$8</f>
        <v>3.468</v>
      </c>
      <c r="K8" s="204">
        <f t="shared" si="0"/>
        <v>2.04</v>
      </c>
      <c r="L8" s="204">
        <f t="shared" si="0"/>
        <v>3.0599999999999996</v>
      </c>
      <c r="M8" s="204">
        <f t="shared" si="0"/>
        <v>1.6319999999999999</v>
      </c>
      <c r="N8" s="205"/>
    </row>
    <row r="9" spans="1:15" ht="190.5" customHeight="1" x14ac:dyDescent="0.25">
      <c r="A9" s="206" t="s">
        <v>54</v>
      </c>
      <c r="B9" s="213" t="s">
        <v>96</v>
      </c>
      <c r="C9" s="207" t="s">
        <v>55</v>
      </c>
      <c r="D9" s="208">
        <f>'B1-TH DA'!E22</f>
        <v>12425</v>
      </c>
      <c r="E9" s="208"/>
      <c r="F9" s="208"/>
      <c r="G9" s="208"/>
      <c r="H9" s="208"/>
      <c r="I9" s="208"/>
      <c r="J9" s="208"/>
      <c r="K9" s="208"/>
      <c r="L9" s="208"/>
      <c r="M9" s="208"/>
      <c r="N9" s="209" t="s">
        <v>142</v>
      </c>
    </row>
    <row r="10" spans="1:15" x14ac:dyDescent="0.25">
      <c r="A10" s="56"/>
      <c r="B10" s="56"/>
      <c r="C10" s="56"/>
      <c r="D10" s="56"/>
      <c r="E10" s="56"/>
      <c r="F10" s="56"/>
      <c r="G10" s="56"/>
      <c r="H10" s="56"/>
      <c r="I10" s="56"/>
      <c r="J10" s="56"/>
      <c r="K10" s="56"/>
      <c r="L10" s="56"/>
      <c r="M10" s="56"/>
      <c r="N10" s="57"/>
      <c r="O10" s="57"/>
    </row>
  </sheetData>
  <mergeCells count="3">
    <mergeCell ref="L1:N1"/>
    <mergeCell ref="A2:N2"/>
    <mergeCell ref="A3:N3"/>
  </mergeCells>
  <pageMargins left="0.7" right="0.43809523809523809" top="0.75" bottom="0.75" header="0.3" footer="0.3"/>
  <pageSetup paperSize="9" scale="64"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4"/>
  <sheetViews>
    <sheetView zoomScaleNormal="100" zoomScalePageLayoutView="70" workbookViewId="0">
      <selection activeCell="O4" sqref="O4"/>
    </sheetView>
  </sheetViews>
  <sheetFormatPr defaultColWidth="7.75" defaultRowHeight="15.75" x14ac:dyDescent="0.25"/>
  <cols>
    <col min="1" max="1" width="6.75" style="55" customWidth="1"/>
    <col min="2" max="2" width="40.5" style="55" customWidth="1"/>
    <col min="3" max="3" width="10.875" style="55" customWidth="1"/>
    <col min="4" max="13" width="10.125" style="55" customWidth="1"/>
    <col min="14" max="16384" width="7.75" style="55"/>
  </cols>
  <sheetData>
    <row r="1" spans="1:13" s="27" customFormat="1" ht="29.25" customHeight="1" x14ac:dyDescent="0.25">
      <c r="A1" s="23"/>
      <c r="B1" s="23"/>
      <c r="C1" s="26"/>
      <c r="D1" s="26"/>
      <c r="E1" s="26"/>
      <c r="F1" s="26"/>
      <c r="I1" s="23"/>
      <c r="K1" s="23"/>
      <c r="L1" s="1225" t="s">
        <v>173</v>
      </c>
      <c r="M1" s="1225"/>
    </row>
    <row r="2" spans="1:13" s="27" customFormat="1" ht="47.25" customHeight="1" x14ac:dyDescent="0.25">
      <c r="A2" s="1206" t="s">
        <v>95</v>
      </c>
      <c r="B2" s="1206"/>
      <c r="C2" s="1206"/>
      <c r="D2" s="1206"/>
      <c r="E2" s="1206"/>
      <c r="F2" s="1206"/>
      <c r="G2" s="1206"/>
      <c r="H2" s="1206"/>
      <c r="I2" s="1206"/>
      <c r="J2" s="1206"/>
      <c r="K2" s="1206"/>
      <c r="L2" s="1206"/>
      <c r="M2" s="1206"/>
    </row>
    <row r="3" spans="1:13" s="27" customFormat="1" ht="31.5" customHeight="1" x14ac:dyDescent="0.25">
      <c r="A3" s="1226" t="str">
        <f>'B7-TDA2,DA5'!A3:N3</f>
        <v>(Kèm theo Tờ trình số:          /TTr-UBND ngày          tháng 11 năm 2022 của UBND tỉnh)</v>
      </c>
      <c r="B3" s="1226"/>
      <c r="C3" s="1226"/>
      <c r="D3" s="1226"/>
      <c r="E3" s="1226"/>
      <c r="F3" s="1226"/>
      <c r="G3" s="1226"/>
      <c r="H3" s="1226"/>
      <c r="I3" s="1226"/>
      <c r="J3" s="1226"/>
      <c r="K3" s="1226"/>
      <c r="L3" s="1226"/>
      <c r="M3" s="1226"/>
    </row>
    <row r="4" spans="1:13" s="53" customFormat="1" ht="94.5" customHeight="1" x14ac:dyDescent="0.25">
      <c r="A4" s="52" t="s">
        <v>1</v>
      </c>
      <c r="B4" s="52" t="s">
        <v>35</v>
      </c>
      <c r="C4" s="52" t="s">
        <v>36</v>
      </c>
      <c r="D4" s="52" t="s">
        <v>37</v>
      </c>
      <c r="E4" s="52" t="s">
        <v>92</v>
      </c>
      <c r="F4" s="52" t="s">
        <v>38</v>
      </c>
      <c r="G4" s="52" t="s">
        <v>39</v>
      </c>
      <c r="H4" s="52" t="s">
        <v>40</v>
      </c>
      <c r="I4" s="52" t="s">
        <v>41</v>
      </c>
      <c r="J4" s="52" t="s">
        <v>42</v>
      </c>
      <c r="K4" s="52" t="s">
        <v>43</v>
      </c>
      <c r="L4" s="52" t="s">
        <v>44</v>
      </c>
      <c r="M4" s="52" t="s">
        <v>45</v>
      </c>
    </row>
    <row r="5" spans="1:13" s="53" customFormat="1" ht="24.75" customHeight="1" x14ac:dyDescent="0.25">
      <c r="A5" s="198" t="s">
        <v>46</v>
      </c>
      <c r="B5" s="210" t="s">
        <v>47</v>
      </c>
      <c r="C5" s="198"/>
      <c r="D5" s="198"/>
      <c r="E5" s="198"/>
      <c r="F5" s="198"/>
      <c r="G5" s="198"/>
      <c r="H5" s="198"/>
      <c r="I5" s="198"/>
      <c r="J5" s="198"/>
      <c r="K5" s="198"/>
      <c r="L5" s="198"/>
      <c r="M5" s="198"/>
    </row>
    <row r="6" spans="1:13" s="53" customFormat="1" ht="24.75" customHeight="1" x14ac:dyDescent="0.25">
      <c r="A6" s="199">
        <v>1</v>
      </c>
      <c r="B6" s="211" t="s">
        <v>93</v>
      </c>
      <c r="C6" s="200" t="s">
        <v>94</v>
      </c>
      <c r="D6" s="214">
        <f>SUM(F6:M6)</f>
        <v>3200</v>
      </c>
      <c r="E6" s="214"/>
      <c r="F6" s="214">
        <v>400</v>
      </c>
      <c r="G6" s="214">
        <v>400</v>
      </c>
      <c r="H6" s="214">
        <v>400</v>
      </c>
      <c r="I6" s="214">
        <v>400</v>
      </c>
      <c r="J6" s="214">
        <v>400</v>
      </c>
      <c r="K6" s="214">
        <v>400</v>
      </c>
      <c r="L6" s="214">
        <v>400</v>
      </c>
      <c r="M6" s="214">
        <v>400</v>
      </c>
    </row>
    <row r="7" spans="1:13" s="54" customFormat="1" ht="24.75" customHeight="1" x14ac:dyDescent="0.25">
      <c r="A7" s="202" t="s">
        <v>31</v>
      </c>
      <c r="B7" s="212" t="s">
        <v>79</v>
      </c>
      <c r="C7" s="202"/>
      <c r="D7" s="215"/>
      <c r="E7" s="215"/>
      <c r="F7" s="215"/>
      <c r="G7" s="215"/>
      <c r="H7" s="215"/>
      <c r="I7" s="215"/>
      <c r="J7" s="215"/>
      <c r="K7" s="215"/>
      <c r="L7" s="215"/>
      <c r="M7" s="215"/>
    </row>
    <row r="8" spans="1:13" ht="25.5" customHeight="1" x14ac:dyDescent="0.25">
      <c r="A8" s="199">
        <v>1</v>
      </c>
      <c r="B8" s="211" t="s">
        <v>93</v>
      </c>
      <c r="C8" s="203">
        <v>3.5000000000000003E-2</v>
      </c>
      <c r="D8" s="214">
        <f>SUM(F8:M8)</f>
        <v>112.00000000000001</v>
      </c>
      <c r="E8" s="214"/>
      <c r="F8" s="216">
        <f>F6*$C$8</f>
        <v>14.000000000000002</v>
      </c>
      <c r="G8" s="216">
        <f t="shared" ref="G8:L8" si="0">G6*$C$8</f>
        <v>14.000000000000002</v>
      </c>
      <c r="H8" s="216">
        <f t="shared" si="0"/>
        <v>14.000000000000002</v>
      </c>
      <c r="I8" s="216">
        <f t="shared" si="0"/>
        <v>14.000000000000002</v>
      </c>
      <c r="J8" s="216">
        <f t="shared" si="0"/>
        <v>14.000000000000002</v>
      </c>
      <c r="K8" s="216">
        <f t="shared" si="0"/>
        <v>14.000000000000002</v>
      </c>
      <c r="L8" s="216">
        <f t="shared" si="0"/>
        <v>14.000000000000002</v>
      </c>
      <c r="M8" s="216">
        <f>M6*$C$8</f>
        <v>14.000000000000002</v>
      </c>
    </row>
    <row r="9" spans="1:13" s="221" customFormat="1" ht="38.25" customHeight="1" x14ac:dyDescent="0.25">
      <c r="A9" s="109" t="s">
        <v>54</v>
      </c>
      <c r="B9" s="193" t="s">
        <v>169</v>
      </c>
      <c r="C9" s="201"/>
      <c r="D9" s="220">
        <v>44984</v>
      </c>
      <c r="E9" s="220">
        <f>E10</f>
        <v>1124.6000000000001</v>
      </c>
      <c r="F9" s="220">
        <f>F10</f>
        <v>5482</v>
      </c>
      <c r="G9" s="220">
        <f t="shared" ref="G9:M9" si="1">G10</f>
        <v>5482</v>
      </c>
      <c r="H9" s="220">
        <f t="shared" si="1"/>
        <v>5483</v>
      </c>
      <c r="I9" s="220">
        <f t="shared" si="1"/>
        <v>5483</v>
      </c>
      <c r="J9" s="220">
        <f t="shared" si="1"/>
        <v>5482</v>
      </c>
      <c r="K9" s="220">
        <f t="shared" si="1"/>
        <v>5483</v>
      </c>
      <c r="L9" s="220">
        <f t="shared" si="1"/>
        <v>5482</v>
      </c>
      <c r="M9" s="220">
        <f t="shared" si="1"/>
        <v>5482</v>
      </c>
    </row>
    <row r="10" spans="1:13" ht="24.75" customHeight="1" x14ac:dyDescent="0.25">
      <c r="A10" s="111">
        <v>1</v>
      </c>
      <c r="B10" s="188" t="s">
        <v>174</v>
      </c>
      <c r="C10" s="199" t="s">
        <v>55</v>
      </c>
      <c r="D10" s="214">
        <f>SUM(E10:M10)</f>
        <v>44983.6</v>
      </c>
      <c r="E10" s="214">
        <f>D9*2.5%</f>
        <v>1124.6000000000001</v>
      </c>
      <c r="F10" s="214">
        <f>ROUND(($D$9-$E$9)/$D$8*F8,0)</f>
        <v>5482</v>
      </c>
      <c r="G10" s="214">
        <f>ROUND(($D$9-$E$9)/$D$8*G8,0)</f>
        <v>5482</v>
      </c>
      <c r="H10" s="214">
        <f>ROUND(($D$9-$E$9)/$D$8*H8+0.5,0)</f>
        <v>5483</v>
      </c>
      <c r="I10" s="214">
        <f>ROUND(($D$9-$E$9)/$D$8*I8+0.5,0)</f>
        <v>5483</v>
      </c>
      <c r="J10" s="214">
        <f t="shared" ref="J10:M10" si="2">ROUND(($D$9-$E$9)/$D$8*J8,0)</f>
        <v>5482</v>
      </c>
      <c r="K10" s="214">
        <f>ROUND(($D$9-$E$9)/$D$8*K8+0.5,0)</f>
        <v>5483</v>
      </c>
      <c r="L10" s="214">
        <f t="shared" si="2"/>
        <v>5482</v>
      </c>
      <c r="M10" s="214">
        <f t="shared" si="2"/>
        <v>5482</v>
      </c>
    </row>
    <row r="11" spans="1:13" s="221" customFormat="1" ht="38.25" customHeight="1" x14ac:dyDescent="0.25">
      <c r="A11" s="109" t="s">
        <v>56</v>
      </c>
      <c r="B11" s="193" t="s">
        <v>324</v>
      </c>
      <c r="C11" s="199"/>
      <c r="D11" s="220">
        <f>D12</f>
        <v>3372</v>
      </c>
      <c r="E11" s="220">
        <f t="shared" ref="E11:M11" si="3">E12</f>
        <v>84</v>
      </c>
      <c r="F11" s="220">
        <f t="shared" si="3"/>
        <v>411</v>
      </c>
      <c r="G11" s="220">
        <f t="shared" si="3"/>
        <v>411</v>
      </c>
      <c r="H11" s="220">
        <f t="shared" si="3"/>
        <v>411</v>
      </c>
      <c r="I11" s="220">
        <f t="shared" si="3"/>
        <v>411</v>
      </c>
      <c r="J11" s="220">
        <f t="shared" si="3"/>
        <v>411</v>
      </c>
      <c r="K11" s="220">
        <f t="shared" si="3"/>
        <v>411</v>
      </c>
      <c r="L11" s="220">
        <f t="shared" si="3"/>
        <v>411</v>
      </c>
      <c r="M11" s="220">
        <f t="shared" si="3"/>
        <v>411</v>
      </c>
    </row>
    <row r="12" spans="1:13" ht="24.75" customHeight="1" x14ac:dyDescent="0.25">
      <c r="A12" s="111">
        <v>1</v>
      </c>
      <c r="B12" s="188" t="s">
        <v>174</v>
      </c>
      <c r="C12" s="199" t="s">
        <v>55</v>
      </c>
      <c r="D12" s="214">
        <f>SUM(E12:M12)</f>
        <v>3372</v>
      </c>
      <c r="E12" s="214">
        <f>ROUND(E10*7.5%,0)</f>
        <v>84</v>
      </c>
      <c r="F12" s="214">
        <f t="shared" ref="F12:M12" si="4">ROUND(F10*7.5%,0)</f>
        <v>411</v>
      </c>
      <c r="G12" s="214">
        <f>ROUND(G10*7.5%,0)</f>
        <v>411</v>
      </c>
      <c r="H12" s="214">
        <f t="shared" si="4"/>
        <v>411</v>
      </c>
      <c r="I12" s="214">
        <f t="shared" si="4"/>
        <v>411</v>
      </c>
      <c r="J12" s="214">
        <f t="shared" si="4"/>
        <v>411</v>
      </c>
      <c r="K12" s="214">
        <f t="shared" si="4"/>
        <v>411</v>
      </c>
      <c r="L12" s="214">
        <f t="shared" si="4"/>
        <v>411</v>
      </c>
      <c r="M12" s="214">
        <f t="shared" si="4"/>
        <v>411</v>
      </c>
    </row>
    <row r="13" spans="1:13" s="221" customFormat="1" ht="24.75" customHeight="1" x14ac:dyDescent="0.25">
      <c r="A13" s="109" t="s">
        <v>57</v>
      </c>
      <c r="B13" s="193" t="s">
        <v>150</v>
      </c>
      <c r="C13" s="199"/>
      <c r="D13" s="220">
        <f>D14</f>
        <v>48355.6</v>
      </c>
      <c r="E13" s="220">
        <f t="shared" ref="E13:M13" si="5">E14</f>
        <v>1208.6000000000001</v>
      </c>
      <c r="F13" s="220">
        <f t="shared" si="5"/>
        <v>5893</v>
      </c>
      <c r="G13" s="220">
        <f t="shared" si="5"/>
        <v>5893</v>
      </c>
      <c r="H13" s="220">
        <f t="shared" si="5"/>
        <v>5894</v>
      </c>
      <c r="I13" s="220">
        <f t="shared" si="5"/>
        <v>5894</v>
      </c>
      <c r="J13" s="220">
        <f t="shared" si="5"/>
        <v>5893</v>
      </c>
      <c r="K13" s="220">
        <f t="shared" si="5"/>
        <v>5894</v>
      </c>
      <c r="L13" s="220">
        <f t="shared" si="5"/>
        <v>5893</v>
      </c>
      <c r="M13" s="220">
        <f t="shared" si="5"/>
        <v>5893</v>
      </c>
    </row>
    <row r="14" spans="1:13" ht="24.75" customHeight="1" x14ac:dyDescent="0.25">
      <c r="A14" s="195">
        <v>1</v>
      </c>
      <c r="B14" s="196" t="s">
        <v>174</v>
      </c>
      <c r="C14" s="217" t="s">
        <v>55</v>
      </c>
      <c r="D14" s="218">
        <f>SUM(E14:M14)</f>
        <v>48355.6</v>
      </c>
      <c r="E14" s="218">
        <f>E10+E12</f>
        <v>1208.6000000000001</v>
      </c>
      <c r="F14" s="218">
        <f t="shared" ref="F14:M14" si="6">F10+F12</f>
        <v>5893</v>
      </c>
      <c r="G14" s="218">
        <f t="shared" si="6"/>
        <v>5893</v>
      </c>
      <c r="H14" s="218">
        <f t="shared" si="6"/>
        <v>5894</v>
      </c>
      <c r="I14" s="218">
        <f t="shared" si="6"/>
        <v>5894</v>
      </c>
      <c r="J14" s="218">
        <f t="shared" si="6"/>
        <v>5893</v>
      </c>
      <c r="K14" s="218">
        <f t="shared" si="6"/>
        <v>5894</v>
      </c>
      <c r="L14" s="218">
        <f t="shared" si="6"/>
        <v>5893</v>
      </c>
      <c r="M14" s="218">
        <f t="shared" si="6"/>
        <v>5893</v>
      </c>
    </row>
  </sheetData>
  <mergeCells count="3">
    <mergeCell ref="L1:M1"/>
    <mergeCell ref="A2:M2"/>
    <mergeCell ref="A3:M3"/>
  </mergeCells>
  <pageMargins left="0.7" right="0.7" top="0.75" bottom="0.75" header="0.3" footer="0.3"/>
  <pageSetup paperSize="9" scale="69"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
  <sheetViews>
    <sheetView topLeftCell="A4" zoomScaleNormal="100" zoomScalePageLayoutView="70" workbookViewId="0">
      <pane xSplit="2" ySplit="1" topLeftCell="C5" activePane="bottomRight" state="frozen"/>
      <selection activeCell="A4" sqref="A4"/>
      <selection pane="topRight" activeCell="C4" sqref="C4"/>
      <selection pane="bottomLeft" activeCell="A5" sqref="A5"/>
      <selection pane="bottomRight" activeCell="N6" sqref="N6"/>
    </sheetView>
  </sheetViews>
  <sheetFormatPr defaultColWidth="7.75" defaultRowHeight="15.75" x14ac:dyDescent="0.25"/>
  <cols>
    <col min="1" max="1" width="6.75" style="55" customWidth="1"/>
    <col min="2" max="2" width="40.5" style="55" customWidth="1"/>
    <col min="3" max="3" width="10.875" style="55" customWidth="1"/>
    <col min="4" max="13" width="10.125" style="55" customWidth="1"/>
    <col min="14" max="16384" width="7.75" style="55"/>
  </cols>
  <sheetData>
    <row r="1" spans="1:13" s="27" customFormat="1" ht="29.25" customHeight="1" x14ac:dyDescent="0.25">
      <c r="A1" s="23"/>
      <c r="B1" s="23"/>
      <c r="C1" s="26"/>
      <c r="D1" s="26"/>
      <c r="E1" s="26"/>
      <c r="F1" s="26"/>
      <c r="I1" s="23"/>
      <c r="K1" s="23"/>
      <c r="L1" s="1225" t="s">
        <v>175</v>
      </c>
      <c r="M1" s="1225"/>
    </row>
    <row r="2" spans="1:13" s="27" customFormat="1" ht="47.25" customHeight="1" x14ac:dyDescent="0.25">
      <c r="A2" s="1206" t="s">
        <v>176</v>
      </c>
      <c r="B2" s="1206"/>
      <c r="C2" s="1206"/>
      <c r="D2" s="1206"/>
      <c r="E2" s="1206"/>
      <c r="F2" s="1206"/>
      <c r="G2" s="1206"/>
      <c r="H2" s="1206"/>
      <c r="I2" s="1206"/>
      <c r="J2" s="1206"/>
      <c r="K2" s="1206"/>
      <c r="L2" s="1206"/>
      <c r="M2" s="1206"/>
    </row>
    <row r="3" spans="1:13" s="27" customFormat="1" ht="31.5" customHeight="1" x14ac:dyDescent="0.25">
      <c r="A3" s="1226" t="str">
        <f>'B7-TDA2,DA5'!A3:N3</f>
        <v>(Kèm theo Tờ trình số:          /TTr-UBND ngày          tháng 11 năm 2022 của UBND tỉnh)</v>
      </c>
      <c r="B3" s="1226"/>
      <c r="C3" s="1226"/>
      <c r="D3" s="1226"/>
      <c r="E3" s="1226"/>
      <c r="F3" s="1226"/>
      <c r="G3" s="1226"/>
      <c r="H3" s="1226"/>
      <c r="I3" s="1226"/>
      <c r="J3" s="1226"/>
      <c r="K3" s="1226"/>
      <c r="L3" s="1226"/>
      <c r="M3" s="1226"/>
    </row>
    <row r="4" spans="1:13" s="53" customFormat="1" ht="62.25" customHeight="1" x14ac:dyDescent="0.25">
      <c r="A4" s="52" t="s">
        <v>1</v>
      </c>
      <c r="B4" s="52" t="s">
        <v>35</v>
      </c>
      <c r="C4" s="52" t="s">
        <v>36</v>
      </c>
      <c r="D4" s="52" t="s">
        <v>37</v>
      </c>
      <c r="E4" s="52" t="s">
        <v>130</v>
      </c>
      <c r="F4" s="52" t="s">
        <v>38</v>
      </c>
      <c r="G4" s="52" t="s">
        <v>39</v>
      </c>
      <c r="H4" s="52" t="s">
        <v>40</v>
      </c>
      <c r="I4" s="52" t="s">
        <v>41</v>
      </c>
      <c r="J4" s="52" t="s">
        <v>42</v>
      </c>
      <c r="K4" s="52" t="s">
        <v>43</v>
      </c>
      <c r="L4" s="52" t="s">
        <v>44</v>
      </c>
      <c r="M4" s="52" t="s">
        <v>45</v>
      </c>
    </row>
    <row r="5" spans="1:13" s="53" customFormat="1" ht="24.75" customHeight="1" x14ac:dyDescent="0.25">
      <c r="A5" s="198" t="s">
        <v>46</v>
      </c>
      <c r="B5" s="210" t="s">
        <v>47</v>
      </c>
      <c r="C5" s="198"/>
      <c r="D5" s="198"/>
      <c r="E5" s="198"/>
      <c r="F5" s="198"/>
      <c r="G5" s="198"/>
      <c r="H5" s="198"/>
      <c r="I5" s="198"/>
      <c r="J5" s="198"/>
      <c r="K5" s="198"/>
      <c r="L5" s="198"/>
      <c r="M5" s="198"/>
    </row>
    <row r="6" spans="1:13" s="53" customFormat="1" ht="70.5" customHeight="1" x14ac:dyDescent="0.25">
      <c r="A6" s="199">
        <v>1</v>
      </c>
      <c r="B6" s="211" t="s">
        <v>177</v>
      </c>
      <c r="C6" s="200" t="s">
        <v>70</v>
      </c>
      <c r="D6" s="214">
        <f>SUM(F6:M6)</f>
        <v>69</v>
      </c>
      <c r="E6" s="214"/>
      <c r="F6" s="214">
        <v>8</v>
      </c>
      <c r="G6" s="214">
        <v>10</v>
      </c>
      <c r="H6" s="214">
        <v>9</v>
      </c>
      <c r="I6" s="214">
        <v>8</v>
      </c>
      <c r="J6" s="214">
        <v>14</v>
      </c>
      <c r="K6" s="214">
        <v>10</v>
      </c>
      <c r="L6" s="214">
        <v>10</v>
      </c>
      <c r="M6" s="214">
        <v>0</v>
      </c>
    </row>
    <row r="7" spans="1:13" s="53" customFormat="1" ht="54" customHeight="1" x14ac:dyDescent="0.25">
      <c r="A7" s="199">
        <v>2</v>
      </c>
      <c r="B7" s="211" t="s">
        <v>178</v>
      </c>
      <c r="C7" s="200" t="s">
        <v>73</v>
      </c>
      <c r="D7" s="214">
        <f>SUM(F7:M7)</f>
        <v>55</v>
      </c>
      <c r="E7" s="214"/>
      <c r="F7" s="214">
        <v>9</v>
      </c>
      <c r="G7" s="214">
        <v>13</v>
      </c>
      <c r="H7" s="214">
        <v>1</v>
      </c>
      <c r="I7" s="214">
        <v>10</v>
      </c>
      <c r="J7" s="214">
        <v>7</v>
      </c>
      <c r="K7" s="214">
        <v>0</v>
      </c>
      <c r="L7" s="214">
        <v>14</v>
      </c>
      <c r="M7" s="214">
        <v>1</v>
      </c>
    </row>
    <row r="8" spans="1:13" s="54" customFormat="1" ht="24.75" customHeight="1" x14ac:dyDescent="0.25">
      <c r="A8" s="202" t="s">
        <v>31</v>
      </c>
      <c r="B8" s="212" t="s">
        <v>79</v>
      </c>
      <c r="C8" s="202"/>
      <c r="D8" s="215">
        <f>SUM(D9:D10)</f>
        <v>1117.5</v>
      </c>
      <c r="E8" s="215"/>
      <c r="F8" s="215">
        <f t="shared" ref="F8:M8" si="0">SUM(F9:F10)</f>
        <v>133.5</v>
      </c>
      <c r="G8" s="215">
        <f t="shared" si="0"/>
        <v>169.5</v>
      </c>
      <c r="H8" s="215">
        <f t="shared" si="0"/>
        <v>136.5</v>
      </c>
      <c r="I8" s="215">
        <f t="shared" si="0"/>
        <v>135</v>
      </c>
      <c r="J8" s="215">
        <f t="shared" si="0"/>
        <v>220.5</v>
      </c>
      <c r="K8" s="215">
        <f t="shared" si="0"/>
        <v>150</v>
      </c>
      <c r="L8" s="215">
        <f t="shared" si="0"/>
        <v>171</v>
      </c>
      <c r="M8" s="215">
        <f t="shared" si="0"/>
        <v>1.5</v>
      </c>
    </row>
    <row r="9" spans="1:13" ht="72" customHeight="1" x14ac:dyDescent="0.25">
      <c r="A9" s="199">
        <v>1</v>
      </c>
      <c r="B9" s="211" t="s">
        <v>177</v>
      </c>
      <c r="C9" s="204">
        <v>15</v>
      </c>
      <c r="D9" s="214">
        <f>SUM(E9:M9)</f>
        <v>1035</v>
      </c>
      <c r="E9" s="214"/>
      <c r="F9" s="216">
        <f t="shared" ref="F9:M9" si="1">$C9*F6</f>
        <v>120</v>
      </c>
      <c r="G9" s="216">
        <f t="shared" si="1"/>
        <v>150</v>
      </c>
      <c r="H9" s="216">
        <f t="shared" si="1"/>
        <v>135</v>
      </c>
      <c r="I9" s="216">
        <f t="shared" si="1"/>
        <v>120</v>
      </c>
      <c r="J9" s="216">
        <f t="shared" si="1"/>
        <v>210</v>
      </c>
      <c r="K9" s="216">
        <f t="shared" si="1"/>
        <v>150</v>
      </c>
      <c r="L9" s="216">
        <f t="shared" si="1"/>
        <v>150</v>
      </c>
      <c r="M9" s="216">
        <f t="shared" si="1"/>
        <v>0</v>
      </c>
    </row>
    <row r="10" spans="1:13" ht="57" customHeight="1" x14ac:dyDescent="0.25">
      <c r="A10" s="199">
        <v>2</v>
      </c>
      <c r="B10" s="211" t="s">
        <v>178</v>
      </c>
      <c r="C10" s="219">
        <v>1.5</v>
      </c>
      <c r="D10" s="214">
        <f>SUM(E10:M10)</f>
        <v>82.5</v>
      </c>
      <c r="E10" s="214"/>
      <c r="F10" s="216">
        <f>$C10*F7</f>
        <v>13.5</v>
      </c>
      <c r="G10" s="216">
        <f t="shared" ref="G10:K10" si="2">$C10*G7</f>
        <v>19.5</v>
      </c>
      <c r="H10" s="216">
        <f>$C10*H7</f>
        <v>1.5</v>
      </c>
      <c r="I10" s="216">
        <f>$C10*I7</f>
        <v>15</v>
      </c>
      <c r="J10" s="216">
        <f t="shared" si="2"/>
        <v>10.5</v>
      </c>
      <c r="K10" s="216">
        <f t="shared" si="2"/>
        <v>0</v>
      </c>
      <c r="L10" s="216">
        <f>$C10*L7</f>
        <v>21</v>
      </c>
      <c r="M10" s="216">
        <f>$C10*M7</f>
        <v>1.5</v>
      </c>
    </row>
    <row r="11" spans="1:13" s="221" customFormat="1" ht="38.25" customHeight="1" x14ac:dyDescent="0.25">
      <c r="A11" s="109" t="s">
        <v>54</v>
      </c>
      <c r="B11" s="193" t="s">
        <v>169</v>
      </c>
      <c r="C11" s="201"/>
      <c r="D11" s="220">
        <v>15814</v>
      </c>
      <c r="E11" s="220">
        <f>E12</f>
        <v>4744.2</v>
      </c>
      <c r="F11" s="220">
        <f t="shared" ref="F11:M11" si="3">F12</f>
        <v>1322</v>
      </c>
      <c r="G11" s="220">
        <f t="shared" si="3"/>
        <v>1679</v>
      </c>
      <c r="H11" s="220">
        <f t="shared" si="3"/>
        <v>1352</v>
      </c>
      <c r="I11" s="220">
        <f t="shared" si="3"/>
        <v>1337</v>
      </c>
      <c r="J11" s="220">
        <f t="shared" si="3"/>
        <v>2184</v>
      </c>
      <c r="K11" s="220">
        <f t="shared" si="3"/>
        <v>1486</v>
      </c>
      <c r="L11" s="220">
        <f t="shared" si="3"/>
        <v>1694</v>
      </c>
      <c r="M11" s="220">
        <f t="shared" si="3"/>
        <v>16</v>
      </c>
    </row>
    <row r="12" spans="1:13" ht="24.75" customHeight="1" x14ac:dyDescent="0.25">
      <c r="A12" s="111">
        <v>1</v>
      </c>
      <c r="B12" s="188" t="s">
        <v>179</v>
      </c>
      <c r="C12" s="199" t="s">
        <v>55</v>
      </c>
      <c r="D12" s="214">
        <f>SUM(E12:M12)</f>
        <v>15814.2</v>
      </c>
      <c r="E12" s="214">
        <f>D11*30%</f>
        <v>4744.2</v>
      </c>
      <c r="F12" s="214">
        <f>ROUND(($D$11-$E$11)/$D$8*F8,0)</f>
        <v>1322</v>
      </c>
      <c r="G12" s="214">
        <f t="shared" ref="G12:L12" si="4">ROUND(($D$11-$E$11)/$D$8*G8,0)</f>
        <v>1679</v>
      </c>
      <c r="H12" s="214">
        <f t="shared" si="4"/>
        <v>1352</v>
      </c>
      <c r="I12" s="214">
        <f t="shared" si="4"/>
        <v>1337</v>
      </c>
      <c r="J12" s="214">
        <f t="shared" si="4"/>
        <v>2184</v>
      </c>
      <c r="K12" s="214">
        <f t="shared" si="4"/>
        <v>1486</v>
      </c>
      <c r="L12" s="214">
        <f t="shared" si="4"/>
        <v>1694</v>
      </c>
      <c r="M12" s="214">
        <f>ROUND(($D$11-$E$11)/$D$8*M8+0.8,0)</f>
        <v>16</v>
      </c>
    </row>
    <row r="13" spans="1:13" s="221" customFormat="1" ht="38.25" customHeight="1" x14ac:dyDescent="0.25">
      <c r="A13" s="109" t="s">
        <v>56</v>
      </c>
      <c r="B13" s="193" t="s">
        <v>180</v>
      </c>
      <c r="C13" s="199"/>
      <c r="D13" s="222">
        <f>D14</f>
        <v>0</v>
      </c>
      <c r="E13" s="222">
        <f t="shared" ref="E13:M13" si="5">E14</f>
        <v>0</v>
      </c>
      <c r="F13" s="222">
        <f t="shared" si="5"/>
        <v>0</v>
      </c>
      <c r="G13" s="222">
        <f t="shared" si="5"/>
        <v>0</v>
      </c>
      <c r="H13" s="222">
        <f t="shared" si="5"/>
        <v>0</v>
      </c>
      <c r="I13" s="222">
        <f t="shared" si="5"/>
        <v>0</v>
      </c>
      <c r="J13" s="222">
        <f t="shared" si="5"/>
        <v>0</v>
      </c>
      <c r="K13" s="222">
        <f t="shared" si="5"/>
        <v>0</v>
      </c>
      <c r="L13" s="222">
        <f t="shared" si="5"/>
        <v>0</v>
      </c>
      <c r="M13" s="222">
        <f t="shared" si="5"/>
        <v>0</v>
      </c>
    </row>
    <row r="14" spans="1:13" ht="24.75" customHeight="1" x14ac:dyDescent="0.25">
      <c r="A14" s="111">
        <v>1</v>
      </c>
      <c r="B14" s="188" t="s">
        <v>179</v>
      </c>
      <c r="C14" s="199" t="s">
        <v>55</v>
      </c>
      <c r="D14" s="223">
        <f>SUM(E14:M14)</f>
        <v>0</v>
      </c>
      <c r="E14" s="223">
        <v>0</v>
      </c>
      <c r="F14" s="223">
        <v>0</v>
      </c>
      <c r="G14" s="223">
        <v>0</v>
      </c>
      <c r="H14" s="223">
        <v>0</v>
      </c>
      <c r="I14" s="223">
        <v>0</v>
      </c>
      <c r="J14" s="223">
        <v>0</v>
      </c>
      <c r="K14" s="223">
        <v>0</v>
      </c>
      <c r="L14" s="223">
        <v>0</v>
      </c>
      <c r="M14" s="223">
        <v>0</v>
      </c>
    </row>
    <row r="15" spans="1:13" s="221" customFormat="1" ht="24.75" customHeight="1" x14ac:dyDescent="0.25">
      <c r="A15" s="109" t="s">
        <v>57</v>
      </c>
      <c r="B15" s="193" t="s">
        <v>150</v>
      </c>
      <c r="C15" s="199"/>
      <c r="D15" s="220">
        <f>D16</f>
        <v>15814.2</v>
      </c>
      <c r="E15" s="220">
        <f t="shared" ref="E15:M15" si="6">E16</f>
        <v>4744.2</v>
      </c>
      <c r="F15" s="220">
        <f t="shared" si="6"/>
        <v>1322</v>
      </c>
      <c r="G15" s="220">
        <f t="shared" si="6"/>
        <v>1679</v>
      </c>
      <c r="H15" s="220">
        <f t="shared" si="6"/>
        <v>1352</v>
      </c>
      <c r="I15" s="220">
        <f t="shared" si="6"/>
        <v>1337</v>
      </c>
      <c r="J15" s="220">
        <f t="shared" si="6"/>
        <v>2184</v>
      </c>
      <c r="K15" s="220">
        <f t="shared" si="6"/>
        <v>1486</v>
      </c>
      <c r="L15" s="220">
        <f t="shared" si="6"/>
        <v>1694</v>
      </c>
      <c r="M15" s="220">
        <f t="shared" si="6"/>
        <v>16</v>
      </c>
    </row>
    <row r="16" spans="1:13" ht="24.75" customHeight="1" x14ac:dyDescent="0.25">
      <c r="A16" s="195">
        <v>1</v>
      </c>
      <c r="B16" s="196" t="s">
        <v>179</v>
      </c>
      <c r="C16" s="217" t="s">
        <v>55</v>
      </c>
      <c r="D16" s="218">
        <f>SUM(E16:M16)</f>
        <v>15814.2</v>
      </c>
      <c r="E16" s="218">
        <f>E12+E14</f>
        <v>4744.2</v>
      </c>
      <c r="F16" s="218">
        <f t="shared" ref="F16:M16" si="7">F12+F14</f>
        <v>1322</v>
      </c>
      <c r="G16" s="218">
        <f t="shared" si="7"/>
        <v>1679</v>
      </c>
      <c r="H16" s="218">
        <f t="shared" si="7"/>
        <v>1352</v>
      </c>
      <c r="I16" s="218">
        <f t="shared" si="7"/>
        <v>1337</v>
      </c>
      <c r="J16" s="218">
        <f t="shared" si="7"/>
        <v>2184</v>
      </c>
      <c r="K16" s="218">
        <f t="shared" si="7"/>
        <v>1486</v>
      </c>
      <c r="L16" s="218">
        <f t="shared" si="7"/>
        <v>1694</v>
      </c>
      <c r="M16" s="218">
        <f t="shared" si="7"/>
        <v>16</v>
      </c>
    </row>
  </sheetData>
  <mergeCells count="3">
    <mergeCell ref="L1:M1"/>
    <mergeCell ref="A2:M2"/>
    <mergeCell ref="A3:M3"/>
  </mergeCells>
  <pageMargins left="0.7" right="0.7" top="0.75" bottom="0.75" header="0.3" footer="0.3"/>
  <pageSetup paperSize="9" scale="69"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X39"/>
  <sheetViews>
    <sheetView topLeftCell="A4" zoomScale="89" zoomScaleNormal="89" workbookViewId="0">
      <pane xSplit="2" ySplit="1" topLeftCell="C5" activePane="bottomRight" state="frozen"/>
      <selection activeCell="A4" sqref="A4"/>
      <selection pane="topRight" activeCell="C4" sqref="C4"/>
      <selection pane="bottomLeft" activeCell="A5" sqref="A5"/>
      <selection pane="bottomRight" activeCell="P4" sqref="P4"/>
    </sheetView>
  </sheetViews>
  <sheetFormatPr defaultColWidth="7.75" defaultRowHeight="15.75" x14ac:dyDescent="0.25"/>
  <cols>
    <col min="1" max="1" width="6.75" style="61" customWidth="1"/>
    <col min="2" max="2" width="56.625" style="20" customWidth="1"/>
    <col min="3" max="3" width="11.125" style="61" customWidth="1"/>
    <col min="4" max="4" width="12.25" style="20" bestFit="1" customWidth="1"/>
    <col min="5" max="7" width="12.375" style="20" customWidth="1"/>
    <col min="8" max="14" width="11.625" style="20" customWidth="1"/>
    <col min="15" max="16384" width="7.75" style="20"/>
  </cols>
  <sheetData>
    <row r="1" spans="1:258" s="27" customFormat="1" ht="29.25" customHeight="1" x14ac:dyDescent="0.25">
      <c r="A1" s="23"/>
      <c r="B1" s="23"/>
      <c r="C1" s="26"/>
      <c r="D1" s="26"/>
      <c r="E1" s="101"/>
      <c r="F1" s="101"/>
      <c r="G1" s="26"/>
      <c r="H1" s="26"/>
      <c r="K1" s="23"/>
      <c r="M1" s="1225" t="s">
        <v>181</v>
      </c>
      <c r="N1" s="1225"/>
      <c r="O1" s="23"/>
      <c r="P1" s="23"/>
    </row>
    <row r="2" spans="1:258" s="27" customFormat="1" ht="33" customHeight="1" x14ac:dyDescent="0.25">
      <c r="A2" s="1206" t="s">
        <v>116</v>
      </c>
      <c r="B2" s="1206"/>
      <c r="C2" s="1206"/>
      <c r="D2" s="1206"/>
      <c r="E2" s="1206"/>
      <c r="F2" s="1206"/>
      <c r="G2" s="1206"/>
      <c r="H2" s="1206"/>
      <c r="I2" s="1206"/>
      <c r="J2" s="1206"/>
      <c r="K2" s="1206"/>
      <c r="L2" s="1206"/>
      <c r="M2" s="1206"/>
      <c r="N2" s="1206"/>
      <c r="O2" s="59"/>
      <c r="P2" s="59"/>
    </row>
    <row r="3" spans="1:258" s="27" customFormat="1" ht="31.5" customHeight="1" x14ac:dyDescent="0.25">
      <c r="A3" s="1226" t="str">
        <f>'B8-TDA3,DA5'!A3:M3</f>
        <v>(Kèm theo Tờ trình số:          /TTr-UBND ngày          tháng 11 năm 2022 của UBND tỉnh)</v>
      </c>
      <c r="B3" s="1226"/>
      <c r="C3" s="1226"/>
      <c r="D3" s="1226"/>
      <c r="E3" s="1226"/>
      <c r="F3" s="1226"/>
      <c r="G3" s="1226"/>
      <c r="H3" s="1226"/>
      <c r="I3" s="1226"/>
      <c r="J3" s="1226"/>
      <c r="K3" s="1226"/>
      <c r="L3" s="1226"/>
      <c r="M3" s="1226"/>
      <c r="N3" s="122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6"/>
      <c r="AP3" s="1206"/>
      <c r="AQ3" s="1206"/>
      <c r="AR3" s="1206"/>
      <c r="AS3" s="1206"/>
      <c r="AT3" s="1206"/>
      <c r="AU3" s="1206"/>
      <c r="AV3" s="1206"/>
      <c r="AW3" s="1206"/>
      <c r="AX3" s="1206"/>
      <c r="AY3" s="1206"/>
      <c r="AZ3" s="1206"/>
      <c r="BA3" s="1206"/>
      <c r="BB3" s="1206"/>
      <c r="BC3" s="1206"/>
      <c r="BD3" s="1206"/>
      <c r="BE3" s="1206"/>
      <c r="BF3" s="1206"/>
      <c r="BG3" s="1206"/>
      <c r="BH3" s="1206"/>
      <c r="BI3" s="1206"/>
      <c r="BJ3" s="1206"/>
      <c r="BK3" s="1206"/>
      <c r="BL3" s="1206"/>
      <c r="BM3" s="1206"/>
      <c r="BN3" s="1206"/>
      <c r="BO3" s="1206"/>
      <c r="BP3" s="1206"/>
      <c r="BQ3" s="1206"/>
      <c r="BR3" s="1206"/>
      <c r="BS3" s="1206"/>
      <c r="BT3" s="1206"/>
      <c r="BU3" s="1206"/>
      <c r="BV3" s="1206"/>
      <c r="BW3" s="1206"/>
      <c r="BX3" s="1206"/>
      <c r="BY3" s="1206"/>
      <c r="BZ3" s="1206"/>
      <c r="CA3" s="1206"/>
      <c r="CB3" s="1206"/>
      <c r="CC3" s="1206"/>
      <c r="CD3" s="1206"/>
      <c r="CE3" s="1206"/>
      <c r="CF3" s="1206"/>
      <c r="CG3" s="1206"/>
      <c r="CH3" s="1206"/>
      <c r="CI3" s="1206"/>
      <c r="CJ3" s="1206"/>
      <c r="CK3" s="1206"/>
      <c r="CL3" s="1206"/>
      <c r="CM3" s="1206"/>
      <c r="CN3" s="1206"/>
      <c r="CO3" s="1206"/>
      <c r="CP3" s="1206"/>
      <c r="CQ3" s="1206"/>
      <c r="CR3" s="1206"/>
      <c r="CS3" s="1206"/>
      <c r="CT3" s="1206"/>
      <c r="CU3" s="1206"/>
      <c r="CV3" s="1206"/>
      <c r="CW3" s="1206"/>
      <c r="CX3" s="1206"/>
      <c r="CY3" s="1206"/>
      <c r="CZ3" s="1206"/>
      <c r="DA3" s="1206"/>
      <c r="DB3" s="1206"/>
      <c r="DC3" s="1206"/>
      <c r="DD3" s="1206"/>
      <c r="DE3" s="1206"/>
      <c r="DF3" s="1206"/>
      <c r="DG3" s="1206"/>
      <c r="DH3" s="1206"/>
      <c r="DI3" s="1206"/>
      <c r="DJ3" s="1206"/>
      <c r="DK3" s="1206"/>
      <c r="DL3" s="1206"/>
      <c r="DM3" s="1206"/>
      <c r="DN3" s="1206"/>
      <c r="DO3" s="1206"/>
      <c r="DP3" s="1206"/>
      <c r="DQ3" s="1206"/>
      <c r="DR3" s="1206"/>
      <c r="DS3" s="1206"/>
      <c r="DT3" s="1206"/>
      <c r="DU3" s="1206"/>
      <c r="DV3" s="1206"/>
      <c r="DW3" s="1206"/>
      <c r="DX3" s="1206"/>
      <c r="DY3" s="1206"/>
      <c r="DZ3" s="1206"/>
      <c r="EA3" s="1206"/>
      <c r="EB3" s="1206"/>
      <c r="EC3" s="1206"/>
      <c r="ED3" s="1206"/>
      <c r="EE3" s="1206"/>
      <c r="EF3" s="1206"/>
      <c r="EG3" s="1206"/>
      <c r="EH3" s="1206"/>
      <c r="EI3" s="1206"/>
      <c r="EJ3" s="1206"/>
      <c r="EK3" s="1206"/>
      <c r="EL3" s="1206"/>
      <c r="EM3" s="1206"/>
      <c r="EN3" s="1206"/>
      <c r="EO3" s="1206"/>
      <c r="EP3" s="1206"/>
      <c r="EQ3" s="1206"/>
      <c r="ER3" s="1206"/>
      <c r="ES3" s="1206"/>
      <c r="ET3" s="1206"/>
      <c r="EU3" s="1206"/>
      <c r="EV3" s="1206"/>
      <c r="EW3" s="1206"/>
      <c r="EX3" s="1206"/>
      <c r="EY3" s="1206"/>
      <c r="EZ3" s="1206"/>
      <c r="FA3" s="1206"/>
      <c r="FB3" s="1206"/>
      <c r="FC3" s="1206"/>
      <c r="FD3" s="1206"/>
      <c r="FE3" s="1206"/>
      <c r="FF3" s="1206"/>
      <c r="FG3" s="1206"/>
      <c r="FH3" s="1206"/>
      <c r="FI3" s="1206"/>
      <c r="FJ3" s="1206"/>
      <c r="FK3" s="1206"/>
      <c r="FL3" s="1206"/>
      <c r="FM3" s="1206"/>
      <c r="FN3" s="1206"/>
      <c r="FO3" s="1206"/>
      <c r="FP3" s="1206"/>
      <c r="FQ3" s="1206"/>
      <c r="FR3" s="1206"/>
      <c r="FS3" s="1206"/>
      <c r="FT3" s="1206"/>
      <c r="FU3" s="1206"/>
      <c r="FV3" s="1206"/>
      <c r="FW3" s="1206"/>
      <c r="FX3" s="1206"/>
      <c r="FY3" s="1206"/>
      <c r="FZ3" s="1206"/>
      <c r="GA3" s="1206"/>
      <c r="GB3" s="1206"/>
      <c r="GC3" s="1206"/>
      <c r="GD3" s="1206"/>
      <c r="GE3" s="1206"/>
      <c r="GF3" s="1206"/>
      <c r="GG3" s="1206"/>
      <c r="GH3" s="1206"/>
      <c r="GI3" s="1206"/>
      <c r="GJ3" s="1206"/>
      <c r="GK3" s="1206"/>
      <c r="GL3" s="1206"/>
      <c r="GM3" s="1206"/>
      <c r="GN3" s="1206"/>
      <c r="GO3" s="1206"/>
      <c r="GP3" s="1206"/>
      <c r="GQ3" s="1206"/>
      <c r="GR3" s="1206"/>
      <c r="GS3" s="1206"/>
      <c r="GT3" s="1206"/>
      <c r="GU3" s="1206"/>
      <c r="GV3" s="1206"/>
      <c r="GW3" s="1206"/>
      <c r="GX3" s="1206"/>
      <c r="GY3" s="1206"/>
      <c r="GZ3" s="1206"/>
      <c r="HA3" s="1206"/>
      <c r="HB3" s="1206"/>
      <c r="HC3" s="1206"/>
      <c r="HD3" s="1206"/>
      <c r="HE3" s="1206"/>
      <c r="HF3" s="1206"/>
      <c r="HG3" s="1206"/>
      <c r="HH3" s="1206"/>
      <c r="HI3" s="1206"/>
      <c r="HJ3" s="1206"/>
      <c r="HK3" s="1206"/>
      <c r="HL3" s="1206"/>
      <c r="HM3" s="1206"/>
      <c r="HN3" s="1206"/>
      <c r="HO3" s="1206"/>
      <c r="HP3" s="1206"/>
      <c r="HQ3" s="1206"/>
      <c r="HR3" s="1206"/>
      <c r="HS3" s="1206"/>
      <c r="HT3" s="1206"/>
      <c r="HU3" s="1206"/>
      <c r="HV3" s="1206"/>
      <c r="HW3" s="1206"/>
      <c r="HX3" s="1206"/>
      <c r="HY3" s="1206"/>
      <c r="HZ3" s="1206"/>
      <c r="IA3" s="1206"/>
      <c r="IB3" s="1206"/>
      <c r="IC3" s="1206"/>
      <c r="ID3" s="1206"/>
      <c r="IE3" s="1206"/>
      <c r="IF3" s="1206"/>
      <c r="IG3" s="1206"/>
      <c r="IH3" s="1206"/>
      <c r="II3" s="1206"/>
      <c r="IJ3" s="1206"/>
      <c r="IK3" s="1206"/>
      <c r="IL3" s="1206"/>
      <c r="IM3" s="1206"/>
      <c r="IN3" s="1206"/>
      <c r="IO3" s="1206"/>
      <c r="IP3" s="1206"/>
      <c r="IQ3" s="1206"/>
      <c r="IR3" s="1206"/>
      <c r="IS3" s="1206"/>
      <c r="IT3" s="1206"/>
      <c r="IU3" s="1206"/>
      <c r="IV3" s="1206"/>
      <c r="IW3" s="1206"/>
      <c r="IX3" s="1206"/>
    </row>
    <row r="4" spans="1:258" s="60" customFormat="1" ht="77.25" customHeight="1" x14ac:dyDescent="0.25">
      <c r="A4" s="11" t="s">
        <v>1</v>
      </c>
      <c r="B4" s="11" t="s">
        <v>35</v>
      </c>
      <c r="C4" s="11" t="s">
        <v>36</v>
      </c>
      <c r="D4" s="11" t="s">
        <v>37</v>
      </c>
      <c r="E4" s="11" t="s">
        <v>187</v>
      </c>
      <c r="F4" s="11" t="s">
        <v>188</v>
      </c>
      <c r="G4" s="11" t="s">
        <v>38</v>
      </c>
      <c r="H4" s="11" t="s">
        <v>39</v>
      </c>
      <c r="I4" s="11" t="s">
        <v>40</v>
      </c>
      <c r="J4" s="11" t="s">
        <v>41</v>
      </c>
      <c r="K4" s="11" t="s">
        <v>42</v>
      </c>
      <c r="L4" s="11" t="s">
        <v>43</v>
      </c>
      <c r="M4" s="11" t="s">
        <v>44</v>
      </c>
      <c r="N4" s="11" t="s">
        <v>45</v>
      </c>
    </row>
    <row r="5" spans="1:258" s="60" customFormat="1" ht="24" customHeight="1" x14ac:dyDescent="0.25">
      <c r="A5" s="108" t="s">
        <v>4</v>
      </c>
      <c r="B5" s="224" t="s">
        <v>47</v>
      </c>
      <c r="C5" s="108"/>
      <c r="D5" s="108"/>
      <c r="E5" s="108"/>
      <c r="F5" s="108"/>
      <c r="G5" s="108"/>
      <c r="H5" s="108"/>
      <c r="I5" s="108"/>
      <c r="J5" s="108"/>
      <c r="K5" s="108"/>
      <c r="L5" s="108"/>
      <c r="M5" s="108"/>
      <c r="N5" s="108"/>
    </row>
    <row r="6" spans="1:258" s="62" customFormat="1" ht="24" customHeight="1" x14ac:dyDescent="0.25">
      <c r="A6" s="110" t="s">
        <v>46</v>
      </c>
      <c r="B6" s="225" t="s">
        <v>97</v>
      </c>
      <c r="C6" s="225"/>
      <c r="D6" s="225"/>
      <c r="E6" s="225"/>
      <c r="F6" s="225"/>
      <c r="G6" s="225"/>
      <c r="H6" s="225"/>
      <c r="I6" s="225"/>
      <c r="J6" s="225"/>
      <c r="K6" s="225"/>
      <c r="L6" s="225"/>
      <c r="M6" s="225"/>
      <c r="N6" s="225"/>
    </row>
    <row r="7" spans="1:258" s="62" customFormat="1" ht="58.5" customHeight="1" x14ac:dyDescent="0.25">
      <c r="A7" s="113">
        <v>1</v>
      </c>
      <c r="B7" s="226" t="s">
        <v>98</v>
      </c>
      <c r="C7" s="113" t="s">
        <v>99</v>
      </c>
      <c r="D7" s="226">
        <f>SUM(F7:N7)</f>
        <v>10</v>
      </c>
      <c r="E7" s="226"/>
      <c r="F7" s="226"/>
      <c r="G7" s="226">
        <v>1</v>
      </c>
      <c r="H7" s="227">
        <v>1</v>
      </c>
      <c r="I7" s="226">
        <v>0</v>
      </c>
      <c r="J7" s="226">
        <v>2</v>
      </c>
      <c r="K7" s="226">
        <v>4</v>
      </c>
      <c r="L7" s="226">
        <v>1</v>
      </c>
      <c r="M7" s="226">
        <v>1</v>
      </c>
      <c r="N7" s="226">
        <v>0</v>
      </c>
    </row>
    <row r="8" spans="1:258" s="62" customFormat="1" ht="24" customHeight="1" x14ac:dyDescent="0.25">
      <c r="A8" s="113">
        <v>2</v>
      </c>
      <c r="B8" s="226" t="s">
        <v>100</v>
      </c>
      <c r="C8" s="113" t="s">
        <v>101</v>
      </c>
      <c r="D8" s="226">
        <f>SUM(F8:N8)</f>
        <v>8</v>
      </c>
      <c r="E8" s="226"/>
      <c r="F8" s="226"/>
      <c r="G8" s="226">
        <v>1</v>
      </c>
      <c r="H8" s="226">
        <v>1</v>
      </c>
      <c r="I8" s="226">
        <v>1</v>
      </c>
      <c r="J8" s="226">
        <v>1</v>
      </c>
      <c r="K8" s="226">
        <v>1</v>
      </c>
      <c r="L8" s="226">
        <v>1</v>
      </c>
      <c r="M8" s="226">
        <v>1</v>
      </c>
      <c r="N8" s="226">
        <v>1</v>
      </c>
    </row>
    <row r="9" spans="1:258" s="62" customFormat="1" ht="39.75" customHeight="1" x14ac:dyDescent="0.25">
      <c r="A9" s="113">
        <v>3</v>
      </c>
      <c r="B9" s="226" t="s">
        <v>102</v>
      </c>
      <c r="C9" s="113" t="s">
        <v>103</v>
      </c>
      <c r="D9" s="226">
        <f>SUM(F9:N9)</f>
        <v>560</v>
      </c>
      <c r="E9" s="226"/>
      <c r="F9" s="226"/>
      <c r="G9" s="226">
        <v>69</v>
      </c>
      <c r="H9" s="226">
        <v>75</v>
      </c>
      <c r="I9" s="226">
        <v>90</v>
      </c>
      <c r="J9" s="226">
        <v>68</v>
      </c>
      <c r="K9" s="226">
        <v>85</v>
      </c>
      <c r="L9" s="226">
        <v>82</v>
      </c>
      <c r="M9" s="226">
        <v>90</v>
      </c>
      <c r="N9" s="226">
        <v>1</v>
      </c>
    </row>
    <row r="10" spans="1:258" s="62" customFormat="1" ht="24" customHeight="1" x14ac:dyDescent="0.25">
      <c r="A10" s="110" t="s">
        <v>31</v>
      </c>
      <c r="B10" s="225" t="s">
        <v>104</v>
      </c>
      <c r="C10" s="110"/>
      <c r="D10" s="226"/>
      <c r="E10" s="226"/>
      <c r="F10" s="226"/>
      <c r="G10" s="226"/>
      <c r="H10" s="226"/>
      <c r="I10" s="226"/>
      <c r="J10" s="226"/>
      <c r="K10" s="226"/>
      <c r="L10" s="226"/>
      <c r="M10" s="226"/>
      <c r="N10" s="226"/>
    </row>
    <row r="11" spans="1:258" s="62" customFormat="1" ht="39.75" customHeight="1" x14ac:dyDescent="0.25">
      <c r="A11" s="113">
        <v>4</v>
      </c>
      <c r="B11" s="226" t="s">
        <v>105</v>
      </c>
      <c r="C11" s="113" t="s">
        <v>84</v>
      </c>
      <c r="D11" s="226">
        <f t="shared" ref="D11:D18" si="0">SUM(F11:N11)</f>
        <v>51</v>
      </c>
      <c r="E11" s="226"/>
      <c r="F11" s="226">
        <v>51</v>
      </c>
      <c r="G11" s="226"/>
      <c r="H11" s="226"/>
      <c r="I11" s="226"/>
      <c r="J11" s="226"/>
      <c r="K11" s="226"/>
      <c r="L11" s="226"/>
      <c r="M11" s="226"/>
      <c r="N11" s="226"/>
    </row>
    <row r="12" spans="1:258" s="62" customFormat="1" ht="24" customHeight="1" x14ac:dyDescent="0.25">
      <c r="A12" s="113">
        <v>5</v>
      </c>
      <c r="B12" s="226" t="s">
        <v>106</v>
      </c>
      <c r="C12" s="113" t="s">
        <v>107</v>
      </c>
      <c r="D12" s="226">
        <f t="shared" si="0"/>
        <v>108</v>
      </c>
      <c r="E12" s="226"/>
      <c r="F12" s="226">
        <v>108</v>
      </c>
      <c r="G12" s="226"/>
      <c r="H12" s="226"/>
      <c r="I12" s="226"/>
      <c r="J12" s="226"/>
      <c r="K12" s="226"/>
      <c r="L12" s="226"/>
      <c r="M12" s="226"/>
      <c r="N12" s="226"/>
    </row>
    <row r="13" spans="1:258" s="62" customFormat="1" ht="39.75" customHeight="1" x14ac:dyDescent="0.25">
      <c r="A13" s="113">
        <v>6</v>
      </c>
      <c r="B13" s="226" t="s">
        <v>108</v>
      </c>
      <c r="C13" s="113" t="s">
        <v>109</v>
      </c>
      <c r="D13" s="226">
        <f t="shared" si="0"/>
        <v>3</v>
      </c>
      <c r="E13" s="226"/>
      <c r="F13" s="226">
        <v>3</v>
      </c>
      <c r="G13" s="226"/>
      <c r="H13" s="226"/>
      <c r="I13" s="226"/>
      <c r="J13" s="226"/>
      <c r="K13" s="226"/>
      <c r="L13" s="226"/>
      <c r="M13" s="226"/>
      <c r="N13" s="226"/>
    </row>
    <row r="14" spans="1:258" s="62" customFormat="1" ht="39.75" customHeight="1" x14ac:dyDescent="0.25">
      <c r="A14" s="113">
        <v>7</v>
      </c>
      <c r="B14" s="226" t="s">
        <v>110</v>
      </c>
      <c r="C14" s="113" t="s">
        <v>70</v>
      </c>
      <c r="D14" s="226">
        <f t="shared" si="0"/>
        <v>108</v>
      </c>
      <c r="E14" s="226"/>
      <c r="F14" s="226">
        <v>108</v>
      </c>
      <c r="G14" s="226"/>
      <c r="H14" s="226"/>
      <c r="I14" s="226"/>
      <c r="J14" s="226"/>
      <c r="K14" s="226"/>
      <c r="L14" s="226"/>
      <c r="M14" s="226"/>
      <c r="N14" s="226"/>
    </row>
    <row r="15" spans="1:258" s="62" customFormat="1" ht="39.75" customHeight="1" x14ac:dyDescent="0.25">
      <c r="A15" s="113">
        <v>8</v>
      </c>
      <c r="B15" s="226" t="s">
        <v>186</v>
      </c>
      <c r="C15" s="113" t="s">
        <v>109</v>
      </c>
      <c r="D15" s="226">
        <f t="shared" si="0"/>
        <v>2</v>
      </c>
      <c r="E15" s="226"/>
      <c r="F15" s="226">
        <v>2</v>
      </c>
      <c r="G15" s="226"/>
      <c r="H15" s="227"/>
      <c r="I15" s="226"/>
      <c r="J15" s="226"/>
      <c r="K15" s="226"/>
      <c r="L15" s="226"/>
      <c r="M15" s="226"/>
      <c r="N15" s="226"/>
    </row>
    <row r="16" spans="1:258" s="62" customFormat="1" ht="72.75" customHeight="1" x14ac:dyDescent="0.25">
      <c r="A16" s="113">
        <v>9</v>
      </c>
      <c r="B16" s="226" t="s">
        <v>185</v>
      </c>
      <c r="C16" s="113" t="s">
        <v>112</v>
      </c>
      <c r="D16" s="226">
        <f t="shared" si="0"/>
        <v>12</v>
      </c>
      <c r="E16" s="226"/>
      <c r="F16" s="226">
        <v>12</v>
      </c>
      <c r="G16" s="226"/>
      <c r="H16" s="227"/>
      <c r="I16" s="226"/>
      <c r="J16" s="226"/>
      <c r="K16" s="226"/>
      <c r="L16" s="226"/>
      <c r="M16" s="226"/>
      <c r="N16" s="226"/>
    </row>
    <row r="17" spans="1:14" s="62" customFormat="1" ht="39.75" customHeight="1" x14ac:dyDescent="0.25">
      <c r="A17" s="113">
        <v>10</v>
      </c>
      <c r="B17" s="226" t="s">
        <v>113</v>
      </c>
      <c r="C17" s="113" t="s">
        <v>85</v>
      </c>
      <c r="D17" s="226">
        <f t="shared" si="0"/>
        <v>2</v>
      </c>
      <c r="E17" s="226"/>
      <c r="F17" s="226">
        <v>2</v>
      </c>
      <c r="G17" s="226"/>
      <c r="H17" s="226"/>
      <c r="I17" s="226"/>
      <c r="J17" s="226"/>
      <c r="K17" s="226"/>
      <c r="L17" s="226"/>
      <c r="M17" s="226"/>
      <c r="N17" s="226"/>
    </row>
    <row r="18" spans="1:14" s="62" customFormat="1" ht="39.75" customHeight="1" x14ac:dyDescent="0.25">
      <c r="A18" s="113">
        <v>11</v>
      </c>
      <c r="B18" s="226" t="s">
        <v>114</v>
      </c>
      <c r="C18" s="113" t="s">
        <v>115</v>
      </c>
      <c r="D18" s="226">
        <f t="shared" si="0"/>
        <v>4</v>
      </c>
      <c r="E18" s="226"/>
      <c r="F18" s="226">
        <v>4</v>
      </c>
      <c r="G18" s="226"/>
      <c r="H18" s="226"/>
      <c r="I18" s="226"/>
      <c r="J18" s="226"/>
      <c r="K18" s="226"/>
      <c r="L18" s="226"/>
      <c r="M18" s="226"/>
      <c r="N18" s="226"/>
    </row>
    <row r="19" spans="1:14" s="62" customFormat="1" ht="24" customHeight="1" x14ac:dyDescent="0.25">
      <c r="A19" s="110" t="s">
        <v>5</v>
      </c>
      <c r="B19" s="225" t="s">
        <v>79</v>
      </c>
      <c r="C19" s="110"/>
      <c r="D19" s="228">
        <f>D20+D24</f>
        <v>538.4</v>
      </c>
      <c r="E19" s="228"/>
      <c r="F19" s="228">
        <f t="shared" ref="F19:N19" si="1">F20+F24</f>
        <v>340.4</v>
      </c>
      <c r="G19" s="228">
        <f t="shared" si="1"/>
        <v>24.3</v>
      </c>
      <c r="H19" s="228">
        <f t="shared" si="1"/>
        <v>26.1</v>
      </c>
      <c r="I19" s="228">
        <f t="shared" si="1"/>
        <v>30</v>
      </c>
      <c r="J19" s="228">
        <f t="shared" si="1"/>
        <v>24.599999999999998</v>
      </c>
      <c r="K19" s="228">
        <f t="shared" si="1"/>
        <v>30.9</v>
      </c>
      <c r="L19" s="228">
        <f t="shared" si="1"/>
        <v>28.2</v>
      </c>
      <c r="M19" s="228">
        <f t="shared" si="1"/>
        <v>30.6</v>
      </c>
      <c r="N19" s="228">
        <f t="shared" si="1"/>
        <v>3.3</v>
      </c>
    </row>
    <row r="20" spans="1:14" s="62" customFormat="1" ht="24" customHeight="1" x14ac:dyDescent="0.25">
      <c r="A20" s="110" t="s">
        <v>46</v>
      </c>
      <c r="B20" s="225" t="s">
        <v>97</v>
      </c>
      <c r="C20" s="110"/>
      <c r="D20" s="225">
        <f>SUM(D21:D23)</f>
        <v>198</v>
      </c>
      <c r="E20" s="225"/>
      <c r="F20" s="225"/>
      <c r="G20" s="225">
        <f t="shared" ref="G20:N20" si="2">SUM(G21:G23)</f>
        <v>24.3</v>
      </c>
      <c r="H20" s="225">
        <f t="shared" si="2"/>
        <v>26.1</v>
      </c>
      <c r="I20" s="225">
        <f t="shared" si="2"/>
        <v>30</v>
      </c>
      <c r="J20" s="225">
        <f t="shared" si="2"/>
        <v>24.599999999999998</v>
      </c>
      <c r="K20" s="225">
        <f t="shared" si="2"/>
        <v>30.9</v>
      </c>
      <c r="L20" s="225">
        <f t="shared" si="2"/>
        <v>28.2</v>
      </c>
      <c r="M20" s="225">
        <f t="shared" si="2"/>
        <v>30.6</v>
      </c>
      <c r="N20" s="225">
        <f t="shared" si="2"/>
        <v>3.3</v>
      </c>
    </row>
    <row r="21" spans="1:14" ht="58.5" customHeight="1" x14ac:dyDescent="0.25">
      <c r="A21" s="113">
        <v>1</v>
      </c>
      <c r="B21" s="226" t="s">
        <v>98</v>
      </c>
      <c r="C21" s="113">
        <v>0.6</v>
      </c>
      <c r="D21" s="226">
        <f>SUM(F21:N21)</f>
        <v>5.9999999999999991</v>
      </c>
      <c r="E21" s="226"/>
      <c r="F21" s="226"/>
      <c r="G21" s="226">
        <f>$C21*G7</f>
        <v>0.6</v>
      </c>
      <c r="H21" s="226">
        <f t="shared" ref="H21:N21" si="3">$C21*H7</f>
        <v>0.6</v>
      </c>
      <c r="I21" s="226">
        <f t="shared" si="3"/>
        <v>0</v>
      </c>
      <c r="J21" s="226">
        <f t="shared" si="3"/>
        <v>1.2</v>
      </c>
      <c r="K21" s="226">
        <f t="shared" si="3"/>
        <v>2.4</v>
      </c>
      <c r="L21" s="226">
        <f t="shared" si="3"/>
        <v>0.6</v>
      </c>
      <c r="M21" s="226">
        <f t="shared" si="3"/>
        <v>0.6</v>
      </c>
      <c r="N21" s="226">
        <f t="shared" si="3"/>
        <v>0</v>
      </c>
    </row>
    <row r="22" spans="1:14" ht="24" customHeight="1" x14ac:dyDescent="0.25">
      <c r="A22" s="113">
        <v>2</v>
      </c>
      <c r="B22" s="226" t="s">
        <v>100</v>
      </c>
      <c r="C22" s="113">
        <v>3</v>
      </c>
      <c r="D22" s="226">
        <f t="shared" ref="D22:D23" si="4">SUM(F22:N22)</f>
        <v>24</v>
      </c>
      <c r="E22" s="226"/>
      <c r="F22" s="226"/>
      <c r="G22" s="226">
        <f t="shared" ref="G22:N23" si="5">$C22*G8</f>
        <v>3</v>
      </c>
      <c r="H22" s="226">
        <f t="shared" si="5"/>
        <v>3</v>
      </c>
      <c r="I22" s="226">
        <f t="shared" si="5"/>
        <v>3</v>
      </c>
      <c r="J22" s="226">
        <f t="shared" si="5"/>
        <v>3</v>
      </c>
      <c r="K22" s="226">
        <f t="shared" si="5"/>
        <v>3</v>
      </c>
      <c r="L22" s="226">
        <f t="shared" si="5"/>
        <v>3</v>
      </c>
      <c r="M22" s="226">
        <f t="shared" si="5"/>
        <v>3</v>
      </c>
      <c r="N22" s="226">
        <f t="shared" si="5"/>
        <v>3</v>
      </c>
    </row>
    <row r="23" spans="1:14" ht="39.75" customHeight="1" x14ac:dyDescent="0.25">
      <c r="A23" s="113">
        <v>3</v>
      </c>
      <c r="B23" s="226" t="s">
        <v>102</v>
      </c>
      <c r="C23" s="113">
        <v>0.3</v>
      </c>
      <c r="D23" s="226">
        <f t="shared" si="4"/>
        <v>168</v>
      </c>
      <c r="E23" s="226"/>
      <c r="F23" s="226"/>
      <c r="G23" s="226">
        <f t="shared" si="5"/>
        <v>20.7</v>
      </c>
      <c r="H23" s="226">
        <f t="shared" si="5"/>
        <v>22.5</v>
      </c>
      <c r="I23" s="226">
        <f t="shared" si="5"/>
        <v>27</v>
      </c>
      <c r="J23" s="226">
        <f t="shared" si="5"/>
        <v>20.399999999999999</v>
      </c>
      <c r="K23" s="226">
        <f t="shared" si="5"/>
        <v>25.5</v>
      </c>
      <c r="L23" s="226">
        <f t="shared" si="5"/>
        <v>24.599999999999998</v>
      </c>
      <c r="M23" s="226">
        <f t="shared" si="5"/>
        <v>27</v>
      </c>
      <c r="N23" s="226">
        <f t="shared" si="5"/>
        <v>0.3</v>
      </c>
    </row>
    <row r="24" spans="1:14" s="62" customFormat="1" ht="24" customHeight="1" x14ac:dyDescent="0.25">
      <c r="A24" s="110" t="s">
        <v>31</v>
      </c>
      <c r="B24" s="225" t="s">
        <v>104</v>
      </c>
      <c r="C24" s="110"/>
      <c r="D24" s="228">
        <f>SUM(D25:D32)</f>
        <v>340.4</v>
      </c>
      <c r="E24" s="228"/>
      <c r="F24" s="228">
        <f>SUM(F25:F32)</f>
        <v>340.4</v>
      </c>
      <c r="G24" s="225"/>
      <c r="H24" s="225"/>
      <c r="I24" s="225"/>
      <c r="J24" s="225"/>
      <c r="K24" s="225"/>
      <c r="L24" s="225"/>
      <c r="M24" s="225"/>
      <c r="N24" s="225"/>
    </row>
    <row r="25" spans="1:14" ht="39.75" customHeight="1" x14ac:dyDescent="0.25">
      <c r="A25" s="113">
        <v>4</v>
      </c>
      <c r="B25" s="226" t="s">
        <v>105</v>
      </c>
      <c r="C25" s="113">
        <v>2</v>
      </c>
      <c r="D25" s="229">
        <f>F25</f>
        <v>102</v>
      </c>
      <c r="E25" s="226"/>
      <c r="F25" s="226">
        <f>$C25*F11</f>
        <v>102</v>
      </c>
      <c r="G25" s="226"/>
      <c r="H25" s="226"/>
      <c r="I25" s="226"/>
      <c r="J25" s="226"/>
      <c r="K25" s="226"/>
      <c r="L25" s="226"/>
      <c r="M25" s="226"/>
      <c r="N25" s="226"/>
    </row>
    <row r="26" spans="1:14" ht="24" customHeight="1" x14ac:dyDescent="0.25">
      <c r="A26" s="113">
        <v>5</v>
      </c>
      <c r="B26" s="226" t="s">
        <v>106</v>
      </c>
      <c r="C26" s="113">
        <v>0.5</v>
      </c>
      <c r="D26" s="229">
        <f t="shared" ref="D26:D32" si="6">F26</f>
        <v>54</v>
      </c>
      <c r="E26" s="226"/>
      <c r="F26" s="226">
        <f t="shared" ref="F26:F32" si="7">$C26*F12</f>
        <v>54</v>
      </c>
      <c r="G26" s="226"/>
      <c r="H26" s="226"/>
      <c r="I26" s="226"/>
      <c r="J26" s="226"/>
      <c r="K26" s="226"/>
      <c r="L26" s="226"/>
      <c r="M26" s="226"/>
      <c r="N26" s="226"/>
    </row>
    <row r="27" spans="1:14" ht="39.75" customHeight="1" x14ac:dyDescent="0.25">
      <c r="A27" s="113">
        <v>6</v>
      </c>
      <c r="B27" s="226" t="s">
        <v>108</v>
      </c>
      <c r="C27" s="113">
        <v>10</v>
      </c>
      <c r="D27" s="229">
        <f t="shared" si="6"/>
        <v>30</v>
      </c>
      <c r="E27" s="226"/>
      <c r="F27" s="226">
        <f t="shared" si="7"/>
        <v>30</v>
      </c>
      <c r="G27" s="226"/>
      <c r="H27" s="226"/>
      <c r="I27" s="226"/>
      <c r="J27" s="226"/>
      <c r="K27" s="226"/>
      <c r="L27" s="226"/>
      <c r="M27" s="226"/>
      <c r="N27" s="226"/>
    </row>
    <row r="28" spans="1:14" ht="39.75" customHeight="1" x14ac:dyDescent="0.25">
      <c r="A28" s="113">
        <v>7</v>
      </c>
      <c r="B28" s="226" t="s">
        <v>110</v>
      </c>
      <c r="C28" s="113">
        <v>0.3</v>
      </c>
      <c r="D28" s="229">
        <f t="shared" si="6"/>
        <v>32.4</v>
      </c>
      <c r="E28" s="226"/>
      <c r="F28" s="226">
        <f t="shared" si="7"/>
        <v>32.4</v>
      </c>
      <c r="G28" s="226"/>
      <c r="H28" s="226"/>
      <c r="I28" s="226"/>
      <c r="J28" s="226"/>
      <c r="K28" s="226"/>
      <c r="L28" s="226"/>
      <c r="M28" s="226"/>
      <c r="N28" s="226"/>
    </row>
    <row r="29" spans="1:14" ht="39.75" customHeight="1" x14ac:dyDescent="0.25">
      <c r="A29" s="113">
        <v>8</v>
      </c>
      <c r="B29" s="226" t="s">
        <v>186</v>
      </c>
      <c r="C29" s="113">
        <v>10</v>
      </c>
      <c r="D29" s="229">
        <f t="shared" si="6"/>
        <v>20</v>
      </c>
      <c r="E29" s="226"/>
      <c r="F29" s="226">
        <f t="shared" si="7"/>
        <v>20</v>
      </c>
      <c r="G29" s="226"/>
      <c r="H29" s="226"/>
      <c r="I29" s="226"/>
      <c r="J29" s="226"/>
      <c r="K29" s="226"/>
      <c r="L29" s="226"/>
      <c r="M29" s="226"/>
      <c r="N29" s="226"/>
    </row>
    <row r="30" spans="1:14" ht="72.75" customHeight="1" x14ac:dyDescent="0.25">
      <c r="A30" s="113">
        <v>9</v>
      </c>
      <c r="B30" s="226" t="s">
        <v>111</v>
      </c>
      <c r="C30" s="113">
        <v>3.5</v>
      </c>
      <c r="D30" s="229">
        <f t="shared" si="6"/>
        <v>42</v>
      </c>
      <c r="E30" s="226"/>
      <c r="F30" s="226">
        <f t="shared" si="7"/>
        <v>42</v>
      </c>
      <c r="G30" s="226"/>
      <c r="H30" s="226"/>
      <c r="I30" s="226"/>
      <c r="J30" s="226"/>
      <c r="K30" s="226"/>
      <c r="L30" s="226"/>
      <c r="M30" s="226"/>
      <c r="N30" s="226"/>
    </row>
    <row r="31" spans="1:14" ht="39.75" customHeight="1" x14ac:dyDescent="0.25">
      <c r="A31" s="113">
        <v>10</v>
      </c>
      <c r="B31" s="226" t="s">
        <v>113</v>
      </c>
      <c r="C31" s="113">
        <v>20</v>
      </c>
      <c r="D31" s="229">
        <f t="shared" si="6"/>
        <v>40</v>
      </c>
      <c r="E31" s="226"/>
      <c r="F31" s="226">
        <f t="shared" si="7"/>
        <v>40</v>
      </c>
      <c r="G31" s="226"/>
      <c r="H31" s="226"/>
      <c r="I31" s="226"/>
      <c r="J31" s="226"/>
      <c r="K31" s="226"/>
      <c r="L31" s="226"/>
      <c r="M31" s="226"/>
      <c r="N31" s="226"/>
    </row>
    <row r="32" spans="1:14" ht="39.75" customHeight="1" x14ac:dyDescent="0.25">
      <c r="A32" s="113">
        <v>11</v>
      </c>
      <c r="B32" s="226" t="s">
        <v>114</v>
      </c>
      <c r="C32" s="113">
        <v>5</v>
      </c>
      <c r="D32" s="229">
        <f t="shared" si="6"/>
        <v>20</v>
      </c>
      <c r="E32" s="226"/>
      <c r="F32" s="226">
        <f t="shared" si="7"/>
        <v>20</v>
      </c>
      <c r="G32" s="226"/>
      <c r="H32" s="226"/>
      <c r="I32" s="226"/>
      <c r="J32" s="226"/>
      <c r="K32" s="226"/>
      <c r="L32" s="226"/>
      <c r="M32" s="226"/>
      <c r="N32" s="226"/>
    </row>
    <row r="33" spans="1:14" s="62" customFormat="1" ht="24" customHeight="1" x14ac:dyDescent="0.25">
      <c r="A33" s="230" t="s">
        <v>54</v>
      </c>
      <c r="B33" s="225" t="s">
        <v>183</v>
      </c>
      <c r="C33" s="110"/>
      <c r="D33" s="232">
        <v>9667</v>
      </c>
      <c r="E33" s="232">
        <f>E34</f>
        <v>1933.4</v>
      </c>
      <c r="F33" s="232">
        <f t="shared" ref="F33:N33" si="8">F34</f>
        <v>4890</v>
      </c>
      <c r="G33" s="232">
        <f t="shared" si="8"/>
        <v>349</v>
      </c>
      <c r="H33" s="232">
        <f t="shared" si="8"/>
        <v>375</v>
      </c>
      <c r="I33" s="232">
        <f t="shared" si="8"/>
        <v>431</v>
      </c>
      <c r="J33" s="232">
        <f t="shared" si="8"/>
        <v>353</v>
      </c>
      <c r="K33" s="232">
        <f t="shared" si="8"/>
        <v>444</v>
      </c>
      <c r="L33" s="232">
        <f t="shared" si="8"/>
        <v>405</v>
      </c>
      <c r="M33" s="232">
        <f t="shared" si="8"/>
        <v>440</v>
      </c>
      <c r="N33" s="232">
        <f t="shared" si="8"/>
        <v>47</v>
      </c>
    </row>
    <row r="34" spans="1:14" ht="24" customHeight="1" x14ac:dyDescent="0.25">
      <c r="A34" s="231">
        <v>1</v>
      </c>
      <c r="B34" s="226" t="s">
        <v>184</v>
      </c>
      <c r="C34" s="113" t="s">
        <v>55</v>
      </c>
      <c r="D34" s="233">
        <f>SUM(E34:N34)</f>
        <v>9667.4</v>
      </c>
      <c r="E34" s="233">
        <f>D33*20%</f>
        <v>1933.4</v>
      </c>
      <c r="F34" s="233">
        <f>ROUND(($D$33-$E$34)/$D$19*F19,0)</f>
        <v>4890</v>
      </c>
      <c r="G34" s="233">
        <f t="shared" ref="G34:M34" si="9">ROUND(($D$33-$E$34)/$D$19*G19,0)</f>
        <v>349</v>
      </c>
      <c r="H34" s="233">
        <f t="shared" si="9"/>
        <v>375</v>
      </c>
      <c r="I34" s="233">
        <f t="shared" si="9"/>
        <v>431</v>
      </c>
      <c r="J34" s="233">
        <f t="shared" si="9"/>
        <v>353</v>
      </c>
      <c r="K34" s="233">
        <f t="shared" si="9"/>
        <v>444</v>
      </c>
      <c r="L34" s="233">
        <f t="shared" si="9"/>
        <v>405</v>
      </c>
      <c r="M34" s="233">
        <f t="shared" si="9"/>
        <v>440</v>
      </c>
      <c r="N34" s="233">
        <f>ROUND(($D$33-$E$34)/$D$19*N19,0)</f>
        <v>47</v>
      </c>
    </row>
    <row r="35" spans="1:14" s="62" customFormat="1" ht="36.75" customHeight="1" x14ac:dyDescent="0.25">
      <c r="A35" s="230" t="s">
        <v>56</v>
      </c>
      <c r="B35" s="225" t="s">
        <v>264</v>
      </c>
      <c r="C35" s="110"/>
      <c r="D35" s="232">
        <f>D36</f>
        <v>484</v>
      </c>
      <c r="E35" s="232">
        <f t="shared" ref="E35:N35" si="10">E36</f>
        <v>97</v>
      </c>
      <c r="F35" s="232">
        <f t="shared" si="10"/>
        <v>245</v>
      </c>
      <c r="G35" s="232">
        <f t="shared" si="10"/>
        <v>17</v>
      </c>
      <c r="H35" s="232">
        <f t="shared" si="10"/>
        <v>19</v>
      </c>
      <c r="I35" s="232">
        <f t="shared" si="10"/>
        <v>22</v>
      </c>
      <c r="J35" s="232">
        <f t="shared" si="10"/>
        <v>18</v>
      </c>
      <c r="K35" s="232">
        <f t="shared" si="10"/>
        <v>22</v>
      </c>
      <c r="L35" s="232">
        <f t="shared" si="10"/>
        <v>20</v>
      </c>
      <c r="M35" s="232">
        <f t="shared" si="10"/>
        <v>22</v>
      </c>
      <c r="N35" s="232">
        <f t="shared" si="10"/>
        <v>2</v>
      </c>
    </row>
    <row r="36" spans="1:14" ht="24" customHeight="1" x14ac:dyDescent="0.25">
      <c r="A36" s="231">
        <v>1</v>
      </c>
      <c r="B36" s="226" t="s">
        <v>184</v>
      </c>
      <c r="C36" s="113" t="s">
        <v>55</v>
      </c>
      <c r="D36" s="233">
        <f>SUM(E36:N36)</f>
        <v>484</v>
      </c>
      <c r="E36" s="233">
        <f>ROUND(E34*5%,0)</f>
        <v>97</v>
      </c>
      <c r="F36" s="233">
        <f t="shared" ref="F36:M36" si="11">ROUND(F34*5%,0)</f>
        <v>245</v>
      </c>
      <c r="G36" s="233">
        <f t="shared" si="11"/>
        <v>17</v>
      </c>
      <c r="H36" s="233">
        <f t="shared" si="11"/>
        <v>19</v>
      </c>
      <c r="I36" s="233">
        <f t="shared" si="11"/>
        <v>22</v>
      </c>
      <c r="J36" s="233">
        <f t="shared" si="11"/>
        <v>18</v>
      </c>
      <c r="K36" s="233">
        <f t="shared" si="11"/>
        <v>22</v>
      </c>
      <c r="L36" s="233">
        <f t="shared" si="11"/>
        <v>20</v>
      </c>
      <c r="M36" s="233">
        <f t="shared" si="11"/>
        <v>22</v>
      </c>
      <c r="N36" s="233">
        <f>ROUND(N34*5%,0)</f>
        <v>2</v>
      </c>
    </row>
    <row r="37" spans="1:14" s="62" customFormat="1" ht="24" customHeight="1" x14ac:dyDescent="0.25">
      <c r="A37" s="230" t="s">
        <v>57</v>
      </c>
      <c r="B37" s="225" t="s">
        <v>150</v>
      </c>
      <c r="C37" s="110"/>
      <c r="D37" s="232">
        <f>D38</f>
        <v>10151.4</v>
      </c>
      <c r="E37" s="232">
        <f t="shared" ref="E37:N37" si="12">E38</f>
        <v>2030.4</v>
      </c>
      <c r="F37" s="232">
        <f t="shared" si="12"/>
        <v>5135</v>
      </c>
      <c r="G37" s="232">
        <f t="shared" si="12"/>
        <v>366</v>
      </c>
      <c r="H37" s="232">
        <f t="shared" si="12"/>
        <v>394</v>
      </c>
      <c r="I37" s="232">
        <f t="shared" si="12"/>
        <v>453</v>
      </c>
      <c r="J37" s="232">
        <f t="shared" si="12"/>
        <v>371</v>
      </c>
      <c r="K37" s="232">
        <f t="shared" si="12"/>
        <v>466</v>
      </c>
      <c r="L37" s="232">
        <f t="shared" si="12"/>
        <v>425</v>
      </c>
      <c r="M37" s="232">
        <f t="shared" si="12"/>
        <v>462</v>
      </c>
      <c r="N37" s="232">
        <f t="shared" si="12"/>
        <v>49</v>
      </c>
    </row>
    <row r="38" spans="1:14" ht="24" customHeight="1" x14ac:dyDescent="0.25">
      <c r="A38" s="234">
        <v>1</v>
      </c>
      <c r="B38" s="235" t="s">
        <v>184</v>
      </c>
      <c r="C38" s="236" t="s">
        <v>55</v>
      </c>
      <c r="D38" s="240">
        <f>SUM(E38:N38)</f>
        <v>10151.4</v>
      </c>
      <c r="E38" s="240">
        <f>E34+E36</f>
        <v>2030.4</v>
      </c>
      <c r="F38" s="240">
        <f t="shared" ref="F38:N38" si="13">F34+F36</f>
        <v>5135</v>
      </c>
      <c r="G38" s="240">
        <f t="shared" si="13"/>
        <v>366</v>
      </c>
      <c r="H38" s="240">
        <f t="shared" si="13"/>
        <v>394</v>
      </c>
      <c r="I38" s="240">
        <f t="shared" si="13"/>
        <v>453</v>
      </c>
      <c r="J38" s="240">
        <f t="shared" si="13"/>
        <v>371</v>
      </c>
      <c r="K38" s="240">
        <f t="shared" si="13"/>
        <v>466</v>
      </c>
      <c r="L38" s="240">
        <f t="shared" si="13"/>
        <v>425</v>
      </c>
      <c r="M38" s="240">
        <f t="shared" si="13"/>
        <v>462</v>
      </c>
      <c r="N38" s="240">
        <f t="shared" si="13"/>
        <v>49</v>
      </c>
    </row>
    <row r="39" spans="1:14" x14ac:dyDescent="0.25">
      <c r="D39" s="83"/>
    </row>
  </sheetData>
  <mergeCells count="24">
    <mergeCell ref="AM3:AX3"/>
    <mergeCell ref="A2:N2"/>
    <mergeCell ref="A3:N3"/>
    <mergeCell ref="M1:N1"/>
    <mergeCell ref="O3:Z3"/>
    <mergeCell ref="AA3:AL3"/>
    <mergeCell ref="FC3:FN3"/>
    <mergeCell ref="DS3:ED3"/>
    <mergeCell ref="EE3:EP3"/>
    <mergeCell ref="AY3:BJ3"/>
    <mergeCell ref="BK3:BV3"/>
    <mergeCell ref="BW3:CH3"/>
    <mergeCell ref="CI3:CT3"/>
    <mergeCell ref="CU3:DF3"/>
    <mergeCell ref="DG3:DR3"/>
    <mergeCell ref="EQ3:FB3"/>
    <mergeCell ref="II3:IT3"/>
    <mergeCell ref="IU3:IX3"/>
    <mergeCell ref="FO3:FZ3"/>
    <mergeCell ref="GA3:GL3"/>
    <mergeCell ref="GM3:GX3"/>
    <mergeCell ref="GY3:HJ3"/>
    <mergeCell ref="HK3:HV3"/>
    <mergeCell ref="HW3:IH3"/>
  </mergeCells>
  <pageMargins left="0.7" right="0.7" top="0.6" bottom="0.46" header="0.3" footer="0.3"/>
  <pageSetup paperSize="9" scale="72" fitToHeight="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K8"/>
  <sheetViews>
    <sheetView zoomScale="85" zoomScaleNormal="85" workbookViewId="0">
      <selection activeCell="J15" sqref="J15"/>
    </sheetView>
  </sheetViews>
  <sheetFormatPr defaultColWidth="7.75" defaultRowHeight="15.75" x14ac:dyDescent="0.25"/>
  <cols>
    <col min="1" max="1" width="6.75" style="58" customWidth="1"/>
    <col min="2" max="2" width="40.5" style="58" customWidth="1"/>
    <col min="3" max="3" width="11.5" style="58" customWidth="1"/>
    <col min="4" max="7" width="12.625" style="58" customWidth="1"/>
    <col min="8" max="8" width="11" style="58" customWidth="1"/>
    <col min="9" max="9" width="11" style="64" customWidth="1"/>
    <col min="10" max="11" width="11" style="65" customWidth="1"/>
    <col min="12" max="12" width="11" style="58" customWidth="1"/>
    <col min="13" max="13" width="11.125" style="58" bestFit="1" customWidth="1"/>
    <col min="14" max="16384" width="7.75" style="58"/>
  </cols>
  <sheetData>
    <row r="1" spans="1:245" s="27" customFormat="1" ht="29.25" customHeight="1" x14ac:dyDescent="0.25">
      <c r="A1" s="23"/>
      <c r="B1" s="23"/>
      <c r="C1" s="26"/>
      <c r="D1" s="26"/>
      <c r="E1" s="26"/>
      <c r="F1" s="1225" t="s">
        <v>189</v>
      </c>
      <c r="G1" s="1225"/>
      <c r="H1" s="23"/>
      <c r="J1" s="23"/>
      <c r="K1" s="23"/>
      <c r="L1" s="23"/>
      <c r="M1" s="23"/>
    </row>
    <row r="2" spans="1:245" s="14" customFormat="1" ht="44.25" customHeight="1" x14ac:dyDescent="0.25">
      <c r="A2" s="1227" t="s">
        <v>190</v>
      </c>
      <c r="B2" s="1227"/>
      <c r="C2" s="1227"/>
      <c r="D2" s="1227"/>
      <c r="E2" s="1227"/>
      <c r="F2" s="1227"/>
      <c r="G2" s="1227"/>
      <c r="H2" s="241"/>
      <c r="I2" s="241"/>
      <c r="J2" s="241"/>
      <c r="K2" s="241"/>
      <c r="L2" s="241"/>
    </row>
    <row r="3" spans="1:245" s="14" customFormat="1" ht="40.5" customHeight="1" x14ac:dyDescent="0.25">
      <c r="A3" s="1228" t="str">
        <f>'B10-DA6'!A3:N3</f>
        <v>(Kèm theo Tờ trình số:          /TTr-UBND ngày          tháng 11 năm 2022 của UBND tỉnh)</v>
      </c>
      <c r="B3" s="1228"/>
      <c r="C3" s="1228"/>
      <c r="D3" s="1228"/>
      <c r="E3" s="1228"/>
      <c r="F3" s="1228"/>
      <c r="G3" s="1228"/>
      <c r="H3" s="242"/>
      <c r="I3" s="242"/>
      <c r="J3" s="242"/>
      <c r="K3" s="242"/>
      <c r="L3" s="242"/>
    </row>
    <row r="4" spans="1:245" s="27" customFormat="1" ht="27.75" customHeight="1" x14ac:dyDescent="0.25">
      <c r="A4" s="1212" t="s">
        <v>1</v>
      </c>
      <c r="B4" s="1212" t="s">
        <v>35</v>
      </c>
      <c r="C4" s="1216" t="s">
        <v>37</v>
      </c>
      <c r="D4" s="1212" t="s">
        <v>160</v>
      </c>
      <c r="E4" s="1212"/>
      <c r="F4" s="1212" t="s">
        <v>161</v>
      </c>
      <c r="G4" s="1212"/>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row>
    <row r="5" spans="1:245" s="27" customFormat="1" ht="46.5" customHeight="1" x14ac:dyDescent="0.25">
      <c r="A5" s="1212"/>
      <c r="B5" s="1212"/>
      <c r="C5" s="1217"/>
      <c r="D5" s="152" t="s">
        <v>162</v>
      </c>
      <c r="E5" s="152" t="s">
        <v>163</v>
      </c>
      <c r="F5" s="152" t="s">
        <v>162</v>
      </c>
      <c r="G5" s="152" t="s">
        <v>163</v>
      </c>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row>
    <row r="6" spans="1:245" s="29" customFormat="1" ht="46.5" customHeight="1" x14ac:dyDescent="0.25">
      <c r="A6" s="153">
        <v>1</v>
      </c>
      <c r="B6" s="155" t="s">
        <v>191</v>
      </c>
      <c r="C6" s="154">
        <f>ROUND(E6+G6,0)</f>
        <v>10063</v>
      </c>
      <c r="D6" s="368">
        <v>1</v>
      </c>
      <c r="E6" s="154">
        <v>9584</v>
      </c>
      <c r="F6" s="368">
        <v>0.05</v>
      </c>
      <c r="G6" s="154">
        <f>E6*F6</f>
        <v>479.20000000000005</v>
      </c>
    </row>
    <row r="7" spans="1:245" s="29" customFormat="1" ht="46.5" customHeight="1" x14ac:dyDescent="0.25">
      <c r="A7" s="1207" t="s">
        <v>67</v>
      </c>
      <c r="B7" s="1207"/>
      <c r="C7" s="158">
        <f>C6</f>
        <v>10063</v>
      </c>
      <c r="D7" s="158"/>
      <c r="E7" s="158">
        <f t="shared" ref="E7:G7" si="0">E6</f>
        <v>9584</v>
      </c>
      <c r="F7" s="158"/>
      <c r="G7" s="158">
        <f t="shared" si="0"/>
        <v>479.20000000000005</v>
      </c>
    </row>
    <row r="8" spans="1:245" s="65" customFormat="1" x14ac:dyDescent="0.25">
      <c r="I8" s="64"/>
    </row>
  </sheetData>
  <mergeCells count="9">
    <mergeCell ref="A7:B7"/>
    <mergeCell ref="A2:G2"/>
    <mergeCell ref="A3:G3"/>
    <mergeCell ref="F1:G1"/>
    <mergeCell ref="A4:A5"/>
    <mergeCell ref="B4:B5"/>
    <mergeCell ref="C4:C5"/>
    <mergeCell ref="D4:E4"/>
    <mergeCell ref="F4:G4"/>
  </mergeCells>
  <pageMargins left="0.7" right="0.7" top="0.75" bottom="0.75" header="0.3" footer="0.3"/>
  <pageSetup paperSize="9" scale="73" fitToHeight="0"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U16"/>
  <sheetViews>
    <sheetView topLeftCell="A4" zoomScaleNormal="100" workbookViewId="0">
      <pane xSplit="2" ySplit="1" topLeftCell="C5" activePane="bottomRight" state="frozen"/>
      <selection activeCell="A4" sqref="A4"/>
      <selection pane="topRight" activeCell="C4" sqref="C4"/>
      <selection pane="bottomLeft" activeCell="A5" sqref="A5"/>
      <selection pane="bottomRight" activeCell="P6" sqref="P6"/>
    </sheetView>
  </sheetViews>
  <sheetFormatPr defaultRowHeight="15.75" x14ac:dyDescent="0.25"/>
  <cols>
    <col min="1" max="1" width="5.875" style="68" customWidth="1"/>
    <col min="2" max="2" width="39.125" style="74" customWidth="1"/>
    <col min="3" max="3" width="10.75" style="68" customWidth="1"/>
    <col min="4" max="5" width="10.75" style="74" customWidth="1"/>
    <col min="6" max="9" width="10.75" style="243" customWidth="1"/>
    <col min="10" max="10" width="10.75" style="244" customWidth="1"/>
    <col min="11" max="13" width="10.75" style="74" customWidth="1"/>
    <col min="14" max="16384" width="9" style="74"/>
  </cols>
  <sheetData>
    <row r="1" spans="1:255" s="27" customFormat="1" ht="21.75" customHeight="1" x14ac:dyDescent="0.25">
      <c r="A1" s="23"/>
      <c r="B1" s="23"/>
      <c r="C1" s="101"/>
      <c r="D1" s="101"/>
      <c r="E1" s="101"/>
      <c r="F1" s="101"/>
      <c r="I1" s="23"/>
      <c r="K1" s="1225" t="s">
        <v>192</v>
      </c>
      <c r="L1" s="1225"/>
      <c r="M1" s="1225"/>
    </row>
    <row r="2" spans="1:255" ht="21.75" customHeight="1" x14ac:dyDescent="0.25">
      <c r="A2" s="1230" t="s">
        <v>193</v>
      </c>
      <c r="B2" s="1230"/>
      <c r="C2" s="1230"/>
      <c r="D2" s="1230"/>
      <c r="E2" s="1230"/>
      <c r="F2" s="1230"/>
      <c r="G2" s="1230"/>
      <c r="H2" s="1230"/>
      <c r="I2" s="1230"/>
      <c r="J2" s="1230"/>
      <c r="K2" s="1230"/>
      <c r="L2" s="1230"/>
      <c r="M2" s="1230"/>
    </row>
    <row r="3" spans="1:255" s="18" customFormat="1" ht="21.75" customHeight="1" x14ac:dyDescent="0.25">
      <c r="A3" s="1231" t="str">
        <f>'B11-DA7'!A3:L3</f>
        <v>(Kèm theo Tờ trình số:          /TTr-UBND ngày          tháng 11 năm 2022 của UBND tỉnh)</v>
      </c>
      <c r="B3" s="1232"/>
      <c r="C3" s="1232"/>
      <c r="D3" s="1232"/>
      <c r="E3" s="1232"/>
      <c r="F3" s="1232"/>
      <c r="G3" s="1232"/>
      <c r="H3" s="1232"/>
      <c r="I3" s="1232"/>
      <c r="J3" s="1232"/>
      <c r="K3" s="1232"/>
      <c r="L3" s="1232"/>
      <c r="M3" s="1232"/>
      <c r="N3" s="69"/>
      <c r="O3" s="69"/>
      <c r="P3" s="69"/>
      <c r="Q3" s="69"/>
      <c r="R3" s="69"/>
      <c r="S3" s="69"/>
      <c r="T3" s="69"/>
      <c r="U3" s="69"/>
      <c r="V3" s="69"/>
      <c r="W3" s="69"/>
      <c r="X3" s="69"/>
      <c r="Y3" s="69"/>
      <c r="Z3" s="1229"/>
      <c r="AA3" s="1229"/>
      <c r="AB3" s="1229"/>
      <c r="AC3" s="1229"/>
      <c r="AD3" s="1229"/>
      <c r="AE3" s="1229"/>
      <c r="AF3" s="1229"/>
      <c r="AG3" s="1229"/>
      <c r="AH3" s="1229"/>
      <c r="AI3" s="1229"/>
      <c r="AJ3" s="1229"/>
      <c r="AK3" s="1229"/>
      <c r="AL3" s="1229"/>
      <c r="AM3" s="1229"/>
      <c r="AN3" s="1229"/>
      <c r="AO3" s="1229"/>
      <c r="AP3" s="1229"/>
      <c r="AQ3" s="1229"/>
      <c r="AR3" s="1229"/>
      <c r="AS3" s="1229"/>
      <c r="AT3" s="1229"/>
      <c r="AU3" s="1229"/>
      <c r="AV3" s="1229"/>
      <c r="AW3" s="1229"/>
      <c r="AX3" s="1229"/>
      <c r="AY3" s="1229"/>
      <c r="AZ3" s="1229"/>
      <c r="BA3" s="1229"/>
      <c r="BB3" s="1229"/>
      <c r="BC3" s="1229"/>
      <c r="BD3" s="1229"/>
      <c r="BE3" s="1229"/>
      <c r="BF3" s="1229"/>
      <c r="BG3" s="1229"/>
      <c r="BH3" s="1229"/>
      <c r="BI3" s="1229"/>
      <c r="BJ3" s="1229"/>
      <c r="BK3" s="1229"/>
      <c r="BL3" s="1229"/>
      <c r="BM3" s="1229"/>
      <c r="BN3" s="1229"/>
      <c r="BO3" s="1229"/>
      <c r="BP3" s="1229"/>
      <c r="BQ3" s="1229"/>
      <c r="BR3" s="1229"/>
      <c r="BS3" s="1229"/>
      <c r="BT3" s="1229"/>
      <c r="BU3" s="1229"/>
      <c r="BV3" s="1229"/>
      <c r="BW3" s="1229"/>
      <c r="BX3" s="1229"/>
      <c r="BY3" s="1229"/>
      <c r="BZ3" s="1229"/>
      <c r="CA3" s="1229"/>
      <c r="CB3" s="1229"/>
      <c r="CC3" s="1229"/>
      <c r="CD3" s="1229"/>
      <c r="CE3" s="1229"/>
      <c r="CF3" s="1229"/>
      <c r="CG3" s="1229"/>
      <c r="CH3" s="1229"/>
      <c r="CI3" s="1229"/>
      <c r="CJ3" s="1229"/>
      <c r="CK3" s="1229"/>
      <c r="CL3" s="1229"/>
      <c r="CM3" s="1229"/>
      <c r="CN3" s="1229"/>
      <c r="CO3" s="1229"/>
      <c r="CP3" s="1229"/>
      <c r="CQ3" s="1229"/>
      <c r="CR3" s="1229"/>
      <c r="CS3" s="1229"/>
      <c r="CT3" s="1229"/>
      <c r="CU3" s="1229"/>
      <c r="CV3" s="1229"/>
      <c r="CW3" s="1229"/>
      <c r="CX3" s="1229"/>
      <c r="CY3" s="1229"/>
      <c r="CZ3" s="1229"/>
      <c r="DA3" s="1229"/>
      <c r="DB3" s="1229"/>
      <c r="DC3" s="1229"/>
      <c r="DD3" s="1229"/>
      <c r="DE3" s="1229"/>
      <c r="DF3" s="1229"/>
      <c r="DG3" s="1229"/>
      <c r="DH3" s="1229"/>
      <c r="DI3" s="1229"/>
      <c r="DJ3" s="1229"/>
      <c r="DK3" s="1229"/>
      <c r="DL3" s="1229"/>
      <c r="DM3" s="1229"/>
      <c r="DN3" s="1229"/>
      <c r="DO3" s="1229"/>
      <c r="DP3" s="1229"/>
      <c r="DQ3" s="1229"/>
      <c r="DR3" s="1229"/>
      <c r="DS3" s="1229"/>
      <c r="DT3" s="1229"/>
      <c r="DU3" s="1229"/>
      <c r="DV3" s="1229"/>
      <c r="DW3" s="1229"/>
      <c r="DX3" s="1229"/>
      <c r="DY3" s="1229"/>
      <c r="DZ3" s="1229"/>
      <c r="EA3" s="1229"/>
      <c r="EB3" s="1229"/>
      <c r="EC3" s="1229"/>
      <c r="ED3" s="1229"/>
      <c r="EE3" s="1229"/>
      <c r="EF3" s="1229"/>
      <c r="EG3" s="1229"/>
      <c r="EH3" s="1229"/>
      <c r="EI3" s="1229"/>
      <c r="EJ3" s="1229"/>
      <c r="EK3" s="1229"/>
      <c r="EL3" s="1229"/>
      <c r="EM3" s="1229"/>
      <c r="EN3" s="1229"/>
      <c r="EO3" s="1229"/>
      <c r="EP3" s="1229"/>
      <c r="EQ3" s="1229"/>
      <c r="ER3" s="1229"/>
      <c r="ES3" s="1229"/>
      <c r="ET3" s="1229"/>
      <c r="EU3" s="1229"/>
      <c r="EV3" s="1229"/>
      <c r="EW3" s="1229"/>
      <c r="EX3" s="1229"/>
      <c r="EY3" s="1229"/>
      <c r="EZ3" s="1229"/>
      <c r="FA3" s="1229"/>
      <c r="FB3" s="1229"/>
      <c r="FC3" s="1229"/>
      <c r="FD3" s="1229"/>
      <c r="FE3" s="1229"/>
      <c r="FF3" s="1229"/>
      <c r="FG3" s="1229"/>
      <c r="FH3" s="1229"/>
      <c r="FI3" s="1229"/>
      <c r="FJ3" s="1229"/>
      <c r="FK3" s="1229"/>
      <c r="FL3" s="1229"/>
      <c r="FM3" s="1229"/>
      <c r="FN3" s="1229"/>
      <c r="FO3" s="1229"/>
      <c r="FP3" s="1229"/>
      <c r="FQ3" s="1229"/>
      <c r="FR3" s="1229"/>
      <c r="FS3" s="1229"/>
      <c r="FT3" s="1229"/>
      <c r="FU3" s="1229"/>
      <c r="FV3" s="1229"/>
      <c r="FW3" s="1229"/>
      <c r="FX3" s="1229"/>
      <c r="FY3" s="1229"/>
      <c r="FZ3" s="1229"/>
      <c r="GA3" s="1229"/>
      <c r="GB3" s="1229"/>
      <c r="GC3" s="1229"/>
      <c r="GD3" s="1229"/>
      <c r="GE3" s="1229"/>
      <c r="GF3" s="1229"/>
      <c r="GG3" s="1229"/>
      <c r="GH3" s="1229"/>
      <c r="GI3" s="1229"/>
      <c r="GJ3" s="1229"/>
      <c r="GK3" s="1229"/>
      <c r="GL3" s="1229"/>
      <c r="GM3" s="1229"/>
      <c r="GN3" s="1229"/>
      <c r="GO3" s="1229"/>
      <c r="GP3" s="1229"/>
      <c r="GQ3" s="1229"/>
      <c r="GR3" s="1229"/>
      <c r="GS3" s="1229"/>
      <c r="GT3" s="1229"/>
      <c r="GU3" s="1229"/>
      <c r="GV3" s="1229"/>
      <c r="GW3" s="1229"/>
      <c r="GX3" s="1229"/>
      <c r="GY3" s="1229"/>
      <c r="GZ3" s="1229"/>
      <c r="HA3" s="1229"/>
      <c r="HB3" s="1229"/>
      <c r="HC3" s="1229"/>
      <c r="HD3" s="1229"/>
      <c r="HE3" s="1229"/>
      <c r="HF3" s="1229"/>
      <c r="HG3" s="1229"/>
      <c r="HH3" s="1229"/>
      <c r="HI3" s="1229"/>
      <c r="HJ3" s="1229"/>
      <c r="HK3" s="1229"/>
      <c r="HL3" s="1229"/>
      <c r="HM3" s="1229"/>
      <c r="HN3" s="1229"/>
      <c r="HO3" s="1229"/>
      <c r="HP3" s="1229"/>
      <c r="HQ3" s="1229"/>
      <c r="HR3" s="1229"/>
      <c r="HS3" s="1229"/>
      <c r="HT3" s="1229"/>
      <c r="HU3" s="1229"/>
      <c r="HV3" s="1229"/>
      <c r="HW3" s="1229"/>
      <c r="HX3" s="1229"/>
      <c r="HY3" s="1229"/>
      <c r="HZ3" s="1229"/>
      <c r="IA3" s="1229"/>
      <c r="IB3" s="1229"/>
      <c r="IC3" s="1229"/>
      <c r="ID3" s="1229"/>
      <c r="IE3" s="1229"/>
      <c r="IF3" s="1229"/>
      <c r="IG3" s="1229"/>
      <c r="IH3" s="1229"/>
      <c r="II3" s="1229"/>
      <c r="IJ3" s="1229"/>
      <c r="IK3" s="1229"/>
      <c r="IL3" s="1229"/>
      <c r="IM3" s="1229"/>
      <c r="IN3" s="1229"/>
      <c r="IO3" s="1229"/>
      <c r="IP3" s="1229"/>
      <c r="IQ3" s="1229"/>
      <c r="IR3" s="1229"/>
      <c r="IS3" s="1229"/>
      <c r="IT3" s="1229"/>
      <c r="IU3" s="1229"/>
    </row>
    <row r="4" spans="1:255" s="67" customFormat="1" ht="55.5" customHeight="1" x14ac:dyDescent="0.25">
      <c r="A4" s="66" t="s">
        <v>1</v>
      </c>
      <c r="B4" s="66" t="s">
        <v>35</v>
      </c>
      <c r="C4" s="66" t="s">
        <v>36</v>
      </c>
      <c r="D4" s="66" t="s">
        <v>37</v>
      </c>
      <c r="E4" s="66" t="s">
        <v>121</v>
      </c>
      <c r="F4" s="66" t="s">
        <v>38</v>
      </c>
      <c r="G4" s="66" t="s">
        <v>39</v>
      </c>
      <c r="H4" s="66" t="s">
        <v>40</v>
      </c>
      <c r="I4" s="66" t="s">
        <v>41</v>
      </c>
      <c r="J4" s="66" t="s">
        <v>42</v>
      </c>
      <c r="K4" s="66" t="s">
        <v>43</v>
      </c>
      <c r="L4" s="66" t="s">
        <v>44</v>
      </c>
      <c r="M4" s="66" t="s">
        <v>45</v>
      </c>
    </row>
    <row r="5" spans="1:255" s="67" customFormat="1" ht="22.5" customHeight="1" x14ac:dyDescent="0.25">
      <c r="A5" s="246" t="s">
        <v>46</v>
      </c>
      <c r="B5" s="247" t="s">
        <v>47</v>
      </c>
      <c r="C5" s="246"/>
      <c r="D5" s="246"/>
      <c r="E5" s="246"/>
      <c r="F5" s="246"/>
      <c r="G5" s="246"/>
      <c r="H5" s="246"/>
      <c r="I5" s="246"/>
      <c r="J5" s="246"/>
      <c r="K5" s="246"/>
      <c r="L5" s="246"/>
      <c r="M5" s="246"/>
    </row>
    <row r="6" spans="1:255" s="67" customFormat="1" ht="69.75" customHeight="1" x14ac:dyDescent="0.25">
      <c r="A6" s="248">
        <v>1</v>
      </c>
      <c r="B6" s="249" t="s">
        <v>122</v>
      </c>
      <c r="C6" s="248" t="s">
        <v>70</v>
      </c>
      <c r="D6" s="250">
        <f>SUM(F6:M6)</f>
        <v>69</v>
      </c>
      <c r="E6" s="250"/>
      <c r="F6" s="250">
        <v>8</v>
      </c>
      <c r="G6" s="250">
        <f>8+2</f>
        <v>10</v>
      </c>
      <c r="H6" s="250">
        <v>9</v>
      </c>
      <c r="I6" s="250">
        <v>8</v>
      </c>
      <c r="J6" s="250">
        <f>13+1</f>
        <v>14</v>
      </c>
      <c r="K6" s="250">
        <v>10</v>
      </c>
      <c r="L6" s="250">
        <v>10</v>
      </c>
      <c r="M6" s="250">
        <v>0</v>
      </c>
    </row>
    <row r="7" spans="1:255" s="67" customFormat="1" ht="55.5" customHeight="1" x14ac:dyDescent="0.25">
      <c r="A7" s="248">
        <v>2</v>
      </c>
      <c r="B7" s="249" t="s">
        <v>123</v>
      </c>
      <c r="C7" s="248" t="s">
        <v>73</v>
      </c>
      <c r="D7" s="250">
        <f>SUM(F7:M7)</f>
        <v>55</v>
      </c>
      <c r="E7" s="250"/>
      <c r="F7" s="250">
        <v>9</v>
      </c>
      <c r="G7" s="250">
        <v>13</v>
      </c>
      <c r="H7" s="250">
        <v>1</v>
      </c>
      <c r="I7" s="250">
        <v>10</v>
      </c>
      <c r="J7" s="250">
        <v>7</v>
      </c>
      <c r="K7" s="250">
        <v>0</v>
      </c>
      <c r="L7" s="250">
        <v>14</v>
      </c>
      <c r="M7" s="250">
        <v>1</v>
      </c>
    </row>
    <row r="8" spans="1:255" ht="22.5" customHeight="1" x14ac:dyDescent="0.25">
      <c r="A8" s="251" t="s">
        <v>31</v>
      </c>
      <c r="B8" s="252" t="s">
        <v>79</v>
      </c>
      <c r="C8" s="251"/>
      <c r="D8" s="253">
        <f>SUM(D9:D10)</f>
        <v>800</v>
      </c>
      <c r="E8" s="253"/>
      <c r="F8" s="253">
        <f t="shared" ref="F8:M8" si="0">SUM(F9:F10)</f>
        <v>98</v>
      </c>
      <c r="G8" s="253">
        <f t="shared" si="0"/>
        <v>126</v>
      </c>
      <c r="H8" s="253">
        <f t="shared" si="0"/>
        <v>92</v>
      </c>
      <c r="I8" s="253">
        <f t="shared" si="0"/>
        <v>100</v>
      </c>
      <c r="J8" s="253">
        <f t="shared" si="0"/>
        <v>154</v>
      </c>
      <c r="K8" s="253">
        <f t="shared" si="0"/>
        <v>100</v>
      </c>
      <c r="L8" s="253">
        <f t="shared" si="0"/>
        <v>128</v>
      </c>
      <c r="M8" s="253">
        <f t="shared" si="0"/>
        <v>2</v>
      </c>
    </row>
    <row r="9" spans="1:255" ht="69.75" customHeight="1" x14ac:dyDescent="0.25">
      <c r="A9" s="248">
        <v>1</v>
      </c>
      <c r="B9" s="249" t="s">
        <v>122</v>
      </c>
      <c r="C9" s="248">
        <v>10</v>
      </c>
      <c r="D9" s="250">
        <f>SUM(F9:M9)</f>
        <v>690</v>
      </c>
      <c r="E9" s="250"/>
      <c r="F9" s="250">
        <f>$C9*F6</f>
        <v>80</v>
      </c>
      <c r="G9" s="250">
        <f t="shared" ref="G9:M9" si="1">$C9*G6</f>
        <v>100</v>
      </c>
      <c r="H9" s="250">
        <f t="shared" si="1"/>
        <v>90</v>
      </c>
      <c r="I9" s="250">
        <f>$C9*I6</f>
        <v>80</v>
      </c>
      <c r="J9" s="250">
        <f t="shared" si="1"/>
        <v>140</v>
      </c>
      <c r="K9" s="250">
        <f t="shared" si="1"/>
        <v>100</v>
      </c>
      <c r="L9" s="250">
        <f t="shared" si="1"/>
        <v>100</v>
      </c>
      <c r="M9" s="250">
        <f t="shared" si="1"/>
        <v>0</v>
      </c>
    </row>
    <row r="10" spans="1:255" ht="55.5" customHeight="1" x14ac:dyDescent="0.25">
      <c r="A10" s="248">
        <v>2</v>
      </c>
      <c r="B10" s="249" t="s">
        <v>123</v>
      </c>
      <c r="C10" s="248">
        <v>2</v>
      </c>
      <c r="D10" s="250">
        <f>SUM(F10:M10)</f>
        <v>110</v>
      </c>
      <c r="E10" s="250"/>
      <c r="F10" s="250">
        <f>$C10*F7</f>
        <v>18</v>
      </c>
      <c r="G10" s="250">
        <f t="shared" ref="G10:M10" si="2">$C10*G7</f>
        <v>26</v>
      </c>
      <c r="H10" s="250">
        <f t="shared" si="2"/>
        <v>2</v>
      </c>
      <c r="I10" s="250">
        <f>$C10*I7</f>
        <v>20</v>
      </c>
      <c r="J10" s="250">
        <f t="shared" si="2"/>
        <v>14</v>
      </c>
      <c r="K10" s="250">
        <f t="shared" si="2"/>
        <v>0</v>
      </c>
      <c r="L10" s="250">
        <f t="shared" si="2"/>
        <v>28</v>
      </c>
      <c r="M10" s="250">
        <f t="shared" si="2"/>
        <v>2</v>
      </c>
    </row>
    <row r="11" spans="1:255" s="245" customFormat="1" ht="40.5" customHeight="1" x14ac:dyDescent="0.25">
      <c r="A11" s="254" t="s">
        <v>54</v>
      </c>
      <c r="B11" s="252" t="s">
        <v>195</v>
      </c>
      <c r="C11" s="251"/>
      <c r="D11" s="255">
        <v>23194</v>
      </c>
      <c r="E11" s="255">
        <f>E12</f>
        <v>2783</v>
      </c>
      <c r="F11" s="255">
        <f t="shared" ref="F11:M11" si="3">F12</f>
        <v>2500</v>
      </c>
      <c r="G11" s="255">
        <f t="shared" si="3"/>
        <v>3215</v>
      </c>
      <c r="H11" s="255">
        <f t="shared" si="3"/>
        <v>2347</v>
      </c>
      <c r="I11" s="255">
        <f t="shared" si="3"/>
        <v>2551</v>
      </c>
      <c r="J11" s="255">
        <f t="shared" si="3"/>
        <v>3929</v>
      </c>
      <c r="K11" s="255">
        <f t="shared" si="3"/>
        <v>2552</v>
      </c>
      <c r="L11" s="255">
        <f t="shared" si="3"/>
        <v>3266</v>
      </c>
      <c r="M11" s="255">
        <f t="shared" si="3"/>
        <v>51</v>
      </c>
    </row>
    <row r="12" spans="1:255" s="75" customFormat="1" ht="23.25" customHeight="1" x14ac:dyDescent="0.25">
      <c r="A12" s="256">
        <v>1</v>
      </c>
      <c r="B12" s="249" t="s">
        <v>194</v>
      </c>
      <c r="C12" s="248" t="s">
        <v>55</v>
      </c>
      <c r="D12" s="157">
        <f>SUM(E12:M12)</f>
        <v>23194</v>
      </c>
      <c r="E12" s="157">
        <f>ROUND(D11*12%,0)</f>
        <v>2783</v>
      </c>
      <c r="F12" s="157">
        <f>ROUND(($D$11-$E$11)/$D$8*F8,0)</f>
        <v>2500</v>
      </c>
      <c r="G12" s="157">
        <f>ROUND(($D$11-$E$11)/$D$8*G8,0)</f>
        <v>3215</v>
      </c>
      <c r="H12" s="157">
        <f>ROUND(($D$11-$E$11)/$D$8*H8,0)</f>
        <v>2347</v>
      </c>
      <c r="I12" s="157">
        <f t="shared" ref="I12:M12" si="4">ROUND(($D$11-$E$11)/$D$8*I8,0)</f>
        <v>2551</v>
      </c>
      <c r="J12" s="157">
        <f t="shared" si="4"/>
        <v>3929</v>
      </c>
      <c r="K12" s="157">
        <f>ROUND(($D$11-$E$11)/$D$8*K8+0.8,0)</f>
        <v>2552</v>
      </c>
      <c r="L12" s="157">
        <f t="shared" si="4"/>
        <v>3266</v>
      </c>
      <c r="M12" s="157">
        <f t="shared" si="4"/>
        <v>51</v>
      </c>
      <c r="N12" s="63"/>
    </row>
    <row r="13" spans="1:255" s="245" customFormat="1" ht="40.5" customHeight="1" x14ac:dyDescent="0.25">
      <c r="A13" s="254" t="s">
        <v>56</v>
      </c>
      <c r="B13" s="252" t="s">
        <v>265</v>
      </c>
      <c r="C13" s="251"/>
      <c r="D13" s="255">
        <f>D14</f>
        <v>1160</v>
      </c>
      <c r="E13" s="255">
        <f t="shared" ref="E13:M13" si="5">E14</f>
        <v>139</v>
      </c>
      <c r="F13" s="255">
        <f t="shared" si="5"/>
        <v>125</v>
      </c>
      <c r="G13" s="255">
        <f t="shared" si="5"/>
        <v>161</v>
      </c>
      <c r="H13" s="255">
        <f t="shared" si="5"/>
        <v>117</v>
      </c>
      <c r="I13" s="255">
        <f t="shared" si="5"/>
        <v>128</v>
      </c>
      <c r="J13" s="255">
        <f t="shared" si="5"/>
        <v>196</v>
      </c>
      <c r="K13" s="255">
        <f t="shared" si="5"/>
        <v>128</v>
      </c>
      <c r="L13" s="255">
        <f t="shared" si="5"/>
        <v>163</v>
      </c>
      <c r="M13" s="255">
        <f t="shared" si="5"/>
        <v>3</v>
      </c>
    </row>
    <row r="14" spans="1:255" s="75" customFormat="1" ht="23.25" customHeight="1" x14ac:dyDescent="0.25">
      <c r="A14" s="256">
        <v>1</v>
      </c>
      <c r="B14" s="249" t="s">
        <v>194</v>
      </c>
      <c r="C14" s="248" t="s">
        <v>55</v>
      </c>
      <c r="D14" s="157">
        <f>SUM(E14:M14)</f>
        <v>1160</v>
      </c>
      <c r="E14" s="157">
        <f>ROUND(E12*5%,0)</f>
        <v>139</v>
      </c>
      <c r="F14" s="157">
        <f>ROUND(F12*5%,0)</f>
        <v>125</v>
      </c>
      <c r="G14" s="157">
        <f t="shared" ref="G14:M14" si="6">ROUND(G12*5%,0)</f>
        <v>161</v>
      </c>
      <c r="H14" s="157">
        <f t="shared" si="6"/>
        <v>117</v>
      </c>
      <c r="I14" s="157">
        <f t="shared" si="6"/>
        <v>128</v>
      </c>
      <c r="J14" s="157">
        <f t="shared" si="6"/>
        <v>196</v>
      </c>
      <c r="K14" s="157">
        <f t="shared" si="6"/>
        <v>128</v>
      </c>
      <c r="L14" s="157">
        <f t="shared" si="6"/>
        <v>163</v>
      </c>
      <c r="M14" s="157">
        <f t="shared" si="6"/>
        <v>3</v>
      </c>
      <c r="N14" s="63"/>
    </row>
    <row r="15" spans="1:255" s="245" customFormat="1" ht="23.25" customHeight="1" x14ac:dyDescent="0.25">
      <c r="A15" s="254" t="s">
        <v>57</v>
      </c>
      <c r="B15" s="252" t="s">
        <v>150</v>
      </c>
      <c r="C15" s="251"/>
      <c r="D15" s="255">
        <f>D16</f>
        <v>24354</v>
      </c>
      <c r="E15" s="255">
        <f t="shared" ref="E15:M15" si="7">E16</f>
        <v>2922</v>
      </c>
      <c r="F15" s="255">
        <f t="shared" si="7"/>
        <v>2625</v>
      </c>
      <c r="G15" s="255">
        <f t="shared" si="7"/>
        <v>3376</v>
      </c>
      <c r="H15" s="255">
        <f t="shared" si="7"/>
        <v>2464</v>
      </c>
      <c r="I15" s="255">
        <f t="shared" si="7"/>
        <v>2679</v>
      </c>
      <c r="J15" s="255">
        <f t="shared" si="7"/>
        <v>4125</v>
      </c>
      <c r="K15" s="255">
        <f t="shared" si="7"/>
        <v>2680</v>
      </c>
      <c r="L15" s="255">
        <f t="shared" si="7"/>
        <v>3429</v>
      </c>
      <c r="M15" s="255">
        <f t="shared" si="7"/>
        <v>54</v>
      </c>
    </row>
    <row r="16" spans="1:255" s="75" customFormat="1" ht="23.25" customHeight="1" x14ac:dyDescent="0.25">
      <c r="A16" s="257">
        <v>1</v>
      </c>
      <c r="B16" s="258" t="s">
        <v>194</v>
      </c>
      <c r="C16" s="259" t="s">
        <v>55</v>
      </c>
      <c r="D16" s="260">
        <f>SUM(E16:M16)</f>
        <v>24354</v>
      </c>
      <c r="E16" s="260">
        <f>E12+E14</f>
        <v>2922</v>
      </c>
      <c r="F16" s="260">
        <f t="shared" ref="F16:M16" si="8">F12+F14</f>
        <v>2625</v>
      </c>
      <c r="G16" s="260">
        <f t="shared" si="8"/>
        <v>3376</v>
      </c>
      <c r="H16" s="260">
        <f t="shared" si="8"/>
        <v>2464</v>
      </c>
      <c r="I16" s="260">
        <f t="shared" si="8"/>
        <v>2679</v>
      </c>
      <c r="J16" s="260">
        <f t="shared" si="8"/>
        <v>4125</v>
      </c>
      <c r="K16" s="260">
        <f t="shared" si="8"/>
        <v>2680</v>
      </c>
      <c r="L16" s="260">
        <f t="shared" si="8"/>
        <v>3429</v>
      </c>
      <c r="M16" s="260">
        <f t="shared" si="8"/>
        <v>54</v>
      </c>
      <c r="N16" s="63"/>
    </row>
  </sheetData>
  <mergeCells count="21">
    <mergeCell ref="K1:M1"/>
    <mergeCell ref="Z3:AL3"/>
    <mergeCell ref="CM3:CY3"/>
    <mergeCell ref="CZ3:DL3"/>
    <mergeCell ref="GM3:GY3"/>
    <mergeCell ref="AM3:AY3"/>
    <mergeCell ref="AZ3:BL3"/>
    <mergeCell ref="BM3:BY3"/>
    <mergeCell ref="BZ3:CL3"/>
    <mergeCell ref="A2:M2"/>
    <mergeCell ref="A3:M3"/>
    <mergeCell ref="GZ3:HL3"/>
    <mergeCell ref="HM3:HY3"/>
    <mergeCell ref="FZ3:GL3"/>
    <mergeCell ref="IM3:IU3"/>
    <mergeCell ref="DM3:DY3"/>
    <mergeCell ref="DZ3:EL3"/>
    <mergeCell ref="EM3:EY3"/>
    <mergeCell ref="EZ3:FL3"/>
    <mergeCell ref="FM3:FY3"/>
    <mergeCell ref="HZ3:IL3"/>
  </mergeCells>
  <pageMargins left="0.48958333333333331" right="0.375" top="0.46875" bottom="0.75" header="0.3" footer="0.3"/>
  <pageSetup paperSize="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K8"/>
  <sheetViews>
    <sheetView zoomScale="85" zoomScaleNormal="85" workbookViewId="0">
      <selection activeCell="J11" sqref="J11"/>
    </sheetView>
  </sheetViews>
  <sheetFormatPr defaultColWidth="7.75" defaultRowHeight="15.75" x14ac:dyDescent="0.25"/>
  <cols>
    <col min="1" max="1" width="6.75" style="58" customWidth="1"/>
    <col min="2" max="2" width="40.5" style="58" customWidth="1"/>
    <col min="3" max="7" width="12.75" style="58" customWidth="1"/>
    <col min="8" max="8" width="11" style="58" customWidth="1"/>
    <col min="9" max="9" width="11" style="64" customWidth="1"/>
    <col min="10" max="11" width="11" style="65" customWidth="1"/>
    <col min="12" max="12" width="11" style="58" customWidth="1"/>
    <col min="13" max="13" width="11.125" style="58" bestFit="1" customWidth="1"/>
    <col min="14" max="16384" width="7.75" style="58"/>
  </cols>
  <sheetData>
    <row r="1" spans="1:245" s="27" customFormat="1" ht="29.25" customHeight="1" x14ac:dyDescent="0.25">
      <c r="A1" s="23"/>
      <c r="B1" s="23"/>
      <c r="C1" s="101"/>
      <c r="D1" s="101"/>
      <c r="E1" s="101"/>
      <c r="F1" s="1225" t="s">
        <v>196</v>
      </c>
      <c r="G1" s="1225"/>
      <c r="H1" s="23"/>
      <c r="J1" s="23"/>
      <c r="K1" s="23"/>
      <c r="L1" s="23"/>
      <c r="M1" s="23"/>
    </row>
    <row r="2" spans="1:245" s="14" customFormat="1" ht="44.25" customHeight="1" x14ac:dyDescent="0.25">
      <c r="A2" s="1227" t="s">
        <v>197</v>
      </c>
      <c r="B2" s="1227"/>
      <c r="C2" s="1227"/>
      <c r="D2" s="1227"/>
      <c r="E2" s="1227"/>
      <c r="F2" s="1227"/>
      <c r="G2" s="1227"/>
      <c r="H2" s="241"/>
      <c r="I2" s="241"/>
      <c r="J2" s="241"/>
      <c r="K2" s="241"/>
      <c r="L2" s="241"/>
    </row>
    <row r="3" spans="1:245" s="14" customFormat="1" ht="40.5" customHeight="1" x14ac:dyDescent="0.25">
      <c r="A3" s="1228" t="str">
        <f>'B10-DA6'!A3:N3</f>
        <v>(Kèm theo Tờ trình số:          /TTr-UBND ngày          tháng 11 năm 2022 của UBND tỉnh)</v>
      </c>
      <c r="B3" s="1228"/>
      <c r="C3" s="1228"/>
      <c r="D3" s="1228"/>
      <c r="E3" s="1228"/>
      <c r="F3" s="1228"/>
      <c r="G3" s="1228"/>
      <c r="H3" s="242"/>
      <c r="I3" s="242"/>
      <c r="J3" s="242"/>
      <c r="K3" s="242"/>
      <c r="L3" s="242"/>
    </row>
    <row r="4" spans="1:245" s="27" customFormat="1" ht="27.75" customHeight="1" x14ac:dyDescent="0.25">
      <c r="A4" s="1212" t="s">
        <v>1</v>
      </c>
      <c r="B4" s="1212" t="s">
        <v>35</v>
      </c>
      <c r="C4" s="1216" t="s">
        <v>37</v>
      </c>
      <c r="D4" s="1212" t="s">
        <v>160</v>
      </c>
      <c r="E4" s="1212"/>
      <c r="F4" s="1212" t="s">
        <v>161</v>
      </c>
      <c r="G4" s="1212"/>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row>
    <row r="5" spans="1:245" s="27" customFormat="1" ht="46.5" customHeight="1" x14ac:dyDescent="0.25">
      <c r="A5" s="1212"/>
      <c r="B5" s="1212"/>
      <c r="C5" s="1217"/>
      <c r="D5" s="152" t="s">
        <v>162</v>
      </c>
      <c r="E5" s="152" t="s">
        <v>198</v>
      </c>
      <c r="F5" s="152" t="s">
        <v>162</v>
      </c>
      <c r="G5" s="152" t="s">
        <v>198</v>
      </c>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row>
    <row r="6" spans="1:245" s="29" customFormat="1" ht="46.5" customHeight="1" x14ac:dyDescent="0.25">
      <c r="A6" s="153">
        <v>1</v>
      </c>
      <c r="B6" s="155" t="s">
        <v>199</v>
      </c>
      <c r="C6" s="154">
        <f>ROUND(E6+G6,0)</f>
        <v>13863</v>
      </c>
      <c r="D6" s="368">
        <v>1</v>
      </c>
      <c r="E6" s="154">
        <v>13203</v>
      </c>
      <c r="F6" s="368">
        <v>0.05</v>
      </c>
      <c r="G6" s="154">
        <f>E6*F6</f>
        <v>660.15000000000009</v>
      </c>
    </row>
    <row r="7" spans="1:245" s="29" customFormat="1" ht="46.5" customHeight="1" x14ac:dyDescent="0.25">
      <c r="A7" s="1207" t="s">
        <v>67</v>
      </c>
      <c r="B7" s="1207"/>
      <c r="C7" s="158">
        <f>C6</f>
        <v>13863</v>
      </c>
      <c r="D7" s="158"/>
      <c r="E7" s="158">
        <f t="shared" ref="E7:G7" si="0">E6</f>
        <v>13203</v>
      </c>
      <c r="F7" s="158"/>
      <c r="G7" s="158">
        <f t="shared" si="0"/>
        <v>660.15000000000009</v>
      </c>
    </row>
    <row r="8" spans="1:245" s="65" customFormat="1" x14ac:dyDescent="0.25">
      <c r="I8" s="64"/>
    </row>
  </sheetData>
  <mergeCells count="9">
    <mergeCell ref="A7:B7"/>
    <mergeCell ref="F1:G1"/>
    <mergeCell ref="A2:G2"/>
    <mergeCell ref="A3:G3"/>
    <mergeCell ref="A4:A5"/>
    <mergeCell ref="B4:B5"/>
    <mergeCell ref="C4:C5"/>
    <mergeCell ref="D4:E4"/>
    <mergeCell ref="F4:G4"/>
  </mergeCells>
  <pageMargins left="0.7" right="0.7" top="0.75" bottom="0.75" header="0.3" footer="0.3"/>
  <pageSetup paperSize="9" scale="73" fitToHeight="0"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3"/>
  <sheetViews>
    <sheetView topLeftCell="A4" zoomScaleNormal="100" workbookViewId="0">
      <pane xSplit="2" ySplit="1" topLeftCell="C5" activePane="bottomRight" state="frozen"/>
      <selection activeCell="A4" sqref="A4"/>
      <selection pane="topRight" activeCell="C4" sqref="C4"/>
      <selection pane="bottomLeft" activeCell="A5" sqref="A5"/>
      <selection pane="bottomRight" activeCell="R14" sqref="R14"/>
    </sheetView>
  </sheetViews>
  <sheetFormatPr defaultRowHeight="15.75" x14ac:dyDescent="0.25"/>
  <cols>
    <col min="1" max="1" width="6.375" style="73" customWidth="1"/>
    <col min="2" max="2" width="38.625" style="75" customWidth="1"/>
    <col min="3" max="3" width="9.5" style="73" customWidth="1"/>
    <col min="4" max="5" width="9.25" style="72" customWidth="1"/>
    <col min="6" max="13" width="9.25" style="73" customWidth="1"/>
    <col min="14" max="14" width="9.25" style="75" customWidth="1"/>
    <col min="15" max="16384" width="9" style="75"/>
  </cols>
  <sheetData>
    <row r="1" spans="1:256" s="27" customFormat="1" ht="21.75" customHeight="1" x14ac:dyDescent="0.25">
      <c r="A1" s="23"/>
      <c r="B1" s="23"/>
      <c r="C1" s="101"/>
      <c r="D1" s="101"/>
      <c r="E1" s="101"/>
      <c r="F1" s="101"/>
      <c r="G1" s="101"/>
      <c r="H1" s="77"/>
      <c r="I1" s="77"/>
      <c r="J1" s="101"/>
      <c r="K1" s="77"/>
      <c r="L1" s="1225" t="s">
        <v>200</v>
      </c>
      <c r="M1" s="1225"/>
      <c r="N1" s="1225"/>
    </row>
    <row r="2" spans="1:256" s="74" customFormat="1" ht="46.5" customHeight="1" x14ac:dyDescent="0.25">
      <c r="A2" s="1229" t="s">
        <v>127</v>
      </c>
      <c r="B2" s="1229"/>
      <c r="C2" s="1229"/>
      <c r="D2" s="1229"/>
      <c r="E2" s="1229"/>
      <c r="F2" s="1229"/>
      <c r="G2" s="1229"/>
      <c r="H2" s="1229"/>
      <c r="I2" s="1229"/>
      <c r="J2" s="1229"/>
      <c r="K2" s="1229"/>
      <c r="L2" s="1229"/>
      <c r="M2" s="1229"/>
      <c r="N2" s="69"/>
    </row>
    <row r="3" spans="1:256" s="18" customFormat="1" ht="21.75" customHeight="1" x14ac:dyDescent="0.25">
      <c r="A3" s="1231" t="str">
        <f>'B12-DA8'!A3:M3</f>
        <v>(Kèm theo Tờ trình số:          /TTr-UBND ngày          tháng 11 năm 2022 của UBND tỉnh)</v>
      </c>
      <c r="B3" s="1232"/>
      <c r="C3" s="1232"/>
      <c r="D3" s="1232"/>
      <c r="E3" s="1232"/>
      <c r="F3" s="1232"/>
      <c r="G3" s="1232"/>
      <c r="H3" s="1232"/>
      <c r="I3" s="1232"/>
      <c r="J3" s="1232"/>
      <c r="K3" s="1232"/>
      <c r="L3" s="1232"/>
      <c r="M3" s="1232"/>
      <c r="N3" s="1232"/>
      <c r="O3" s="1229"/>
      <c r="P3" s="1229"/>
      <c r="Q3" s="1229"/>
      <c r="R3" s="1229"/>
      <c r="S3" s="1229"/>
      <c r="T3" s="1229"/>
      <c r="U3" s="1229"/>
      <c r="V3" s="1229"/>
      <c r="W3" s="1229"/>
      <c r="X3" s="1229"/>
      <c r="Y3" s="1229"/>
      <c r="Z3" s="1229"/>
      <c r="AA3" s="1229"/>
      <c r="AB3" s="1229"/>
      <c r="AC3" s="1229"/>
      <c r="AD3" s="1229"/>
      <c r="AE3" s="1229"/>
      <c r="AF3" s="1229"/>
      <c r="AG3" s="1229"/>
      <c r="AH3" s="1229"/>
      <c r="AI3" s="1229"/>
      <c r="AJ3" s="1229"/>
      <c r="AK3" s="1229"/>
      <c r="AL3" s="1229"/>
      <c r="AM3" s="1229"/>
      <c r="AN3" s="1229"/>
      <c r="AO3" s="1229"/>
      <c r="AP3" s="1229"/>
      <c r="AQ3" s="1229"/>
      <c r="AR3" s="1229"/>
      <c r="AS3" s="1229"/>
      <c r="AT3" s="1229"/>
      <c r="AU3" s="1229"/>
      <c r="AV3" s="1229"/>
      <c r="AW3" s="1229"/>
      <c r="AX3" s="1229"/>
      <c r="AY3" s="1229"/>
      <c r="AZ3" s="1229"/>
      <c r="BA3" s="1229"/>
      <c r="BB3" s="1229"/>
      <c r="BC3" s="1229"/>
      <c r="BD3" s="1229"/>
      <c r="BE3" s="1229"/>
      <c r="BF3" s="1229"/>
      <c r="BG3" s="1229"/>
      <c r="BH3" s="1229"/>
      <c r="BI3" s="1229"/>
      <c r="BJ3" s="1229"/>
      <c r="BK3" s="1229"/>
      <c r="BL3" s="1229"/>
      <c r="BM3" s="1229"/>
      <c r="BN3" s="1229"/>
      <c r="BO3" s="1229"/>
      <c r="BP3" s="1229"/>
      <c r="BQ3" s="1229"/>
      <c r="BR3" s="1229"/>
      <c r="BS3" s="1229"/>
      <c r="BT3" s="1229"/>
      <c r="BU3" s="1229"/>
      <c r="BV3" s="1229"/>
      <c r="BW3" s="1229"/>
      <c r="BX3" s="1229"/>
      <c r="BY3" s="1229"/>
      <c r="BZ3" s="1229"/>
      <c r="CA3" s="1229"/>
      <c r="CB3" s="1229"/>
      <c r="CC3" s="1229"/>
      <c r="CD3" s="1229"/>
      <c r="CE3" s="1229"/>
      <c r="CF3" s="1229"/>
      <c r="CG3" s="1229"/>
      <c r="CH3" s="1229"/>
      <c r="CI3" s="1229"/>
      <c r="CJ3" s="1229"/>
      <c r="CK3" s="1229"/>
      <c r="CL3" s="1229"/>
      <c r="CM3" s="1229"/>
      <c r="CN3" s="1229"/>
      <c r="CO3" s="1229"/>
      <c r="CP3" s="1229"/>
      <c r="CQ3" s="1229"/>
      <c r="CR3" s="1229"/>
      <c r="CS3" s="1229"/>
      <c r="CT3" s="1229"/>
      <c r="CU3" s="1229"/>
      <c r="CV3" s="1229"/>
      <c r="CW3" s="1229"/>
      <c r="CX3" s="1229"/>
      <c r="CY3" s="1229"/>
      <c r="CZ3" s="1229"/>
      <c r="DA3" s="1229"/>
      <c r="DB3" s="1229"/>
      <c r="DC3" s="1229"/>
      <c r="DD3" s="1229"/>
      <c r="DE3" s="1229"/>
      <c r="DF3" s="1229"/>
      <c r="DG3" s="1229"/>
      <c r="DH3" s="1229"/>
      <c r="DI3" s="1229"/>
      <c r="DJ3" s="1229"/>
      <c r="DK3" s="1229"/>
      <c r="DL3" s="1229"/>
      <c r="DM3" s="1229"/>
      <c r="DN3" s="1229"/>
      <c r="DO3" s="1229"/>
      <c r="DP3" s="1229"/>
      <c r="DQ3" s="1229"/>
      <c r="DR3" s="1229"/>
      <c r="DS3" s="1229"/>
      <c r="DT3" s="1229"/>
      <c r="DU3" s="1229"/>
      <c r="DV3" s="1229"/>
      <c r="DW3" s="1229"/>
      <c r="DX3" s="1229"/>
      <c r="DY3" s="1229"/>
      <c r="DZ3" s="1229"/>
      <c r="EA3" s="1229"/>
      <c r="EB3" s="1229"/>
      <c r="EC3" s="1229"/>
      <c r="ED3" s="1229"/>
      <c r="EE3" s="1229"/>
      <c r="EF3" s="1229"/>
      <c r="EG3" s="1229"/>
      <c r="EH3" s="1229"/>
      <c r="EI3" s="1229"/>
      <c r="EJ3" s="1229"/>
      <c r="EK3" s="1229"/>
      <c r="EL3" s="1229"/>
      <c r="EM3" s="1229"/>
      <c r="EN3" s="1229"/>
      <c r="EO3" s="1229"/>
      <c r="EP3" s="1229"/>
      <c r="EQ3" s="1229"/>
      <c r="ER3" s="1229"/>
      <c r="ES3" s="1229"/>
      <c r="ET3" s="1229"/>
      <c r="EU3" s="1229"/>
      <c r="EV3" s="1229"/>
      <c r="EW3" s="1229"/>
      <c r="EX3" s="1229"/>
      <c r="EY3" s="1229"/>
      <c r="EZ3" s="1229"/>
      <c r="FA3" s="1229"/>
      <c r="FB3" s="1229"/>
      <c r="FC3" s="1229"/>
      <c r="FD3" s="1229"/>
      <c r="FE3" s="1229"/>
      <c r="FF3" s="1229"/>
      <c r="FG3" s="1229"/>
      <c r="FH3" s="1229"/>
      <c r="FI3" s="1229"/>
      <c r="FJ3" s="1229"/>
      <c r="FK3" s="1229"/>
      <c r="FL3" s="1229"/>
      <c r="FM3" s="1229"/>
      <c r="FN3" s="1229"/>
      <c r="FO3" s="1229"/>
      <c r="FP3" s="1229"/>
      <c r="FQ3" s="1229"/>
      <c r="FR3" s="1229"/>
      <c r="FS3" s="1229"/>
      <c r="FT3" s="1229"/>
      <c r="FU3" s="1229"/>
      <c r="FV3" s="1229"/>
      <c r="FW3" s="1229"/>
      <c r="FX3" s="1229"/>
      <c r="FY3" s="1229"/>
      <c r="FZ3" s="1229"/>
      <c r="GA3" s="1229"/>
      <c r="GB3" s="1229"/>
      <c r="GC3" s="1229"/>
      <c r="GD3" s="1229"/>
      <c r="GE3" s="1229"/>
      <c r="GF3" s="1229"/>
      <c r="GG3" s="1229"/>
      <c r="GH3" s="1229"/>
      <c r="GI3" s="1229"/>
      <c r="GJ3" s="1229"/>
      <c r="GK3" s="1229"/>
      <c r="GL3" s="1229"/>
      <c r="GM3" s="1229"/>
      <c r="GN3" s="1229"/>
      <c r="GO3" s="1229"/>
      <c r="GP3" s="1229"/>
      <c r="GQ3" s="1229"/>
      <c r="GR3" s="1229"/>
      <c r="GS3" s="1229"/>
      <c r="GT3" s="1229"/>
      <c r="GU3" s="1229"/>
      <c r="GV3" s="1229"/>
      <c r="GW3" s="1229"/>
      <c r="GX3" s="1229"/>
      <c r="GY3" s="1229"/>
      <c r="GZ3" s="1229"/>
      <c r="HA3" s="1229"/>
      <c r="HB3" s="1229"/>
      <c r="HC3" s="1229"/>
      <c r="HD3" s="1229"/>
      <c r="HE3" s="1229"/>
      <c r="HF3" s="1229"/>
      <c r="HG3" s="1229"/>
      <c r="HH3" s="1229"/>
      <c r="HI3" s="1229"/>
      <c r="HJ3" s="1229"/>
      <c r="HK3" s="1229"/>
      <c r="HL3" s="1229"/>
      <c r="HM3" s="1229"/>
      <c r="HN3" s="1229"/>
      <c r="HO3" s="1229"/>
      <c r="HP3" s="1229"/>
      <c r="HQ3" s="1229"/>
      <c r="HR3" s="1229"/>
      <c r="HS3" s="1229"/>
      <c r="HT3" s="1229"/>
      <c r="HU3" s="1229"/>
      <c r="HV3" s="1229"/>
      <c r="HW3" s="1229"/>
      <c r="HX3" s="1229"/>
      <c r="HY3" s="1229"/>
      <c r="HZ3" s="1229"/>
      <c r="IA3" s="1229"/>
      <c r="IB3" s="1229"/>
      <c r="IC3" s="1229"/>
      <c r="ID3" s="1229"/>
      <c r="IE3" s="1229"/>
      <c r="IF3" s="1229"/>
      <c r="IG3" s="1229"/>
      <c r="IH3" s="1229"/>
      <c r="II3" s="1229"/>
      <c r="IJ3" s="1229"/>
      <c r="IK3" s="1229"/>
      <c r="IL3" s="1229"/>
      <c r="IM3" s="1229"/>
      <c r="IN3" s="1229"/>
      <c r="IO3" s="1229"/>
      <c r="IP3" s="1229"/>
      <c r="IQ3" s="1229"/>
      <c r="IR3" s="1229"/>
      <c r="IS3" s="1229"/>
      <c r="IT3" s="1229"/>
      <c r="IU3" s="1229"/>
      <c r="IV3" s="1229"/>
    </row>
    <row r="4" spans="1:256" s="72" customFormat="1" ht="47.25" x14ac:dyDescent="0.25">
      <c r="A4" s="70" t="s">
        <v>1</v>
      </c>
      <c r="B4" s="70" t="s">
        <v>35</v>
      </c>
      <c r="C4" s="70" t="s">
        <v>36</v>
      </c>
      <c r="D4" s="70" t="s">
        <v>37</v>
      </c>
      <c r="E4" s="70" t="s">
        <v>129</v>
      </c>
      <c r="F4" s="70" t="s">
        <v>117</v>
      </c>
      <c r="G4" s="70" t="s">
        <v>38</v>
      </c>
      <c r="H4" s="70" t="s">
        <v>39</v>
      </c>
      <c r="I4" s="71" t="s">
        <v>40</v>
      </c>
      <c r="J4" s="71" t="s">
        <v>41</v>
      </c>
      <c r="K4" s="70" t="s">
        <v>42</v>
      </c>
      <c r="L4" s="70" t="s">
        <v>43</v>
      </c>
      <c r="M4" s="70" t="s">
        <v>44</v>
      </c>
      <c r="N4" s="70" t="s">
        <v>45</v>
      </c>
    </row>
    <row r="5" spans="1:256" s="72" customFormat="1" ht="21.75" customHeight="1" x14ac:dyDescent="0.25">
      <c r="A5" s="261" t="s">
        <v>46</v>
      </c>
      <c r="B5" s="262" t="s">
        <v>47</v>
      </c>
      <c r="C5" s="261"/>
      <c r="D5" s="261"/>
      <c r="E5" s="261"/>
      <c r="F5" s="261"/>
      <c r="G5" s="261"/>
      <c r="H5" s="261"/>
      <c r="I5" s="261"/>
      <c r="J5" s="261"/>
      <c r="K5" s="261"/>
      <c r="L5" s="261"/>
      <c r="M5" s="261"/>
      <c r="N5" s="261"/>
    </row>
    <row r="6" spans="1:256" s="72" customFormat="1" ht="21.75" customHeight="1" x14ac:dyDescent="0.25">
      <c r="A6" s="263">
        <v>1</v>
      </c>
      <c r="B6" s="264" t="s">
        <v>124</v>
      </c>
      <c r="C6" s="263" t="s">
        <v>78</v>
      </c>
      <c r="D6" s="265">
        <f>SUM(G6:N6)</f>
        <v>28.629999999999995</v>
      </c>
      <c r="E6" s="266"/>
      <c r="F6" s="266"/>
      <c r="G6" s="265">
        <v>2.0499999999999998</v>
      </c>
      <c r="H6" s="265">
        <v>4.6900000000000004</v>
      </c>
      <c r="I6" s="265">
        <v>7.19</v>
      </c>
      <c r="J6" s="265">
        <v>0</v>
      </c>
      <c r="K6" s="265">
        <v>2.2000000000000002</v>
      </c>
      <c r="L6" s="265">
        <v>8.67</v>
      </c>
      <c r="M6" s="265">
        <v>3.83</v>
      </c>
      <c r="N6" s="265"/>
    </row>
    <row r="7" spans="1:256" s="72" customFormat="1" ht="21.75" customHeight="1" x14ac:dyDescent="0.25">
      <c r="A7" s="263">
        <v>2</v>
      </c>
      <c r="B7" s="267" t="s">
        <v>118</v>
      </c>
      <c r="C7" s="268" t="s">
        <v>70</v>
      </c>
      <c r="D7" s="265">
        <f t="shared" ref="D7:D10" si="0">SUM(G7:N7)</f>
        <v>66</v>
      </c>
      <c r="E7" s="269"/>
      <c r="F7" s="266"/>
      <c r="G7" s="270">
        <v>8</v>
      </c>
      <c r="H7" s="270">
        <v>8</v>
      </c>
      <c r="I7" s="270">
        <v>9</v>
      </c>
      <c r="J7" s="270">
        <v>8</v>
      </c>
      <c r="K7" s="270">
        <v>13</v>
      </c>
      <c r="L7" s="270">
        <v>10</v>
      </c>
      <c r="M7" s="270">
        <f>11-1</f>
        <v>10</v>
      </c>
      <c r="N7" s="270">
        <v>0</v>
      </c>
    </row>
    <row r="8" spans="1:256" s="72" customFormat="1" ht="21.75" customHeight="1" x14ac:dyDescent="0.25">
      <c r="A8" s="263">
        <v>3</v>
      </c>
      <c r="B8" s="267" t="s">
        <v>119</v>
      </c>
      <c r="C8" s="268" t="s">
        <v>70</v>
      </c>
      <c r="D8" s="265">
        <f t="shared" si="0"/>
        <v>4</v>
      </c>
      <c r="E8" s="269"/>
      <c r="F8" s="266"/>
      <c r="G8" s="270">
        <v>1</v>
      </c>
      <c r="H8" s="270">
        <v>1</v>
      </c>
      <c r="I8" s="270">
        <v>0</v>
      </c>
      <c r="J8" s="270">
        <v>1</v>
      </c>
      <c r="K8" s="270">
        <f>2-1</f>
        <v>1</v>
      </c>
      <c r="L8" s="270">
        <v>0</v>
      </c>
      <c r="M8" s="270">
        <f>2-2</f>
        <v>0</v>
      </c>
      <c r="N8" s="270"/>
    </row>
    <row r="9" spans="1:256" s="72" customFormat="1" ht="21.75" customHeight="1" x14ac:dyDescent="0.25">
      <c r="A9" s="263">
        <v>4</v>
      </c>
      <c r="B9" s="267" t="s">
        <v>120</v>
      </c>
      <c r="C9" s="268" t="s">
        <v>70</v>
      </c>
      <c r="D9" s="265">
        <f t="shared" si="0"/>
        <v>38</v>
      </c>
      <c r="E9" s="269"/>
      <c r="F9" s="266"/>
      <c r="G9" s="270">
        <v>5</v>
      </c>
      <c r="H9" s="270">
        <v>11</v>
      </c>
      <c r="I9" s="270">
        <v>1</v>
      </c>
      <c r="J9" s="270">
        <v>5</v>
      </c>
      <c r="K9" s="270">
        <f>2+1</f>
        <v>3</v>
      </c>
      <c r="L9" s="270">
        <v>0</v>
      </c>
      <c r="M9" s="270">
        <f>3+2</f>
        <v>5</v>
      </c>
      <c r="N9" s="270">
        <v>8</v>
      </c>
    </row>
    <row r="10" spans="1:256" ht="36.75" customHeight="1" x14ac:dyDescent="0.25">
      <c r="A10" s="263">
        <v>6</v>
      </c>
      <c r="B10" s="264" t="s">
        <v>125</v>
      </c>
      <c r="C10" s="263" t="s">
        <v>126</v>
      </c>
      <c r="D10" s="265">
        <f t="shared" si="0"/>
        <v>14</v>
      </c>
      <c r="E10" s="266"/>
      <c r="F10" s="265"/>
      <c r="G10" s="265">
        <v>2</v>
      </c>
      <c r="H10" s="265">
        <v>3</v>
      </c>
      <c r="I10" s="265">
        <v>2</v>
      </c>
      <c r="J10" s="265">
        <v>0</v>
      </c>
      <c r="K10" s="265">
        <v>2</v>
      </c>
      <c r="L10" s="265">
        <v>3</v>
      </c>
      <c r="M10" s="265">
        <v>2</v>
      </c>
      <c r="N10" s="265">
        <v>0</v>
      </c>
    </row>
    <row r="11" spans="1:256" s="76" customFormat="1" ht="21.75" customHeight="1" x14ac:dyDescent="0.25">
      <c r="A11" s="251" t="s">
        <v>31</v>
      </c>
      <c r="B11" s="252" t="s">
        <v>79</v>
      </c>
      <c r="C11" s="271" t="s">
        <v>128</v>
      </c>
      <c r="D11" s="266">
        <f>SUM(D12:D16)</f>
        <v>413.15</v>
      </c>
      <c r="E11" s="266"/>
      <c r="F11" s="266"/>
      <c r="G11" s="266">
        <f t="shared" ref="G11:N11" si="1">SUM(G12:G16)</f>
        <v>44.75</v>
      </c>
      <c r="H11" s="266">
        <f t="shared" si="1"/>
        <v>65.95</v>
      </c>
      <c r="I11" s="266">
        <f t="shared" si="1"/>
        <v>67.95</v>
      </c>
      <c r="J11" s="266">
        <f t="shared" si="1"/>
        <v>30.5</v>
      </c>
      <c r="K11" s="266">
        <f t="shared" si="1"/>
        <v>58.5</v>
      </c>
      <c r="L11" s="266">
        <f t="shared" si="1"/>
        <v>79.349999999999994</v>
      </c>
      <c r="M11" s="266">
        <f t="shared" si="1"/>
        <v>58.15</v>
      </c>
      <c r="N11" s="266">
        <f t="shared" si="1"/>
        <v>8</v>
      </c>
    </row>
    <row r="12" spans="1:256" ht="21.75" customHeight="1" x14ac:dyDescent="0.25">
      <c r="A12" s="263">
        <v>1</v>
      </c>
      <c r="B12" s="264" t="s">
        <v>124</v>
      </c>
      <c r="C12" s="263">
        <v>5</v>
      </c>
      <c r="D12" s="265">
        <f>SUM(G12:N12)</f>
        <v>143.15</v>
      </c>
      <c r="E12" s="266"/>
      <c r="F12" s="265"/>
      <c r="G12" s="265">
        <f>G6*$C$12</f>
        <v>10.25</v>
      </c>
      <c r="H12" s="265">
        <f t="shared" ref="H12:N12" si="2">H6*$C$12</f>
        <v>23.450000000000003</v>
      </c>
      <c r="I12" s="265">
        <f t="shared" si="2"/>
        <v>35.950000000000003</v>
      </c>
      <c r="J12" s="265">
        <f t="shared" si="2"/>
        <v>0</v>
      </c>
      <c r="K12" s="265">
        <f t="shared" si="2"/>
        <v>11</v>
      </c>
      <c r="L12" s="265">
        <f t="shared" si="2"/>
        <v>43.35</v>
      </c>
      <c r="M12" s="265">
        <f t="shared" si="2"/>
        <v>19.149999999999999</v>
      </c>
      <c r="N12" s="265">
        <f t="shared" si="2"/>
        <v>0</v>
      </c>
    </row>
    <row r="13" spans="1:256" ht="21.75" customHeight="1" x14ac:dyDescent="0.25">
      <c r="A13" s="263">
        <v>2</v>
      </c>
      <c r="B13" s="267" t="s">
        <v>118</v>
      </c>
      <c r="C13" s="263">
        <v>3</v>
      </c>
      <c r="D13" s="265">
        <f t="shared" ref="D13:D16" si="3">SUM(G13:N13)</f>
        <v>198</v>
      </c>
      <c r="E13" s="266"/>
      <c r="F13" s="265"/>
      <c r="G13" s="265">
        <f>G7*$C$13</f>
        <v>24</v>
      </c>
      <c r="H13" s="265">
        <f t="shared" ref="H13:N13" si="4">H7*$C$13</f>
        <v>24</v>
      </c>
      <c r="I13" s="265">
        <f t="shared" si="4"/>
        <v>27</v>
      </c>
      <c r="J13" s="265">
        <f t="shared" si="4"/>
        <v>24</v>
      </c>
      <c r="K13" s="265">
        <f t="shared" si="4"/>
        <v>39</v>
      </c>
      <c r="L13" s="265">
        <f t="shared" si="4"/>
        <v>30</v>
      </c>
      <c r="M13" s="265">
        <f t="shared" si="4"/>
        <v>30</v>
      </c>
      <c r="N13" s="265">
        <f t="shared" si="4"/>
        <v>0</v>
      </c>
    </row>
    <row r="14" spans="1:256" ht="21.75" customHeight="1" x14ac:dyDescent="0.25">
      <c r="A14" s="263">
        <v>3</v>
      </c>
      <c r="B14" s="267" t="s">
        <v>119</v>
      </c>
      <c r="C14" s="263">
        <v>1.5</v>
      </c>
      <c r="D14" s="265">
        <f t="shared" si="3"/>
        <v>6</v>
      </c>
      <c r="E14" s="266"/>
      <c r="F14" s="265"/>
      <c r="G14" s="265">
        <f>G8*$C$14</f>
        <v>1.5</v>
      </c>
      <c r="H14" s="265">
        <f t="shared" ref="H14:N14" si="5">H8*$C$14</f>
        <v>1.5</v>
      </c>
      <c r="I14" s="265">
        <f t="shared" si="5"/>
        <v>0</v>
      </c>
      <c r="J14" s="265">
        <f t="shared" si="5"/>
        <v>1.5</v>
      </c>
      <c r="K14" s="265">
        <f t="shared" si="5"/>
        <v>1.5</v>
      </c>
      <c r="L14" s="265">
        <f t="shared" si="5"/>
        <v>0</v>
      </c>
      <c r="M14" s="265">
        <f t="shared" si="5"/>
        <v>0</v>
      </c>
      <c r="N14" s="265">
        <f t="shared" si="5"/>
        <v>0</v>
      </c>
    </row>
    <row r="15" spans="1:256" ht="21.75" customHeight="1" x14ac:dyDescent="0.25">
      <c r="A15" s="263">
        <v>4</v>
      </c>
      <c r="B15" s="267" t="s">
        <v>120</v>
      </c>
      <c r="C15" s="263">
        <v>1</v>
      </c>
      <c r="D15" s="265">
        <f t="shared" si="3"/>
        <v>38</v>
      </c>
      <c r="E15" s="266"/>
      <c r="F15" s="265"/>
      <c r="G15" s="265">
        <f>G9*$C$15</f>
        <v>5</v>
      </c>
      <c r="H15" s="265">
        <f t="shared" ref="H15:N15" si="6">H9*$C$15</f>
        <v>11</v>
      </c>
      <c r="I15" s="265">
        <f t="shared" si="6"/>
        <v>1</v>
      </c>
      <c r="J15" s="265">
        <f t="shared" si="6"/>
        <v>5</v>
      </c>
      <c r="K15" s="265">
        <f t="shared" si="6"/>
        <v>3</v>
      </c>
      <c r="L15" s="265">
        <f t="shared" si="6"/>
        <v>0</v>
      </c>
      <c r="M15" s="265">
        <f t="shared" si="6"/>
        <v>5</v>
      </c>
      <c r="N15" s="265">
        <f t="shared" si="6"/>
        <v>8</v>
      </c>
    </row>
    <row r="16" spans="1:256" ht="36.75" customHeight="1" x14ac:dyDescent="0.25">
      <c r="A16" s="263">
        <v>6</v>
      </c>
      <c r="B16" s="264" t="s">
        <v>125</v>
      </c>
      <c r="C16" s="263">
        <v>2</v>
      </c>
      <c r="D16" s="265">
        <f t="shared" si="3"/>
        <v>28</v>
      </c>
      <c r="E16" s="266"/>
      <c r="F16" s="265"/>
      <c r="G16" s="265">
        <f>G10*$C$16</f>
        <v>4</v>
      </c>
      <c r="H16" s="265">
        <f t="shared" ref="H16:N16" si="7">H10*$C$16</f>
        <v>6</v>
      </c>
      <c r="I16" s="265">
        <f t="shared" si="7"/>
        <v>4</v>
      </c>
      <c r="J16" s="265">
        <f t="shared" si="7"/>
        <v>0</v>
      </c>
      <c r="K16" s="265">
        <f t="shared" si="7"/>
        <v>4</v>
      </c>
      <c r="L16" s="265">
        <f t="shared" si="7"/>
        <v>6</v>
      </c>
      <c r="M16" s="265">
        <f t="shared" si="7"/>
        <v>4</v>
      </c>
      <c r="N16" s="265">
        <f t="shared" si="7"/>
        <v>0</v>
      </c>
    </row>
    <row r="17" spans="1:14" s="76" customFormat="1" ht="36.75" customHeight="1" x14ac:dyDescent="0.25">
      <c r="A17" s="254" t="s">
        <v>54</v>
      </c>
      <c r="B17" s="252" t="s">
        <v>195</v>
      </c>
      <c r="C17" s="248"/>
      <c r="D17" s="266">
        <v>4763</v>
      </c>
      <c r="E17" s="266">
        <f>E18</f>
        <v>572</v>
      </c>
      <c r="F17" s="266">
        <f t="shared" ref="F17:N17" si="8">F18</f>
        <v>381</v>
      </c>
      <c r="G17" s="266">
        <f t="shared" si="8"/>
        <v>413</v>
      </c>
      <c r="H17" s="266">
        <f t="shared" si="8"/>
        <v>608</v>
      </c>
      <c r="I17" s="266">
        <f t="shared" si="8"/>
        <v>627</v>
      </c>
      <c r="J17" s="266">
        <f t="shared" si="8"/>
        <v>281</v>
      </c>
      <c r="K17" s="266">
        <f t="shared" si="8"/>
        <v>539</v>
      </c>
      <c r="L17" s="266">
        <f t="shared" si="8"/>
        <v>732</v>
      </c>
      <c r="M17" s="266">
        <f t="shared" si="8"/>
        <v>536</v>
      </c>
      <c r="N17" s="266">
        <f t="shared" si="8"/>
        <v>74</v>
      </c>
    </row>
    <row r="18" spans="1:14" s="73" customFormat="1" ht="21.75" customHeight="1" x14ac:dyDescent="0.25">
      <c r="A18" s="263">
        <v>1</v>
      </c>
      <c r="B18" s="267" t="s">
        <v>201</v>
      </c>
      <c r="C18" s="248" t="s">
        <v>55</v>
      </c>
      <c r="D18" s="265">
        <f>SUM(E18:N18)</f>
        <v>4763</v>
      </c>
      <c r="E18" s="270">
        <f>ROUND(D17*12%,0)</f>
        <v>572</v>
      </c>
      <c r="F18" s="265">
        <f>ROUND(D17*8%,0)</f>
        <v>381</v>
      </c>
      <c r="G18" s="270">
        <f>ROUND(($D$17-$E$18-$F$18)/$D$11*G11,0)</f>
        <v>413</v>
      </c>
      <c r="H18" s="270">
        <f t="shared" ref="H18:N18" si="9">ROUND(($D$17-$E$18-$F$18)/$D$11*H11,0)</f>
        <v>608</v>
      </c>
      <c r="I18" s="270">
        <f t="shared" si="9"/>
        <v>627</v>
      </c>
      <c r="J18" s="270">
        <f t="shared" si="9"/>
        <v>281</v>
      </c>
      <c r="K18" s="270">
        <f t="shared" si="9"/>
        <v>539</v>
      </c>
      <c r="L18" s="270">
        <f t="shared" si="9"/>
        <v>732</v>
      </c>
      <c r="M18" s="270">
        <f t="shared" si="9"/>
        <v>536</v>
      </c>
      <c r="N18" s="270">
        <f t="shared" si="9"/>
        <v>74</v>
      </c>
    </row>
    <row r="19" spans="1:14" s="76" customFormat="1" ht="36.75" customHeight="1" x14ac:dyDescent="0.25">
      <c r="A19" s="254" t="s">
        <v>56</v>
      </c>
      <c r="B19" s="252" t="s">
        <v>265</v>
      </c>
      <c r="C19" s="248"/>
      <c r="D19" s="266">
        <f>D20</f>
        <v>239</v>
      </c>
      <c r="E19" s="266">
        <f t="shared" ref="E19:N19" si="10">E20</f>
        <v>29</v>
      </c>
      <c r="F19" s="266">
        <f t="shared" si="10"/>
        <v>19</v>
      </c>
      <c r="G19" s="266">
        <f t="shared" si="10"/>
        <v>21</v>
      </c>
      <c r="H19" s="266">
        <f t="shared" si="10"/>
        <v>30</v>
      </c>
      <c r="I19" s="266">
        <f t="shared" si="10"/>
        <v>31</v>
      </c>
      <c r="J19" s="266">
        <f t="shared" si="10"/>
        <v>14</v>
      </c>
      <c r="K19" s="266">
        <f t="shared" si="10"/>
        <v>27</v>
      </c>
      <c r="L19" s="266">
        <f t="shared" si="10"/>
        <v>37</v>
      </c>
      <c r="M19" s="266">
        <f t="shared" si="10"/>
        <v>27</v>
      </c>
      <c r="N19" s="266">
        <f t="shared" si="10"/>
        <v>4</v>
      </c>
    </row>
    <row r="20" spans="1:14" s="73" customFormat="1" ht="21.75" customHeight="1" x14ac:dyDescent="0.25">
      <c r="A20" s="263">
        <v>1</v>
      </c>
      <c r="B20" s="267" t="s">
        <v>201</v>
      </c>
      <c r="C20" s="248" t="s">
        <v>55</v>
      </c>
      <c r="D20" s="265">
        <f>SUM(E20:N20)</f>
        <v>239</v>
      </c>
      <c r="E20" s="270">
        <f>ROUND(E18*5%,0)</f>
        <v>29</v>
      </c>
      <c r="F20" s="270">
        <f t="shared" ref="F20:N20" si="11">ROUND(F18*5%,0)</f>
        <v>19</v>
      </c>
      <c r="G20" s="270">
        <f t="shared" si="11"/>
        <v>21</v>
      </c>
      <c r="H20" s="270">
        <f t="shared" si="11"/>
        <v>30</v>
      </c>
      <c r="I20" s="270">
        <f t="shared" si="11"/>
        <v>31</v>
      </c>
      <c r="J20" s="270">
        <f t="shared" si="11"/>
        <v>14</v>
      </c>
      <c r="K20" s="270">
        <f t="shared" si="11"/>
        <v>27</v>
      </c>
      <c r="L20" s="270">
        <f t="shared" si="11"/>
        <v>37</v>
      </c>
      <c r="M20" s="270">
        <f t="shared" si="11"/>
        <v>27</v>
      </c>
      <c r="N20" s="270">
        <f t="shared" si="11"/>
        <v>4</v>
      </c>
    </row>
    <row r="21" spans="1:14" s="76" customFormat="1" ht="21.75" customHeight="1" x14ac:dyDescent="0.25">
      <c r="A21" s="254" t="s">
        <v>57</v>
      </c>
      <c r="B21" s="252" t="s">
        <v>150</v>
      </c>
      <c r="C21" s="248"/>
      <c r="D21" s="266">
        <f>D22</f>
        <v>5002</v>
      </c>
      <c r="E21" s="266">
        <f t="shared" ref="E21:N21" si="12">E22</f>
        <v>601</v>
      </c>
      <c r="F21" s="266">
        <f t="shared" si="12"/>
        <v>400</v>
      </c>
      <c r="G21" s="266">
        <f t="shared" si="12"/>
        <v>434</v>
      </c>
      <c r="H21" s="266">
        <f t="shared" si="12"/>
        <v>638</v>
      </c>
      <c r="I21" s="266">
        <f t="shared" si="12"/>
        <v>658</v>
      </c>
      <c r="J21" s="266">
        <f t="shared" si="12"/>
        <v>295</v>
      </c>
      <c r="K21" s="266">
        <f t="shared" si="12"/>
        <v>566</v>
      </c>
      <c r="L21" s="266">
        <f t="shared" si="12"/>
        <v>769</v>
      </c>
      <c r="M21" s="266">
        <f t="shared" si="12"/>
        <v>563</v>
      </c>
      <c r="N21" s="266">
        <f t="shared" si="12"/>
        <v>78</v>
      </c>
    </row>
    <row r="22" spans="1:14" s="73" customFormat="1" ht="21.75" customHeight="1" x14ac:dyDescent="0.25">
      <c r="A22" s="272">
        <v>1</v>
      </c>
      <c r="B22" s="273" t="s">
        <v>201</v>
      </c>
      <c r="C22" s="259" t="s">
        <v>55</v>
      </c>
      <c r="D22" s="274">
        <f>SUM(E22:N22)</f>
        <v>5002</v>
      </c>
      <c r="E22" s="275">
        <f>E18+E20</f>
        <v>601</v>
      </c>
      <c r="F22" s="275">
        <f t="shared" ref="F22:N22" si="13">F18+F20</f>
        <v>400</v>
      </c>
      <c r="G22" s="275">
        <f t="shared" si="13"/>
        <v>434</v>
      </c>
      <c r="H22" s="275">
        <f t="shared" si="13"/>
        <v>638</v>
      </c>
      <c r="I22" s="275">
        <f t="shared" si="13"/>
        <v>658</v>
      </c>
      <c r="J22" s="275">
        <f t="shared" si="13"/>
        <v>295</v>
      </c>
      <c r="K22" s="275">
        <f t="shared" si="13"/>
        <v>566</v>
      </c>
      <c r="L22" s="275">
        <f t="shared" si="13"/>
        <v>769</v>
      </c>
      <c r="M22" s="275">
        <f t="shared" si="13"/>
        <v>563</v>
      </c>
      <c r="N22" s="275">
        <f t="shared" si="13"/>
        <v>78</v>
      </c>
    </row>
    <row r="23" spans="1:14" x14ac:dyDescent="0.25">
      <c r="F23" s="72"/>
      <c r="G23" s="72"/>
      <c r="H23" s="72"/>
      <c r="I23" s="72"/>
      <c r="J23" s="72"/>
      <c r="K23" s="72"/>
      <c r="L23" s="72"/>
      <c r="M23" s="72"/>
      <c r="N23" s="72"/>
    </row>
  </sheetData>
  <mergeCells count="22">
    <mergeCell ref="HN3:HZ3"/>
    <mergeCell ref="IA3:IM3"/>
    <mergeCell ref="IN3:IV3"/>
    <mergeCell ref="FN3:FZ3"/>
    <mergeCell ref="GA3:GM3"/>
    <mergeCell ref="GN3:GZ3"/>
    <mergeCell ref="HA3:HM3"/>
    <mergeCell ref="O3:Z3"/>
    <mergeCell ref="AA3:AM3"/>
    <mergeCell ref="L1:N1"/>
    <mergeCell ref="A2:M2"/>
    <mergeCell ref="A3:N3"/>
    <mergeCell ref="FA3:FM3"/>
    <mergeCell ref="BN3:BZ3"/>
    <mergeCell ref="CA3:CM3"/>
    <mergeCell ref="AN3:AZ3"/>
    <mergeCell ref="BA3:BM3"/>
    <mergeCell ref="DN3:DZ3"/>
    <mergeCell ref="EA3:EM3"/>
    <mergeCell ref="CN3:CZ3"/>
    <mergeCell ref="DA3:DM3"/>
    <mergeCell ref="EN3:EZ3"/>
  </mergeCells>
  <pageMargins left="0.48958333333333331" right="0.48958333333333331" top="0.562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U19"/>
  <sheetViews>
    <sheetView zoomScale="85" zoomScaleNormal="85" zoomScalePageLayoutView="70" workbookViewId="0">
      <selection activeCell="O4" sqref="O4"/>
    </sheetView>
  </sheetViews>
  <sheetFormatPr defaultColWidth="7.75" defaultRowHeight="15.75" x14ac:dyDescent="0.25"/>
  <cols>
    <col min="1" max="1" width="6.75" style="96" customWidth="1"/>
    <col min="2" max="2" width="39.125" style="96" customWidth="1"/>
    <col min="3" max="3" width="11.75" style="96" customWidth="1"/>
    <col min="4" max="14" width="9.75" style="96" customWidth="1"/>
    <col min="15" max="15" width="11.375" style="96" customWidth="1"/>
    <col min="16" max="16384" width="7.75" style="96"/>
  </cols>
  <sheetData>
    <row r="1" spans="1:255" ht="31.5" customHeight="1" x14ac:dyDescent="0.25">
      <c r="M1" s="1225" t="s">
        <v>202</v>
      </c>
      <c r="N1" s="1225"/>
    </row>
    <row r="2" spans="1:255" s="13" customFormat="1" ht="66.75" customHeight="1" x14ac:dyDescent="0.25">
      <c r="A2" s="1234" t="s">
        <v>132</v>
      </c>
      <c r="B2" s="1234"/>
      <c r="C2" s="1234"/>
      <c r="D2" s="1234"/>
      <c r="E2" s="1234"/>
      <c r="F2" s="1234"/>
      <c r="G2" s="1234"/>
      <c r="H2" s="1234"/>
      <c r="I2" s="1234"/>
      <c r="J2" s="1234"/>
      <c r="K2" s="1234"/>
      <c r="L2" s="1234"/>
      <c r="M2" s="1234"/>
      <c r="N2" s="1234"/>
    </row>
    <row r="3" spans="1:255" s="16" customFormat="1" ht="31.5" customHeight="1" x14ac:dyDescent="0.25">
      <c r="A3" s="1235" t="str">
        <f>'B14-TDA2,DA9'!A3:N3</f>
        <v>(Kèm theo Tờ trình số:          /TTr-UBND ngày          tháng 11 năm 2022 của UBND tỉnh)</v>
      </c>
      <c r="B3" s="1236"/>
      <c r="C3" s="1236"/>
      <c r="D3" s="1236"/>
      <c r="E3" s="1236"/>
      <c r="F3" s="1236"/>
      <c r="G3" s="1236"/>
      <c r="H3" s="1236"/>
      <c r="I3" s="1236"/>
      <c r="J3" s="1236"/>
      <c r="K3" s="1236"/>
      <c r="L3" s="1236"/>
      <c r="M3" s="1236"/>
      <c r="N3" s="1236"/>
      <c r="O3" s="1233"/>
      <c r="P3" s="1233"/>
      <c r="Q3" s="1233"/>
      <c r="R3" s="1233"/>
      <c r="S3" s="1233"/>
      <c r="T3" s="1233"/>
      <c r="U3" s="1233"/>
      <c r="V3" s="1233"/>
      <c r="W3" s="1233"/>
      <c r="X3" s="1233"/>
      <c r="Y3" s="1233"/>
      <c r="Z3" s="1233"/>
      <c r="AA3" s="1233"/>
      <c r="AB3" s="1233"/>
      <c r="AC3" s="1233"/>
      <c r="AD3" s="1233"/>
      <c r="AE3" s="1233"/>
      <c r="AF3" s="1233"/>
      <c r="AG3" s="1233"/>
      <c r="AH3" s="1233"/>
      <c r="AI3" s="1233"/>
      <c r="AJ3" s="1233"/>
      <c r="AK3" s="1233"/>
      <c r="AL3" s="1233"/>
      <c r="AM3" s="1233"/>
      <c r="AN3" s="1233"/>
      <c r="AO3" s="1233"/>
      <c r="AP3" s="1233"/>
      <c r="AQ3" s="1233"/>
      <c r="AR3" s="1233"/>
      <c r="AS3" s="1233"/>
      <c r="AT3" s="1233"/>
      <c r="AU3" s="1233"/>
      <c r="AV3" s="1233"/>
      <c r="AW3" s="1233"/>
      <c r="AX3" s="1233"/>
      <c r="AY3" s="1233"/>
      <c r="AZ3" s="1233"/>
      <c r="BA3" s="1233"/>
      <c r="BB3" s="1233"/>
      <c r="BC3" s="1233"/>
      <c r="BD3" s="1233"/>
      <c r="BE3" s="1233"/>
      <c r="BF3" s="1233"/>
      <c r="BG3" s="1233"/>
      <c r="BH3" s="1233"/>
      <c r="BI3" s="1233"/>
      <c r="BJ3" s="1233"/>
      <c r="BK3" s="1233"/>
      <c r="BL3" s="1233"/>
      <c r="BM3" s="1233"/>
      <c r="BN3" s="1233"/>
      <c r="BO3" s="1233"/>
      <c r="BP3" s="1233"/>
      <c r="BQ3" s="1233"/>
      <c r="BR3" s="1233"/>
      <c r="BS3" s="1233"/>
      <c r="BT3" s="1233"/>
      <c r="BU3" s="1233"/>
      <c r="BV3" s="1233"/>
      <c r="BW3" s="1233"/>
      <c r="BX3" s="1233"/>
      <c r="BY3" s="1233"/>
      <c r="BZ3" s="1233"/>
      <c r="CA3" s="1233"/>
      <c r="CB3" s="1233"/>
      <c r="CC3" s="1233"/>
      <c r="CD3" s="1233"/>
      <c r="CE3" s="1233"/>
      <c r="CF3" s="1233"/>
      <c r="CG3" s="1233"/>
      <c r="CH3" s="1233"/>
      <c r="CI3" s="1233"/>
      <c r="CJ3" s="1233"/>
      <c r="CK3" s="1233"/>
      <c r="CL3" s="1233"/>
      <c r="CM3" s="1233"/>
      <c r="CN3" s="1233"/>
      <c r="CO3" s="1233"/>
      <c r="CP3" s="1233"/>
      <c r="CQ3" s="1233"/>
      <c r="CR3" s="1233"/>
      <c r="CS3" s="1233"/>
      <c r="CT3" s="1233"/>
      <c r="CU3" s="1233"/>
      <c r="CV3" s="1233"/>
      <c r="CW3" s="1233"/>
      <c r="CX3" s="1233"/>
      <c r="CY3" s="1233"/>
      <c r="CZ3" s="1233"/>
      <c r="DA3" s="1233"/>
      <c r="DB3" s="1233"/>
      <c r="DC3" s="1233"/>
      <c r="DD3" s="1233"/>
      <c r="DE3" s="1233"/>
      <c r="DF3" s="1233"/>
      <c r="DG3" s="1233"/>
      <c r="DH3" s="1233"/>
      <c r="DI3" s="1233"/>
      <c r="DJ3" s="1233"/>
      <c r="DK3" s="1233"/>
      <c r="DL3" s="1233"/>
      <c r="DM3" s="1233"/>
      <c r="DN3" s="1233"/>
      <c r="DO3" s="1233"/>
      <c r="DP3" s="1233"/>
      <c r="DQ3" s="1233"/>
      <c r="DR3" s="1233"/>
      <c r="DS3" s="1233"/>
      <c r="DT3" s="1233"/>
      <c r="DU3" s="1233"/>
      <c r="DV3" s="1233"/>
      <c r="DW3" s="1233"/>
      <c r="DX3" s="1233"/>
      <c r="DY3" s="1233"/>
      <c r="DZ3" s="1233"/>
      <c r="EA3" s="1233"/>
      <c r="EB3" s="1233"/>
      <c r="EC3" s="1233"/>
      <c r="ED3" s="1233"/>
      <c r="EE3" s="1233"/>
      <c r="EF3" s="1233"/>
      <c r="EG3" s="1233"/>
      <c r="EH3" s="1233"/>
      <c r="EI3" s="1233"/>
      <c r="EJ3" s="1233"/>
      <c r="EK3" s="1233"/>
      <c r="EL3" s="1233"/>
      <c r="EM3" s="1233"/>
      <c r="EN3" s="1233"/>
      <c r="EO3" s="1233"/>
      <c r="EP3" s="1233"/>
      <c r="EQ3" s="1233"/>
      <c r="ER3" s="1233"/>
      <c r="ES3" s="1233"/>
      <c r="ET3" s="1233"/>
      <c r="EU3" s="1233"/>
      <c r="EV3" s="1233"/>
      <c r="EW3" s="1233"/>
      <c r="EX3" s="1233"/>
      <c r="EY3" s="1233"/>
      <c r="EZ3" s="1233"/>
      <c r="FA3" s="1233"/>
      <c r="FB3" s="1233"/>
      <c r="FC3" s="1233"/>
      <c r="FD3" s="1233"/>
      <c r="FE3" s="1233"/>
      <c r="FF3" s="1233"/>
      <c r="FG3" s="1233"/>
      <c r="FH3" s="1233"/>
      <c r="FI3" s="1233"/>
      <c r="FJ3" s="1233"/>
      <c r="FK3" s="1233"/>
      <c r="FL3" s="1233"/>
      <c r="FM3" s="1233"/>
      <c r="FN3" s="1233"/>
      <c r="FO3" s="1233"/>
      <c r="FP3" s="1233"/>
      <c r="FQ3" s="1233"/>
      <c r="FR3" s="1233"/>
      <c r="FS3" s="1233"/>
      <c r="FT3" s="1233"/>
      <c r="FU3" s="1233"/>
      <c r="FV3" s="1233"/>
      <c r="FW3" s="1233"/>
      <c r="FX3" s="1233"/>
      <c r="FY3" s="1233"/>
      <c r="FZ3" s="1233"/>
      <c r="GA3" s="1233"/>
      <c r="GB3" s="1233"/>
      <c r="GC3" s="1233"/>
      <c r="GD3" s="1233"/>
      <c r="GE3" s="1233"/>
      <c r="GF3" s="1233"/>
      <c r="GG3" s="1233"/>
      <c r="GH3" s="1233"/>
      <c r="GI3" s="1233"/>
      <c r="GJ3" s="1233"/>
      <c r="GK3" s="1233"/>
      <c r="GL3" s="1233"/>
      <c r="GM3" s="1233"/>
      <c r="GN3" s="1233"/>
      <c r="GO3" s="1233"/>
      <c r="GP3" s="1233"/>
      <c r="GQ3" s="1233"/>
      <c r="GR3" s="1233"/>
      <c r="GS3" s="1233"/>
      <c r="GT3" s="1233"/>
      <c r="GU3" s="1233"/>
      <c r="GV3" s="1233"/>
      <c r="GW3" s="1233"/>
      <c r="GX3" s="1233"/>
      <c r="GY3" s="1233"/>
      <c r="GZ3" s="1233"/>
      <c r="HA3" s="1233"/>
      <c r="HB3" s="1233"/>
      <c r="HC3" s="1233"/>
      <c r="HD3" s="1233"/>
      <c r="HE3" s="1233"/>
      <c r="HF3" s="1233"/>
      <c r="HG3" s="1233"/>
      <c r="HH3" s="1233"/>
      <c r="HI3" s="1233"/>
      <c r="HJ3" s="1233"/>
      <c r="HK3" s="1233"/>
      <c r="HL3" s="1233"/>
      <c r="HM3" s="1233"/>
      <c r="HN3" s="1233"/>
      <c r="HO3" s="1233"/>
      <c r="HP3" s="1233"/>
      <c r="HQ3" s="1233"/>
      <c r="HR3" s="1233"/>
      <c r="HS3" s="1233"/>
      <c r="HT3" s="1233"/>
      <c r="HU3" s="1233"/>
      <c r="HV3" s="1233"/>
      <c r="HW3" s="1233"/>
      <c r="HX3" s="1233"/>
      <c r="HY3" s="1233"/>
      <c r="HZ3" s="1233"/>
      <c r="IA3" s="1233"/>
      <c r="IB3" s="1233"/>
      <c r="IC3" s="1233"/>
      <c r="ID3" s="1233"/>
      <c r="IE3" s="1233"/>
      <c r="IF3" s="1233"/>
      <c r="IG3" s="1233"/>
      <c r="IH3" s="1233"/>
      <c r="II3" s="1233"/>
      <c r="IJ3" s="1233"/>
      <c r="IK3" s="1233"/>
      <c r="IL3" s="1233"/>
      <c r="IM3" s="1233"/>
      <c r="IN3" s="1233"/>
      <c r="IO3" s="1233"/>
      <c r="IP3" s="1233"/>
      <c r="IQ3" s="1233"/>
      <c r="IR3" s="1233"/>
      <c r="IS3" s="1233"/>
      <c r="IT3" s="1233"/>
      <c r="IU3" s="1233"/>
    </row>
    <row r="4" spans="1:255" s="12" customFormat="1" ht="72.75" customHeight="1" x14ac:dyDescent="0.25">
      <c r="A4" s="10" t="s">
        <v>1</v>
      </c>
      <c r="B4" s="10" t="s">
        <v>35</v>
      </c>
      <c r="C4" s="10" t="s">
        <v>36</v>
      </c>
      <c r="D4" s="10" t="s">
        <v>37</v>
      </c>
      <c r="E4" s="10" t="s">
        <v>130</v>
      </c>
      <c r="F4" s="10" t="s">
        <v>131</v>
      </c>
      <c r="G4" s="10" t="s">
        <v>38</v>
      </c>
      <c r="H4" s="10" t="s">
        <v>39</v>
      </c>
      <c r="I4" s="10" t="s">
        <v>40</v>
      </c>
      <c r="J4" s="10" t="s">
        <v>41</v>
      </c>
      <c r="K4" s="10" t="s">
        <v>42</v>
      </c>
      <c r="L4" s="10" t="s">
        <v>43</v>
      </c>
      <c r="M4" s="10" t="s">
        <v>44</v>
      </c>
      <c r="N4" s="10" t="s">
        <v>45</v>
      </c>
    </row>
    <row r="5" spans="1:255" s="12" customFormat="1" ht="28.5" customHeight="1" x14ac:dyDescent="0.25">
      <c r="A5" s="107" t="s">
        <v>46</v>
      </c>
      <c r="B5" s="122" t="s">
        <v>47</v>
      </c>
      <c r="C5" s="107"/>
      <c r="D5" s="278"/>
      <c r="E5" s="278"/>
      <c r="F5" s="278"/>
      <c r="G5" s="278"/>
      <c r="H5" s="278"/>
      <c r="I5" s="278"/>
      <c r="J5" s="278"/>
      <c r="K5" s="278"/>
      <c r="L5" s="278"/>
      <c r="M5" s="278"/>
      <c r="N5" s="278"/>
    </row>
    <row r="6" spans="1:255" s="12" customFormat="1" ht="28.5" customHeight="1" x14ac:dyDescent="0.25">
      <c r="A6" s="111">
        <v>1</v>
      </c>
      <c r="B6" s="279" t="s">
        <v>90</v>
      </c>
      <c r="C6" s="280" t="s">
        <v>70</v>
      </c>
      <c r="D6" s="281">
        <f>SUM(G6:N6)</f>
        <v>108</v>
      </c>
      <c r="E6" s="281"/>
      <c r="F6" s="281"/>
      <c r="G6" s="281">
        <v>14</v>
      </c>
      <c r="H6" s="281">
        <v>20</v>
      </c>
      <c r="I6" s="281">
        <v>10</v>
      </c>
      <c r="J6" s="281">
        <v>14</v>
      </c>
      <c r="K6" s="281">
        <v>17</v>
      </c>
      <c r="L6" s="281">
        <v>10</v>
      </c>
      <c r="M6" s="281">
        <v>15</v>
      </c>
      <c r="N6" s="281">
        <v>8</v>
      </c>
    </row>
    <row r="7" spans="1:255" s="97" customFormat="1" ht="28.5" customHeight="1" x14ac:dyDescent="0.25">
      <c r="A7" s="282" t="s">
        <v>31</v>
      </c>
      <c r="B7" s="283" t="s">
        <v>79</v>
      </c>
      <c r="C7" s="282"/>
      <c r="D7" s="281"/>
      <c r="E7" s="284"/>
      <c r="F7" s="284"/>
      <c r="G7" s="284"/>
      <c r="H7" s="284"/>
      <c r="I7" s="284"/>
      <c r="J7" s="284"/>
      <c r="K7" s="284"/>
      <c r="L7" s="284"/>
      <c r="M7" s="284"/>
      <c r="N7" s="284"/>
    </row>
    <row r="8" spans="1:255" ht="28.5" customHeight="1" x14ac:dyDescent="0.25">
      <c r="A8" s="111">
        <v>1</v>
      </c>
      <c r="B8" s="279" t="s">
        <v>90</v>
      </c>
      <c r="C8" s="285">
        <v>27</v>
      </c>
      <c r="D8" s="281">
        <f t="shared" ref="D8" si="0">SUM(G8:N8)</f>
        <v>2916</v>
      </c>
      <c r="E8" s="281"/>
      <c r="F8" s="281"/>
      <c r="G8" s="286">
        <f>G6*$C$8</f>
        <v>378</v>
      </c>
      <c r="H8" s="286">
        <f t="shared" ref="H8:N8" si="1">H6*$C$8</f>
        <v>540</v>
      </c>
      <c r="I8" s="286">
        <f t="shared" si="1"/>
        <v>270</v>
      </c>
      <c r="J8" s="286">
        <f t="shared" si="1"/>
        <v>378</v>
      </c>
      <c r="K8" s="286">
        <f t="shared" si="1"/>
        <v>459</v>
      </c>
      <c r="L8" s="286">
        <f t="shared" si="1"/>
        <v>270</v>
      </c>
      <c r="M8" s="286">
        <f t="shared" si="1"/>
        <v>405</v>
      </c>
      <c r="N8" s="286">
        <f t="shared" si="1"/>
        <v>216</v>
      </c>
    </row>
    <row r="9" spans="1:255" s="276" customFormat="1" ht="42" customHeight="1" x14ac:dyDescent="0.25">
      <c r="A9" s="282" t="s">
        <v>54</v>
      </c>
      <c r="B9" s="121" t="s">
        <v>183</v>
      </c>
      <c r="C9" s="109"/>
      <c r="D9" s="287">
        <v>11008</v>
      </c>
      <c r="E9" s="287">
        <f>E10</f>
        <v>3853</v>
      </c>
      <c r="F9" s="287">
        <f t="shared" ref="F9:N9" si="2">F10</f>
        <v>1651</v>
      </c>
      <c r="G9" s="287">
        <f t="shared" si="2"/>
        <v>713</v>
      </c>
      <c r="H9" s="287">
        <f t="shared" si="2"/>
        <v>1019</v>
      </c>
      <c r="I9" s="287">
        <f t="shared" si="2"/>
        <v>510</v>
      </c>
      <c r="J9" s="287">
        <f t="shared" si="2"/>
        <v>713</v>
      </c>
      <c r="K9" s="287">
        <f t="shared" si="2"/>
        <v>866</v>
      </c>
      <c r="L9" s="287">
        <f t="shared" si="2"/>
        <v>511</v>
      </c>
      <c r="M9" s="287">
        <f t="shared" si="2"/>
        <v>764</v>
      </c>
      <c r="N9" s="287">
        <f t="shared" si="2"/>
        <v>408</v>
      </c>
    </row>
    <row r="10" spans="1:255" ht="28.5" customHeight="1" x14ac:dyDescent="0.25">
      <c r="A10" s="111">
        <v>1</v>
      </c>
      <c r="B10" s="279" t="s">
        <v>170</v>
      </c>
      <c r="C10" s="111" t="s">
        <v>55</v>
      </c>
      <c r="D10" s="281">
        <f>SUM(E10:N10)</f>
        <v>11008</v>
      </c>
      <c r="E10" s="281">
        <f>ROUND($D$9*35%,0)</f>
        <v>3853</v>
      </c>
      <c r="F10" s="281">
        <f>ROUND($D$9*15%,0)</f>
        <v>1651</v>
      </c>
      <c r="G10" s="286">
        <f>ROUND(($D$9-$E$10-$F$10)/$D$8*G8,0)</f>
        <v>713</v>
      </c>
      <c r="H10" s="286">
        <f t="shared" ref="H10:N10" si="3">ROUND(($D$9-$E$10-$F$10)/$D$8*H8,0)</f>
        <v>1019</v>
      </c>
      <c r="I10" s="286">
        <f t="shared" si="3"/>
        <v>510</v>
      </c>
      <c r="J10" s="286">
        <f>ROUND(($D$9-$E$10-$F$10)/$D$8*J8,0)</f>
        <v>713</v>
      </c>
      <c r="K10" s="286">
        <f t="shared" si="3"/>
        <v>866</v>
      </c>
      <c r="L10" s="286">
        <f>ROUND(($D$9-$E$10-$F$10)/$D$8*L8+1,0)</f>
        <v>511</v>
      </c>
      <c r="M10" s="286">
        <f t="shared" si="3"/>
        <v>764</v>
      </c>
      <c r="N10" s="286">
        <f t="shared" si="3"/>
        <v>408</v>
      </c>
    </row>
    <row r="11" spans="1:255" s="276" customFormat="1" ht="42" customHeight="1" x14ac:dyDescent="0.25">
      <c r="A11" s="282" t="s">
        <v>56</v>
      </c>
      <c r="B11" s="121" t="s">
        <v>322</v>
      </c>
      <c r="C11" s="109"/>
      <c r="D11" s="287">
        <f>D12</f>
        <v>631</v>
      </c>
      <c r="E11" s="287">
        <f t="shared" ref="E11:N11" si="4">E12</f>
        <v>221</v>
      </c>
      <c r="F11" s="287">
        <f t="shared" si="4"/>
        <v>95</v>
      </c>
      <c r="G11" s="287">
        <f t="shared" si="4"/>
        <v>41</v>
      </c>
      <c r="H11" s="287">
        <f t="shared" si="4"/>
        <v>58</v>
      </c>
      <c r="I11" s="287">
        <f t="shared" si="4"/>
        <v>29</v>
      </c>
      <c r="J11" s="287">
        <f t="shared" si="4"/>
        <v>41</v>
      </c>
      <c r="K11" s="287">
        <f t="shared" si="4"/>
        <v>50</v>
      </c>
      <c r="L11" s="287">
        <f t="shared" si="4"/>
        <v>29</v>
      </c>
      <c r="M11" s="287">
        <f t="shared" si="4"/>
        <v>44</v>
      </c>
      <c r="N11" s="287">
        <f t="shared" si="4"/>
        <v>23</v>
      </c>
    </row>
    <row r="12" spans="1:255" ht="29.25" customHeight="1" x14ac:dyDescent="0.25">
      <c r="A12" s="111">
        <v>1</v>
      </c>
      <c r="B12" s="279" t="s">
        <v>170</v>
      </c>
      <c r="C12" s="111" t="s">
        <v>55</v>
      </c>
      <c r="D12" s="281">
        <f>SUM(E12:N12)</f>
        <v>631</v>
      </c>
      <c r="E12" s="281">
        <f>ROUND(E10*5.73%,0)</f>
        <v>221</v>
      </c>
      <c r="F12" s="281">
        <f>ROUND(F10*5.73%,0)</f>
        <v>95</v>
      </c>
      <c r="G12" s="281">
        <f t="shared" ref="G12:M12" si="5">ROUND(G10*5.73%,0)</f>
        <v>41</v>
      </c>
      <c r="H12" s="281">
        <f t="shared" si="5"/>
        <v>58</v>
      </c>
      <c r="I12" s="281">
        <f t="shared" si="5"/>
        <v>29</v>
      </c>
      <c r="J12" s="281">
        <f t="shared" si="5"/>
        <v>41</v>
      </c>
      <c r="K12" s="281">
        <f t="shared" si="5"/>
        <v>50</v>
      </c>
      <c r="L12" s="281">
        <f t="shared" si="5"/>
        <v>29</v>
      </c>
      <c r="M12" s="281">
        <f t="shared" si="5"/>
        <v>44</v>
      </c>
      <c r="N12" s="281">
        <f>ROUND(N10*5.73%,0)</f>
        <v>23</v>
      </c>
    </row>
    <row r="13" spans="1:255" s="276" customFormat="1" ht="29.25" customHeight="1" x14ac:dyDescent="0.25">
      <c r="A13" s="282" t="s">
        <v>57</v>
      </c>
      <c r="B13" s="121" t="s">
        <v>150</v>
      </c>
      <c r="C13" s="109"/>
      <c r="D13" s="287">
        <f>D14</f>
        <v>11639</v>
      </c>
      <c r="E13" s="287">
        <f t="shared" ref="E13:N13" si="6">E14</f>
        <v>4074</v>
      </c>
      <c r="F13" s="287">
        <f t="shared" si="6"/>
        <v>1746</v>
      </c>
      <c r="G13" s="287">
        <f t="shared" si="6"/>
        <v>754</v>
      </c>
      <c r="H13" s="287">
        <f t="shared" si="6"/>
        <v>1077</v>
      </c>
      <c r="I13" s="287">
        <f t="shared" si="6"/>
        <v>539</v>
      </c>
      <c r="J13" s="287">
        <f t="shared" si="6"/>
        <v>754</v>
      </c>
      <c r="K13" s="287">
        <f t="shared" si="6"/>
        <v>916</v>
      </c>
      <c r="L13" s="287">
        <f t="shared" si="6"/>
        <v>540</v>
      </c>
      <c r="M13" s="287">
        <f t="shared" si="6"/>
        <v>808</v>
      </c>
      <c r="N13" s="287">
        <f t="shared" si="6"/>
        <v>431</v>
      </c>
    </row>
    <row r="14" spans="1:255" ht="29.25" customHeight="1" x14ac:dyDescent="0.25">
      <c r="A14" s="195">
        <v>1</v>
      </c>
      <c r="B14" s="288" t="s">
        <v>170</v>
      </c>
      <c r="C14" s="195" t="s">
        <v>55</v>
      </c>
      <c r="D14" s="289">
        <f>SUM(E14:N14)</f>
        <v>11639</v>
      </c>
      <c r="E14" s="289">
        <f>E12+E10</f>
        <v>4074</v>
      </c>
      <c r="F14" s="289">
        <f t="shared" ref="F14:N14" si="7">F12+F10</f>
        <v>1746</v>
      </c>
      <c r="G14" s="289">
        <f t="shared" si="7"/>
        <v>754</v>
      </c>
      <c r="H14" s="289">
        <f t="shared" si="7"/>
        <v>1077</v>
      </c>
      <c r="I14" s="289">
        <f t="shared" si="7"/>
        <v>539</v>
      </c>
      <c r="J14" s="289">
        <f t="shared" si="7"/>
        <v>754</v>
      </c>
      <c r="K14" s="289">
        <f t="shared" si="7"/>
        <v>916</v>
      </c>
      <c r="L14" s="289">
        <f t="shared" si="7"/>
        <v>540</v>
      </c>
      <c r="M14" s="289">
        <f t="shared" si="7"/>
        <v>808</v>
      </c>
      <c r="N14" s="289">
        <f t="shared" si="7"/>
        <v>431</v>
      </c>
    </row>
    <row r="15" spans="1:255" ht="34.5" customHeight="1" x14ac:dyDescent="0.25">
      <c r="A15" s="48"/>
      <c r="B15" s="48"/>
      <c r="C15" s="48"/>
      <c r="D15" s="48"/>
      <c r="E15" s="48"/>
      <c r="F15" s="48"/>
      <c r="G15" s="48"/>
      <c r="H15" s="48"/>
      <c r="I15" s="48"/>
      <c r="J15" s="48"/>
      <c r="K15" s="48"/>
      <c r="L15" s="48"/>
      <c r="M15" s="48"/>
      <c r="N15" s="48"/>
    </row>
    <row r="17" spans="8:9" x14ac:dyDescent="0.25">
      <c r="H17" s="96">
        <v>16720</v>
      </c>
      <c r="I17" s="96">
        <f>H17*5%</f>
        <v>836</v>
      </c>
    </row>
    <row r="18" spans="8:9" x14ac:dyDescent="0.25">
      <c r="H18" s="277">
        <f>11008+3592</f>
        <v>14600</v>
      </c>
      <c r="I18" s="424">
        <f>I17/H18</f>
        <v>5.7260273972602742E-2</v>
      </c>
    </row>
    <row r="19" spans="8:9" x14ac:dyDescent="0.25">
      <c r="H19" s="98"/>
    </row>
  </sheetData>
  <mergeCells count="22">
    <mergeCell ref="M1:N1"/>
    <mergeCell ref="GM3:GY3"/>
    <mergeCell ref="A3:N3"/>
    <mergeCell ref="O3:Y3"/>
    <mergeCell ref="Z3:AL3"/>
    <mergeCell ref="BM3:BY3"/>
    <mergeCell ref="BZ3:CL3"/>
    <mergeCell ref="CM3:CY3"/>
    <mergeCell ref="CZ3:DL3"/>
    <mergeCell ref="FZ3:GL3"/>
    <mergeCell ref="IM3:IU3"/>
    <mergeCell ref="A2:N2"/>
    <mergeCell ref="DM3:DY3"/>
    <mergeCell ref="DZ3:EL3"/>
    <mergeCell ref="EM3:EY3"/>
    <mergeCell ref="EZ3:FL3"/>
    <mergeCell ref="FM3:FY3"/>
    <mergeCell ref="AM3:AY3"/>
    <mergeCell ref="AZ3:BL3"/>
    <mergeCell ref="GZ3:HL3"/>
    <mergeCell ref="HM3:HY3"/>
    <mergeCell ref="HZ3:IL3"/>
  </mergeCells>
  <printOptions gridLines="1"/>
  <pageMargins left="0.39154411764705899" right="0.44538690476190479" top="0.75" bottom="0.75" header="0.3" footer="0.3"/>
  <pageSetup paperSize="9" scale="73"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Layout" topLeftCell="A506" zoomScale="70" zoomScaleNormal="100" zoomScaleSheetLayoutView="115" zoomScalePageLayoutView="70" workbookViewId="0">
      <selection activeCell="A551" sqref="A551:D585"/>
    </sheetView>
  </sheetViews>
  <sheetFormatPr defaultColWidth="9" defaultRowHeight="15.75" x14ac:dyDescent="0.25"/>
  <cols>
    <col min="1" max="1" width="7.875" style="709" customWidth="1"/>
    <col min="2" max="2" width="29.5" style="713" customWidth="1"/>
    <col min="3" max="3" width="69.75" style="706" customWidth="1"/>
    <col min="4" max="4" width="11.125" style="691" customWidth="1"/>
    <col min="5" max="16384" width="9" style="676"/>
  </cols>
  <sheetData>
    <row r="1" spans="1:4" s="675" customFormat="1" x14ac:dyDescent="0.25">
      <c r="A1" s="1060" t="s">
        <v>510</v>
      </c>
      <c r="B1" s="1060"/>
      <c r="C1" s="1060"/>
      <c r="D1" s="1060"/>
    </row>
    <row r="2" spans="1:4" x14ac:dyDescent="0.25">
      <c r="A2" s="1061" t="s">
        <v>1189</v>
      </c>
      <c r="B2" s="1061"/>
      <c r="C2" s="1061"/>
      <c r="D2" s="1061"/>
    </row>
    <row r="3" spans="1:4" x14ac:dyDescent="0.25">
      <c r="A3" s="725"/>
      <c r="B3" s="725"/>
      <c r="C3" s="725"/>
      <c r="D3" s="725"/>
    </row>
    <row r="4" spans="1:4" ht="18.75" x14ac:dyDescent="0.25">
      <c r="C4" s="1062" t="s">
        <v>511</v>
      </c>
      <c r="D4" s="1062"/>
    </row>
    <row r="5" spans="1:4" ht="36" customHeight="1" x14ac:dyDescent="0.25">
      <c r="A5" s="677" t="s">
        <v>512</v>
      </c>
      <c r="B5" s="677" t="s">
        <v>36</v>
      </c>
      <c r="C5" s="677" t="s">
        <v>513</v>
      </c>
      <c r="D5" s="678" t="s">
        <v>514</v>
      </c>
    </row>
    <row r="6" spans="1:4" ht="45" customHeight="1" x14ac:dyDescent="0.25">
      <c r="A6" s="784">
        <v>1</v>
      </c>
      <c r="B6" s="785" t="s">
        <v>515</v>
      </c>
      <c r="C6" s="692"/>
      <c r="D6" s="786">
        <f>SUM(D7:D12)</f>
        <v>5955.9</v>
      </c>
    </row>
    <row r="7" spans="1:4" ht="20.25" customHeight="1" x14ac:dyDescent="0.25">
      <c r="A7" s="1045"/>
      <c r="B7" s="1046"/>
      <c r="C7" s="782" t="s">
        <v>516</v>
      </c>
      <c r="D7" s="783">
        <v>774</v>
      </c>
    </row>
    <row r="8" spans="1:4" ht="20.25" customHeight="1" x14ac:dyDescent="0.25">
      <c r="A8" s="1043"/>
      <c r="B8" s="1044"/>
      <c r="C8" s="679" t="s">
        <v>517</v>
      </c>
      <c r="D8" s="680">
        <v>2141.6999999999998</v>
      </c>
    </row>
    <row r="9" spans="1:4" ht="20.25" customHeight="1" x14ac:dyDescent="0.25">
      <c r="A9" s="1043"/>
      <c r="B9" s="1044"/>
      <c r="C9" s="679" t="s">
        <v>518</v>
      </c>
      <c r="D9" s="680">
        <v>1449.8</v>
      </c>
    </row>
    <row r="10" spans="1:4" ht="20.25" customHeight="1" x14ac:dyDescent="0.25">
      <c r="A10" s="1043"/>
      <c r="B10" s="1044"/>
      <c r="C10" s="679" t="s">
        <v>519</v>
      </c>
      <c r="D10" s="680">
        <v>765.4</v>
      </c>
    </row>
    <row r="11" spans="1:4" ht="21.75" customHeight="1" x14ac:dyDescent="0.25">
      <c r="A11" s="1043"/>
      <c r="B11" s="1044"/>
      <c r="C11" s="693" t="s">
        <v>520</v>
      </c>
      <c r="D11" s="680">
        <v>535</v>
      </c>
    </row>
    <row r="12" spans="1:4" ht="21" customHeight="1" x14ac:dyDescent="0.25">
      <c r="A12" s="1047"/>
      <c r="B12" s="1048"/>
      <c r="C12" s="787" t="s">
        <v>1071</v>
      </c>
      <c r="D12" s="788">
        <v>290</v>
      </c>
    </row>
    <row r="13" spans="1:4" ht="19.5" customHeight="1" x14ac:dyDescent="0.25">
      <c r="A13" s="784">
        <v>2</v>
      </c>
      <c r="B13" s="785" t="s">
        <v>521</v>
      </c>
      <c r="C13" s="692"/>
      <c r="D13" s="786">
        <f>SUM(D14:D41)</f>
        <v>18261.3</v>
      </c>
    </row>
    <row r="14" spans="1:4" ht="21" customHeight="1" x14ac:dyDescent="0.25">
      <c r="A14" s="1054"/>
      <c r="B14" s="1053"/>
      <c r="C14" s="714" t="s">
        <v>522</v>
      </c>
      <c r="D14" s="800">
        <f>320+44.8</f>
        <v>364.8</v>
      </c>
    </row>
    <row r="15" spans="1:4" ht="52.5" customHeight="1" x14ac:dyDescent="0.25">
      <c r="A15" s="1051"/>
      <c r="B15" s="1049"/>
      <c r="C15" s="715" t="s">
        <v>523</v>
      </c>
      <c r="D15" s="682">
        <v>634</v>
      </c>
    </row>
    <row r="16" spans="1:4" ht="37.5" customHeight="1" x14ac:dyDescent="0.25">
      <c r="A16" s="1051"/>
      <c r="B16" s="1049"/>
      <c r="C16" s="715" t="s">
        <v>524</v>
      </c>
      <c r="D16" s="682">
        <v>84.5</v>
      </c>
    </row>
    <row r="17" spans="1:4" ht="18" customHeight="1" x14ac:dyDescent="0.25">
      <c r="A17" s="1051"/>
      <c r="B17" s="1049"/>
      <c r="C17" s="715" t="s">
        <v>525</v>
      </c>
      <c r="D17" s="682">
        <v>1100</v>
      </c>
    </row>
    <row r="18" spans="1:4" ht="39" customHeight="1" x14ac:dyDescent="0.25">
      <c r="A18" s="1051"/>
      <c r="B18" s="1049"/>
      <c r="C18" s="715" t="s">
        <v>526</v>
      </c>
      <c r="D18" s="682">
        <v>2535.5</v>
      </c>
    </row>
    <row r="19" spans="1:4" ht="39.75" customHeight="1" x14ac:dyDescent="0.25">
      <c r="A19" s="1051"/>
      <c r="B19" s="1049"/>
      <c r="C19" s="715" t="s">
        <v>527</v>
      </c>
      <c r="D19" s="682">
        <v>84.5</v>
      </c>
    </row>
    <row r="20" spans="1:4" ht="21" customHeight="1" x14ac:dyDescent="0.25">
      <c r="A20" s="1051"/>
      <c r="B20" s="1049"/>
      <c r="C20" s="715" t="s">
        <v>528</v>
      </c>
      <c r="D20" s="682">
        <v>171</v>
      </c>
    </row>
    <row r="21" spans="1:4" ht="51.75" customHeight="1" x14ac:dyDescent="0.25">
      <c r="A21" s="1051"/>
      <c r="B21" s="1049"/>
      <c r="C21" s="715" t="s">
        <v>529</v>
      </c>
      <c r="D21" s="682">
        <v>248</v>
      </c>
    </row>
    <row r="22" spans="1:4" ht="41.25" customHeight="1" x14ac:dyDescent="0.25">
      <c r="A22" s="1051"/>
      <c r="B22" s="1049"/>
      <c r="C22" s="715" t="s">
        <v>530</v>
      </c>
      <c r="D22" s="682">
        <v>70</v>
      </c>
    </row>
    <row r="23" spans="1:4" ht="22.5" customHeight="1" x14ac:dyDescent="0.25">
      <c r="A23" s="1051"/>
      <c r="B23" s="1049"/>
      <c r="C23" s="715" t="s">
        <v>531</v>
      </c>
      <c r="D23" s="682">
        <v>239</v>
      </c>
    </row>
    <row r="24" spans="1:4" ht="23.25" customHeight="1" x14ac:dyDescent="0.25">
      <c r="A24" s="1051"/>
      <c r="B24" s="1049"/>
      <c r="C24" s="715" t="s">
        <v>532</v>
      </c>
      <c r="D24" s="682">
        <v>169</v>
      </c>
    </row>
    <row r="25" spans="1:4" ht="18" customHeight="1" x14ac:dyDescent="0.25">
      <c r="A25" s="1051"/>
      <c r="B25" s="1049"/>
      <c r="C25" s="715" t="s">
        <v>533</v>
      </c>
      <c r="D25" s="682">
        <v>85</v>
      </c>
    </row>
    <row r="26" spans="1:4" ht="36.75" customHeight="1" x14ac:dyDescent="0.25">
      <c r="A26" s="1051"/>
      <c r="B26" s="1049"/>
      <c r="C26" s="715" t="s">
        <v>534</v>
      </c>
      <c r="D26" s="682">
        <v>169</v>
      </c>
    </row>
    <row r="27" spans="1:4" ht="18.75" customHeight="1" x14ac:dyDescent="0.25">
      <c r="A27" s="1051"/>
      <c r="B27" s="1049"/>
      <c r="C27" s="715" t="s">
        <v>535</v>
      </c>
      <c r="D27" s="682">
        <v>35</v>
      </c>
    </row>
    <row r="28" spans="1:4" ht="18.75" customHeight="1" x14ac:dyDescent="0.25">
      <c r="A28" s="1051"/>
      <c r="B28" s="1049"/>
      <c r="C28" s="684" t="s">
        <v>536</v>
      </c>
      <c r="D28" s="682">
        <v>135</v>
      </c>
    </row>
    <row r="29" spans="1:4" ht="18.75" customHeight="1" x14ac:dyDescent="0.25">
      <c r="A29" s="1051"/>
      <c r="B29" s="1049"/>
      <c r="C29" s="715" t="s">
        <v>537</v>
      </c>
      <c r="D29" s="682">
        <v>220</v>
      </c>
    </row>
    <row r="30" spans="1:4" ht="18.75" customHeight="1" x14ac:dyDescent="0.25">
      <c r="A30" s="1051"/>
      <c r="B30" s="1049"/>
      <c r="C30" s="715" t="s">
        <v>538</v>
      </c>
      <c r="D30" s="682">
        <v>465</v>
      </c>
    </row>
    <row r="31" spans="1:4" ht="18.75" customHeight="1" x14ac:dyDescent="0.25">
      <c r="A31" s="1051"/>
      <c r="B31" s="1049"/>
      <c r="C31" s="715" t="s">
        <v>539</v>
      </c>
      <c r="D31" s="682">
        <v>1203</v>
      </c>
    </row>
    <row r="32" spans="1:4" ht="18.75" customHeight="1" x14ac:dyDescent="0.25">
      <c r="A32" s="1051"/>
      <c r="B32" s="1049"/>
      <c r="C32" s="715" t="s">
        <v>540</v>
      </c>
      <c r="D32" s="682">
        <v>296</v>
      </c>
    </row>
    <row r="33" spans="1:4" ht="18.75" customHeight="1" x14ac:dyDescent="0.25">
      <c r="A33" s="1051"/>
      <c r="B33" s="1049"/>
      <c r="C33" s="715" t="s">
        <v>541</v>
      </c>
      <c r="D33" s="682">
        <v>465</v>
      </c>
    </row>
    <row r="34" spans="1:4" x14ac:dyDescent="0.25">
      <c r="A34" s="1051"/>
      <c r="B34" s="1049"/>
      <c r="C34" s="715" t="s">
        <v>542</v>
      </c>
      <c r="D34" s="682">
        <v>423</v>
      </c>
    </row>
    <row r="35" spans="1:4" ht="19.5" customHeight="1" x14ac:dyDescent="0.25">
      <c r="A35" s="1051"/>
      <c r="B35" s="1049"/>
      <c r="C35" s="693" t="s">
        <v>543</v>
      </c>
      <c r="D35" s="682">
        <v>230</v>
      </c>
    </row>
    <row r="36" spans="1:4" ht="19.5" customHeight="1" x14ac:dyDescent="0.25">
      <c r="A36" s="1051"/>
      <c r="B36" s="1049"/>
      <c r="C36" s="693" t="s">
        <v>544</v>
      </c>
      <c r="D36" s="682">
        <v>946</v>
      </c>
    </row>
    <row r="37" spans="1:4" ht="19.5" customHeight="1" x14ac:dyDescent="0.25">
      <c r="A37" s="1051"/>
      <c r="B37" s="1049"/>
      <c r="C37" s="693" t="s">
        <v>545</v>
      </c>
      <c r="D37" s="682">
        <v>80</v>
      </c>
    </row>
    <row r="38" spans="1:4" ht="23.25" customHeight="1" x14ac:dyDescent="0.25">
      <c r="A38" s="1051"/>
      <c r="B38" s="1049"/>
      <c r="C38" s="693" t="s">
        <v>546</v>
      </c>
      <c r="D38" s="682">
        <v>130</v>
      </c>
    </row>
    <row r="39" spans="1:4" ht="36.75" customHeight="1" x14ac:dyDescent="0.25">
      <c r="A39" s="1051"/>
      <c r="B39" s="1049"/>
      <c r="C39" s="697" t="s">
        <v>547</v>
      </c>
      <c r="D39" s="683">
        <v>3679</v>
      </c>
    </row>
    <row r="40" spans="1:4" ht="36" customHeight="1" x14ac:dyDescent="0.25">
      <c r="A40" s="1051"/>
      <c r="B40" s="1049"/>
      <c r="C40" s="697" t="s">
        <v>548</v>
      </c>
      <c r="D40" s="683">
        <v>2000</v>
      </c>
    </row>
    <row r="41" spans="1:4" ht="23.25" customHeight="1" x14ac:dyDescent="0.25">
      <c r="A41" s="1052"/>
      <c r="B41" s="1050"/>
      <c r="C41" s="809" t="s">
        <v>549</v>
      </c>
      <c r="D41" s="811">
        <v>2000</v>
      </c>
    </row>
    <row r="42" spans="1:4" ht="18" customHeight="1" x14ac:dyDescent="0.25">
      <c r="A42" s="784">
        <v>3</v>
      </c>
      <c r="B42" s="785" t="s">
        <v>89</v>
      </c>
      <c r="C42" s="692"/>
      <c r="D42" s="786">
        <f>SUM(D43:D59)</f>
        <v>10910.18</v>
      </c>
    </row>
    <row r="43" spans="1:4" ht="18" customHeight="1" x14ac:dyDescent="0.25">
      <c r="A43" s="1051"/>
      <c r="B43" s="1049"/>
      <c r="C43" s="720" t="s">
        <v>550</v>
      </c>
      <c r="D43" s="790">
        <v>245</v>
      </c>
    </row>
    <row r="44" spans="1:4" ht="36.75" customHeight="1" x14ac:dyDescent="0.25">
      <c r="A44" s="1051"/>
      <c r="B44" s="1049"/>
      <c r="C44" s="696" t="s">
        <v>551</v>
      </c>
      <c r="D44" s="716">
        <v>113.99999999999999</v>
      </c>
    </row>
    <row r="45" spans="1:4" ht="20.25" customHeight="1" x14ac:dyDescent="0.25">
      <c r="A45" s="1051"/>
      <c r="B45" s="1049"/>
      <c r="C45" s="696" t="s">
        <v>552</v>
      </c>
      <c r="D45" s="716">
        <v>78</v>
      </c>
    </row>
    <row r="46" spans="1:4" ht="20.25" customHeight="1" x14ac:dyDescent="0.25">
      <c r="A46" s="1051"/>
      <c r="B46" s="1049"/>
      <c r="C46" s="696" t="s">
        <v>553</v>
      </c>
      <c r="D46" s="716">
        <v>416</v>
      </c>
    </row>
    <row r="47" spans="1:4" ht="20.25" customHeight="1" x14ac:dyDescent="0.25">
      <c r="A47" s="1051"/>
      <c r="B47" s="1049"/>
      <c r="C47" s="696" t="s">
        <v>554</v>
      </c>
      <c r="D47" s="716">
        <v>11</v>
      </c>
    </row>
    <row r="48" spans="1:4" ht="20.25" customHeight="1" x14ac:dyDescent="0.25">
      <c r="A48" s="1051"/>
      <c r="B48" s="1049"/>
      <c r="C48" s="696" t="s">
        <v>555</v>
      </c>
      <c r="D48" s="716">
        <v>26</v>
      </c>
    </row>
    <row r="49" spans="1:4" ht="20.25" customHeight="1" x14ac:dyDescent="0.25">
      <c r="A49" s="1051"/>
      <c r="B49" s="1049"/>
      <c r="C49" s="696" t="s">
        <v>556</v>
      </c>
      <c r="D49" s="716">
        <v>14</v>
      </c>
    </row>
    <row r="50" spans="1:4" ht="20.25" customHeight="1" x14ac:dyDescent="0.25">
      <c r="A50" s="1051"/>
      <c r="B50" s="1049"/>
      <c r="C50" s="696" t="s">
        <v>557</v>
      </c>
      <c r="D50" s="716">
        <v>280</v>
      </c>
    </row>
    <row r="51" spans="1:4" ht="31.5" x14ac:dyDescent="0.25">
      <c r="A51" s="1051"/>
      <c r="B51" s="1049"/>
      <c r="C51" s="696" t="s">
        <v>558</v>
      </c>
      <c r="D51" s="716">
        <v>33</v>
      </c>
    </row>
    <row r="52" spans="1:4" ht="19.5" customHeight="1" x14ac:dyDescent="0.25">
      <c r="A52" s="1051"/>
      <c r="B52" s="1049"/>
      <c r="C52" s="696" t="s">
        <v>559</v>
      </c>
      <c r="D52" s="716">
        <v>4960</v>
      </c>
    </row>
    <row r="53" spans="1:4" ht="19.5" customHeight="1" x14ac:dyDescent="0.25">
      <c r="A53" s="1051"/>
      <c r="B53" s="1049"/>
      <c r="C53" s="696" t="s">
        <v>560</v>
      </c>
      <c r="D53" s="716">
        <v>34</v>
      </c>
    </row>
    <row r="54" spans="1:4" ht="31.5" x14ac:dyDescent="0.25">
      <c r="A54" s="1051"/>
      <c r="B54" s="1049"/>
      <c r="C54" s="696" t="s">
        <v>561</v>
      </c>
      <c r="D54" s="716">
        <v>241</v>
      </c>
    </row>
    <row r="55" spans="1:4" ht="21.75" customHeight="1" x14ac:dyDescent="0.25">
      <c r="A55" s="1051"/>
      <c r="B55" s="1049"/>
      <c r="C55" s="696" t="s">
        <v>562</v>
      </c>
      <c r="D55" s="716">
        <v>126.17999999999999</v>
      </c>
    </row>
    <row r="56" spans="1:4" ht="24" customHeight="1" x14ac:dyDescent="0.25">
      <c r="A56" s="1051"/>
      <c r="B56" s="1049"/>
      <c r="C56" s="696" t="s">
        <v>563</v>
      </c>
      <c r="D56" s="716">
        <v>250</v>
      </c>
    </row>
    <row r="57" spans="1:4" ht="19.5" customHeight="1" x14ac:dyDescent="0.25">
      <c r="A57" s="1051"/>
      <c r="B57" s="1049"/>
      <c r="C57" s="696" t="s">
        <v>564</v>
      </c>
      <c r="D57" s="716">
        <v>582</v>
      </c>
    </row>
    <row r="58" spans="1:4" ht="31.5" x14ac:dyDescent="0.25">
      <c r="A58" s="1051"/>
      <c r="B58" s="1049"/>
      <c r="C58" s="696" t="s">
        <v>565</v>
      </c>
      <c r="D58" s="716">
        <v>1500</v>
      </c>
    </row>
    <row r="59" spans="1:4" ht="18" customHeight="1" x14ac:dyDescent="0.25">
      <c r="A59" s="1051"/>
      <c r="B59" s="1049"/>
      <c r="C59" s="791" t="s">
        <v>566</v>
      </c>
      <c r="D59" s="792">
        <v>2000</v>
      </c>
    </row>
    <row r="60" spans="1:4" ht="18" customHeight="1" x14ac:dyDescent="0.25">
      <c r="A60" s="784">
        <v>4</v>
      </c>
      <c r="B60" s="785" t="s">
        <v>225</v>
      </c>
      <c r="C60" s="692"/>
      <c r="D60" s="786">
        <f>SUM(D61:D67)</f>
        <v>2710.0365999999999</v>
      </c>
    </row>
    <row r="61" spans="1:4" ht="18" customHeight="1" x14ac:dyDescent="0.25">
      <c r="A61" s="1045"/>
      <c r="B61" s="1046"/>
      <c r="C61" s="720" t="s">
        <v>567</v>
      </c>
      <c r="D61" s="790">
        <v>187.53300000000002</v>
      </c>
    </row>
    <row r="62" spans="1:4" ht="18" customHeight="1" x14ac:dyDescent="0.25">
      <c r="A62" s="1043"/>
      <c r="B62" s="1044"/>
      <c r="C62" s="696" t="s">
        <v>568</v>
      </c>
      <c r="D62" s="716">
        <v>14.96</v>
      </c>
    </row>
    <row r="63" spans="1:4" ht="18" customHeight="1" x14ac:dyDescent="0.25">
      <c r="A63" s="1043"/>
      <c r="B63" s="1044"/>
      <c r="C63" s="696" t="s">
        <v>569</v>
      </c>
      <c r="D63" s="716">
        <v>130.19999999999999</v>
      </c>
    </row>
    <row r="64" spans="1:4" ht="18" customHeight="1" x14ac:dyDescent="0.25">
      <c r="A64" s="1043"/>
      <c r="B64" s="1044"/>
      <c r="C64" s="696" t="s">
        <v>570</v>
      </c>
      <c r="D64" s="716">
        <v>96</v>
      </c>
    </row>
    <row r="65" spans="1:4" x14ac:dyDescent="0.25">
      <c r="A65" s="1043"/>
      <c r="B65" s="1044"/>
      <c r="C65" s="696" t="s">
        <v>571</v>
      </c>
      <c r="D65" s="716">
        <v>72</v>
      </c>
    </row>
    <row r="66" spans="1:4" ht="31.5" x14ac:dyDescent="0.25">
      <c r="A66" s="1043"/>
      <c r="B66" s="1044"/>
      <c r="C66" s="696" t="s">
        <v>572</v>
      </c>
      <c r="D66" s="716">
        <v>209.34360000000001</v>
      </c>
    </row>
    <row r="67" spans="1:4" ht="18" customHeight="1" x14ac:dyDescent="0.25">
      <c r="A67" s="1047"/>
      <c r="B67" s="1048"/>
      <c r="C67" s="791" t="s">
        <v>573</v>
      </c>
      <c r="D67" s="792">
        <v>2000</v>
      </c>
    </row>
    <row r="68" spans="1:4" ht="18.75" customHeight="1" x14ac:dyDescent="0.25">
      <c r="A68" s="784">
        <v>5</v>
      </c>
      <c r="B68" s="785" t="s">
        <v>223</v>
      </c>
      <c r="C68" s="692"/>
      <c r="D68" s="786">
        <f>SUM(D69:D86)</f>
        <v>10773</v>
      </c>
    </row>
    <row r="69" spans="1:4" ht="20.25" customHeight="1" x14ac:dyDescent="0.25">
      <c r="A69" s="1058"/>
      <c r="B69" s="1063"/>
      <c r="C69" s="812" t="s">
        <v>574</v>
      </c>
      <c r="D69" s="813">
        <v>500</v>
      </c>
    </row>
    <row r="70" spans="1:4" ht="20.25" customHeight="1" x14ac:dyDescent="0.25">
      <c r="A70" s="1043"/>
      <c r="B70" s="1044"/>
      <c r="C70" s="684" t="s">
        <v>575</v>
      </c>
      <c r="D70" s="680">
        <v>600</v>
      </c>
    </row>
    <row r="71" spans="1:4" ht="20.25" customHeight="1" x14ac:dyDescent="0.25">
      <c r="A71" s="1043"/>
      <c r="B71" s="1044"/>
      <c r="C71" s="684" t="s">
        <v>576</v>
      </c>
      <c r="D71" s="680">
        <v>250</v>
      </c>
    </row>
    <row r="72" spans="1:4" ht="20.25" customHeight="1" x14ac:dyDescent="0.25">
      <c r="A72" s="1043"/>
      <c r="B72" s="1044"/>
      <c r="C72" s="684" t="s">
        <v>577</v>
      </c>
      <c r="D72" s="680">
        <v>70</v>
      </c>
    </row>
    <row r="73" spans="1:4" ht="31.5" x14ac:dyDescent="0.25">
      <c r="A73" s="1043"/>
      <c r="B73" s="1044"/>
      <c r="C73" s="684" t="s">
        <v>578</v>
      </c>
      <c r="D73" s="680">
        <v>150</v>
      </c>
    </row>
    <row r="74" spans="1:4" ht="18" customHeight="1" x14ac:dyDescent="0.25">
      <c r="A74" s="1043"/>
      <c r="B74" s="1044"/>
      <c r="C74" s="693" t="s">
        <v>579</v>
      </c>
      <c r="D74" s="680">
        <v>75</v>
      </c>
    </row>
    <row r="75" spans="1:4" ht="18" customHeight="1" x14ac:dyDescent="0.25">
      <c r="A75" s="1043"/>
      <c r="B75" s="1044"/>
      <c r="C75" s="684" t="s">
        <v>580</v>
      </c>
      <c r="D75" s="680">
        <v>75</v>
      </c>
    </row>
    <row r="76" spans="1:4" ht="18" customHeight="1" x14ac:dyDescent="0.25">
      <c r="A76" s="1043"/>
      <c r="B76" s="1044"/>
      <c r="C76" s="684" t="s">
        <v>581</v>
      </c>
      <c r="D76" s="680">
        <v>30</v>
      </c>
    </row>
    <row r="77" spans="1:4" ht="18" customHeight="1" x14ac:dyDescent="0.25">
      <c r="A77" s="1043"/>
      <c r="B77" s="1044"/>
      <c r="C77" s="693" t="s">
        <v>582</v>
      </c>
      <c r="D77" s="680">
        <v>1000</v>
      </c>
    </row>
    <row r="78" spans="1:4" ht="18" customHeight="1" x14ac:dyDescent="0.25">
      <c r="A78" s="1043"/>
      <c r="B78" s="1044"/>
      <c r="C78" s="693" t="s">
        <v>583</v>
      </c>
      <c r="D78" s="680">
        <v>250</v>
      </c>
    </row>
    <row r="79" spans="1:4" ht="18" customHeight="1" x14ac:dyDescent="0.25">
      <c r="A79" s="1043"/>
      <c r="B79" s="1044"/>
      <c r="C79" s="693" t="s">
        <v>584</v>
      </c>
      <c r="D79" s="680">
        <v>150</v>
      </c>
    </row>
    <row r="80" spans="1:4" ht="18" customHeight="1" x14ac:dyDescent="0.25">
      <c r="A80" s="1043"/>
      <c r="B80" s="1044"/>
      <c r="C80" s="693" t="s">
        <v>585</v>
      </c>
      <c r="D80" s="680">
        <v>250</v>
      </c>
    </row>
    <row r="81" spans="1:4" ht="31.5" x14ac:dyDescent="0.25">
      <c r="A81" s="1043"/>
      <c r="B81" s="1044"/>
      <c r="C81" s="693" t="s">
        <v>586</v>
      </c>
      <c r="D81" s="680">
        <v>3000</v>
      </c>
    </row>
    <row r="82" spans="1:4" ht="21" customHeight="1" x14ac:dyDescent="0.25">
      <c r="A82" s="1043"/>
      <c r="B82" s="1044"/>
      <c r="C82" s="693" t="s">
        <v>587</v>
      </c>
      <c r="D82" s="680">
        <v>35</v>
      </c>
    </row>
    <row r="83" spans="1:4" ht="20.25" customHeight="1" x14ac:dyDescent="0.25">
      <c r="A83" s="1043"/>
      <c r="B83" s="1044"/>
      <c r="C83" s="684" t="s">
        <v>588</v>
      </c>
      <c r="D83" s="680">
        <v>1000</v>
      </c>
    </row>
    <row r="84" spans="1:4" ht="33.75" customHeight="1" x14ac:dyDescent="0.25">
      <c r="A84" s="1043"/>
      <c r="B84" s="1044"/>
      <c r="C84" s="679" t="s">
        <v>589</v>
      </c>
      <c r="D84" s="680">
        <v>800</v>
      </c>
    </row>
    <row r="85" spans="1:4" ht="18" customHeight="1" x14ac:dyDescent="0.25">
      <c r="A85" s="1043"/>
      <c r="B85" s="1044"/>
      <c r="C85" s="679" t="s">
        <v>590</v>
      </c>
      <c r="D85" s="685">
        <v>140</v>
      </c>
    </row>
    <row r="86" spans="1:4" ht="51.75" customHeight="1" x14ac:dyDescent="0.25">
      <c r="A86" s="1059"/>
      <c r="B86" s="1064"/>
      <c r="C86" s="801" t="s">
        <v>1106</v>
      </c>
      <c r="D86" s="810">
        <v>2398</v>
      </c>
    </row>
    <row r="87" spans="1:4" x14ac:dyDescent="0.25">
      <c r="A87" s="784">
        <v>6</v>
      </c>
      <c r="B87" s="785" t="s">
        <v>131</v>
      </c>
      <c r="C87" s="692"/>
      <c r="D87" s="786">
        <f>SUM(D88:D98)</f>
        <v>3707.0816999999997</v>
      </c>
    </row>
    <row r="88" spans="1:4" ht="18" customHeight="1" x14ac:dyDescent="0.25">
      <c r="A88" s="1045"/>
      <c r="B88" s="1046"/>
      <c r="C88" s="720" t="s">
        <v>591</v>
      </c>
      <c r="D88" s="790">
        <v>190</v>
      </c>
    </row>
    <row r="89" spans="1:4" ht="18" customHeight="1" x14ac:dyDescent="0.25">
      <c r="A89" s="1043"/>
      <c r="B89" s="1044"/>
      <c r="C89" s="696" t="s">
        <v>592</v>
      </c>
      <c r="D89" s="716">
        <v>50</v>
      </c>
    </row>
    <row r="90" spans="1:4" ht="18" customHeight="1" x14ac:dyDescent="0.25">
      <c r="A90" s="1043"/>
      <c r="B90" s="1044"/>
      <c r="C90" s="696" t="s">
        <v>593</v>
      </c>
      <c r="D90" s="716">
        <v>167</v>
      </c>
    </row>
    <row r="91" spans="1:4" ht="31.5" x14ac:dyDescent="0.25">
      <c r="A91" s="1043"/>
      <c r="B91" s="1044"/>
      <c r="C91" s="696" t="s">
        <v>594</v>
      </c>
      <c r="D91" s="716">
        <v>638</v>
      </c>
    </row>
    <row r="92" spans="1:4" ht="21.75" customHeight="1" x14ac:dyDescent="0.25">
      <c r="A92" s="1043"/>
      <c r="B92" s="1044"/>
      <c r="C92" s="696" t="s">
        <v>595</v>
      </c>
      <c r="D92" s="716">
        <v>135</v>
      </c>
    </row>
    <row r="93" spans="1:4" ht="21.75" customHeight="1" x14ac:dyDescent="0.25">
      <c r="A93" s="1043"/>
      <c r="B93" s="1044"/>
      <c r="C93" s="696" t="s">
        <v>596</v>
      </c>
      <c r="D93" s="716">
        <v>228.48569999999998</v>
      </c>
    </row>
    <row r="94" spans="1:4" ht="21.75" customHeight="1" x14ac:dyDescent="0.25">
      <c r="A94" s="1043"/>
      <c r="B94" s="1044"/>
      <c r="C94" s="696" t="s">
        <v>597</v>
      </c>
      <c r="D94" s="716">
        <v>21</v>
      </c>
    </row>
    <row r="95" spans="1:4" ht="21.75" customHeight="1" x14ac:dyDescent="0.25">
      <c r="A95" s="1043"/>
      <c r="B95" s="1044"/>
      <c r="C95" s="696" t="s">
        <v>598</v>
      </c>
      <c r="D95" s="716">
        <v>193.67999999999998</v>
      </c>
    </row>
    <row r="96" spans="1:4" ht="21.75" customHeight="1" x14ac:dyDescent="0.25">
      <c r="A96" s="1043"/>
      <c r="B96" s="1044"/>
      <c r="C96" s="696" t="s">
        <v>599</v>
      </c>
      <c r="D96" s="716">
        <v>96</v>
      </c>
    </row>
    <row r="97" spans="1:4" ht="31.5" x14ac:dyDescent="0.25">
      <c r="A97" s="1043"/>
      <c r="B97" s="1044"/>
      <c r="C97" s="696" t="s">
        <v>600</v>
      </c>
      <c r="D97" s="716">
        <v>800</v>
      </c>
    </row>
    <row r="98" spans="1:4" ht="20.25" customHeight="1" x14ac:dyDescent="0.25">
      <c r="A98" s="1047"/>
      <c r="B98" s="1048"/>
      <c r="C98" s="791" t="s">
        <v>601</v>
      </c>
      <c r="D98" s="792">
        <v>1187.9159999999997</v>
      </c>
    </row>
    <row r="99" spans="1:4" ht="20.25" customHeight="1" x14ac:dyDescent="0.25">
      <c r="A99" s="784">
        <v>7</v>
      </c>
      <c r="B99" s="785" t="s">
        <v>144</v>
      </c>
      <c r="C99" s="692"/>
      <c r="D99" s="786">
        <f>SUM(D100:D110)</f>
        <v>63163</v>
      </c>
    </row>
    <row r="100" spans="1:4" ht="20.25" customHeight="1" x14ac:dyDescent="0.25">
      <c r="A100" s="1045"/>
      <c r="B100" s="1046"/>
      <c r="C100" s="720" t="s">
        <v>602</v>
      </c>
      <c r="D100" s="721">
        <v>669</v>
      </c>
    </row>
    <row r="101" spans="1:4" ht="20.25" customHeight="1" x14ac:dyDescent="0.25">
      <c r="A101" s="1043"/>
      <c r="B101" s="1044"/>
      <c r="C101" s="696" t="s">
        <v>603</v>
      </c>
      <c r="D101" s="682">
        <v>86</v>
      </c>
    </row>
    <row r="102" spans="1:4" ht="20.25" customHeight="1" x14ac:dyDescent="0.25">
      <c r="A102" s="1043"/>
      <c r="B102" s="1044"/>
      <c r="C102" s="696" t="s">
        <v>604</v>
      </c>
      <c r="D102" s="682">
        <v>64</v>
      </c>
    </row>
    <row r="103" spans="1:4" ht="20.25" customHeight="1" x14ac:dyDescent="0.25">
      <c r="A103" s="1043"/>
      <c r="B103" s="1044"/>
      <c r="C103" s="693" t="s">
        <v>605</v>
      </c>
      <c r="D103" s="682">
        <v>124</v>
      </c>
    </row>
    <row r="104" spans="1:4" ht="20.25" customHeight="1" x14ac:dyDescent="0.25">
      <c r="A104" s="1043"/>
      <c r="B104" s="1044"/>
      <c r="C104" s="693" t="s">
        <v>606</v>
      </c>
      <c r="D104" s="682">
        <v>26500</v>
      </c>
    </row>
    <row r="105" spans="1:4" ht="34.5" customHeight="1" x14ac:dyDescent="0.25">
      <c r="A105" s="1043"/>
      <c r="B105" s="1044"/>
      <c r="C105" s="693" t="s">
        <v>607</v>
      </c>
      <c r="D105" s="682">
        <v>500</v>
      </c>
    </row>
    <row r="106" spans="1:4" ht="36" customHeight="1" x14ac:dyDescent="0.25">
      <c r="A106" s="1043"/>
      <c r="B106" s="1044"/>
      <c r="C106" s="693" t="s">
        <v>608</v>
      </c>
      <c r="D106" s="682">
        <v>32849</v>
      </c>
    </row>
    <row r="107" spans="1:4" ht="18" customHeight="1" x14ac:dyDescent="0.25">
      <c r="A107" s="1043"/>
      <c r="B107" s="1044"/>
      <c r="C107" s="693" t="s">
        <v>609</v>
      </c>
      <c r="D107" s="682">
        <v>815</v>
      </c>
    </row>
    <row r="108" spans="1:4" ht="18" customHeight="1" x14ac:dyDescent="0.25">
      <c r="A108" s="1043"/>
      <c r="B108" s="1044"/>
      <c r="C108" s="693" t="s">
        <v>610</v>
      </c>
      <c r="D108" s="682">
        <v>1006</v>
      </c>
    </row>
    <row r="109" spans="1:4" ht="31.5" x14ac:dyDescent="0.25">
      <c r="A109" s="1043"/>
      <c r="B109" s="1044"/>
      <c r="C109" s="693" t="s">
        <v>611</v>
      </c>
      <c r="D109" s="682">
        <v>500</v>
      </c>
    </row>
    <row r="110" spans="1:4" ht="18" customHeight="1" x14ac:dyDescent="0.25">
      <c r="A110" s="1047"/>
      <c r="B110" s="1048"/>
      <c r="C110" s="793" t="s">
        <v>612</v>
      </c>
      <c r="D110" s="795">
        <v>50</v>
      </c>
    </row>
    <row r="111" spans="1:4" ht="16.5" customHeight="1" x14ac:dyDescent="0.25">
      <c r="A111" s="784">
        <v>8</v>
      </c>
      <c r="B111" s="785" t="s">
        <v>143</v>
      </c>
      <c r="C111" s="692"/>
      <c r="D111" s="786">
        <f>SUM(D112:D123)</f>
        <v>3514</v>
      </c>
    </row>
    <row r="112" spans="1:4" ht="21" customHeight="1" x14ac:dyDescent="0.25">
      <c r="A112" s="1054"/>
      <c r="B112" s="1053"/>
      <c r="C112" s="796" t="s">
        <v>613</v>
      </c>
      <c r="D112" s="721">
        <v>60</v>
      </c>
    </row>
    <row r="113" spans="1:4" ht="21" customHeight="1" x14ac:dyDescent="0.25">
      <c r="A113" s="1051"/>
      <c r="B113" s="1049"/>
      <c r="C113" s="693" t="s">
        <v>614</v>
      </c>
      <c r="D113" s="682">
        <v>50</v>
      </c>
    </row>
    <row r="114" spans="1:4" ht="21" customHeight="1" x14ac:dyDescent="0.25">
      <c r="A114" s="1051"/>
      <c r="B114" s="1049"/>
      <c r="C114" s="684" t="s">
        <v>615</v>
      </c>
      <c r="D114" s="682">
        <v>77</v>
      </c>
    </row>
    <row r="115" spans="1:4" ht="18.75" customHeight="1" x14ac:dyDescent="0.25">
      <c r="A115" s="1051"/>
      <c r="B115" s="1049"/>
      <c r="C115" s="693" t="s">
        <v>616</v>
      </c>
      <c r="D115" s="682">
        <v>25</v>
      </c>
    </row>
    <row r="116" spans="1:4" ht="18.75" customHeight="1" x14ac:dyDescent="0.25">
      <c r="A116" s="1051"/>
      <c r="B116" s="1049"/>
      <c r="C116" s="693" t="s">
        <v>617</v>
      </c>
      <c r="D116" s="682">
        <v>80</v>
      </c>
    </row>
    <row r="117" spans="1:4" ht="18.75" customHeight="1" x14ac:dyDescent="0.25">
      <c r="A117" s="1051"/>
      <c r="B117" s="1049"/>
      <c r="C117" s="693" t="s">
        <v>618</v>
      </c>
      <c r="D117" s="682">
        <v>204</v>
      </c>
    </row>
    <row r="118" spans="1:4" ht="33.75" customHeight="1" x14ac:dyDescent="0.25">
      <c r="A118" s="1051"/>
      <c r="B118" s="1049"/>
      <c r="C118" s="693" t="s">
        <v>619</v>
      </c>
      <c r="D118" s="682">
        <v>149</v>
      </c>
    </row>
    <row r="119" spans="1:4" ht="47.25" x14ac:dyDescent="0.25">
      <c r="A119" s="1051"/>
      <c r="B119" s="1049"/>
      <c r="C119" s="693" t="s">
        <v>620</v>
      </c>
      <c r="D119" s="682">
        <v>18</v>
      </c>
    </row>
    <row r="120" spans="1:4" ht="21" customHeight="1" x14ac:dyDescent="0.25">
      <c r="A120" s="1051"/>
      <c r="B120" s="1049"/>
      <c r="C120" s="693" t="s">
        <v>621</v>
      </c>
      <c r="D120" s="682">
        <v>180</v>
      </c>
    </row>
    <row r="121" spans="1:4" ht="21" customHeight="1" x14ac:dyDescent="0.25">
      <c r="A121" s="1051"/>
      <c r="B121" s="1049"/>
      <c r="C121" s="693" t="s">
        <v>622</v>
      </c>
      <c r="D121" s="682">
        <v>1271</v>
      </c>
    </row>
    <row r="122" spans="1:4" ht="21" customHeight="1" x14ac:dyDescent="0.25">
      <c r="A122" s="1051"/>
      <c r="B122" s="1049"/>
      <c r="C122" s="693" t="s">
        <v>623</v>
      </c>
      <c r="D122" s="682">
        <v>400</v>
      </c>
    </row>
    <row r="123" spans="1:4" ht="21" customHeight="1" x14ac:dyDescent="0.25">
      <c r="A123" s="1051"/>
      <c r="B123" s="1049"/>
      <c r="C123" s="793" t="s">
        <v>624</v>
      </c>
      <c r="D123" s="795">
        <v>1000</v>
      </c>
    </row>
    <row r="124" spans="1:4" ht="18" customHeight="1" x14ac:dyDescent="0.25">
      <c r="A124" s="784">
        <v>9</v>
      </c>
      <c r="B124" s="785" t="s">
        <v>506</v>
      </c>
      <c r="C124" s="692"/>
      <c r="D124" s="786">
        <f>SUM(D125:D147)</f>
        <v>7213.8</v>
      </c>
    </row>
    <row r="125" spans="1:4" ht="18.75" customHeight="1" x14ac:dyDescent="0.25">
      <c r="A125" s="1058"/>
      <c r="B125" s="1055"/>
      <c r="C125" s="799" t="s">
        <v>625</v>
      </c>
      <c r="D125" s="800">
        <v>144</v>
      </c>
    </row>
    <row r="126" spans="1:4" ht="18.75" customHeight="1" x14ac:dyDescent="0.25">
      <c r="A126" s="1043"/>
      <c r="B126" s="1056"/>
      <c r="C126" s="693" t="s">
        <v>626</v>
      </c>
      <c r="D126" s="682">
        <v>38</v>
      </c>
    </row>
    <row r="127" spans="1:4" ht="18.75" customHeight="1" x14ac:dyDescent="0.25">
      <c r="A127" s="1043"/>
      <c r="B127" s="1056"/>
      <c r="C127" s="698" t="s">
        <v>627</v>
      </c>
      <c r="D127" s="682">
        <v>39</v>
      </c>
    </row>
    <row r="128" spans="1:4" ht="31.5" x14ac:dyDescent="0.25">
      <c r="A128" s="1043"/>
      <c r="B128" s="1056"/>
      <c r="C128" s="693" t="s">
        <v>628</v>
      </c>
      <c r="D128" s="682">
        <v>12.4</v>
      </c>
    </row>
    <row r="129" spans="1:4" ht="31.5" x14ac:dyDescent="0.25">
      <c r="A129" s="1043"/>
      <c r="B129" s="1056"/>
      <c r="C129" s="693" t="s">
        <v>629</v>
      </c>
      <c r="D129" s="682">
        <v>17.399999999999999</v>
      </c>
    </row>
    <row r="130" spans="1:4" ht="18.75" customHeight="1" x14ac:dyDescent="0.25">
      <c r="A130" s="1043"/>
      <c r="B130" s="1056"/>
      <c r="C130" s="693" t="s">
        <v>630</v>
      </c>
      <c r="D130" s="682">
        <v>34</v>
      </c>
    </row>
    <row r="131" spans="1:4" ht="18.75" customHeight="1" x14ac:dyDescent="0.25">
      <c r="A131" s="1059"/>
      <c r="B131" s="1057"/>
      <c r="C131" s="801" t="s">
        <v>631</v>
      </c>
      <c r="D131" s="802">
        <v>127</v>
      </c>
    </row>
    <row r="132" spans="1:4" ht="26.25" customHeight="1" x14ac:dyDescent="0.25">
      <c r="A132" s="784">
        <v>9</v>
      </c>
      <c r="B132" s="785" t="s">
        <v>506</v>
      </c>
      <c r="C132" s="797" t="s">
        <v>632</v>
      </c>
      <c r="D132" s="798">
        <v>22</v>
      </c>
    </row>
    <row r="133" spans="1:4" ht="39" customHeight="1" x14ac:dyDescent="0.25">
      <c r="A133" s="1054"/>
      <c r="B133" s="1053"/>
      <c r="C133" s="796" t="s">
        <v>633</v>
      </c>
      <c r="D133" s="721">
        <v>19</v>
      </c>
    </row>
    <row r="134" spans="1:4" ht="20.25" customHeight="1" x14ac:dyDescent="0.25">
      <c r="A134" s="1051"/>
      <c r="B134" s="1049"/>
      <c r="C134" s="693" t="s">
        <v>634</v>
      </c>
      <c r="D134" s="682">
        <v>38</v>
      </c>
    </row>
    <row r="135" spans="1:4" ht="20.25" customHeight="1" x14ac:dyDescent="0.25">
      <c r="A135" s="1051"/>
      <c r="B135" s="1049"/>
      <c r="C135" s="693" t="s">
        <v>635</v>
      </c>
      <c r="D135" s="682">
        <v>43</v>
      </c>
    </row>
    <row r="136" spans="1:4" ht="20.25" customHeight="1" x14ac:dyDescent="0.25">
      <c r="A136" s="1051"/>
      <c r="B136" s="1049"/>
      <c r="C136" s="693" t="s">
        <v>636</v>
      </c>
      <c r="D136" s="682">
        <v>121</v>
      </c>
    </row>
    <row r="137" spans="1:4" ht="20.25" customHeight="1" x14ac:dyDescent="0.25">
      <c r="A137" s="1051"/>
      <c r="B137" s="1049"/>
      <c r="C137" s="693" t="s">
        <v>637</v>
      </c>
      <c r="D137" s="682">
        <v>142</v>
      </c>
    </row>
    <row r="138" spans="1:4" ht="52.5" customHeight="1" x14ac:dyDescent="0.25">
      <c r="A138" s="1051"/>
      <c r="B138" s="1049"/>
      <c r="C138" s="693" t="s">
        <v>638</v>
      </c>
      <c r="D138" s="682">
        <v>17</v>
      </c>
    </row>
    <row r="139" spans="1:4" ht="36.75" customHeight="1" x14ac:dyDescent="0.25">
      <c r="A139" s="1051"/>
      <c r="B139" s="1049"/>
      <c r="C139" s="693" t="s">
        <v>1107</v>
      </c>
      <c r="D139" s="682">
        <v>26</v>
      </c>
    </row>
    <row r="140" spans="1:4" ht="47.25" customHeight="1" x14ac:dyDescent="0.25">
      <c r="A140" s="1051"/>
      <c r="B140" s="1049"/>
      <c r="C140" s="699" t="s">
        <v>639</v>
      </c>
      <c r="D140" s="682">
        <v>22</v>
      </c>
    </row>
    <row r="141" spans="1:4" ht="21" customHeight="1" x14ac:dyDescent="0.25">
      <c r="A141" s="1051"/>
      <c r="B141" s="1049"/>
      <c r="C141" s="697" t="s">
        <v>640</v>
      </c>
      <c r="D141" s="682">
        <v>39</v>
      </c>
    </row>
    <row r="142" spans="1:4" ht="21" customHeight="1" x14ac:dyDescent="0.25">
      <c r="A142" s="1051"/>
      <c r="B142" s="1049"/>
      <c r="C142" s="693" t="s">
        <v>641</v>
      </c>
      <c r="D142" s="682">
        <v>68</v>
      </c>
    </row>
    <row r="143" spans="1:4" ht="21" customHeight="1" x14ac:dyDescent="0.25">
      <c r="A143" s="1051"/>
      <c r="B143" s="1049"/>
      <c r="C143" s="693" t="s">
        <v>642</v>
      </c>
      <c r="D143" s="682">
        <v>20</v>
      </c>
    </row>
    <row r="144" spans="1:4" ht="21" customHeight="1" x14ac:dyDescent="0.25">
      <c r="A144" s="1051"/>
      <c r="B144" s="1049"/>
      <c r="C144" s="693" t="s">
        <v>643</v>
      </c>
      <c r="D144" s="682">
        <v>500</v>
      </c>
    </row>
    <row r="145" spans="1:4" ht="21" customHeight="1" x14ac:dyDescent="0.25">
      <c r="A145" s="1051"/>
      <c r="B145" s="1049"/>
      <c r="C145" s="693" t="s">
        <v>644</v>
      </c>
      <c r="D145" s="682">
        <v>2385</v>
      </c>
    </row>
    <row r="146" spans="1:4" ht="21" customHeight="1" x14ac:dyDescent="0.25">
      <c r="A146" s="1051"/>
      <c r="B146" s="1049"/>
      <c r="C146" s="693" t="s">
        <v>645</v>
      </c>
      <c r="D146" s="682">
        <v>3196</v>
      </c>
    </row>
    <row r="147" spans="1:4" ht="31.5" x14ac:dyDescent="0.25">
      <c r="A147" s="1051"/>
      <c r="B147" s="1049"/>
      <c r="C147" s="793" t="s">
        <v>646</v>
      </c>
      <c r="D147" s="795">
        <v>144</v>
      </c>
    </row>
    <row r="148" spans="1:4" ht="23.25" customHeight="1" x14ac:dyDescent="0.25">
      <c r="A148" s="784">
        <v>10</v>
      </c>
      <c r="B148" s="785" t="s">
        <v>647</v>
      </c>
      <c r="C148" s="692"/>
      <c r="D148" s="786">
        <f>SUM(D149:D163)</f>
        <v>20441.773399999998</v>
      </c>
    </row>
    <row r="149" spans="1:4" ht="20.25" customHeight="1" x14ac:dyDescent="0.25">
      <c r="A149" s="1045"/>
      <c r="B149" s="1046"/>
      <c r="C149" s="720" t="s">
        <v>648</v>
      </c>
      <c r="D149" s="790">
        <v>154.82599999999999</v>
      </c>
    </row>
    <row r="150" spans="1:4" ht="20.25" customHeight="1" x14ac:dyDescent="0.25">
      <c r="A150" s="1043"/>
      <c r="B150" s="1044"/>
      <c r="C150" s="696" t="s">
        <v>649</v>
      </c>
      <c r="D150" s="716">
        <v>446.42719999999997</v>
      </c>
    </row>
    <row r="151" spans="1:4" ht="20.25" customHeight="1" x14ac:dyDescent="0.25">
      <c r="A151" s="1043"/>
      <c r="B151" s="1044"/>
      <c r="C151" s="696" t="s">
        <v>650</v>
      </c>
      <c r="D151" s="716">
        <v>3253.6</v>
      </c>
    </row>
    <row r="152" spans="1:4" ht="20.25" customHeight="1" x14ac:dyDescent="0.25">
      <c r="A152" s="1043"/>
      <c r="B152" s="1044"/>
      <c r="C152" s="696" t="s">
        <v>651</v>
      </c>
      <c r="D152" s="716">
        <v>2518</v>
      </c>
    </row>
    <row r="153" spans="1:4" ht="20.25" customHeight="1" x14ac:dyDescent="0.25">
      <c r="A153" s="1043"/>
      <c r="B153" s="1044"/>
      <c r="C153" s="696" t="s">
        <v>652</v>
      </c>
      <c r="D153" s="716">
        <v>800</v>
      </c>
    </row>
    <row r="154" spans="1:4" x14ac:dyDescent="0.25">
      <c r="A154" s="1043"/>
      <c r="B154" s="1044"/>
      <c r="C154" s="696" t="s">
        <v>653</v>
      </c>
      <c r="D154" s="716">
        <v>800</v>
      </c>
    </row>
    <row r="155" spans="1:4" x14ac:dyDescent="0.25">
      <c r="A155" s="1043"/>
      <c r="B155" s="1044"/>
      <c r="C155" s="696" t="s">
        <v>654</v>
      </c>
      <c r="D155" s="716">
        <v>857</v>
      </c>
    </row>
    <row r="156" spans="1:4" ht="20.25" customHeight="1" x14ac:dyDescent="0.25">
      <c r="A156" s="1043"/>
      <c r="B156" s="1044"/>
      <c r="C156" s="696" t="s">
        <v>655</v>
      </c>
      <c r="D156" s="716">
        <v>628.32999999999993</v>
      </c>
    </row>
    <row r="157" spans="1:4" ht="20.25" customHeight="1" x14ac:dyDescent="0.25">
      <c r="A157" s="1043"/>
      <c r="B157" s="1044"/>
      <c r="C157" s="696" t="s">
        <v>656</v>
      </c>
      <c r="D157" s="716">
        <v>516.46600000000001</v>
      </c>
    </row>
    <row r="158" spans="1:4" ht="20.25" customHeight="1" x14ac:dyDescent="0.25">
      <c r="A158" s="1043"/>
      <c r="B158" s="1044"/>
      <c r="C158" s="696" t="s">
        <v>657</v>
      </c>
      <c r="D158" s="716">
        <v>224.01900000000001</v>
      </c>
    </row>
    <row r="159" spans="1:4" ht="20.25" customHeight="1" x14ac:dyDescent="0.25">
      <c r="A159" s="1043"/>
      <c r="B159" s="1044"/>
      <c r="C159" s="696" t="s">
        <v>658</v>
      </c>
      <c r="D159" s="716">
        <v>381.892</v>
      </c>
    </row>
    <row r="160" spans="1:4" ht="20.25" customHeight="1" x14ac:dyDescent="0.25">
      <c r="A160" s="1043"/>
      <c r="B160" s="1044"/>
      <c r="C160" s="696" t="s">
        <v>659</v>
      </c>
      <c r="D160" s="716">
        <v>5000</v>
      </c>
    </row>
    <row r="161" spans="1:4" ht="20.25" customHeight="1" x14ac:dyDescent="0.25">
      <c r="A161" s="1043"/>
      <c r="B161" s="1044"/>
      <c r="C161" s="696" t="s">
        <v>660</v>
      </c>
      <c r="D161" s="716">
        <v>1189.566</v>
      </c>
    </row>
    <row r="162" spans="1:4" ht="20.25" customHeight="1" x14ac:dyDescent="0.25">
      <c r="A162" s="1043"/>
      <c r="B162" s="1044"/>
      <c r="C162" s="696" t="s">
        <v>661</v>
      </c>
      <c r="D162" s="716">
        <v>1790.6471999999999</v>
      </c>
    </row>
    <row r="163" spans="1:4" ht="20.25" customHeight="1" x14ac:dyDescent="0.25">
      <c r="A163" s="1047"/>
      <c r="B163" s="1048"/>
      <c r="C163" s="791" t="s">
        <v>662</v>
      </c>
      <c r="D163" s="792">
        <v>1881</v>
      </c>
    </row>
    <row r="164" spans="1:4" s="675" customFormat="1" ht="38.25" customHeight="1" x14ac:dyDescent="0.25">
      <c r="A164" s="784">
        <v>11</v>
      </c>
      <c r="B164" s="785" t="s">
        <v>663</v>
      </c>
      <c r="C164" s="692"/>
      <c r="D164" s="786">
        <f>SUM(D165:D180)</f>
        <v>22547</v>
      </c>
    </row>
    <row r="165" spans="1:4" ht="18.75" customHeight="1" x14ac:dyDescent="0.25">
      <c r="A165" s="1054"/>
      <c r="B165" s="1053"/>
      <c r="C165" s="807" t="s">
        <v>664</v>
      </c>
      <c r="D165" s="808">
        <v>639</v>
      </c>
    </row>
    <row r="166" spans="1:4" ht="18.75" customHeight="1" x14ac:dyDescent="0.25">
      <c r="A166" s="1051"/>
      <c r="B166" s="1049"/>
      <c r="C166" s="697" t="s">
        <v>665</v>
      </c>
      <c r="D166" s="685">
        <v>68</v>
      </c>
    </row>
    <row r="167" spans="1:4" ht="18.75" customHeight="1" x14ac:dyDescent="0.25">
      <c r="A167" s="1051"/>
      <c r="B167" s="1049"/>
      <c r="C167" s="697" t="s">
        <v>666</v>
      </c>
      <c r="D167" s="685">
        <v>2508</v>
      </c>
    </row>
    <row r="168" spans="1:4" ht="18.75" customHeight="1" x14ac:dyDescent="0.25">
      <c r="A168" s="1051"/>
      <c r="B168" s="1049"/>
      <c r="C168" s="697" t="s">
        <v>667</v>
      </c>
      <c r="D168" s="685">
        <v>418</v>
      </c>
    </row>
    <row r="169" spans="1:4" ht="18.75" customHeight="1" x14ac:dyDescent="0.25">
      <c r="A169" s="1051"/>
      <c r="B169" s="1049"/>
      <c r="C169" s="697" t="s">
        <v>668</v>
      </c>
      <c r="D169" s="685">
        <v>86</v>
      </c>
    </row>
    <row r="170" spans="1:4" ht="18.75" customHeight="1" x14ac:dyDescent="0.25">
      <c r="A170" s="1051"/>
      <c r="B170" s="1049"/>
      <c r="C170" s="697" t="s">
        <v>669</v>
      </c>
      <c r="D170" s="685">
        <v>384</v>
      </c>
    </row>
    <row r="171" spans="1:4" ht="18.75" customHeight="1" x14ac:dyDescent="0.25">
      <c r="A171" s="1051"/>
      <c r="B171" s="1049"/>
      <c r="C171" s="697" t="s">
        <v>670</v>
      </c>
      <c r="D171" s="685">
        <v>173</v>
      </c>
    </row>
    <row r="172" spans="1:4" ht="18.75" customHeight="1" x14ac:dyDescent="0.25">
      <c r="A172" s="1051"/>
      <c r="B172" s="1049"/>
      <c r="C172" s="697" t="s">
        <v>671</v>
      </c>
      <c r="D172" s="685">
        <v>55</v>
      </c>
    </row>
    <row r="173" spans="1:4" ht="31.5" x14ac:dyDescent="0.25">
      <c r="A173" s="1052"/>
      <c r="B173" s="1050"/>
      <c r="C173" s="809" t="s">
        <v>672</v>
      </c>
      <c r="D173" s="810">
        <v>220</v>
      </c>
    </row>
    <row r="174" spans="1:4" ht="32.25" customHeight="1" x14ac:dyDescent="0.25">
      <c r="A174" s="784">
        <v>11</v>
      </c>
      <c r="B174" s="785" t="s">
        <v>663</v>
      </c>
      <c r="C174" s="805" t="s">
        <v>673</v>
      </c>
      <c r="D174" s="806">
        <v>2160</v>
      </c>
    </row>
    <row r="175" spans="1:4" ht="20.25" customHeight="1" x14ac:dyDescent="0.25">
      <c r="A175" s="781"/>
      <c r="B175" s="780"/>
      <c r="C175" s="803" t="s">
        <v>674</v>
      </c>
      <c r="D175" s="804">
        <v>720</v>
      </c>
    </row>
    <row r="176" spans="1:4" ht="20.25" customHeight="1" x14ac:dyDescent="0.25">
      <c r="A176" s="689"/>
      <c r="B176" s="688"/>
      <c r="C176" s="697" t="s">
        <v>675</v>
      </c>
      <c r="D176" s="685">
        <v>2450</v>
      </c>
    </row>
    <row r="177" spans="1:4" ht="20.25" customHeight="1" x14ac:dyDescent="0.25">
      <c r="A177" s="689"/>
      <c r="B177" s="688"/>
      <c r="C177" s="697" t="s">
        <v>676</v>
      </c>
      <c r="D177" s="685">
        <v>90</v>
      </c>
    </row>
    <row r="178" spans="1:4" ht="47.25" x14ac:dyDescent="0.25">
      <c r="A178" s="689"/>
      <c r="B178" s="688"/>
      <c r="C178" s="697" t="s">
        <v>677</v>
      </c>
      <c r="D178" s="685">
        <v>10200</v>
      </c>
    </row>
    <row r="179" spans="1:4" ht="21.75" customHeight="1" x14ac:dyDescent="0.25">
      <c r="A179" s="689"/>
      <c r="B179" s="688"/>
      <c r="C179" s="697" t="s">
        <v>678</v>
      </c>
      <c r="D179" s="685">
        <v>376</v>
      </c>
    </row>
    <row r="180" spans="1:4" ht="36.75" customHeight="1" x14ac:dyDescent="0.25">
      <c r="A180" s="726"/>
      <c r="B180" s="791"/>
      <c r="C180" s="789" t="s">
        <v>679</v>
      </c>
      <c r="D180" s="794">
        <v>2000</v>
      </c>
    </row>
    <row r="181" spans="1:4" s="675" customFormat="1" ht="23.25" customHeight="1" x14ac:dyDescent="0.25">
      <c r="A181" s="784">
        <v>12</v>
      </c>
      <c r="B181" s="785" t="s">
        <v>680</v>
      </c>
      <c r="C181" s="692"/>
      <c r="D181" s="786">
        <f>SUM(D182:D200)</f>
        <v>17569</v>
      </c>
    </row>
    <row r="182" spans="1:4" ht="23.25" customHeight="1" x14ac:dyDescent="0.25">
      <c r="A182" s="1045"/>
      <c r="B182" s="1046"/>
      <c r="C182" s="803" t="s">
        <v>681</v>
      </c>
      <c r="D182" s="804">
        <v>313</v>
      </c>
    </row>
    <row r="183" spans="1:4" ht="23.25" customHeight="1" x14ac:dyDescent="0.25">
      <c r="A183" s="1043"/>
      <c r="B183" s="1044"/>
      <c r="C183" s="697" t="s">
        <v>682</v>
      </c>
      <c r="D183" s="685">
        <v>22</v>
      </c>
    </row>
    <row r="184" spans="1:4" ht="23.25" customHeight="1" x14ac:dyDescent="0.25">
      <c r="A184" s="1043"/>
      <c r="B184" s="1044"/>
      <c r="C184" s="697" t="s">
        <v>683</v>
      </c>
      <c r="D184" s="685">
        <v>59</v>
      </c>
    </row>
    <row r="185" spans="1:4" ht="33.75" customHeight="1" x14ac:dyDescent="0.25">
      <c r="A185" s="1043"/>
      <c r="B185" s="1044"/>
      <c r="C185" s="697" t="s">
        <v>684</v>
      </c>
      <c r="D185" s="685">
        <v>66</v>
      </c>
    </row>
    <row r="186" spans="1:4" ht="33.75" customHeight="1" x14ac:dyDescent="0.25">
      <c r="A186" s="1043"/>
      <c r="B186" s="1044"/>
      <c r="C186" s="697" t="s">
        <v>685</v>
      </c>
      <c r="D186" s="685">
        <v>57</v>
      </c>
    </row>
    <row r="187" spans="1:4" ht="33.75" customHeight="1" x14ac:dyDescent="0.25">
      <c r="A187" s="1043"/>
      <c r="B187" s="1044"/>
      <c r="C187" s="697" t="s">
        <v>686</v>
      </c>
      <c r="D187" s="685">
        <v>66</v>
      </c>
    </row>
    <row r="188" spans="1:4" ht="24" customHeight="1" x14ac:dyDescent="0.25">
      <c r="A188" s="1043"/>
      <c r="B188" s="1044"/>
      <c r="C188" s="697" t="s">
        <v>687</v>
      </c>
      <c r="D188" s="685">
        <v>72</v>
      </c>
    </row>
    <row r="189" spans="1:4" ht="34.5" customHeight="1" x14ac:dyDescent="0.25">
      <c r="A189" s="1043"/>
      <c r="B189" s="1044"/>
      <c r="C189" s="697" t="s">
        <v>688</v>
      </c>
      <c r="D189" s="685">
        <v>2685</v>
      </c>
    </row>
    <row r="190" spans="1:4" ht="34.5" customHeight="1" x14ac:dyDescent="0.25">
      <c r="A190" s="1043"/>
      <c r="B190" s="1044"/>
      <c r="C190" s="697" t="s">
        <v>1108</v>
      </c>
      <c r="D190" s="685">
        <v>1400</v>
      </c>
    </row>
    <row r="191" spans="1:4" ht="20.25" customHeight="1" x14ac:dyDescent="0.25">
      <c r="A191" s="1043"/>
      <c r="B191" s="1044"/>
      <c r="C191" s="697" t="s">
        <v>689</v>
      </c>
      <c r="D191" s="685">
        <v>400</v>
      </c>
    </row>
    <row r="192" spans="1:4" ht="20.25" customHeight="1" x14ac:dyDescent="0.25">
      <c r="A192" s="1043"/>
      <c r="B192" s="1044"/>
      <c r="C192" s="697" t="s">
        <v>690</v>
      </c>
      <c r="D192" s="685">
        <v>550</v>
      </c>
    </row>
    <row r="193" spans="1:4" ht="85.5" customHeight="1" x14ac:dyDescent="0.25">
      <c r="A193" s="1043"/>
      <c r="B193" s="1044"/>
      <c r="C193" s="697" t="s">
        <v>691</v>
      </c>
      <c r="D193" s="685">
        <v>465</v>
      </c>
    </row>
    <row r="194" spans="1:4" ht="18.75" customHeight="1" x14ac:dyDescent="0.25">
      <c r="A194" s="1043"/>
      <c r="B194" s="1044"/>
      <c r="C194" s="697" t="s">
        <v>692</v>
      </c>
      <c r="D194" s="685">
        <v>36</v>
      </c>
    </row>
    <row r="195" spans="1:4" ht="18.75" customHeight="1" x14ac:dyDescent="0.25">
      <c r="A195" s="1043"/>
      <c r="B195" s="1044"/>
      <c r="C195" s="697" t="s">
        <v>693</v>
      </c>
      <c r="D195" s="685">
        <v>135</v>
      </c>
    </row>
    <row r="196" spans="1:4" ht="18.75" customHeight="1" x14ac:dyDescent="0.25">
      <c r="A196" s="1043"/>
      <c r="B196" s="1044"/>
      <c r="C196" s="697" t="s">
        <v>694</v>
      </c>
      <c r="D196" s="685">
        <v>91</v>
      </c>
    </row>
    <row r="197" spans="1:4" x14ac:dyDescent="0.25">
      <c r="A197" s="1043"/>
      <c r="B197" s="1044"/>
      <c r="C197" s="697" t="s">
        <v>695</v>
      </c>
      <c r="D197" s="685">
        <v>259</v>
      </c>
    </row>
    <row r="198" spans="1:4" ht="23.25" customHeight="1" x14ac:dyDescent="0.25">
      <c r="A198" s="1043"/>
      <c r="B198" s="1044"/>
      <c r="C198" s="697" t="s">
        <v>696</v>
      </c>
      <c r="D198" s="685">
        <v>100</v>
      </c>
    </row>
    <row r="199" spans="1:4" ht="23.25" customHeight="1" x14ac:dyDescent="0.25">
      <c r="A199" s="1043"/>
      <c r="B199" s="1044"/>
      <c r="C199" s="697" t="s">
        <v>697</v>
      </c>
      <c r="D199" s="685">
        <v>9793</v>
      </c>
    </row>
    <row r="200" spans="1:4" ht="23.25" customHeight="1" x14ac:dyDescent="0.25">
      <c r="A200" s="1047"/>
      <c r="B200" s="1048"/>
      <c r="C200" s="789" t="s">
        <v>698</v>
      </c>
      <c r="D200" s="794">
        <v>1000</v>
      </c>
    </row>
    <row r="201" spans="1:4" ht="31.5" x14ac:dyDescent="0.25">
      <c r="A201" s="784">
        <v>13</v>
      </c>
      <c r="B201" s="785" t="s">
        <v>406</v>
      </c>
      <c r="C201" s="692"/>
      <c r="D201" s="786">
        <f>SUM(D202:D240)</f>
        <v>44809.303339999999</v>
      </c>
    </row>
    <row r="202" spans="1:4" ht="21" customHeight="1" x14ac:dyDescent="0.25">
      <c r="A202" s="1054"/>
      <c r="B202" s="1053"/>
      <c r="C202" s="714" t="s">
        <v>699</v>
      </c>
      <c r="D202" s="814">
        <v>469.99999999999994</v>
      </c>
    </row>
    <row r="203" spans="1:4" ht="21" customHeight="1" x14ac:dyDescent="0.25">
      <c r="A203" s="1051"/>
      <c r="B203" s="1049"/>
      <c r="C203" s="715" t="s">
        <v>700</v>
      </c>
      <c r="D203" s="716">
        <v>264</v>
      </c>
    </row>
    <row r="204" spans="1:4" ht="39.75" customHeight="1" x14ac:dyDescent="0.25">
      <c r="A204" s="1051"/>
      <c r="B204" s="1049"/>
      <c r="C204" s="715" t="s">
        <v>701</v>
      </c>
      <c r="D204" s="716">
        <v>270</v>
      </c>
    </row>
    <row r="205" spans="1:4" ht="36" customHeight="1" x14ac:dyDescent="0.25">
      <c r="A205" s="1051"/>
      <c r="B205" s="1049"/>
      <c r="C205" s="715" t="s">
        <v>702</v>
      </c>
      <c r="D205" s="716">
        <v>500</v>
      </c>
    </row>
    <row r="206" spans="1:4" ht="20.25" customHeight="1" x14ac:dyDescent="0.25">
      <c r="A206" s="1051"/>
      <c r="B206" s="1049"/>
      <c r="C206" s="715" t="s">
        <v>703</v>
      </c>
      <c r="D206" s="716">
        <f>441.66</f>
        <v>441.66</v>
      </c>
    </row>
    <row r="207" spans="1:4" ht="20.25" customHeight="1" x14ac:dyDescent="0.25">
      <c r="A207" s="1051"/>
      <c r="B207" s="1049"/>
      <c r="C207" s="715" t="s">
        <v>704</v>
      </c>
      <c r="D207" s="716">
        <v>220</v>
      </c>
    </row>
    <row r="208" spans="1:4" ht="32.25" customHeight="1" x14ac:dyDescent="0.25">
      <c r="A208" s="1051"/>
      <c r="B208" s="1049"/>
      <c r="C208" s="715" t="s">
        <v>705</v>
      </c>
      <c r="D208" s="716">
        <v>223.46549999999999</v>
      </c>
    </row>
    <row r="209" spans="1:4" ht="22.5" customHeight="1" x14ac:dyDescent="0.25">
      <c r="A209" s="1052"/>
      <c r="B209" s="1050"/>
      <c r="C209" s="815" t="s">
        <v>706</v>
      </c>
      <c r="D209" s="816">
        <f>695.9148-0.2</f>
        <v>695.71479999999997</v>
      </c>
    </row>
    <row r="210" spans="1:4" ht="31.5" x14ac:dyDescent="0.25">
      <c r="A210" s="784">
        <v>13</v>
      </c>
      <c r="B210" s="785" t="s">
        <v>406</v>
      </c>
      <c r="C210" s="785" t="s">
        <v>707</v>
      </c>
      <c r="D210" s="817">
        <v>165</v>
      </c>
    </row>
    <row r="211" spans="1:4" ht="20.25" customHeight="1" x14ac:dyDescent="0.25">
      <c r="A211" s="1054"/>
      <c r="B211" s="1053"/>
      <c r="C211" s="720" t="s">
        <v>708</v>
      </c>
      <c r="D211" s="790">
        <v>1320</v>
      </c>
    </row>
    <row r="212" spans="1:4" ht="20.25" customHeight="1" x14ac:dyDescent="0.25">
      <c r="A212" s="1051"/>
      <c r="B212" s="1049"/>
      <c r="C212" s="696" t="s">
        <v>709</v>
      </c>
      <c r="D212" s="716">
        <v>978</v>
      </c>
    </row>
    <row r="213" spans="1:4" ht="20.25" customHeight="1" x14ac:dyDescent="0.25">
      <c r="A213" s="1051"/>
      <c r="B213" s="1049"/>
      <c r="C213" s="696" t="s">
        <v>710</v>
      </c>
      <c r="D213" s="716">
        <v>435</v>
      </c>
    </row>
    <row r="214" spans="1:4" ht="20.25" customHeight="1" x14ac:dyDescent="0.25">
      <c r="A214" s="1051"/>
      <c r="B214" s="1049"/>
      <c r="C214" s="696" t="s">
        <v>711</v>
      </c>
      <c r="D214" s="716">
        <v>896</v>
      </c>
    </row>
    <row r="215" spans="1:4" ht="20.25" customHeight="1" x14ac:dyDescent="0.25">
      <c r="A215" s="1051"/>
      <c r="B215" s="1049"/>
      <c r="C215" s="696" t="s">
        <v>712</v>
      </c>
      <c r="D215" s="716">
        <v>142</v>
      </c>
    </row>
    <row r="216" spans="1:4" ht="20.25" customHeight="1" x14ac:dyDescent="0.25">
      <c r="A216" s="1051"/>
      <c r="B216" s="1049"/>
      <c r="C216" s="693" t="s">
        <v>713</v>
      </c>
      <c r="D216" s="717">
        <v>211.1892499999999</v>
      </c>
    </row>
    <row r="217" spans="1:4" ht="20.25" customHeight="1" x14ac:dyDescent="0.25">
      <c r="A217" s="1051"/>
      <c r="B217" s="1049"/>
      <c r="C217" s="696" t="s">
        <v>714</v>
      </c>
      <c r="D217" s="716">
        <v>1892</v>
      </c>
    </row>
    <row r="218" spans="1:4" ht="20.25" customHeight="1" x14ac:dyDescent="0.25">
      <c r="A218" s="1051"/>
      <c r="B218" s="1049"/>
      <c r="C218" s="696" t="s">
        <v>715</v>
      </c>
      <c r="D218" s="716">
        <v>797.65199999999993</v>
      </c>
    </row>
    <row r="219" spans="1:4" ht="20.25" customHeight="1" x14ac:dyDescent="0.25">
      <c r="A219" s="1051"/>
      <c r="B219" s="1049"/>
      <c r="C219" s="696" t="s">
        <v>716</v>
      </c>
      <c r="D219" s="716">
        <v>4147</v>
      </c>
    </row>
    <row r="220" spans="1:4" ht="57.75" customHeight="1" x14ac:dyDescent="0.25">
      <c r="A220" s="1051"/>
      <c r="B220" s="1049"/>
      <c r="C220" s="696" t="s">
        <v>717</v>
      </c>
      <c r="D220" s="716">
        <v>279</v>
      </c>
    </row>
    <row r="221" spans="1:4" ht="18.75" customHeight="1" x14ac:dyDescent="0.25">
      <c r="A221" s="1051"/>
      <c r="B221" s="1049"/>
      <c r="C221" s="696" t="s">
        <v>718</v>
      </c>
      <c r="D221" s="716">
        <v>641</v>
      </c>
    </row>
    <row r="222" spans="1:4" ht="18.75" customHeight="1" x14ac:dyDescent="0.25">
      <c r="A222" s="1051"/>
      <c r="B222" s="1049"/>
      <c r="C222" s="696" t="s">
        <v>719</v>
      </c>
      <c r="D222" s="716">
        <v>275</v>
      </c>
    </row>
    <row r="223" spans="1:4" ht="18.75" customHeight="1" x14ac:dyDescent="0.25">
      <c r="A223" s="1051"/>
      <c r="B223" s="1049"/>
      <c r="C223" s="696" t="s">
        <v>720</v>
      </c>
      <c r="D223" s="716">
        <v>261</v>
      </c>
    </row>
    <row r="224" spans="1:4" ht="18.75" customHeight="1" x14ac:dyDescent="0.25">
      <c r="A224" s="1051"/>
      <c r="B224" s="1049"/>
      <c r="C224" s="696" t="s">
        <v>721</v>
      </c>
      <c r="D224" s="716">
        <v>146</v>
      </c>
    </row>
    <row r="225" spans="1:4" ht="18.75" customHeight="1" x14ac:dyDescent="0.25">
      <c r="A225" s="1051"/>
      <c r="B225" s="1049"/>
      <c r="C225" s="696" t="s">
        <v>722</v>
      </c>
      <c r="D225" s="716">
        <v>146</v>
      </c>
    </row>
    <row r="226" spans="1:4" ht="18.75" customHeight="1" x14ac:dyDescent="0.25">
      <c r="A226" s="1051"/>
      <c r="B226" s="1049"/>
      <c r="C226" s="696" t="s">
        <v>723</v>
      </c>
      <c r="D226" s="716">
        <v>240</v>
      </c>
    </row>
    <row r="227" spans="1:4" ht="18.75" customHeight="1" x14ac:dyDescent="0.25">
      <c r="A227" s="1051"/>
      <c r="B227" s="1049"/>
      <c r="C227" s="696" t="s">
        <v>724</v>
      </c>
      <c r="D227" s="716">
        <v>804.76999999999953</v>
      </c>
    </row>
    <row r="228" spans="1:4" ht="48" customHeight="1" x14ac:dyDescent="0.25">
      <c r="A228" s="1051"/>
      <c r="B228" s="1049"/>
      <c r="C228" s="696" t="s">
        <v>725</v>
      </c>
      <c r="D228" s="716">
        <v>602</v>
      </c>
    </row>
    <row r="229" spans="1:4" ht="36" customHeight="1" x14ac:dyDescent="0.25">
      <c r="A229" s="1051"/>
      <c r="B229" s="1049"/>
      <c r="C229" s="696" t="s">
        <v>726</v>
      </c>
      <c r="D229" s="716">
        <v>187.2</v>
      </c>
    </row>
    <row r="230" spans="1:4" ht="31.5" x14ac:dyDescent="0.25">
      <c r="A230" s="1051"/>
      <c r="B230" s="1049"/>
      <c r="C230" s="696" t="s">
        <v>727</v>
      </c>
      <c r="D230" s="716">
        <v>206</v>
      </c>
    </row>
    <row r="231" spans="1:4" ht="19.5" customHeight="1" x14ac:dyDescent="0.25">
      <c r="A231" s="1051"/>
      <c r="B231" s="1049"/>
      <c r="C231" s="696" t="s">
        <v>728</v>
      </c>
      <c r="D231" s="716">
        <v>11</v>
      </c>
    </row>
    <row r="232" spans="1:4" ht="19.5" customHeight="1" x14ac:dyDescent="0.25">
      <c r="A232" s="1051"/>
      <c r="B232" s="1049"/>
      <c r="C232" s="696" t="s">
        <v>729</v>
      </c>
      <c r="D232" s="716">
        <v>449</v>
      </c>
    </row>
    <row r="233" spans="1:4" ht="19.5" customHeight="1" x14ac:dyDescent="0.25">
      <c r="A233" s="1051"/>
      <c r="B233" s="1049"/>
      <c r="C233" s="696" t="s">
        <v>730</v>
      </c>
      <c r="D233" s="716">
        <v>272</v>
      </c>
    </row>
    <row r="234" spans="1:4" ht="19.5" customHeight="1" x14ac:dyDescent="0.25">
      <c r="A234" s="1051"/>
      <c r="B234" s="1049"/>
      <c r="C234" s="696" t="s">
        <v>731</v>
      </c>
      <c r="D234" s="716">
        <v>520.40798999999993</v>
      </c>
    </row>
    <row r="235" spans="1:4" ht="19.5" customHeight="1" x14ac:dyDescent="0.25">
      <c r="A235" s="1051"/>
      <c r="B235" s="1049"/>
      <c r="C235" s="696" t="s">
        <v>732</v>
      </c>
      <c r="D235" s="716">
        <v>9011</v>
      </c>
    </row>
    <row r="236" spans="1:4" ht="31.5" x14ac:dyDescent="0.25">
      <c r="A236" s="1051"/>
      <c r="B236" s="1049"/>
      <c r="C236" s="696" t="s">
        <v>733</v>
      </c>
      <c r="D236" s="716">
        <v>10400</v>
      </c>
    </row>
    <row r="237" spans="1:4" ht="20.25" customHeight="1" x14ac:dyDescent="0.25">
      <c r="A237" s="1051"/>
      <c r="B237" s="1049"/>
      <c r="C237" s="696" t="s">
        <v>734</v>
      </c>
      <c r="D237" s="716">
        <v>101.24379999999999</v>
      </c>
    </row>
    <row r="238" spans="1:4" ht="20.25" customHeight="1" x14ac:dyDescent="0.25">
      <c r="A238" s="1051"/>
      <c r="B238" s="1049"/>
      <c r="C238" s="696" t="s">
        <v>735</v>
      </c>
      <c r="D238" s="716">
        <v>350</v>
      </c>
    </row>
    <row r="239" spans="1:4" ht="20.25" customHeight="1" x14ac:dyDescent="0.25">
      <c r="A239" s="1051"/>
      <c r="B239" s="1049"/>
      <c r="C239" s="696" t="s">
        <v>736</v>
      </c>
      <c r="D239" s="716">
        <v>5000</v>
      </c>
    </row>
    <row r="240" spans="1:4" ht="20.25" customHeight="1" x14ac:dyDescent="0.25">
      <c r="A240" s="1051"/>
      <c r="B240" s="1049"/>
      <c r="C240" s="791" t="s">
        <v>737</v>
      </c>
      <c r="D240" s="792">
        <v>838</v>
      </c>
    </row>
    <row r="241" spans="1:4" s="675" customFormat="1" ht="20.25" customHeight="1" x14ac:dyDescent="0.25">
      <c r="A241" s="784">
        <v>14</v>
      </c>
      <c r="B241" s="785" t="s">
        <v>738</v>
      </c>
      <c r="C241" s="692"/>
      <c r="D241" s="786">
        <f>SUM(D242:D277)</f>
        <v>34365</v>
      </c>
    </row>
    <row r="242" spans="1:4" ht="22.5" customHeight="1" x14ac:dyDescent="0.25">
      <c r="A242" s="1054"/>
      <c r="B242" s="1053"/>
      <c r="C242" s="807" t="s">
        <v>739</v>
      </c>
      <c r="D242" s="808">
        <v>80</v>
      </c>
    </row>
    <row r="243" spans="1:4" ht="22.5" customHeight="1" x14ac:dyDescent="0.25">
      <c r="A243" s="1051"/>
      <c r="B243" s="1049"/>
      <c r="C243" s="697" t="s">
        <v>740</v>
      </c>
      <c r="D243" s="685">
        <v>199</v>
      </c>
    </row>
    <row r="244" spans="1:4" ht="22.5" customHeight="1" x14ac:dyDescent="0.25">
      <c r="A244" s="1051"/>
      <c r="B244" s="1049"/>
      <c r="C244" s="697" t="s">
        <v>741</v>
      </c>
      <c r="D244" s="685">
        <v>260</v>
      </c>
    </row>
    <row r="245" spans="1:4" ht="22.5" customHeight="1" x14ac:dyDescent="0.25">
      <c r="A245" s="1051"/>
      <c r="B245" s="1049"/>
      <c r="C245" s="697" t="s">
        <v>742</v>
      </c>
      <c r="D245" s="685">
        <v>118</v>
      </c>
    </row>
    <row r="246" spans="1:4" ht="42" customHeight="1" x14ac:dyDescent="0.25">
      <c r="A246" s="1051"/>
      <c r="B246" s="1049"/>
      <c r="C246" s="697" t="s">
        <v>743</v>
      </c>
      <c r="D246" s="685">
        <v>720</v>
      </c>
    </row>
    <row r="247" spans="1:4" ht="54" customHeight="1" x14ac:dyDescent="0.25">
      <c r="A247" s="1051"/>
      <c r="B247" s="1049"/>
      <c r="C247" s="697" t="s">
        <v>744</v>
      </c>
      <c r="D247" s="685">
        <v>1752</v>
      </c>
    </row>
    <row r="248" spans="1:4" ht="38.25" customHeight="1" x14ac:dyDescent="0.25">
      <c r="A248" s="1051"/>
      <c r="B248" s="1049"/>
      <c r="C248" s="697" t="s">
        <v>745</v>
      </c>
      <c r="D248" s="685">
        <v>100</v>
      </c>
    </row>
    <row r="249" spans="1:4" ht="41.25" customHeight="1" x14ac:dyDescent="0.25">
      <c r="A249" s="1052"/>
      <c r="B249" s="1050"/>
      <c r="C249" s="809" t="s">
        <v>746</v>
      </c>
      <c r="D249" s="810">
        <v>200</v>
      </c>
    </row>
    <row r="250" spans="1:4" ht="21" customHeight="1" x14ac:dyDescent="0.25">
      <c r="A250" s="784">
        <v>14</v>
      </c>
      <c r="B250" s="785" t="s">
        <v>738</v>
      </c>
      <c r="C250" s="805" t="s">
        <v>747</v>
      </c>
      <c r="D250" s="806">
        <v>300</v>
      </c>
    </row>
    <row r="251" spans="1:4" ht="21" customHeight="1" x14ac:dyDescent="0.25">
      <c r="A251" s="1054"/>
      <c r="B251" s="1053"/>
      <c r="C251" s="803" t="s">
        <v>748</v>
      </c>
      <c r="D251" s="804">
        <v>100</v>
      </c>
    </row>
    <row r="252" spans="1:4" ht="21" customHeight="1" x14ac:dyDescent="0.25">
      <c r="A252" s="1051"/>
      <c r="B252" s="1049"/>
      <c r="C252" s="697" t="s">
        <v>749</v>
      </c>
      <c r="D252" s="685">
        <v>80</v>
      </c>
    </row>
    <row r="253" spans="1:4" ht="21" customHeight="1" x14ac:dyDescent="0.25">
      <c r="A253" s="1051"/>
      <c r="B253" s="1049"/>
      <c r="C253" s="697" t="s">
        <v>750</v>
      </c>
      <c r="D253" s="685">
        <v>35</v>
      </c>
    </row>
    <row r="254" spans="1:4" ht="38.25" customHeight="1" x14ac:dyDescent="0.25">
      <c r="A254" s="1051"/>
      <c r="B254" s="1049"/>
      <c r="C254" s="697" t="s">
        <v>751</v>
      </c>
      <c r="D254" s="685">
        <v>1490</v>
      </c>
    </row>
    <row r="255" spans="1:4" ht="33.75" customHeight="1" x14ac:dyDescent="0.25">
      <c r="A255" s="1051"/>
      <c r="B255" s="1049"/>
      <c r="C255" s="697" t="s">
        <v>752</v>
      </c>
      <c r="D255" s="685">
        <v>398</v>
      </c>
    </row>
    <row r="256" spans="1:4" ht="23.25" customHeight="1" x14ac:dyDescent="0.25">
      <c r="A256" s="1051"/>
      <c r="B256" s="1049"/>
      <c r="C256" s="697" t="s">
        <v>753</v>
      </c>
      <c r="D256" s="685">
        <v>1850</v>
      </c>
    </row>
    <row r="257" spans="1:4" ht="53.25" customHeight="1" x14ac:dyDescent="0.25">
      <c r="A257" s="1051"/>
      <c r="B257" s="1049"/>
      <c r="C257" s="697" t="s">
        <v>754</v>
      </c>
      <c r="D257" s="685">
        <v>2700</v>
      </c>
    </row>
    <row r="258" spans="1:4" ht="24" customHeight="1" x14ac:dyDescent="0.25">
      <c r="A258" s="1051"/>
      <c r="B258" s="1049"/>
      <c r="C258" s="697" t="s">
        <v>755</v>
      </c>
      <c r="D258" s="685">
        <v>350</v>
      </c>
    </row>
    <row r="259" spans="1:4" ht="39.75" customHeight="1" x14ac:dyDescent="0.25">
      <c r="A259" s="1051"/>
      <c r="B259" s="1049"/>
      <c r="C259" s="697" t="s">
        <v>756</v>
      </c>
      <c r="D259" s="685">
        <v>1145</v>
      </c>
    </row>
    <row r="260" spans="1:4" ht="42" customHeight="1" x14ac:dyDescent="0.25">
      <c r="A260" s="1051"/>
      <c r="B260" s="1049"/>
      <c r="C260" s="697" t="s">
        <v>757</v>
      </c>
      <c r="D260" s="685">
        <v>3800</v>
      </c>
    </row>
    <row r="261" spans="1:4" ht="30.75" customHeight="1" x14ac:dyDescent="0.25">
      <c r="A261" s="1051"/>
      <c r="B261" s="1049"/>
      <c r="C261" s="697" t="s">
        <v>758</v>
      </c>
      <c r="D261" s="685">
        <v>7350</v>
      </c>
    </row>
    <row r="262" spans="1:4" ht="39" customHeight="1" x14ac:dyDescent="0.25">
      <c r="A262" s="1051"/>
      <c r="B262" s="1049"/>
      <c r="C262" s="697" t="s">
        <v>759</v>
      </c>
      <c r="D262" s="685">
        <v>300</v>
      </c>
    </row>
    <row r="263" spans="1:4" ht="20.25" customHeight="1" x14ac:dyDescent="0.25">
      <c r="A263" s="1051"/>
      <c r="B263" s="1049"/>
      <c r="C263" s="697" t="s">
        <v>760</v>
      </c>
      <c r="D263" s="685">
        <v>678</v>
      </c>
    </row>
    <row r="264" spans="1:4" ht="20.25" customHeight="1" x14ac:dyDescent="0.25">
      <c r="A264" s="1051"/>
      <c r="B264" s="1049"/>
      <c r="C264" s="697" t="s">
        <v>761</v>
      </c>
      <c r="D264" s="685">
        <v>100</v>
      </c>
    </row>
    <row r="265" spans="1:4" ht="20.25" customHeight="1" x14ac:dyDescent="0.25">
      <c r="A265" s="1051"/>
      <c r="B265" s="1049"/>
      <c r="C265" s="697" t="s">
        <v>762</v>
      </c>
      <c r="D265" s="685">
        <v>603</v>
      </c>
    </row>
    <row r="266" spans="1:4" ht="33" customHeight="1" x14ac:dyDescent="0.25">
      <c r="A266" s="1051"/>
      <c r="B266" s="1049"/>
      <c r="C266" s="697" t="s">
        <v>763</v>
      </c>
      <c r="D266" s="685">
        <v>48</v>
      </c>
    </row>
    <row r="267" spans="1:4" ht="19.5" customHeight="1" x14ac:dyDescent="0.25">
      <c r="A267" s="1051"/>
      <c r="B267" s="1049"/>
      <c r="C267" s="697" t="s">
        <v>764</v>
      </c>
      <c r="D267" s="685">
        <v>30</v>
      </c>
    </row>
    <row r="268" spans="1:4" ht="31.5" x14ac:dyDescent="0.25">
      <c r="A268" s="1051"/>
      <c r="B268" s="1049"/>
      <c r="C268" s="697" t="s">
        <v>765</v>
      </c>
      <c r="D268" s="685">
        <v>4975</v>
      </c>
    </row>
    <row r="269" spans="1:4" ht="31.5" x14ac:dyDescent="0.25">
      <c r="A269" s="1051"/>
      <c r="B269" s="1049"/>
      <c r="C269" s="697" t="s">
        <v>766</v>
      </c>
      <c r="D269" s="685">
        <v>154</v>
      </c>
    </row>
    <row r="270" spans="1:4" ht="31.5" x14ac:dyDescent="0.25">
      <c r="A270" s="1051"/>
      <c r="B270" s="1049"/>
      <c r="C270" s="697" t="s">
        <v>767</v>
      </c>
      <c r="D270" s="685">
        <v>50</v>
      </c>
    </row>
    <row r="271" spans="1:4" ht="21" customHeight="1" x14ac:dyDescent="0.25">
      <c r="A271" s="1051"/>
      <c r="B271" s="1049"/>
      <c r="C271" s="697" t="s">
        <v>768</v>
      </c>
      <c r="D271" s="685">
        <v>100</v>
      </c>
    </row>
    <row r="272" spans="1:4" ht="31.5" x14ac:dyDescent="0.25">
      <c r="A272" s="1051"/>
      <c r="B272" s="1049"/>
      <c r="C272" s="697" t="s">
        <v>769</v>
      </c>
      <c r="D272" s="685">
        <v>100</v>
      </c>
    </row>
    <row r="273" spans="1:4" ht="21" customHeight="1" x14ac:dyDescent="0.25">
      <c r="A273" s="1051"/>
      <c r="B273" s="1049"/>
      <c r="C273" s="697" t="s">
        <v>770</v>
      </c>
      <c r="D273" s="685">
        <v>1500</v>
      </c>
    </row>
    <row r="274" spans="1:4" ht="30.75" customHeight="1" x14ac:dyDescent="0.25">
      <c r="A274" s="1051"/>
      <c r="B274" s="1049"/>
      <c r="C274" s="697" t="s">
        <v>771</v>
      </c>
      <c r="D274" s="685">
        <v>50</v>
      </c>
    </row>
    <row r="275" spans="1:4" ht="58.5" customHeight="1" x14ac:dyDescent="0.25">
      <c r="A275" s="1051"/>
      <c r="B275" s="1049"/>
      <c r="C275" s="697" t="s">
        <v>772</v>
      </c>
      <c r="D275" s="685">
        <v>600</v>
      </c>
    </row>
    <row r="276" spans="1:4" ht="24" customHeight="1" x14ac:dyDescent="0.25">
      <c r="A276" s="1051"/>
      <c r="B276" s="1049"/>
      <c r="C276" s="697" t="s">
        <v>773</v>
      </c>
      <c r="D276" s="685">
        <v>50</v>
      </c>
    </row>
    <row r="277" spans="1:4" ht="31.5" x14ac:dyDescent="0.25">
      <c r="A277" s="1051"/>
      <c r="B277" s="1049"/>
      <c r="C277" s="821" t="s">
        <v>774</v>
      </c>
      <c r="D277" s="794">
        <v>2000</v>
      </c>
    </row>
    <row r="278" spans="1:4" s="675" customFormat="1" ht="20.25" customHeight="1" x14ac:dyDescent="0.25">
      <c r="A278" s="784">
        <v>15</v>
      </c>
      <c r="B278" s="785" t="s">
        <v>117</v>
      </c>
      <c r="C278" s="692"/>
      <c r="D278" s="786">
        <f>SUM(D279:D316)</f>
        <v>41747</v>
      </c>
    </row>
    <row r="279" spans="1:4" ht="20.25" customHeight="1" x14ac:dyDescent="0.25">
      <c r="A279" s="818"/>
      <c r="B279" s="819"/>
      <c r="C279" s="807" t="s">
        <v>775</v>
      </c>
      <c r="D279" s="808">
        <v>32</v>
      </c>
    </row>
    <row r="280" spans="1:4" ht="20.25" customHeight="1" x14ac:dyDescent="0.25">
      <c r="A280" s="689"/>
      <c r="B280" s="688"/>
      <c r="C280" s="697" t="s">
        <v>776</v>
      </c>
      <c r="D280" s="685">
        <f>9276+800</f>
        <v>10076</v>
      </c>
    </row>
    <row r="281" spans="1:4" ht="20.25" customHeight="1" x14ac:dyDescent="0.25">
      <c r="A281" s="689"/>
      <c r="B281" s="688"/>
      <c r="C281" s="697" t="s">
        <v>777</v>
      </c>
      <c r="D281" s="680">
        <v>315</v>
      </c>
    </row>
    <row r="282" spans="1:4" ht="20.25" customHeight="1" x14ac:dyDescent="0.25">
      <c r="A282" s="689"/>
      <c r="B282" s="688"/>
      <c r="C282" s="719" t="s">
        <v>778</v>
      </c>
      <c r="D282" s="680">
        <v>88</v>
      </c>
    </row>
    <row r="283" spans="1:4" ht="31.5" x14ac:dyDescent="0.25">
      <c r="A283" s="689"/>
      <c r="B283" s="688"/>
      <c r="C283" s="697" t="s">
        <v>779</v>
      </c>
      <c r="D283" s="680">
        <v>880</v>
      </c>
    </row>
    <row r="284" spans="1:4" ht="18.75" customHeight="1" x14ac:dyDescent="0.25">
      <c r="A284" s="820"/>
      <c r="B284" s="775"/>
      <c r="C284" s="809" t="s">
        <v>780</v>
      </c>
      <c r="D284" s="724">
        <v>185</v>
      </c>
    </row>
    <row r="285" spans="1:4" ht="18.75" customHeight="1" x14ac:dyDescent="0.25">
      <c r="A285" s="784">
        <v>15</v>
      </c>
      <c r="B285" s="785" t="s">
        <v>117</v>
      </c>
      <c r="C285" s="805" t="s">
        <v>781</v>
      </c>
      <c r="D285" s="822">
        <v>440</v>
      </c>
    </row>
    <row r="286" spans="1:4" ht="18.75" customHeight="1" x14ac:dyDescent="0.25">
      <c r="A286" s="1054"/>
      <c r="B286" s="1053"/>
      <c r="C286" s="803" t="s">
        <v>782</v>
      </c>
      <c r="D286" s="783">
        <v>70</v>
      </c>
    </row>
    <row r="287" spans="1:4" ht="18.75" customHeight="1" x14ac:dyDescent="0.25">
      <c r="A287" s="1051"/>
      <c r="B287" s="1049"/>
      <c r="C287" s="697" t="s">
        <v>783</v>
      </c>
      <c r="D287" s="680">
        <v>500</v>
      </c>
    </row>
    <row r="288" spans="1:4" ht="18.75" customHeight="1" x14ac:dyDescent="0.25">
      <c r="A288" s="1051"/>
      <c r="B288" s="1049"/>
      <c r="C288" s="697" t="s">
        <v>784</v>
      </c>
      <c r="D288" s="680">
        <v>1220</v>
      </c>
    </row>
    <row r="289" spans="1:4" ht="40.5" customHeight="1" x14ac:dyDescent="0.25">
      <c r="A289" s="1051"/>
      <c r="B289" s="1049"/>
      <c r="C289" s="697" t="s">
        <v>785</v>
      </c>
      <c r="D289" s="680">
        <v>58</v>
      </c>
    </row>
    <row r="290" spans="1:4" ht="18" customHeight="1" x14ac:dyDescent="0.25">
      <c r="A290" s="1051"/>
      <c r="B290" s="1049"/>
      <c r="C290" s="697" t="s">
        <v>786</v>
      </c>
      <c r="D290" s="680">
        <v>30</v>
      </c>
    </row>
    <row r="291" spans="1:4" ht="18" customHeight="1" x14ac:dyDescent="0.25">
      <c r="A291" s="1051"/>
      <c r="B291" s="1049"/>
      <c r="C291" s="697" t="s">
        <v>787</v>
      </c>
      <c r="D291" s="680">
        <v>100</v>
      </c>
    </row>
    <row r="292" spans="1:4" ht="18" customHeight="1" x14ac:dyDescent="0.25">
      <c r="A292" s="1051"/>
      <c r="B292" s="1049"/>
      <c r="C292" s="697" t="s">
        <v>788</v>
      </c>
      <c r="D292" s="680">
        <v>30</v>
      </c>
    </row>
    <row r="293" spans="1:4" ht="18" customHeight="1" x14ac:dyDescent="0.25">
      <c r="A293" s="1051"/>
      <c r="B293" s="1049"/>
      <c r="C293" s="697" t="s">
        <v>789</v>
      </c>
      <c r="D293" s="680">
        <v>50</v>
      </c>
    </row>
    <row r="294" spans="1:4" ht="18" customHeight="1" x14ac:dyDescent="0.25">
      <c r="A294" s="1051"/>
      <c r="B294" s="1049"/>
      <c r="C294" s="697" t="s">
        <v>790</v>
      </c>
      <c r="D294" s="680">
        <v>90</v>
      </c>
    </row>
    <row r="295" spans="1:4" ht="18" customHeight="1" x14ac:dyDescent="0.25">
      <c r="A295" s="1051"/>
      <c r="B295" s="1049"/>
      <c r="C295" s="697" t="s">
        <v>791</v>
      </c>
      <c r="D295" s="680">
        <v>220</v>
      </c>
    </row>
    <row r="296" spans="1:4" ht="18" customHeight="1" x14ac:dyDescent="0.25">
      <c r="A296" s="1051"/>
      <c r="B296" s="1049"/>
      <c r="C296" s="697" t="s">
        <v>792</v>
      </c>
      <c r="D296" s="680">
        <v>350</v>
      </c>
    </row>
    <row r="297" spans="1:4" ht="18" customHeight="1" x14ac:dyDescent="0.25">
      <c r="A297" s="1051"/>
      <c r="B297" s="1049"/>
      <c r="C297" s="697" t="s">
        <v>793</v>
      </c>
      <c r="D297" s="680">
        <v>250</v>
      </c>
    </row>
    <row r="298" spans="1:4" ht="31.5" x14ac:dyDescent="0.25">
      <c r="A298" s="1051"/>
      <c r="B298" s="1049"/>
      <c r="C298" s="697" t="s">
        <v>794</v>
      </c>
      <c r="D298" s="680">
        <v>943</v>
      </c>
    </row>
    <row r="299" spans="1:4" x14ac:dyDescent="0.25">
      <c r="A299" s="1051"/>
      <c r="B299" s="1049"/>
      <c r="C299" s="697" t="s">
        <v>795</v>
      </c>
      <c r="D299" s="680">
        <v>97</v>
      </c>
    </row>
    <row r="300" spans="1:4" x14ac:dyDescent="0.25">
      <c r="A300" s="1051"/>
      <c r="B300" s="1049"/>
      <c r="C300" s="697" t="s">
        <v>796</v>
      </c>
      <c r="D300" s="680">
        <v>500</v>
      </c>
    </row>
    <row r="301" spans="1:4" ht="31.5" x14ac:dyDescent="0.25">
      <c r="A301" s="1051"/>
      <c r="B301" s="1049"/>
      <c r="C301" s="697" t="s">
        <v>797</v>
      </c>
      <c r="D301" s="680">
        <v>50</v>
      </c>
    </row>
    <row r="302" spans="1:4" ht="21" customHeight="1" x14ac:dyDescent="0.25">
      <c r="A302" s="1051"/>
      <c r="B302" s="1049"/>
      <c r="C302" s="719" t="s">
        <v>798</v>
      </c>
      <c r="D302" s="680">
        <v>1873</v>
      </c>
    </row>
    <row r="303" spans="1:4" ht="21" customHeight="1" x14ac:dyDescent="0.25">
      <c r="A303" s="1051"/>
      <c r="B303" s="1049"/>
      <c r="C303" s="719" t="s">
        <v>799</v>
      </c>
      <c r="D303" s="680">
        <v>2000</v>
      </c>
    </row>
    <row r="304" spans="1:4" ht="21" customHeight="1" x14ac:dyDescent="0.25">
      <c r="A304" s="1051"/>
      <c r="B304" s="1049"/>
      <c r="C304" s="719" t="s">
        <v>800</v>
      </c>
      <c r="D304" s="680">
        <v>4840</v>
      </c>
    </row>
    <row r="305" spans="1:4" ht="21" customHeight="1" x14ac:dyDescent="0.25">
      <c r="A305" s="1051"/>
      <c r="B305" s="1049"/>
      <c r="C305" s="719" t="s">
        <v>801</v>
      </c>
      <c r="D305" s="680">
        <v>750</v>
      </c>
    </row>
    <row r="306" spans="1:4" ht="21" customHeight="1" x14ac:dyDescent="0.25">
      <c r="A306" s="1051"/>
      <c r="B306" s="1049"/>
      <c r="C306" s="697" t="s">
        <v>802</v>
      </c>
      <c r="D306" s="685">
        <v>1354</v>
      </c>
    </row>
    <row r="307" spans="1:4" ht="33.75" customHeight="1" x14ac:dyDescent="0.25">
      <c r="A307" s="1051"/>
      <c r="B307" s="1049"/>
      <c r="C307" s="697" t="s">
        <v>803</v>
      </c>
      <c r="D307" s="685">
        <v>7000</v>
      </c>
    </row>
    <row r="308" spans="1:4" ht="18" customHeight="1" x14ac:dyDescent="0.25">
      <c r="A308" s="1051"/>
      <c r="B308" s="1049"/>
      <c r="C308" s="697" t="s">
        <v>804</v>
      </c>
      <c r="D308" s="685">
        <v>540</v>
      </c>
    </row>
    <row r="309" spans="1:4" ht="18" customHeight="1" x14ac:dyDescent="0.25">
      <c r="A309" s="1051"/>
      <c r="B309" s="1049"/>
      <c r="C309" s="697" t="s">
        <v>805</v>
      </c>
      <c r="D309" s="685">
        <v>105</v>
      </c>
    </row>
    <row r="310" spans="1:4" ht="18" customHeight="1" x14ac:dyDescent="0.25">
      <c r="A310" s="1051"/>
      <c r="B310" s="1049"/>
      <c r="C310" s="697" t="s">
        <v>806</v>
      </c>
      <c r="D310" s="685">
        <v>1930</v>
      </c>
    </row>
    <row r="311" spans="1:4" ht="36" customHeight="1" x14ac:dyDescent="0.25">
      <c r="A311" s="1051"/>
      <c r="B311" s="1049"/>
      <c r="C311" s="697" t="s">
        <v>807</v>
      </c>
      <c r="D311" s="685">
        <v>582</v>
      </c>
    </row>
    <row r="312" spans="1:4" ht="18.75" customHeight="1" x14ac:dyDescent="0.25">
      <c r="A312" s="1051"/>
      <c r="B312" s="1049"/>
      <c r="C312" s="697" t="s">
        <v>808</v>
      </c>
      <c r="D312" s="685">
        <v>440</v>
      </c>
    </row>
    <row r="313" spans="1:4" ht="18.75" customHeight="1" x14ac:dyDescent="0.25">
      <c r="A313" s="1051"/>
      <c r="B313" s="1049"/>
      <c r="C313" s="697" t="s">
        <v>809</v>
      </c>
      <c r="D313" s="685">
        <v>359</v>
      </c>
    </row>
    <row r="314" spans="1:4" ht="18.75" customHeight="1" x14ac:dyDescent="0.25">
      <c r="A314" s="1051"/>
      <c r="B314" s="1049"/>
      <c r="C314" s="697" t="s">
        <v>810</v>
      </c>
      <c r="D314" s="685">
        <v>1500</v>
      </c>
    </row>
    <row r="315" spans="1:4" ht="18.75" customHeight="1" x14ac:dyDescent="0.25">
      <c r="A315" s="1051"/>
      <c r="B315" s="1049"/>
      <c r="C315" s="697" t="s">
        <v>811</v>
      </c>
      <c r="D315" s="685">
        <v>700</v>
      </c>
    </row>
    <row r="316" spans="1:4" ht="24" customHeight="1" x14ac:dyDescent="0.25">
      <c r="A316" s="1051"/>
      <c r="B316" s="1049"/>
      <c r="C316" s="789" t="s">
        <v>812</v>
      </c>
      <c r="D316" s="794">
        <v>1200</v>
      </c>
    </row>
    <row r="317" spans="1:4" ht="20.25" customHeight="1" x14ac:dyDescent="0.25">
      <c r="A317" s="784">
        <v>16</v>
      </c>
      <c r="B317" s="785" t="s">
        <v>221</v>
      </c>
      <c r="C317" s="692"/>
      <c r="D317" s="786">
        <f>SUM(D318:D366)</f>
        <v>69968.647999999986</v>
      </c>
    </row>
    <row r="318" spans="1:4" ht="20.25" customHeight="1" x14ac:dyDescent="0.25">
      <c r="A318" s="1054"/>
      <c r="B318" s="1053"/>
      <c r="C318" s="799" t="s">
        <v>813</v>
      </c>
      <c r="D318" s="800">
        <v>130</v>
      </c>
    </row>
    <row r="319" spans="1:4" ht="20.25" customHeight="1" x14ac:dyDescent="0.25">
      <c r="A319" s="1051"/>
      <c r="B319" s="1049"/>
      <c r="C319" s="715" t="s">
        <v>814</v>
      </c>
      <c r="D319" s="682">
        <v>80</v>
      </c>
    </row>
    <row r="320" spans="1:4" ht="39.75" customHeight="1" x14ac:dyDescent="0.25">
      <c r="A320" s="1051"/>
      <c r="B320" s="1049"/>
      <c r="C320" s="715" t="s">
        <v>815</v>
      </c>
      <c r="D320" s="682">
        <v>100</v>
      </c>
    </row>
    <row r="321" spans="1:4" ht="21" customHeight="1" x14ac:dyDescent="0.25">
      <c r="A321" s="1051"/>
      <c r="B321" s="1049"/>
      <c r="C321" s="715" t="s">
        <v>816</v>
      </c>
      <c r="D321" s="682">
        <v>70</v>
      </c>
    </row>
    <row r="322" spans="1:4" ht="42" customHeight="1" x14ac:dyDescent="0.25">
      <c r="A322" s="1051"/>
      <c r="B322" s="1049"/>
      <c r="C322" s="715" t="s">
        <v>817</v>
      </c>
      <c r="D322" s="682">
        <v>300</v>
      </c>
    </row>
    <row r="323" spans="1:4" ht="40.5" customHeight="1" x14ac:dyDescent="0.25">
      <c r="A323" s="1051"/>
      <c r="B323" s="1049"/>
      <c r="C323" s="715" t="s">
        <v>818</v>
      </c>
      <c r="D323" s="682">
        <v>23417</v>
      </c>
    </row>
    <row r="324" spans="1:4" ht="47.25" x14ac:dyDescent="0.25">
      <c r="A324" s="1051"/>
      <c r="B324" s="1049"/>
      <c r="C324" s="700" t="s">
        <v>819</v>
      </c>
      <c r="D324" s="685">
        <f>5928.44</f>
        <v>5928.44</v>
      </c>
    </row>
    <row r="325" spans="1:4" ht="31.5" x14ac:dyDescent="0.25">
      <c r="A325" s="1051"/>
      <c r="B325" s="1049"/>
      <c r="C325" s="700" t="s">
        <v>820</v>
      </c>
      <c r="D325" s="685">
        <v>1763.4</v>
      </c>
    </row>
    <row r="326" spans="1:4" ht="31.5" x14ac:dyDescent="0.25">
      <c r="A326" s="1052"/>
      <c r="B326" s="1050"/>
      <c r="C326" s="815" t="s">
        <v>821</v>
      </c>
      <c r="D326" s="802">
        <v>7424</v>
      </c>
    </row>
    <row r="327" spans="1:4" ht="39.75" customHeight="1" x14ac:dyDescent="0.25">
      <c r="A327" s="784">
        <v>16</v>
      </c>
      <c r="B327" s="785" t="s">
        <v>221</v>
      </c>
      <c r="C327" s="823" t="s">
        <v>822</v>
      </c>
      <c r="D327" s="798">
        <v>1650</v>
      </c>
    </row>
    <row r="328" spans="1:4" ht="69.75" customHeight="1" x14ac:dyDescent="0.25">
      <c r="A328" s="1054"/>
      <c r="B328" s="1053"/>
      <c r="C328" s="714" t="s">
        <v>823</v>
      </c>
      <c r="D328" s="800">
        <v>1255</v>
      </c>
    </row>
    <row r="329" spans="1:4" ht="25.5" customHeight="1" x14ac:dyDescent="0.25">
      <c r="A329" s="1051"/>
      <c r="B329" s="1049"/>
      <c r="C329" s="700" t="s">
        <v>824</v>
      </c>
      <c r="D329" s="682">
        <v>1234</v>
      </c>
    </row>
    <row r="330" spans="1:4" ht="43.5" customHeight="1" x14ac:dyDescent="0.25">
      <c r="A330" s="1051"/>
      <c r="B330" s="1049"/>
      <c r="C330" s="715" t="s">
        <v>825</v>
      </c>
      <c r="D330" s="682">
        <v>373.86</v>
      </c>
    </row>
    <row r="331" spans="1:4" ht="39" customHeight="1" x14ac:dyDescent="0.25">
      <c r="A331" s="1051"/>
      <c r="B331" s="1049"/>
      <c r="C331" s="715" t="s">
        <v>826</v>
      </c>
      <c r="D331" s="682">
        <v>249</v>
      </c>
    </row>
    <row r="332" spans="1:4" ht="57" customHeight="1" x14ac:dyDescent="0.25">
      <c r="A332" s="1051"/>
      <c r="B332" s="1049"/>
      <c r="C332" s="700" t="s">
        <v>827</v>
      </c>
      <c r="D332" s="682">
        <v>165</v>
      </c>
    </row>
    <row r="333" spans="1:4" ht="53.25" customHeight="1" x14ac:dyDescent="0.25">
      <c r="A333" s="1051"/>
      <c r="B333" s="1049"/>
      <c r="C333" s="715" t="s">
        <v>828</v>
      </c>
      <c r="D333" s="682">
        <v>140</v>
      </c>
    </row>
    <row r="334" spans="1:4" ht="31.5" x14ac:dyDescent="0.25">
      <c r="A334" s="1051"/>
      <c r="B334" s="1049"/>
      <c r="C334" s="715" t="s">
        <v>829</v>
      </c>
      <c r="D334" s="682">
        <v>75.096000000000004</v>
      </c>
    </row>
    <row r="335" spans="1:4" ht="38.25" customHeight="1" x14ac:dyDescent="0.25">
      <c r="A335" s="1051"/>
      <c r="B335" s="1049"/>
      <c r="C335" s="700" t="s">
        <v>830</v>
      </c>
      <c r="D335" s="682">
        <v>100</v>
      </c>
    </row>
    <row r="336" spans="1:4" ht="18.75" customHeight="1" x14ac:dyDescent="0.25">
      <c r="A336" s="1051"/>
      <c r="B336" s="1049"/>
      <c r="C336" s="715" t="s">
        <v>831</v>
      </c>
      <c r="D336" s="682">
        <v>271</v>
      </c>
    </row>
    <row r="337" spans="1:4" ht="18.75" customHeight="1" x14ac:dyDescent="0.25">
      <c r="A337" s="1051"/>
      <c r="B337" s="1049"/>
      <c r="C337" s="715" t="s">
        <v>832</v>
      </c>
      <c r="D337" s="682">
        <v>182</v>
      </c>
    </row>
    <row r="338" spans="1:4" ht="18.75" customHeight="1" x14ac:dyDescent="0.25">
      <c r="A338" s="1051"/>
      <c r="B338" s="1049"/>
      <c r="C338" s="715" t="s">
        <v>833</v>
      </c>
      <c r="D338" s="682">
        <v>378</v>
      </c>
    </row>
    <row r="339" spans="1:4" ht="40.5" customHeight="1" x14ac:dyDescent="0.25">
      <c r="A339" s="1051"/>
      <c r="B339" s="1049"/>
      <c r="C339" s="715" t="s">
        <v>834</v>
      </c>
      <c r="D339" s="682">
        <v>634</v>
      </c>
    </row>
    <row r="340" spans="1:4" ht="18.75" customHeight="1" x14ac:dyDescent="0.25">
      <c r="A340" s="1051"/>
      <c r="B340" s="1049"/>
      <c r="C340" s="715" t="s">
        <v>835</v>
      </c>
      <c r="D340" s="682">
        <v>1316</v>
      </c>
    </row>
    <row r="341" spans="1:4" ht="18.75" customHeight="1" x14ac:dyDescent="0.25">
      <c r="A341" s="1051"/>
      <c r="B341" s="1049"/>
      <c r="C341" s="715" t="s">
        <v>836</v>
      </c>
      <c r="D341" s="682">
        <v>80</v>
      </c>
    </row>
    <row r="342" spans="1:4" ht="18.75" customHeight="1" x14ac:dyDescent="0.25">
      <c r="A342" s="1051"/>
      <c r="B342" s="1049"/>
      <c r="C342" s="715" t="s">
        <v>837</v>
      </c>
      <c r="D342" s="682">
        <v>1858</v>
      </c>
    </row>
    <row r="343" spans="1:4" ht="18.75" customHeight="1" x14ac:dyDescent="0.25">
      <c r="A343" s="1051"/>
      <c r="B343" s="1049"/>
      <c r="C343" s="715" t="s">
        <v>838</v>
      </c>
      <c r="D343" s="682">
        <v>530</v>
      </c>
    </row>
    <row r="344" spans="1:4" ht="18.75" customHeight="1" x14ac:dyDescent="0.25">
      <c r="A344" s="1051"/>
      <c r="B344" s="1049"/>
      <c r="C344" s="715" t="s">
        <v>839</v>
      </c>
      <c r="D344" s="682">
        <v>2565</v>
      </c>
    </row>
    <row r="345" spans="1:4" ht="18.75" customHeight="1" x14ac:dyDescent="0.25">
      <c r="A345" s="1051"/>
      <c r="B345" s="1049"/>
      <c r="C345" s="715" t="s">
        <v>840</v>
      </c>
      <c r="D345" s="682">
        <v>70</v>
      </c>
    </row>
    <row r="346" spans="1:4" ht="31.5" x14ac:dyDescent="0.25">
      <c r="A346" s="1051"/>
      <c r="B346" s="1049"/>
      <c r="C346" s="715" t="s">
        <v>841</v>
      </c>
      <c r="D346" s="682">
        <v>500</v>
      </c>
    </row>
    <row r="347" spans="1:4" ht="68.25" customHeight="1" x14ac:dyDescent="0.25">
      <c r="A347" s="1051"/>
      <c r="B347" s="1049"/>
      <c r="C347" s="715" t="s">
        <v>842</v>
      </c>
      <c r="D347" s="682">
        <v>1441.787</v>
      </c>
    </row>
    <row r="348" spans="1:4" ht="81.75" customHeight="1" x14ac:dyDescent="0.25">
      <c r="A348" s="1051"/>
      <c r="B348" s="1049"/>
      <c r="C348" s="715" t="s">
        <v>843</v>
      </c>
      <c r="D348" s="682">
        <v>3625</v>
      </c>
    </row>
    <row r="349" spans="1:4" ht="52.5" customHeight="1" x14ac:dyDescent="0.25">
      <c r="A349" s="1051"/>
      <c r="B349" s="1049"/>
      <c r="C349" s="715" t="s">
        <v>844</v>
      </c>
      <c r="D349" s="682">
        <v>102.065</v>
      </c>
    </row>
    <row r="350" spans="1:4" ht="22.5" customHeight="1" x14ac:dyDescent="0.25">
      <c r="A350" s="1051"/>
      <c r="B350" s="1049"/>
      <c r="C350" s="715" t="s">
        <v>845</v>
      </c>
      <c r="D350" s="682">
        <v>2545</v>
      </c>
    </row>
    <row r="351" spans="1:4" ht="47.25" x14ac:dyDescent="0.25">
      <c r="A351" s="1051"/>
      <c r="B351" s="1049"/>
      <c r="C351" s="715" t="s">
        <v>846</v>
      </c>
      <c r="D351" s="682">
        <v>216</v>
      </c>
    </row>
    <row r="352" spans="1:4" ht="25.5" customHeight="1" x14ac:dyDescent="0.25">
      <c r="A352" s="1051"/>
      <c r="B352" s="1049"/>
      <c r="C352" s="715" t="s">
        <v>847</v>
      </c>
      <c r="D352" s="682">
        <v>150</v>
      </c>
    </row>
    <row r="353" spans="1:4" ht="34.5" customHeight="1" x14ac:dyDescent="0.25">
      <c r="A353" s="1051"/>
      <c r="B353" s="1049"/>
      <c r="C353" s="715" t="s">
        <v>848</v>
      </c>
      <c r="D353" s="682">
        <v>108</v>
      </c>
    </row>
    <row r="354" spans="1:4" ht="24" customHeight="1" x14ac:dyDescent="0.25">
      <c r="A354" s="1052"/>
      <c r="B354" s="1050"/>
      <c r="C354" s="815" t="s">
        <v>849</v>
      </c>
      <c r="D354" s="802">
        <v>30</v>
      </c>
    </row>
    <row r="355" spans="1:4" x14ac:dyDescent="0.25">
      <c r="A355" s="784">
        <v>16</v>
      </c>
      <c r="B355" s="785" t="s">
        <v>221</v>
      </c>
      <c r="C355" s="785" t="s">
        <v>850</v>
      </c>
      <c r="D355" s="798">
        <v>900</v>
      </c>
    </row>
    <row r="356" spans="1:4" ht="23.25" customHeight="1" x14ac:dyDescent="0.25">
      <c r="A356" s="1054"/>
      <c r="B356" s="1053"/>
      <c r="C356" s="720" t="s">
        <v>851</v>
      </c>
      <c r="D356" s="721">
        <v>461</v>
      </c>
    </row>
    <row r="357" spans="1:4" ht="23.25" customHeight="1" x14ac:dyDescent="0.25">
      <c r="A357" s="1051"/>
      <c r="B357" s="1049"/>
      <c r="C357" s="696" t="s">
        <v>852</v>
      </c>
      <c r="D357" s="682">
        <v>46</v>
      </c>
    </row>
    <row r="358" spans="1:4" ht="44.25" customHeight="1" x14ac:dyDescent="0.25">
      <c r="A358" s="1051"/>
      <c r="B358" s="1049"/>
      <c r="C358" s="696" t="s">
        <v>853</v>
      </c>
      <c r="D358" s="682">
        <v>1312</v>
      </c>
    </row>
    <row r="359" spans="1:4" ht="55.5" customHeight="1" x14ac:dyDescent="0.25">
      <c r="A359" s="1051"/>
      <c r="B359" s="1049"/>
      <c r="C359" s="701" t="s">
        <v>854</v>
      </c>
      <c r="D359" s="682">
        <v>113</v>
      </c>
    </row>
    <row r="360" spans="1:4" ht="22.5" customHeight="1" x14ac:dyDescent="0.25">
      <c r="A360" s="1051"/>
      <c r="B360" s="1049"/>
      <c r="C360" s="701" t="s">
        <v>855</v>
      </c>
      <c r="D360" s="682">
        <v>990</v>
      </c>
    </row>
    <row r="361" spans="1:4" ht="22.5" customHeight="1" x14ac:dyDescent="0.25">
      <c r="A361" s="1051"/>
      <c r="B361" s="1049"/>
      <c r="C361" s="701" t="s">
        <v>856</v>
      </c>
      <c r="D361" s="682">
        <v>450</v>
      </c>
    </row>
    <row r="362" spans="1:4" ht="22.5" customHeight="1" x14ac:dyDescent="0.25">
      <c r="A362" s="1051"/>
      <c r="B362" s="1049"/>
      <c r="C362" s="701" t="s">
        <v>857</v>
      </c>
      <c r="D362" s="682">
        <v>590</v>
      </c>
    </row>
    <row r="363" spans="1:4" ht="41.25" customHeight="1" x14ac:dyDescent="0.25">
      <c r="A363" s="1051"/>
      <c r="B363" s="1049"/>
      <c r="C363" s="697" t="s">
        <v>858</v>
      </c>
      <c r="D363" s="682">
        <v>1500</v>
      </c>
    </row>
    <row r="364" spans="1:4" ht="41.25" customHeight="1" x14ac:dyDescent="0.25">
      <c r="A364" s="1051"/>
      <c r="B364" s="1049"/>
      <c r="C364" s="697" t="s">
        <v>859</v>
      </c>
      <c r="D364" s="682">
        <v>750</v>
      </c>
    </row>
    <row r="365" spans="1:4" ht="23.25" customHeight="1" x14ac:dyDescent="0.25">
      <c r="A365" s="1051"/>
      <c r="B365" s="1049"/>
      <c r="C365" s="697" t="s">
        <v>860</v>
      </c>
      <c r="D365" s="682">
        <v>800</v>
      </c>
    </row>
    <row r="366" spans="1:4" ht="23.25" customHeight="1" x14ac:dyDescent="0.25">
      <c r="A366" s="1051"/>
      <c r="B366" s="1049"/>
      <c r="C366" s="789" t="s">
        <v>861</v>
      </c>
      <c r="D366" s="795">
        <v>1000</v>
      </c>
    </row>
    <row r="367" spans="1:4" s="675" customFormat="1" ht="23.25" customHeight="1" x14ac:dyDescent="0.25">
      <c r="A367" s="784">
        <v>17</v>
      </c>
      <c r="B367" s="785" t="s">
        <v>219</v>
      </c>
      <c r="C367" s="692"/>
      <c r="D367" s="786">
        <f>SUM(D368:D388)</f>
        <v>26436</v>
      </c>
    </row>
    <row r="368" spans="1:4" ht="20.25" customHeight="1" x14ac:dyDescent="0.25">
      <c r="A368" s="1045"/>
      <c r="B368" s="1046"/>
      <c r="C368" s="803" t="s">
        <v>862</v>
      </c>
      <c r="D368" s="804">
        <v>88</v>
      </c>
    </row>
    <row r="369" spans="1:4" ht="20.25" customHeight="1" x14ac:dyDescent="0.25">
      <c r="A369" s="1043"/>
      <c r="B369" s="1044"/>
      <c r="C369" s="718" t="s">
        <v>863</v>
      </c>
      <c r="D369" s="685">
        <v>10</v>
      </c>
    </row>
    <row r="370" spans="1:4" ht="20.25" customHeight="1" x14ac:dyDescent="0.25">
      <c r="A370" s="1043"/>
      <c r="B370" s="1044"/>
      <c r="C370" s="718" t="s">
        <v>864</v>
      </c>
      <c r="D370" s="685">
        <v>25</v>
      </c>
    </row>
    <row r="371" spans="1:4" ht="20.25" customHeight="1" x14ac:dyDescent="0.25">
      <c r="A371" s="1043"/>
      <c r="B371" s="1044"/>
      <c r="C371" s="697" t="s">
        <v>865</v>
      </c>
      <c r="D371" s="685">
        <v>357</v>
      </c>
    </row>
    <row r="372" spans="1:4" ht="20.25" customHeight="1" x14ac:dyDescent="0.25">
      <c r="A372" s="1043"/>
      <c r="B372" s="1044"/>
      <c r="C372" s="697" t="s">
        <v>866</v>
      </c>
      <c r="D372" s="685">
        <v>67</v>
      </c>
    </row>
    <row r="373" spans="1:4" ht="20.25" customHeight="1" x14ac:dyDescent="0.25">
      <c r="A373" s="1043"/>
      <c r="B373" s="1044"/>
      <c r="C373" s="697" t="s">
        <v>867</v>
      </c>
      <c r="D373" s="685">
        <v>712</v>
      </c>
    </row>
    <row r="374" spans="1:4" ht="20.25" customHeight="1" x14ac:dyDescent="0.25">
      <c r="A374" s="1043"/>
      <c r="B374" s="1044"/>
      <c r="C374" s="697" t="s">
        <v>868</v>
      </c>
      <c r="D374" s="685">
        <v>185</v>
      </c>
    </row>
    <row r="375" spans="1:4" ht="20.25" customHeight="1" x14ac:dyDescent="0.25">
      <c r="A375" s="1043"/>
      <c r="B375" s="1044"/>
      <c r="C375" s="697" t="s">
        <v>869</v>
      </c>
      <c r="D375" s="685">
        <v>3028</v>
      </c>
    </row>
    <row r="376" spans="1:4" ht="20.25" customHeight="1" x14ac:dyDescent="0.25">
      <c r="A376" s="1043"/>
      <c r="B376" s="1044"/>
      <c r="C376" s="697" t="s">
        <v>870</v>
      </c>
      <c r="D376" s="685">
        <v>1521</v>
      </c>
    </row>
    <row r="377" spans="1:4" ht="20.25" customHeight="1" x14ac:dyDescent="0.25">
      <c r="A377" s="1043"/>
      <c r="B377" s="1044"/>
      <c r="C377" s="697" t="s">
        <v>871</v>
      </c>
      <c r="D377" s="685">
        <v>2738</v>
      </c>
    </row>
    <row r="378" spans="1:4" ht="49.5" customHeight="1" x14ac:dyDescent="0.25">
      <c r="A378" s="1043"/>
      <c r="B378" s="1044"/>
      <c r="C378" s="697" t="s">
        <v>872</v>
      </c>
      <c r="D378" s="685">
        <v>204</v>
      </c>
    </row>
    <row r="379" spans="1:4" ht="48" customHeight="1" x14ac:dyDescent="0.25">
      <c r="A379" s="1043"/>
      <c r="B379" s="1044"/>
      <c r="C379" s="697" t="s">
        <v>873</v>
      </c>
      <c r="D379" s="685">
        <v>731</v>
      </c>
    </row>
    <row r="380" spans="1:4" ht="31.5" x14ac:dyDescent="0.25">
      <c r="A380" s="1043"/>
      <c r="B380" s="1044"/>
      <c r="C380" s="697" t="s">
        <v>874</v>
      </c>
      <c r="D380" s="685">
        <v>847</v>
      </c>
    </row>
    <row r="381" spans="1:4" ht="20.25" customHeight="1" x14ac:dyDescent="0.25">
      <c r="A381" s="1043"/>
      <c r="B381" s="1044"/>
      <c r="C381" s="697" t="s">
        <v>875</v>
      </c>
      <c r="D381" s="685">
        <v>2000</v>
      </c>
    </row>
    <row r="382" spans="1:4" ht="20.25" customHeight="1" x14ac:dyDescent="0.25">
      <c r="A382" s="1043"/>
      <c r="B382" s="1044"/>
      <c r="C382" s="697" t="s">
        <v>876</v>
      </c>
      <c r="D382" s="685">
        <v>2800</v>
      </c>
    </row>
    <row r="383" spans="1:4" ht="20.25" customHeight="1" x14ac:dyDescent="0.25">
      <c r="A383" s="1043"/>
      <c r="B383" s="1044"/>
      <c r="C383" s="697" t="s">
        <v>877</v>
      </c>
      <c r="D383" s="685">
        <v>1400</v>
      </c>
    </row>
    <row r="384" spans="1:4" ht="55.5" customHeight="1" x14ac:dyDescent="0.25">
      <c r="A384" s="1043"/>
      <c r="B384" s="1044"/>
      <c r="C384" s="697" t="s">
        <v>878</v>
      </c>
      <c r="D384" s="685">
        <v>801</v>
      </c>
    </row>
    <row r="385" spans="1:4" ht="22.5" customHeight="1" x14ac:dyDescent="0.25">
      <c r="A385" s="1043"/>
      <c r="B385" s="1044"/>
      <c r="C385" s="697" t="s">
        <v>879</v>
      </c>
      <c r="D385" s="685">
        <v>1000</v>
      </c>
    </row>
    <row r="386" spans="1:4" ht="22.5" customHeight="1" x14ac:dyDescent="0.25">
      <c r="A386" s="1043"/>
      <c r="B386" s="1044"/>
      <c r="C386" s="697" t="s">
        <v>880</v>
      </c>
      <c r="D386" s="685">
        <v>4000</v>
      </c>
    </row>
    <row r="387" spans="1:4" ht="22.5" customHeight="1" x14ac:dyDescent="0.25">
      <c r="A387" s="1043"/>
      <c r="B387" s="1044"/>
      <c r="C387" s="697" t="s">
        <v>881</v>
      </c>
      <c r="D387" s="685">
        <v>1500</v>
      </c>
    </row>
    <row r="388" spans="1:4" ht="22.5" customHeight="1" x14ac:dyDescent="0.25">
      <c r="A388" s="1047"/>
      <c r="B388" s="1048"/>
      <c r="C388" s="789" t="s">
        <v>882</v>
      </c>
      <c r="D388" s="794">
        <v>2422</v>
      </c>
    </row>
    <row r="389" spans="1:4" x14ac:dyDescent="0.25">
      <c r="A389" s="784">
        <v>18</v>
      </c>
      <c r="B389" s="785" t="s">
        <v>883</v>
      </c>
      <c r="C389" s="824"/>
      <c r="D389" s="825">
        <f>SUM(D390:D397)</f>
        <v>873.01958775999992</v>
      </c>
    </row>
    <row r="390" spans="1:4" ht="31.5" x14ac:dyDescent="0.25">
      <c r="A390" s="1054"/>
      <c r="B390" s="1053"/>
      <c r="C390" s="807" t="s">
        <v>884</v>
      </c>
      <c r="D390" s="808">
        <v>96.336000000000013</v>
      </c>
    </row>
    <row r="391" spans="1:4" ht="23.25" customHeight="1" x14ac:dyDescent="0.25">
      <c r="A391" s="1052"/>
      <c r="B391" s="1050"/>
      <c r="C391" s="809" t="s">
        <v>885</v>
      </c>
      <c r="D391" s="810">
        <v>22.86</v>
      </c>
    </row>
    <row r="392" spans="1:4" ht="23.25" customHeight="1" x14ac:dyDescent="0.25">
      <c r="A392" s="784">
        <v>18</v>
      </c>
      <c r="B392" s="785" t="s">
        <v>883</v>
      </c>
      <c r="C392" s="805" t="s">
        <v>886</v>
      </c>
      <c r="D392" s="806">
        <v>25.4</v>
      </c>
    </row>
    <row r="393" spans="1:4" ht="18.75" customHeight="1" x14ac:dyDescent="0.25">
      <c r="A393" s="1051"/>
      <c r="B393" s="1049"/>
      <c r="C393" s="803" t="s">
        <v>887</v>
      </c>
      <c r="D393" s="804">
        <v>55.8</v>
      </c>
    </row>
    <row r="394" spans="1:4" ht="18.75" customHeight="1" x14ac:dyDescent="0.25">
      <c r="A394" s="1051"/>
      <c r="B394" s="1049"/>
      <c r="C394" s="697" t="s">
        <v>888</v>
      </c>
      <c r="D394" s="685">
        <v>234</v>
      </c>
    </row>
    <row r="395" spans="1:4" ht="18.75" customHeight="1" x14ac:dyDescent="0.25">
      <c r="A395" s="1051"/>
      <c r="B395" s="1049"/>
      <c r="C395" s="697" t="s">
        <v>889</v>
      </c>
      <c r="D395" s="685">
        <v>24.585000000000001</v>
      </c>
    </row>
    <row r="396" spans="1:4" ht="18.75" customHeight="1" x14ac:dyDescent="0.25">
      <c r="A396" s="1051"/>
      <c r="B396" s="1049"/>
      <c r="C396" s="697" t="s">
        <v>890</v>
      </c>
      <c r="D396" s="685">
        <v>45</v>
      </c>
    </row>
    <row r="397" spans="1:4" ht="18.75" customHeight="1" x14ac:dyDescent="0.25">
      <c r="A397" s="1051"/>
      <c r="B397" s="1049"/>
      <c r="C397" s="789" t="s">
        <v>891</v>
      </c>
      <c r="D397" s="794">
        <v>369.03858775999998</v>
      </c>
    </row>
    <row r="398" spans="1:4" s="675" customFormat="1" ht="35.25" customHeight="1" x14ac:dyDescent="0.25">
      <c r="A398" s="784">
        <v>19</v>
      </c>
      <c r="B398" s="785" t="s">
        <v>892</v>
      </c>
      <c r="C398" s="692"/>
      <c r="D398" s="786">
        <f>SUM(D399:D403)</f>
        <v>19270</v>
      </c>
    </row>
    <row r="399" spans="1:4" ht="31.5" x14ac:dyDescent="0.25">
      <c r="A399" s="1045"/>
      <c r="B399" s="1046"/>
      <c r="C399" s="796" t="s">
        <v>893</v>
      </c>
      <c r="D399" s="721">
        <v>4458</v>
      </c>
    </row>
    <row r="400" spans="1:4" ht="19.5" customHeight="1" x14ac:dyDescent="0.25">
      <c r="A400" s="1043"/>
      <c r="B400" s="1044"/>
      <c r="C400" s="693" t="s">
        <v>894</v>
      </c>
      <c r="D400" s="682">
        <v>700</v>
      </c>
    </row>
    <row r="401" spans="1:4" ht="53.25" customHeight="1" x14ac:dyDescent="0.25">
      <c r="A401" s="1043"/>
      <c r="B401" s="1044"/>
      <c r="C401" s="693" t="s">
        <v>895</v>
      </c>
      <c r="D401" s="682">
        <v>880</v>
      </c>
    </row>
    <row r="402" spans="1:4" ht="28.5" customHeight="1" x14ac:dyDescent="0.25">
      <c r="A402" s="1043"/>
      <c r="B402" s="1044"/>
      <c r="C402" s="693" t="s">
        <v>896</v>
      </c>
      <c r="D402" s="682">
        <v>10920</v>
      </c>
    </row>
    <row r="403" spans="1:4" ht="34.5" customHeight="1" x14ac:dyDescent="0.25">
      <c r="A403" s="1047"/>
      <c r="B403" s="1048"/>
      <c r="C403" s="793" t="s">
        <v>897</v>
      </c>
      <c r="D403" s="795">
        <v>2312</v>
      </c>
    </row>
    <row r="404" spans="1:4" s="675" customFormat="1" ht="24.75" customHeight="1" x14ac:dyDescent="0.25">
      <c r="A404" s="784">
        <v>20</v>
      </c>
      <c r="B404" s="785" t="s">
        <v>898</v>
      </c>
      <c r="C404" s="692"/>
      <c r="D404" s="786">
        <f>SUM(D405:D409)</f>
        <v>3941</v>
      </c>
    </row>
    <row r="405" spans="1:4" ht="24.75" customHeight="1" x14ac:dyDescent="0.25">
      <c r="A405" s="1045"/>
      <c r="B405" s="1046"/>
      <c r="C405" s="826" t="s">
        <v>899</v>
      </c>
      <c r="D405" s="804">
        <v>132</v>
      </c>
    </row>
    <row r="406" spans="1:4" ht="24.75" customHeight="1" x14ac:dyDescent="0.25">
      <c r="A406" s="1043"/>
      <c r="B406" s="1044"/>
      <c r="C406" s="697" t="s">
        <v>900</v>
      </c>
      <c r="D406" s="685">
        <v>585</v>
      </c>
    </row>
    <row r="407" spans="1:4" ht="24.75" customHeight="1" x14ac:dyDescent="0.25">
      <c r="A407" s="1043"/>
      <c r="B407" s="1044"/>
      <c r="C407" s="697" t="s">
        <v>901</v>
      </c>
      <c r="D407" s="685">
        <v>2805</v>
      </c>
    </row>
    <row r="408" spans="1:4" ht="24.75" customHeight="1" x14ac:dyDescent="0.25">
      <c r="A408" s="1043"/>
      <c r="B408" s="1044"/>
      <c r="C408" s="697" t="s">
        <v>902</v>
      </c>
      <c r="D408" s="685">
        <v>359</v>
      </c>
    </row>
    <row r="409" spans="1:4" ht="24.75" customHeight="1" x14ac:dyDescent="0.25">
      <c r="A409" s="1047"/>
      <c r="B409" s="1048"/>
      <c r="C409" s="789" t="s">
        <v>903</v>
      </c>
      <c r="D409" s="794">
        <v>60</v>
      </c>
    </row>
    <row r="410" spans="1:4" ht="32.25" customHeight="1" x14ac:dyDescent="0.25">
      <c r="A410" s="784">
        <v>21</v>
      </c>
      <c r="B410" s="785" t="s">
        <v>365</v>
      </c>
      <c r="C410" s="692"/>
      <c r="D410" s="786">
        <f>SUM(D411:D414)</f>
        <v>8756.1</v>
      </c>
    </row>
    <row r="411" spans="1:4" ht="39.75" customHeight="1" x14ac:dyDescent="0.25">
      <c r="A411" s="1045"/>
      <c r="B411" s="1046"/>
      <c r="C411" s="720" t="s">
        <v>904</v>
      </c>
      <c r="D411" s="721">
        <v>4970.6000000000004</v>
      </c>
    </row>
    <row r="412" spans="1:4" ht="38.25" customHeight="1" x14ac:dyDescent="0.25">
      <c r="A412" s="1043"/>
      <c r="B412" s="1044"/>
      <c r="C412" s="696" t="s">
        <v>905</v>
      </c>
      <c r="D412" s="682">
        <v>1403.5</v>
      </c>
    </row>
    <row r="413" spans="1:4" ht="43.5" customHeight="1" x14ac:dyDescent="0.25">
      <c r="A413" s="1043"/>
      <c r="B413" s="1044"/>
      <c r="C413" s="696" t="s">
        <v>906</v>
      </c>
      <c r="D413" s="682">
        <v>55</v>
      </c>
    </row>
    <row r="414" spans="1:4" ht="39" customHeight="1" x14ac:dyDescent="0.25">
      <c r="A414" s="1047"/>
      <c r="B414" s="1048"/>
      <c r="C414" s="791" t="s">
        <v>907</v>
      </c>
      <c r="D414" s="795">
        <v>2327</v>
      </c>
    </row>
    <row r="415" spans="1:4" ht="26.25" customHeight="1" x14ac:dyDescent="0.25">
      <c r="A415" s="784">
        <v>22</v>
      </c>
      <c r="B415" s="785" t="s">
        <v>129</v>
      </c>
      <c r="C415" s="692"/>
      <c r="D415" s="786">
        <f>SUM(D416:D421)</f>
        <v>2538.1764000000003</v>
      </c>
    </row>
    <row r="416" spans="1:4" ht="27.75" customHeight="1" x14ac:dyDescent="0.25">
      <c r="A416" s="1045"/>
      <c r="B416" s="1046"/>
      <c r="C416" s="720" t="s">
        <v>908</v>
      </c>
      <c r="D416" s="790">
        <v>1425.7964000000002</v>
      </c>
    </row>
    <row r="417" spans="1:4" x14ac:dyDescent="0.25">
      <c r="A417" s="1043"/>
      <c r="B417" s="1044"/>
      <c r="C417" s="696" t="s">
        <v>909</v>
      </c>
      <c r="D417" s="716">
        <v>113.99999999999999</v>
      </c>
    </row>
    <row r="418" spans="1:4" ht="49.5" customHeight="1" x14ac:dyDescent="0.25">
      <c r="A418" s="1043"/>
      <c r="B418" s="1044"/>
      <c r="C418" s="696" t="s">
        <v>910</v>
      </c>
      <c r="D418" s="716">
        <v>894</v>
      </c>
    </row>
    <row r="419" spans="1:4" ht="31.5" x14ac:dyDescent="0.25">
      <c r="A419" s="1043"/>
      <c r="B419" s="1044"/>
      <c r="C419" s="696" t="s">
        <v>911</v>
      </c>
      <c r="D419" s="716">
        <v>69</v>
      </c>
    </row>
    <row r="420" spans="1:4" ht="24" customHeight="1" x14ac:dyDescent="0.25">
      <c r="A420" s="1043"/>
      <c r="B420" s="1044"/>
      <c r="C420" s="696" t="s">
        <v>912</v>
      </c>
      <c r="D420" s="716">
        <v>10</v>
      </c>
    </row>
    <row r="421" spans="1:4" ht="24" customHeight="1" x14ac:dyDescent="0.25">
      <c r="A421" s="1047"/>
      <c r="B421" s="1048"/>
      <c r="C421" s="791" t="s">
        <v>913</v>
      </c>
      <c r="D421" s="792">
        <v>25.38</v>
      </c>
    </row>
    <row r="422" spans="1:4" s="686" customFormat="1" ht="49.5" customHeight="1" x14ac:dyDescent="0.25">
      <c r="A422" s="784">
        <v>23</v>
      </c>
      <c r="B422" s="785" t="s">
        <v>914</v>
      </c>
      <c r="C422" s="692"/>
      <c r="D422" s="786">
        <f>SUM(D423:D427)</f>
        <v>1320.895</v>
      </c>
    </row>
    <row r="423" spans="1:4" ht="21" customHeight="1" x14ac:dyDescent="0.25">
      <c r="A423" s="1045"/>
      <c r="B423" s="1046"/>
      <c r="C423" s="720" t="s">
        <v>915</v>
      </c>
      <c r="D423" s="721">
        <v>291.19499999999999</v>
      </c>
    </row>
    <row r="424" spans="1:4" ht="21" customHeight="1" x14ac:dyDescent="0.25">
      <c r="A424" s="1043"/>
      <c r="B424" s="1044"/>
      <c r="C424" s="696" t="s">
        <v>916</v>
      </c>
      <c r="D424" s="682">
        <v>55</v>
      </c>
    </row>
    <row r="425" spans="1:4" ht="21" customHeight="1" x14ac:dyDescent="0.25">
      <c r="A425" s="1043"/>
      <c r="B425" s="1044"/>
      <c r="C425" s="696" t="s">
        <v>917</v>
      </c>
      <c r="D425" s="682">
        <v>12.7</v>
      </c>
    </row>
    <row r="426" spans="1:4" ht="21" customHeight="1" x14ac:dyDescent="0.25">
      <c r="A426" s="1043"/>
      <c r="B426" s="1044"/>
      <c r="C426" s="696" t="s">
        <v>918</v>
      </c>
      <c r="D426" s="682">
        <v>897</v>
      </c>
    </row>
    <row r="427" spans="1:4" ht="21" customHeight="1" x14ac:dyDescent="0.25">
      <c r="A427" s="1043"/>
      <c r="B427" s="1044"/>
      <c r="C427" s="696" t="s">
        <v>919</v>
      </c>
      <c r="D427" s="682">
        <v>65</v>
      </c>
    </row>
    <row r="428" spans="1:4" s="675" customFormat="1" ht="24" customHeight="1" x14ac:dyDescent="0.25">
      <c r="A428" s="710">
        <v>24</v>
      </c>
      <c r="B428" s="696" t="s">
        <v>920</v>
      </c>
      <c r="C428" s="695"/>
      <c r="D428" s="681">
        <f>+D429+D430</f>
        <v>1070</v>
      </c>
    </row>
    <row r="429" spans="1:4" ht="39.75" customHeight="1" x14ac:dyDescent="0.25">
      <c r="A429" s="1043"/>
      <c r="B429" s="1044"/>
      <c r="C429" s="693" t="s">
        <v>921</v>
      </c>
      <c r="D429" s="682">
        <v>990</v>
      </c>
    </row>
    <row r="430" spans="1:4" ht="22.5" customHeight="1" x14ac:dyDescent="0.25">
      <c r="A430" s="1043"/>
      <c r="B430" s="1044"/>
      <c r="C430" s="693" t="s">
        <v>816</v>
      </c>
      <c r="D430" s="682">
        <v>80</v>
      </c>
    </row>
    <row r="431" spans="1:4" ht="39.75" customHeight="1" x14ac:dyDescent="0.25">
      <c r="A431" s="710">
        <v>25</v>
      </c>
      <c r="B431" s="696" t="s">
        <v>922</v>
      </c>
      <c r="C431" s="702"/>
      <c r="D431" s="681">
        <f>D432</f>
        <v>303</v>
      </c>
    </row>
    <row r="432" spans="1:4" ht="18.75" customHeight="1" x14ac:dyDescent="0.25">
      <c r="A432" s="710"/>
      <c r="B432" s="696"/>
      <c r="C432" s="696" t="s">
        <v>923</v>
      </c>
      <c r="D432" s="687">
        <v>303</v>
      </c>
    </row>
    <row r="433" spans="1:4" ht="18.75" customHeight="1" x14ac:dyDescent="0.25">
      <c r="A433" s="710">
        <v>26</v>
      </c>
      <c r="B433" s="696" t="s">
        <v>924</v>
      </c>
      <c r="C433" s="695"/>
      <c r="D433" s="681">
        <f>SUM(D434:D444)</f>
        <v>17992</v>
      </c>
    </row>
    <row r="434" spans="1:4" ht="18.75" customHeight="1" x14ac:dyDescent="0.25">
      <c r="A434" s="1043"/>
      <c r="B434" s="1044"/>
      <c r="C434" s="679" t="s">
        <v>925</v>
      </c>
      <c r="D434" s="680">
        <v>2133</v>
      </c>
    </row>
    <row r="435" spans="1:4" ht="18.75" customHeight="1" x14ac:dyDescent="0.25">
      <c r="A435" s="1043"/>
      <c r="B435" s="1044"/>
      <c r="C435" s="679" t="s">
        <v>926</v>
      </c>
      <c r="D435" s="680">
        <v>900</v>
      </c>
    </row>
    <row r="436" spans="1:4" ht="18.75" customHeight="1" x14ac:dyDescent="0.25">
      <c r="A436" s="1043"/>
      <c r="B436" s="1044"/>
      <c r="C436" s="679" t="s">
        <v>927</v>
      </c>
      <c r="D436" s="680">
        <v>3280</v>
      </c>
    </row>
    <row r="437" spans="1:4" ht="18.75" customHeight="1" x14ac:dyDescent="0.25">
      <c r="A437" s="1043"/>
      <c r="B437" s="1044"/>
      <c r="C437" s="679" t="s">
        <v>928</v>
      </c>
      <c r="D437" s="680">
        <v>924</v>
      </c>
    </row>
    <row r="438" spans="1:4" ht="18.75" customHeight="1" x14ac:dyDescent="0.25">
      <c r="A438" s="1043"/>
      <c r="B438" s="1044"/>
      <c r="C438" s="679" t="s">
        <v>929</v>
      </c>
      <c r="D438" s="680">
        <v>3500</v>
      </c>
    </row>
    <row r="439" spans="1:4" ht="18.75" customHeight="1" x14ac:dyDescent="0.25">
      <c r="A439" s="1043"/>
      <c r="B439" s="1044"/>
      <c r="C439" s="693" t="s">
        <v>930</v>
      </c>
      <c r="D439" s="680">
        <v>300</v>
      </c>
    </row>
    <row r="440" spans="1:4" ht="18.75" customHeight="1" x14ac:dyDescent="0.25">
      <c r="A440" s="1043"/>
      <c r="B440" s="1044"/>
      <c r="C440" s="679" t="s">
        <v>931</v>
      </c>
      <c r="D440" s="680">
        <v>435</v>
      </c>
    </row>
    <row r="441" spans="1:4" ht="18.75" customHeight="1" x14ac:dyDescent="0.25">
      <c r="A441" s="1043"/>
      <c r="B441" s="1044"/>
      <c r="C441" s="679" t="s">
        <v>932</v>
      </c>
      <c r="D441" s="680">
        <f>4045+673</f>
        <v>4718</v>
      </c>
    </row>
    <row r="442" spans="1:4" ht="18.75" customHeight="1" x14ac:dyDescent="0.25">
      <c r="A442" s="1043"/>
      <c r="B442" s="1044"/>
      <c r="C442" s="679" t="s">
        <v>1186</v>
      </c>
      <c r="D442" s="680">
        <v>400</v>
      </c>
    </row>
    <row r="443" spans="1:4" ht="18.75" customHeight="1" x14ac:dyDescent="0.25">
      <c r="A443" s="1043"/>
      <c r="B443" s="1044"/>
      <c r="C443" s="679" t="s">
        <v>1187</v>
      </c>
      <c r="D443" s="680">
        <v>350</v>
      </c>
    </row>
    <row r="444" spans="1:4" ht="18.75" customHeight="1" x14ac:dyDescent="0.25">
      <c r="A444" s="1043"/>
      <c r="B444" s="1044"/>
      <c r="C444" s="679" t="s">
        <v>933</v>
      </c>
      <c r="D444" s="680">
        <v>1052</v>
      </c>
    </row>
    <row r="445" spans="1:4" ht="25.5" customHeight="1" x14ac:dyDescent="0.25">
      <c r="A445" s="710">
        <v>27</v>
      </c>
      <c r="B445" s="696" t="s">
        <v>934</v>
      </c>
      <c r="C445" s="695"/>
      <c r="D445" s="681">
        <f>SUM(D446:D451)</f>
        <v>953.5</v>
      </c>
    </row>
    <row r="446" spans="1:4" ht="31.5" x14ac:dyDescent="0.25">
      <c r="A446" s="1043"/>
      <c r="B446" s="1044"/>
      <c r="C446" s="693" t="s">
        <v>935</v>
      </c>
      <c r="D446" s="680">
        <v>36</v>
      </c>
    </row>
    <row r="447" spans="1:4" ht="28.5" customHeight="1" x14ac:dyDescent="0.25">
      <c r="A447" s="1043"/>
      <c r="B447" s="1044"/>
      <c r="C447" s="679" t="s">
        <v>936</v>
      </c>
      <c r="D447" s="680">
        <v>67.5</v>
      </c>
    </row>
    <row r="448" spans="1:4" x14ac:dyDescent="0.25">
      <c r="A448" s="1043"/>
      <c r="B448" s="1044"/>
      <c r="C448" s="694" t="s">
        <v>937</v>
      </c>
      <c r="D448" s="680">
        <v>60</v>
      </c>
    </row>
    <row r="449" spans="1:4" ht="20.25" customHeight="1" x14ac:dyDescent="0.25">
      <c r="A449" s="1043"/>
      <c r="B449" s="1044"/>
      <c r="C449" s="694" t="s">
        <v>938</v>
      </c>
      <c r="D449" s="680">
        <v>40</v>
      </c>
    </row>
    <row r="450" spans="1:4" ht="20.25" customHeight="1" x14ac:dyDescent="0.25">
      <c r="A450" s="1043"/>
      <c r="B450" s="1044"/>
      <c r="C450" s="679" t="s">
        <v>939</v>
      </c>
      <c r="D450" s="680">
        <v>150</v>
      </c>
    </row>
    <row r="451" spans="1:4" ht="20.25" customHeight="1" x14ac:dyDescent="0.25">
      <c r="A451" s="1043"/>
      <c r="B451" s="1044"/>
      <c r="C451" s="679" t="s">
        <v>940</v>
      </c>
      <c r="D451" s="680">
        <v>600</v>
      </c>
    </row>
    <row r="452" spans="1:4" ht="20.25" customHeight="1" x14ac:dyDescent="0.25">
      <c r="A452" s="710">
        <v>28</v>
      </c>
      <c r="B452" s="696" t="s">
        <v>508</v>
      </c>
      <c r="C452" s="695"/>
      <c r="D452" s="681">
        <f>SUM(D453:D463)</f>
        <v>1008.837</v>
      </c>
    </row>
    <row r="453" spans="1:4" ht="20.25" customHeight="1" x14ac:dyDescent="0.25">
      <c r="A453" s="1043"/>
      <c r="B453" s="1044"/>
      <c r="C453" s="696" t="s">
        <v>941</v>
      </c>
      <c r="D453" s="680">
        <v>53.999999999999993</v>
      </c>
    </row>
    <row r="454" spans="1:4" ht="20.25" customHeight="1" x14ac:dyDescent="0.25">
      <c r="A454" s="1043"/>
      <c r="B454" s="1044"/>
      <c r="C454" s="696" t="s">
        <v>942</v>
      </c>
      <c r="D454" s="680">
        <v>96.768000000000001</v>
      </c>
    </row>
    <row r="455" spans="1:4" ht="20.25" customHeight="1" x14ac:dyDescent="0.25">
      <c r="A455" s="1043"/>
      <c r="B455" s="1044"/>
      <c r="C455" s="696" t="s">
        <v>943</v>
      </c>
      <c r="D455" s="680">
        <v>61.769000000000005</v>
      </c>
    </row>
    <row r="456" spans="1:4" ht="20.25" customHeight="1" x14ac:dyDescent="0.25">
      <c r="A456" s="1043"/>
      <c r="B456" s="1044"/>
      <c r="C456" s="693" t="s">
        <v>944</v>
      </c>
      <c r="D456" s="680">
        <v>54.359999999999992</v>
      </c>
    </row>
    <row r="457" spans="1:4" ht="20.25" customHeight="1" x14ac:dyDescent="0.25">
      <c r="A457" s="1043"/>
      <c r="B457" s="1044"/>
      <c r="C457" s="696" t="s">
        <v>945</v>
      </c>
      <c r="D457" s="680">
        <v>191</v>
      </c>
    </row>
    <row r="458" spans="1:4" ht="36.75" customHeight="1" x14ac:dyDescent="0.25">
      <c r="A458" s="1043"/>
      <c r="B458" s="1044"/>
      <c r="C458" s="696" t="s">
        <v>946</v>
      </c>
      <c r="D458" s="680">
        <v>52</v>
      </c>
    </row>
    <row r="459" spans="1:4" ht="34.5" customHeight="1" x14ac:dyDescent="0.25">
      <c r="A459" s="1043"/>
      <c r="B459" s="1044"/>
      <c r="C459" s="696" t="s">
        <v>947</v>
      </c>
      <c r="D459" s="680">
        <v>59</v>
      </c>
    </row>
    <row r="460" spans="1:4" ht="22.5" customHeight="1" x14ac:dyDescent="0.25">
      <c r="A460" s="1043"/>
      <c r="B460" s="1044"/>
      <c r="C460" s="693" t="s">
        <v>948</v>
      </c>
      <c r="D460" s="680">
        <v>86</v>
      </c>
    </row>
    <row r="461" spans="1:4" ht="38.25" customHeight="1" x14ac:dyDescent="0.25">
      <c r="A461" s="1043"/>
      <c r="B461" s="1044"/>
      <c r="C461" s="693" t="s">
        <v>949</v>
      </c>
      <c r="D461" s="680">
        <v>24.83</v>
      </c>
    </row>
    <row r="462" spans="1:4" ht="39" customHeight="1" x14ac:dyDescent="0.25">
      <c r="A462" s="1043"/>
      <c r="B462" s="1044"/>
      <c r="C462" s="693" t="s">
        <v>950</v>
      </c>
      <c r="D462" s="680">
        <v>313</v>
      </c>
    </row>
    <row r="463" spans="1:4" ht="18.75" customHeight="1" x14ac:dyDescent="0.25">
      <c r="A463" s="1047"/>
      <c r="B463" s="1048"/>
      <c r="C463" s="791" t="s">
        <v>951</v>
      </c>
      <c r="D463" s="788">
        <v>16.110000000000003</v>
      </c>
    </row>
    <row r="464" spans="1:4" ht="18.75" customHeight="1" x14ac:dyDescent="0.25">
      <c r="A464" s="784">
        <v>29</v>
      </c>
      <c r="B464" s="785" t="s">
        <v>952</v>
      </c>
      <c r="C464" s="692"/>
      <c r="D464" s="786">
        <f>SUM(D465:D472)</f>
        <v>1085.6199999999999</v>
      </c>
    </row>
    <row r="465" spans="1:4" ht="83.25" customHeight="1" x14ac:dyDescent="0.25">
      <c r="A465" s="818"/>
      <c r="B465" s="819"/>
      <c r="C465" s="714" t="s">
        <v>953</v>
      </c>
      <c r="D465" s="814">
        <v>28</v>
      </c>
    </row>
    <row r="466" spans="1:4" ht="47.25" x14ac:dyDescent="0.25">
      <c r="A466" s="689"/>
      <c r="B466" s="688"/>
      <c r="C466" s="715" t="s">
        <v>954</v>
      </c>
      <c r="D466" s="716">
        <v>23.999999999999996</v>
      </c>
    </row>
    <row r="467" spans="1:4" ht="26.25" customHeight="1" x14ac:dyDescent="0.25">
      <c r="A467" s="820"/>
      <c r="B467" s="775"/>
      <c r="C467" s="815" t="s">
        <v>955</v>
      </c>
      <c r="D467" s="816">
        <v>11.999999999999998</v>
      </c>
    </row>
    <row r="468" spans="1:4" ht="44.25" customHeight="1" x14ac:dyDescent="0.25">
      <c r="A468" s="784">
        <v>29</v>
      </c>
      <c r="B468" s="785" t="s">
        <v>952</v>
      </c>
      <c r="C468" s="785" t="s">
        <v>956</v>
      </c>
      <c r="D468" s="817">
        <v>149</v>
      </c>
    </row>
    <row r="469" spans="1:4" ht="33" customHeight="1" x14ac:dyDescent="0.25">
      <c r="A469" s="1051"/>
      <c r="B469" s="1049"/>
      <c r="C469" s="720" t="s">
        <v>957</v>
      </c>
      <c r="D469" s="790">
        <v>524</v>
      </c>
    </row>
    <row r="470" spans="1:4" ht="57.75" customHeight="1" x14ac:dyDescent="0.25">
      <c r="A470" s="1051"/>
      <c r="B470" s="1049"/>
      <c r="C470" s="696" t="s">
        <v>958</v>
      </c>
      <c r="D470" s="716">
        <v>230</v>
      </c>
    </row>
    <row r="471" spans="1:4" ht="21" customHeight="1" x14ac:dyDescent="0.25">
      <c r="A471" s="1051"/>
      <c r="B471" s="1049"/>
      <c r="C471" s="696" t="s">
        <v>959</v>
      </c>
      <c r="D471" s="716">
        <v>31.769999999999996</v>
      </c>
    </row>
    <row r="472" spans="1:4" ht="21" customHeight="1" x14ac:dyDescent="0.25">
      <c r="A472" s="1052"/>
      <c r="B472" s="1050"/>
      <c r="C472" s="791" t="s">
        <v>960</v>
      </c>
      <c r="D472" s="792">
        <v>86.85</v>
      </c>
    </row>
    <row r="473" spans="1:4" ht="21" customHeight="1" x14ac:dyDescent="0.25">
      <c r="A473" s="784">
        <v>30</v>
      </c>
      <c r="B473" s="785" t="s">
        <v>961</v>
      </c>
      <c r="C473" s="692"/>
      <c r="D473" s="786">
        <f>SUM(D474:D491)</f>
        <v>1623.7058</v>
      </c>
    </row>
    <row r="474" spans="1:4" ht="42" customHeight="1" x14ac:dyDescent="0.25">
      <c r="A474" s="1045"/>
      <c r="B474" s="1046"/>
      <c r="C474" s="827" t="s">
        <v>962</v>
      </c>
      <c r="D474" s="783">
        <v>144</v>
      </c>
    </row>
    <row r="475" spans="1:4" ht="41.25" customHeight="1" x14ac:dyDescent="0.25">
      <c r="A475" s="1043"/>
      <c r="B475" s="1044"/>
      <c r="C475" s="703" t="s">
        <v>963</v>
      </c>
      <c r="D475" s="680">
        <v>153.1</v>
      </c>
    </row>
    <row r="476" spans="1:4" ht="38.25" customHeight="1" x14ac:dyDescent="0.25">
      <c r="A476" s="1043"/>
      <c r="B476" s="1044"/>
      <c r="C476" s="703" t="s">
        <v>964</v>
      </c>
      <c r="D476" s="680">
        <v>41.04</v>
      </c>
    </row>
    <row r="477" spans="1:4" ht="27.75" customHeight="1" x14ac:dyDescent="0.25">
      <c r="A477" s="1043"/>
      <c r="B477" s="1044"/>
      <c r="C477" s="703" t="s">
        <v>965</v>
      </c>
      <c r="D477" s="680">
        <v>182.59199999999998</v>
      </c>
    </row>
    <row r="478" spans="1:4" ht="31.5" x14ac:dyDescent="0.25">
      <c r="A478" s="1043"/>
      <c r="B478" s="1044"/>
      <c r="C478" s="703" t="s">
        <v>966</v>
      </c>
      <c r="D478" s="680">
        <v>20.736000000000001</v>
      </c>
    </row>
    <row r="479" spans="1:4" x14ac:dyDescent="0.25">
      <c r="A479" s="1043"/>
      <c r="B479" s="1044"/>
      <c r="C479" s="704" t="s">
        <v>967</v>
      </c>
      <c r="D479" s="680">
        <v>66.239999999999995</v>
      </c>
    </row>
    <row r="480" spans="1:4" ht="23.25" customHeight="1" x14ac:dyDescent="0.25">
      <c r="A480" s="1043"/>
      <c r="B480" s="1044"/>
      <c r="C480" s="705" t="s">
        <v>968</v>
      </c>
      <c r="D480" s="680">
        <v>192.2</v>
      </c>
    </row>
    <row r="481" spans="1:4" ht="34.5" customHeight="1" x14ac:dyDescent="0.25">
      <c r="A481" s="1043"/>
      <c r="B481" s="1044"/>
      <c r="C481" s="693" t="s">
        <v>969</v>
      </c>
      <c r="D481" s="680">
        <v>54.5</v>
      </c>
    </row>
    <row r="482" spans="1:4" ht="21" customHeight="1" x14ac:dyDescent="0.25">
      <c r="A482" s="1043"/>
      <c r="B482" s="1044"/>
      <c r="C482" s="705" t="s">
        <v>970</v>
      </c>
      <c r="D482" s="680">
        <v>154.548</v>
      </c>
    </row>
    <row r="483" spans="1:4" ht="38.25" customHeight="1" x14ac:dyDescent="0.25">
      <c r="A483" s="1043"/>
      <c r="B483" s="1044"/>
      <c r="C483" s="705" t="s">
        <v>971</v>
      </c>
      <c r="D483" s="680">
        <v>104.22</v>
      </c>
    </row>
    <row r="484" spans="1:4" ht="36" customHeight="1" x14ac:dyDescent="0.25">
      <c r="A484" s="1043"/>
      <c r="B484" s="1044"/>
      <c r="C484" s="693" t="s">
        <v>972</v>
      </c>
      <c r="D484" s="680">
        <v>17.508000000000003</v>
      </c>
    </row>
    <row r="485" spans="1:4" ht="22.5" customHeight="1" x14ac:dyDescent="0.25">
      <c r="A485" s="1043"/>
      <c r="B485" s="1044"/>
      <c r="C485" s="704" t="s">
        <v>973</v>
      </c>
      <c r="D485" s="680">
        <v>105</v>
      </c>
    </row>
    <row r="486" spans="1:4" ht="22.5" customHeight="1" x14ac:dyDescent="0.25">
      <c r="A486" s="1043"/>
      <c r="B486" s="1044"/>
      <c r="C486" s="693" t="s">
        <v>974</v>
      </c>
      <c r="D486" s="680">
        <v>39.3048</v>
      </c>
    </row>
    <row r="487" spans="1:4" ht="44.25" customHeight="1" x14ac:dyDescent="0.25">
      <c r="A487" s="1043"/>
      <c r="B487" s="1044"/>
      <c r="C487" s="693" t="s">
        <v>975</v>
      </c>
      <c r="D487" s="680">
        <v>35.216999999999999</v>
      </c>
    </row>
    <row r="488" spans="1:4" ht="36" customHeight="1" x14ac:dyDescent="0.25">
      <c r="A488" s="1043"/>
      <c r="B488" s="1044"/>
      <c r="C488" s="696" t="s">
        <v>976</v>
      </c>
      <c r="D488" s="680">
        <v>74.61</v>
      </c>
    </row>
    <row r="489" spans="1:4" ht="39.75" customHeight="1" x14ac:dyDescent="0.25">
      <c r="A489" s="1043"/>
      <c r="B489" s="1044"/>
      <c r="C489" s="704" t="s">
        <v>977</v>
      </c>
      <c r="D489" s="680">
        <v>106.11000000000001</v>
      </c>
    </row>
    <row r="490" spans="1:4" ht="23.25" customHeight="1" x14ac:dyDescent="0.25">
      <c r="A490" s="1043"/>
      <c r="B490" s="1044"/>
      <c r="C490" s="693" t="s">
        <v>978</v>
      </c>
      <c r="D490" s="680">
        <v>50.699999999999996</v>
      </c>
    </row>
    <row r="491" spans="1:4" ht="23.25" customHeight="1" x14ac:dyDescent="0.25">
      <c r="A491" s="1047"/>
      <c r="B491" s="1048"/>
      <c r="C491" s="791" t="s">
        <v>979</v>
      </c>
      <c r="D491" s="788">
        <v>82.08</v>
      </c>
    </row>
    <row r="492" spans="1:4" ht="23.25" customHeight="1" x14ac:dyDescent="0.25">
      <c r="A492" s="784">
        <v>31</v>
      </c>
      <c r="B492" s="785" t="s">
        <v>231</v>
      </c>
      <c r="C492" s="692"/>
      <c r="D492" s="786">
        <f>SUM(D493:D500)</f>
        <v>1057.4568999999999</v>
      </c>
    </row>
    <row r="493" spans="1:4" ht="31.5" x14ac:dyDescent="0.25">
      <c r="A493" s="1045"/>
      <c r="B493" s="1046"/>
      <c r="C493" s="828" t="s">
        <v>980</v>
      </c>
      <c r="D493" s="783">
        <v>34.5</v>
      </c>
    </row>
    <row r="494" spans="1:4" x14ac:dyDescent="0.25">
      <c r="A494" s="1043"/>
      <c r="B494" s="1044"/>
      <c r="C494" s="704" t="s">
        <v>981</v>
      </c>
      <c r="D494" s="680">
        <v>27.4</v>
      </c>
    </row>
    <row r="495" spans="1:4" ht="31.5" x14ac:dyDescent="0.25">
      <c r="A495" s="1043"/>
      <c r="B495" s="1044"/>
      <c r="C495" s="704" t="s">
        <v>982</v>
      </c>
      <c r="D495" s="680">
        <v>27.48</v>
      </c>
    </row>
    <row r="496" spans="1:4" x14ac:dyDescent="0.25">
      <c r="A496" s="1043"/>
      <c r="B496" s="1044"/>
      <c r="C496" s="693" t="s">
        <v>983</v>
      </c>
      <c r="D496" s="680">
        <v>47</v>
      </c>
    </row>
    <row r="497" spans="1:4" x14ac:dyDescent="0.25">
      <c r="A497" s="1043"/>
      <c r="B497" s="1044"/>
      <c r="C497" s="704" t="s">
        <v>984</v>
      </c>
      <c r="D497" s="680">
        <v>620.5</v>
      </c>
    </row>
    <row r="498" spans="1:4" ht="31.5" x14ac:dyDescent="0.25">
      <c r="A498" s="1043"/>
      <c r="B498" s="1044"/>
      <c r="C498" s="693" t="s">
        <v>985</v>
      </c>
      <c r="D498" s="680">
        <v>74</v>
      </c>
    </row>
    <row r="499" spans="1:4" ht="31.5" x14ac:dyDescent="0.25">
      <c r="A499" s="1043"/>
      <c r="B499" s="1044"/>
      <c r="C499" s="693" t="s">
        <v>986</v>
      </c>
      <c r="D499" s="680">
        <v>30.55</v>
      </c>
    </row>
    <row r="500" spans="1:4" ht="31.5" x14ac:dyDescent="0.25">
      <c r="A500" s="1043"/>
      <c r="B500" s="1044"/>
      <c r="C500" s="693" t="s">
        <v>987</v>
      </c>
      <c r="D500" s="680">
        <v>196.02689999999998</v>
      </c>
    </row>
    <row r="501" spans="1:4" s="675" customFormat="1" ht="25.5" customHeight="1" x14ac:dyDescent="0.25">
      <c r="A501" s="710">
        <v>32</v>
      </c>
      <c r="B501" s="696" t="s">
        <v>988</v>
      </c>
      <c r="C501" s="695"/>
      <c r="D501" s="681">
        <f>SUM(D502:D505)</f>
        <v>351.54</v>
      </c>
    </row>
    <row r="502" spans="1:4" ht="42" customHeight="1" x14ac:dyDescent="0.25">
      <c r="A502" s="1043"/>
      <c r="B502" s="1044"/>
      <c r="C502" s="696" t="s">
        <v>989</v>
      </c>
      <c r="D502" s="682">
        <v>120.51</v>
      </c>
    </row>
    <row r="503" spans="1:4" ht="24" customHeight="1" x14ac:dyDescent="0.25">
      <c r="A503" s="1043"/>
      <c r="B503" s="1044"/>
      <c r="C503" s="696" t="s">
        <v>990</v>
      </c>
      <c r="D503" s="682">
        <v>10.8</v>
      </c>
    </row>
    <row r="504" spans="1:4" ht="47.25" x14ac:dyDescent="0.25">
      <c r="A504" s="1043"/>
      <c r="B504" s="1044"/>
      <c r="C504" s="696" t="s">
        <v>991</v>
      </c>
      <c r="D504" s="682">
        <v>184.05</v>
      </c>
    </row>
    <row r="505" spans="1:4" ht="25.5" customHeight="1" x14ac:dyDescent="0.25">
      <c r="A505" s="1043"/>
      <c r="B505" s="1044"/>
      <c r="C505" s="696" t="s">
        <v>992</v>
      </c>
      <c r="D505" s="682">
        <v>36.18</v>
      </c>
    </row>
    <row r="506" spans="1:4" s="675" customFormat="1" ht="25.5" customHeight="1" x14ac:dyDescent="0.25">
      <c r="A506" s="710">
        <v>33</v>
      </c>
      <c r="B506" s="696" t="s">
        <v>993</v>
      </c>
      <c r="C506" s="695"/>
      <c r="D506" s="681">
        <f>SUM(D507:D512)</f>
        <v>454.57799999999997</v>
      </c>
    </row>
    <row r="507" spans="1:4" ht="25.5" customHeight="1" x14ac:dyDescent="0.25">
      <c r="A507" s="1043"/>
      <c r="B507" s="1044"/>
      <c r="C507" s="696" t="s">
        <v>994</v>
      </c>
      <c r="D507" s="682">
        <v>220</v>
      </c>
    </row>
    <row r="508" spans="1:4" ht="25.5" customHeight="1" x14ac:dyDescent="0.25">
      <c r="A508" s="1043"/>
      <c r="B508" s="1044"/>
      <c r="C508" s="696" t="s">
        <v>995</v>
      </c>
      <c r="D508" s="682">
        <v>50</v>
      </c>
    </row>
    <row r="509" spans="1:4" x14ac:dyDescent="0.25">
      <c r="A509" s="1043"/>
      <c r="B509" s="1044"/>
      <c r="C509" s="696" t="s">
        <v>996</v>
      </c>
      <c r="D509" s="682">
        <v>97.378</v>
      </c>
    </row>
    <row r="510" spans="1:4" ht="20.25" customHeight="1" x14ac:dyDescent="0.25">
      <c r="A510" s="1043"/>
      <c r="B510" s="1044"/>
      <c r="C510" s="696" t="s">
        <v>997</v>
      </c>
      <c r="D510" s="682">
        <v>47.75</v>
      </c>
    </row>
    <row r="511" spans="1:4" ht="20.25" customHeight="1" x14ac:dyDescent="0.25">
      <c r="A511" s="1043"/>
      <c r="B511" s="1044"/>
      <c r="C511" s="696" t="s">
        <v>998</v>
      </c>
      <c r="D511" s="682">
        <v>12</v>
      </c>
    </row>
    <row r="512" spans="1:4" ht="20.25" customHeight="1" x14ac:dyDescent="0.25">
      <c r="A512" s="1043"/>
      <c r="B512" s="1044"/>
      <c r="C512" s="696" t="s">
        <v>999</v>
      </c>
      <c r="D512" s="682">
        <v>27.45</v>
      </c>
    </row>
    <row r="513" spans="1:4" ht="20.25" customHeight="1" x14ac:dyDescent="0.25">
      <c r="A513" s="710">
        <v>34</v>
      </c>
      <c r="B513" s="696" t="s">
        <v>1000</v>
      </c>
      <c r="C513" s="695"/>
      <c r="D513" s="681">
        <f>D514</f>
        <v>220</v>
      </c>
    </row>
    <row r="514" spans="1:4" ht="20.25" customHeight="1" x14ac:dyDescent="0.25">
      <c r="A514" s="710"/>
      <c r="B514" s="696"/>
      <c r="C514" s="696" t="s">
        <v>994</v>
      </c>
      <c r="D514" s="682">
        <v>220</v>
      </c>
    </row>
    <row r="515" spans="1:4" ht="20.25" customHeight="1" x14ac:dyDescent="0.25">
      <c r="A515" s="710">
        <v>35</v>
      </c>
      <c r="B515" s="696" t="s">
        <v>1001</v>
      </c>
      <c r="C515" s="695"/>
      <c r="D515" s="681">
        <f>SUM(D516:D522)</f>
        <v>621.5</v>
      </c>
    </row>
    <row r="516" spans="1:4" ht="20.25" customHeight="1" x14ac:dyDescent="0.25">
      <c r="A516" s="1043"/>
      <c r="B516" s="1044"/>
      <c r="C516" s="684" t="s">
        <v>1002</v>
      </c>
      <c r="D516" s="682">
        <v>61</v>
      </c>
    </row>
    <row r="517" spans="1:4" ht="20.25" customHeight="1" x14ac:dyDescent="0.25">
      <c r="A517" s="1043"/>
      <c r="B517" s="1044"/>
      <c r="C517" s="684" t="s">
        <v>1003</v>
      </c>
      <c r="D517" s="682">
        <v>6</v>
      </c>
    </row>
    <row r="518" spans="1:4" ht="20.25" customHeight="1" x14ac:dyDescent="0.25">
      <c r="A518" s="1043"/>
      <c r="B518" s="1044"/>
      <c r="C518" s="684" t="s">
        <v>1004</v>
      </c>
      <c r="D518" s="682">
        <v>64</v>
      </c>
    </row>
    <row r="519" spans="1:4" ht="31.5" x14ac:dyDescent="0.25">
      <c r="A519" s="1043"/>
      <c r="B519" s="1044"/>
      <c r="C519" s="693" t="s">
        <v>1005</v>
      </c>
      <c r="D519" s="682">
        <v>181</v>
      </c>
    </row>
    <row r="520" spans="1:4" ht="20.25" customHeight="1" x14ac:dyDescent="0.25">
      <c r="A520" s="1043"/>
      <c r="B520" s="1044"/>
      <c r="C520" s="684" t="s">
        <v>1006</v>
      </c>
      <c r="D520" s="682">
        <v>69.5</v>
      </c>
    </row>
    <row r="521" spans="1:4" ht="34.5" customHeight="1" x14ac:dyDescent="0.25">
      <c r="A521" s="1043"/>
      <c r="B521" s="1044"/>
      <c r="C521" s="684" t="s">
        <v>1007</v>
      </c>
      <c r="D521" s="682">
        <f>30+30+30</f>
        <v>90</v>
      </c>
    </row>
    <row r="522" spans="1:4" ht="20.25" customHeight="1" x14ac:dyDescent="0.25">
      <c r="A522" s="1043"/>
      <c r="B522" s="1044"/>
      <c r="C522" s="684" t="s">
        <v>1008</v>
      </c>
      <c r="D522" s="682">
        <v>150</v>
      </c>
    </row>
    <row r="523" spans="1:4" s="675" customFormat="1" ht="20.25" customHeight="1" x14ac:dyDescent="0.25">
      <c r="A523" s="710">
        <v>36</v>
      </c>
      <c r="B523" s="696" t="s">
        <v>1009</v>
      </c>
      <c r="C523" s="695"/>
      <c r="D523" s="681">
        <f>SUM(D524:D527)</f>
        <v>1253</v>
      </c>
    </row>
    <row r="524" spans="1:4" ht="20.25" customHeight="1" x14ac:dyDescent="0.25">
      <c r="A524" s="1043"/>
      <c r="B524" s="1044"/>
      <c r="C524" s="696" t="s">
        <v>994</v>
      </c>
      <c r="D524" s="682">
        <v>220</v>
      </c>
    </row>
    <row r="525" spans="1:4" ht="20.25" customHeight="1" x14ac:dyDescent="0.25">
      <c r="A525" s="1043"/>
      <c r="B525" s="1044"/>
      <c r="C525" s="696" t="s">
        <v>1010</v>
      </c>
      <c r="D525" s="682">
        <v>545</v>
      </c>
    </row>
    <row r="526" spans="1:4" ht="21.75" customHeight="1" x14ac:dyDescent="0.25">
      <c r="A526" s="1043"/>
      <c r="B526" s="1044"/>
      <c r="C526" s="696" t="s">
        <v>1011</v>
      </c>
      <c r="D526" s="682">
        <v>60</v>
      </c>
    </row>
    <row r="527" spans="1:4" ht="31.5" x14ac:dyDescent="0.25">
      <c r="A527" s="1043"/>
      <c r="B527" s="1044"/>
      <c r="C527" s="696" t="s">
        <v>1012</v>
      </c>
      <c r="D527" s="682">
        <v>428</v>
      </c>
    </row>
    <row r="528" spans="1:4" x14ac:dyDescent="0.25">
      <c r="A528" s="710">
        <v>37</v>
      </c>
      <c r="B528" s="696" t="s">
        <v>1013</v>
      </c>
      <c r="C528" s="695"/>
      <c r="D528" s="681">
        <f>SUM(D529:D532)</f>
        <v>533</v>
      </c>
    </row>
    <row r="529" spans="1:4" x14ac:dyDescent="0.25">
      <c r="A529" s="1043"/>
      <c r="B529" s="1044"/>
      <c r="C529" s="696" t="s">
        <v>1014</v>
      </c>
      <c r="D529" s="682">
        <v>120</v>
      </c>
    </row>
    <row r="530" spans="1:4" ht="17.25" customHeight="1" x14ac:dyDescent="0.25">
      <c r="A530" s="1043"/>
      <c r="B530" s="1044"/>
      <c r="C530" s="696" t="s">
        <v>1015</v>
      </c>
      <c r="D530" s="689">
        <v>220</v>
      </c>
    </row>
    <row r="531" spans="1:4" ht="31.5" x14ac:dyDescent="0.25">
      <c r="A531" s="1043"/>
      <c r="B531" s="1044"/>
      <c r="C531" s="693" t="s">
        <v>1016</v>
      </c>
      <c r="D531" s="689">
        <v>160</v>
      </c>
    </row>
    <row r="532" spans="1:4" ht="31.5" x14ac:dyDescent="0.25">
      <c r="A532" s="1043"/>
      <c r="B532" s="1044"/>
      <c r="C532" s="693" t="s">
        <v>1017</v>
      </c>
      <c r="D532" s="689">
        <v>33</v>
      </c>
    </row>
    <row r="533" spans="1:4" x14ac:dyDescent="0.25">
      <c r="A533" s="710">
        <v>38</v>
      </c>
      <c r="B533" s="696" t="s">
        <v>1018</v>
      </c>
      <c r="C533" s="695"/>
      <c r="D533" s="681">
        <v>120</v>
      </c>
    </row>
    <row r="534" spans="1:4" x14ac:dyDescent="0.25">
      <c r="A534" s="710"/>
      <c r="B534" s="696"/>
      <c r="C534" s="696" t="s">
        <v>994</v>
      </c>
      <c r="D534" s="682">
        <v>120</v>
      </c>
    </row>
    <row r="535" spans="1:4" x14ac:dyDescent="0.25">
      <c r="A535" s="710">
        <v>39</v>
      </c>
      <c r="B535" s="696" t="s">
        <v>1019</v>
      </c>
      <c r="C535" s="695"/>
      <c r="D535" s="681">
        <v>180</v>
      </c>
    </row>
    <row r="536" spans="1:4" ht="21" customHeight="1" x14ac:dyDescent="0.25">
      <c r="A536" s="1043"/>
      <c r="B536" s="1044"/>
      <c r="C536" s="696" t="s">
        <v>994</v>
      </c>
      <c r="D536" s="682">
        <v>120</v>
      </c>
    </row>
    <row r="537" spans="1:4" x14ac:dyDescent="0.25">
      <c r="A537" s="1043"/>
      <c r="B537" s="1044"/>
      <c r="C537" s="696" t="s">
        <v>1020</v>
      </c>
      <c r="D537" s="682">
        <v>60</v>
      </c>
    </row>
    <row r="538" spans="1:4" s="675" customFormat="1" x14ac:dyDescent="0.25">
      <c r="A538" s="710">
        <v>40</v>
      </c>
      <c r="B538" s="696" t="s">
        <v>1021</v>
      </c>
      <c r="C538" s="695"/>
      <c r="D538" s="681">
        <f>+D539</f>
        <v>120</v>
      </c>
    </row>
    <row r="539" spans="1:4" x14ac:dyDescent="0.25">
      <c r="A539" s="710"/>
      <c r="B539" s="696"/>
      <c r="C539" s="696" t="s">
        <v>994</v>
      </c>
      <c r="D539" s="682">
        <v>120</v>
      </c>
    </row>
    <row r="540" spans="1:4" s="675" customFormat="1" ht="31.5" x14ac:dyDescent="0.25">
      <c r="A540" s="710">
        <v>41</v>
      </c>
      <c r="B540" s="696" t="s">
        <v>1022</v>
      </c>
      <c r="C540" s="695"/>
      <c r="D540" s="681">
        <f>+D541+D542</f>
        <v>190</v>
      </c>
    </row>
    <row r="541" spans="1:4" ht="23.25" customHeight="1" x14ac:dyDescent="0.25">
      <c r="A541" s="1043"/>
      <c r="B541" s="1044"/>
      <c r="C541" s="696" t="s">
        <v>994</v>
      </c>
      <c r="D541" s="682">
        <v>120</v>
      </c>
    </row>
    <row r="542" spans="1:4" ht="22.5" customHeight="1" x14ac:dyDescent="0.25">
      <c r="A542" s="1043"/>
      <c r="B542" s="1044"/>
      <c r="C542" s="696" t="s">
        <v>1023</v>
      </c>
      <c r="D542" s="682">
        <v>70</v>
      </c>
    </row>
    <row r="543" spans="1:4" s="675" customFormat="1" x14ac:dyDescent="0.25">
      <c r="A543" s="710">
        <v>42</v>
      </c>
      <c r="B543" s="696" t="s">
        <v>1024</v>
      </c>
      <c r="C543" s="695"/>
      <c r="D543" s="681">
        <f>+D544</f>
        <v>120</v>
      </c>
    </row>
    <row r="544" spans="1:4" ht="20.25" customHeight="1" x14ac:dyDescent="0.25">
      <c r="A544" s="710"/>
      <c r="B544" s="696"/>
      <c r="C544" s="696" t="s">
        <v>994</v>
      </c>
      <c r="D544" s="682">
        <v>120</v>
      </c>
    </row>
    <row r="545" spans="1:4" s="675" customFormat="1" x14ac:dyDescent="0.25">
      <c r="A545" s="710">
        <v>43</v>
      </c>
      <c r="B545" s="696" t="s">
        <v>1025</v>
      </c>
      <c r="C545" s="695"/>
      <c r="D545" s="681">
        <f>+D546+D547</f>
        <v>152</v>
      </c>
    </row>
    <row r="546" spans="1:4" ht="24" customHeight="1" x14ac:dyDescent="0.25">
      <c r="A546" s="1043"/>
      <c r="B546" s="1044"/>
      <c r="C546" s="696" t="s">
        <v>994</v>
      </c>
      <c r="D546" s="682">
        <v>120</v>
      </c>
    </row>
    <row r="547" spans="1:4" ht="21.75" customHeight="1" x14ac:dyDescent="0.25">
      <c r="A547" s="1043"/>
      <c r="B547" s="1044"/>
      <c r="C547" s="696" t="s">
        <v>1026</v>
      </c>
      <c r="D547" s="682">
        <v>32</v>
      </c>
    </row>
    <row r="548" spans="1:4" ht="31.5" x14ac:dyDescent="0.25">
      <c r="A548" s="710">
        <v>44</v>
      </c>
      <c r="B548" s="696" t="s">
        <v>1027</v>
      </c>
      <c r="C548" s="695"/>
      <c r="D548" s="681">
        <f>D549+D550</f>
        <v>410</v>
      </c>
    </row>
    <row r="549" spans="1:4" x14ac:dyDescent="0.25">
      <c r="A549" s="1043"/>
      <c r="B549" s="1044"/>
      <c r="C549" s="696" t="s">
        <v>1028</v>
      </c>
      <c r="D549" s="682">
        <v>290</v>
      </c>
    </row>
    <row r="550" spans="1:4" ht="24.75" customHeight="1" x14ac:dyDescent="0.25">
      <c r="A550" s="1043"/>
      <c r="B550" s="1044"/>
      <c r="C550" s="696" t="s">
        <v>994</v>
      </c>
      <c r="D550" s="682">
        <v>120</v>
      </c>
    </row>
    <row r="551" spans="1:4" ht="36" customHeight="1" x14ac:dyDescent="0.25">
      <c r="A551" s="711">
        <v>45</v>
      </c>
      <c r="B551" s="707" t="s">
        <v>1029</v>
      </c>
      <c r="C551" s="720" t="s">
        <v>1030</v>
      </c>
      <c r="D551" s="721">
        <v>5000</v>
      </c>
    </row>
    <row r="552" spans="1:4" ht="38.25" customHeight="1" x14ac:dyDescent="0.25">
      <c r="A552" s="710">
        <v>46</v>
      </c>
      <c r="B552" s="708" t="s">
        <v>1031</v>
      </c>
      <c r="C552" s="696" t="s">
        <v>1032</v>
      </c>
      <c r="D552" s="682">
        <v>183173</v>
      </c>
    </row>
    <row r="553" spans="1:4" ht="31.5" x14ac:dyDescent="0.25">
      <c r="A553" s="711">
        <v>47</v>
      </c>
      <c r="B553" s="708" t="s">
        <v>1033</v>
      </c>
      <c r="C553" s="693" t="s">
        <v>1034</v>
      </c>
      <c r="D553" s="682">
        <v>22</v>
      </c>
    </row>
    <row r="554" spans="1:4" ht="31.5" x14ac:dyDescent="0.25">
      <c r="A554" s="710">
        <v>48</v>
      </c>
      <c r="B554" s="708" t="s">
        <v>1035</v>
      </c>
      <c r="C554" s="693" t="s">
        <v>1034</v>
      </c>
      <c r="D554" s="685">
        <v>9</v>
      </c>
    </row>
    <row r="555" spans="1:4" ht="31.5" x14ac:dyDescent="0.25">
      <c r="A555" s="711">
        <v>49</v>
      </c>
      <c r="B555" s="708" t="s">
        <v>1036</v>
      </c>
      <c r="C555" s="693" t="s">
        <v>1034</v>
      </c>
      <c r="D555" s="685">
        <v>9</v>
      </c>
    </row>
    <row r="556" spans="1:4" ht="31.5" x14ac:dyDescent="0.25">
      <c r="A556" s="710">
        <v>50</v>
      </c>
      <c r="B556" s="708" t="s">
        <v>1037</v>
      </c>
      <c r="C556" s="693" t="s">
        <v>1034</v>
      </c>
      <c r="D556" s="685">
        <v>9</v>
      </c>
    </row>
    <row r="557" spans="1:4" ht="31.5" x14ac:dyDescent="0.25">
      <c r="A557" s="711">
        <v>51</v>
      </c>
      <c r="B557" s="693" t="s">
        <v>1038</v>
      </c>
      <c r="C557" s="693" t="s">
        <v>1034</v>
      </c>
      <c r="D557" s="685">
        <v>39</v>
      </c>
    </row>
    <row r="558" spans="1:4" ht="31.5" x14ac:dyDescent="0.25">
      <c r="A558" s="710">
        <v>52</v>
      </c>
      <c r="B558" s="693" t="s">
        <v>1039</v>
      </c>
      <c r="C558" s="693" t="s">
        <v>1034</v>
      </c>
      <c r="D558" s="685">
        <v>27</v>
      </c>
    </row>
    <row r="559" spans="1:4" ht="39.75" customHeight="1" x14ac:dyDescent="0.25">
      <c r="A559" s="711">
        <v>53</v>
      </c>
      <c r="B559" s="693" t="s">
        <v>1040</v>
      </c>
      <c r="C559" s="693" t="s">
        <v>1034</v>
      </c>
      <c r="D559" s="685">
        <v>19</v>
      </c>
    </row>
    <row r="560" spans="1:4" ht="39" customHeight="1" x14ac:dyDescent="0.25">
      <c r="A560" s="710">
        <v>54</v>
      </c>
      <c r="B560" s="693" t="s">
        <v>1041</v>
      </c>
      <c r="C560" s="693" t="s">
        <v>1034</v>
      </c>
      <c r="D560" s="685">
        <v>63</v>
      </c>
    </row>
    <row r="561" spans="1:4" ht="31.5" x14ac:dyDescent="0.25">
      <c r="A561" s="711">
        <v>55</v>
      </c>
      <c r="B561" s="693" t="s">
        <v>1042</v>
      </c>
      <c r="C561" s="693" t="s">
        <v>1034</v>
      </c>
      <c r="D561" s="685">
        <v>9</v>
      </c>
    </row>
    <row r="562" spans="1:4" ht="31.5" x14ac:dyDescent="0.25">
      <c r="A562" s="710">
        <v>56</v>
      </c>
      <c r="B562" s="693" t="s">
        <v>1043</v>
      </c>
      <c r="C562" s="693" t="s">
        <v>1034</v>
      </c>
      <c r="D562" s="685">
        <v>9</v>
      </c>
    </row>
    <row r="563" spans="1:4" ht="31.5" x14ac:dyDescent="0.25">
      <c r="A563" s="711">
        <v>57</v>
      </c>
      <c r="B563" s="693" t="s">
        <v>1044</v>
      </c>
      <c r="C563" s="693" t="s">
        <v>1034</v>
      </c>
      <c r="D563" s="685">
        <v>58</v>
      </c>
    </row>
    <row r="564" spans="1:4" ht="31.5" x14ac:dyDescent="0.25">
      <c r="A564" s="710">
        <v>58</v>
      </c>
      <c r="B564" s="693" t="s">
        <v>1045</v>
      </c>
      <c r="C564" s="693" t="s">
        <v>1034</v>
      </c>
      <c r="D564" s="685">
        <v>116</v>
      </c>
    </row>
    <row r="565" spans="1:4" ht="31.5" x14ac:dyDescent="0.25">
      <c r="A565" s="711">
        <v>59</v>
      </c>
      <c r="B565" s="693" t="s">
        <v>1046</v>
      </c>
      <c r="C565" s="693" t="s">
        <v>1034</v>
      </c>
      <c r="D565" s="685">
        <v>23</v>
      </c>
    </row>
    <row r="566" spans="1:4" ht="31.5" x14ac:dyDescent="0.25">
      <c r="A566" s="710">
        <v>60</v>
      </c>
      <c r="B566" s="693" t="s">
        <v>1047</v>
      </c>
      <c r="C566" s="693" t="s">
        <v>1034</v>
      </c>
      <c r="D566" s="685">
        <v>9</v>
      </c>
    </row>
    <row r="567" spans="1:4" ht="20.25" customHeight="1" x14ac:dyDescent="0.25">
      <c r="A567" s="711">
        <v>61</v>
      </c>
      <c r="B567" s="708" t="s">
        <v>1048</v>
      </c>
      <c r="C567" s="693" t="s">
        <v>1049</v>
      </c>
      <c r="D567" s="685">
        <v>24</v>
      </c>
    </row>
    <row r="568" spans="1:4" ht="21" customHeight="1" x14ac:dyDescent="0.25">
      <c r="A568" s="710">
        <v>62</v>
      </c>
      <c r="B568" s="708" t="s">
        <v>1050</v>
      </c>
      <c r="C568" s="693" t="s">
        <v>1049</v>
      </c>
      <c r="D568" s="685">
        <v>18</v>
      </c>
    </row>
    <row r="569" spans="1:4" ht="52.5" customHeight="1" x14ac:dyDescent="0.25">
      <c r="A569" s="711">
        <v>63</v>
      </c>
      <c r="B569" s="708" t="s">
        <v>1051</v>
      </c>
      <c r="C569" s="693" t="s">
        <v>1052</v>
      </c>
      <c r="D569" s="685">
        <v>174</v>
      </c>
    </row>
    <row r="570" spans="1:4" ht="23.25" customHeight="1" x14ac:dyDescent="0.25">
      <c r="A570" s="710">
        <v>64</v>
      </c>
      <c r="B570" s="708" t="s">
        <v>1053</v>
      </c>
      <c r="C570" s="693" t="s">
        <v>1049</v>
      </c>
      <c r="D570" s="685">
        <v>18</v>
      </c>
    </row>
    <row r="571" spans="1:4" ht="132" customHeight="1" x14ac:dyDescent="0.25">
      <c r="A571" s="711">
        <v>65</v>
      </c>
      <c r="B571" s="708" t="s">
        <v>1054</v>
      </c>
      <c r="C571" s="693" t="s">
        <v>1055</v>
      </c>
      <c r="D571" s="685">
        <v>449</v>
      </c>
    </row>
    <row r="572" spans="1:4" ht="21" customHeight="1" x14ac:dyDescent="0.25">
      <c r="A572" s="710">
        <v>66</v>
      </c>
      <c r="B572" s="708" t="s">
        <v>1056</v>
      </c>
      <c r="C572" s="693" t="s">
        <v>1049</v>
      </c>
      <c r="D572" s="685">
        <v>18</v>
      </c>
    </row>
    <row r="573" spans="1:4" ht="38.25" customHeight="1" x14ac:dyDescent="0.25">
      <c r="A573" s="711">
        <v>67</v>
      </c>
      <c r="B573" s="708" t="s">
        <v>1057</v>
      </c>
      <c r="C573" s="693" t="s">
        <v>1058</v>
      </c>
      <c r="D573" s="685">
        <v>50</v>
      </c>
    </row>
    <row r="574" spans="1:4" ht="38.25" customHeight="1" x14ac:dyDescent="0.25">
      <c r="A574" s="710">
        <v>68</v>
      </c>
      <c r="B574" s="708" t="s">
        <v>1059</v>
      </c>
      <c r="C574" s="693" t="s">
        <v>1060</v>
      </c>
      <c r="D574" s="685">
        <v>120</v>
      </c>
    </row>
    <row r="575" spans="1:4" ht="20.25" customHeight="1" x14ac:dyDescent="0.25">
      <c r="A575" s="711">
        <v>69</v>
      </c>
      <c r="B575" s="696" t="s">
        <v>229</v>
      </c>
      <c r="C575" s="696"/>
      <c r="D575" s="681">
        <f>SUM(D576:D577)</f>
        <v>8600</v>
      </c>
    </row>
    <row r="576" spans="1:4" x14ac:dyDescent="0.25">
      <c r="A576" s="710"/>
      <c r="B576" s="696"/>
      <c r="C576" s="696" t="s">
        <v>1061</v>
      </c>
      <c r="D576" s="682">
        <v>8000</v>
      </c>
    </row>
    <row r="577" spans="1:4" ht="36.75" customHeight="1" x14ac:dyDescent="0.25">
      <c r="A577" s="710"/>
      <c r="B577" s="696"/>
      <c r="C577" s="696" t="s">
        <v>1062</v>
      </c>
      <c r="D577" s="682">
        <f>215+385</f>
        <v>600</v>
      </c>
    </row>
    <row r="578" spans="1:4" x14ac:dyDescent="0.25">
      <c r="A578" s="710">
        <v>70</v>
      </c>
      <c r="B578" s="679" t="s">
        <v>1063</v>
      </c>
      <c r="C578" s="690"/>
      <c r="D578" s="722">
        <f>SUM(D579:D585)</f>
        <v>42500</v>
      </c>
    </row>
    <row r="579" spans="1:4" ht="31.5" x14ac:dyDescent="0.25">
      <c r="A579" s="710"/>
      <c r="B579" s="679"/>
      <c r="C579" s="679" t="s">
        <v>1064</v>
      </c>
      <c r="D579" s="680">
        <f>9200-100</f>
        <v>9100</v>
      </c>
    </row>
    <row r="580" spans="1:4" x14ac:dyDescent="0.25">
      <c r="A580" s="710"/>
      <c r="B580" s="679"/>
      <c r="C580" s="679" t="s">
        <v>1065</v>
      </c>
      <c r="D580" s="680">
        <v>215</v>
      </c>
    </row>
    <row r="581" spans="1:4" x14ac:dyDescent="0.25">
      <c r="A581" s="710"/>
      <c r="B581" s="679"/>
      <c r="C581" s="679" t="s">
        <v>1066</v>
      </c>
      <c r="D581" s="680">
        <v>255</v>
      </c>
    </row>
    <row r="582" spans="1:4" ht="21" customHeight="1" x14ac:dyDescent="0.25">
      <c r="A582" s="710"/>
      <c r="B582" s="679"/>
      <c r="C582" s="679" t="s">
        <v>1067</v>
      </c>
      <c r="D582" s="680">
        <v>6000</v>
      </c>
    </row>
    <row r="583" spans="1:4" ht="21" customHeight="1" x14ac:dyDescent="0.25">
      <c r="A583" s="710"/>
      <c r="B583" s="679"/>
      <c r="C583" s="679" t="s">
        <v>1068</v>
      </c>
      <c r="D583" s="680">
        <v>9500</v>
      </c>
    </row>
    <row r="584" spans="1:4" ht="21" customHeight="1" x14ac:dyDescent="0.25">
      <c r="A584" s="710"/>
      <c r="B584" s="679"/>
      <c r="C584" s="679" t="s">
        <v>1069</v>
      </c>
      <c r="D584" s="680">
        <v>430</v>
      </c>
    </row>
    <row r="585" spans="1:4" ht="21" customHeight="1" x14ac:dyDescent="0.25">
      <c r="A585" s="712"/>
      <c r="B585" s="723"/>
      <c r="C585" s="723" t="s">
        <v>1070</v>
      </c>
      <c r="D585" s="724">
        <v>17000</v>
      </c>
    </row>
  </sheetData>
  <mergeCells count="93">
    <mergeCell ref="B14:B41"/>
    <mergeCell ref="A14:A41"/>
    <mergeCell ref="B43:B59"/>
    <mergeCell ref="A43:A59"/>
    <mergeCell ref="B112:B123"/>
    <mergeCell ref="A112:A123"/>
    <mergeCell ref="A61:A67"/>
    <mergeCell ref="B61:B67"/>
    <mergeCell ref="A69:A86"/>
    <mergeCell ref="B69:B86"/>
    <mergeCell ref="A88:A98"/>
    <mergeCell ref="B88:B98"/>
    <mergeCell ref="A100:A110"/>
    <mergeCell ref="B100:B110"/>
    <mergeCell ref="A1:D1"/>
    <mergeCell ref="A2:D2"/>
    <mergeCell ref="C4:D4"/>
    <mergeCell ref="A7:A12"/>
    <mergeCell ref="B7:B12"/>
    <mergeCell ref="A149:A163"/>
    <mergeCell ref="B149:B163"/>
    <mergeCell ref="B125:B131"/>
    <mergeCell ref="A125:A131"/>
    <mergeCell ref="B133:B147"/>
    <mergeCell ref="A133:A147"/>
    <mergeCell ref="B165:B173"/>
    <mergeCell ref="A165:A173"/>
    <mergeCell ref="A182:A200"/>
    <mergeCell ref="B182:B200"/>
    <mergeCell ref="B202:B209"/>
    <mergeCell ref="A202:A209"/>
    <mergeCell ref="B211:B240"/>
    <mergeCell ref="A211:A240"/>
    <mergeCell ref="B242:B249"/>
    <mergeCell ref="A242:A249"/>
    <mergeCell ref="B251:B277"/>
    <mergeCell ref="A251:A277"/>
    <mergeCell ref="A368:A388"/>
    <mergeCell ref="B368:B388"/>
    <mergeCell ref="B286:B316"/>
    <mergeCell ref="A286:A316"/>
    <mergeCell ref="B318:B326"/>
    <mergeCell ref="A318:A326"/>
    <mergeCell ref="B328:B354"/>
    <mergeCell ref="A328:A354"/>
    <mergeCell ref="B356:B366"/>
    <mergeCell ref="A356:A366"/>
    <mergeCell ref="A399:A403"/>
    <mergeCell ref="B399:B403"/>
    <mergeCell ref="A405:A409"/>
    <mergeCell ref="B405:B409"/>
    <mergeCell ref="B390:B391"/>
    <mergeCell ref="A390:A391"/>
    <mergeCell ref="A393:A397"/>
    <mergeCell ref="B393:B397"/>
    <mergeCell ref="A411:A414"/>
    <mergeCell ref="B411:B414"/>
    <mergeCell ref="A416:A421"/>
    <mergeCell ref="B416:B421"/>
    <mergeCell ref="A423:A427"/>
    <mergeCell ref="B423:B427"/>
    <mergeCell ref="A429:A430"/>
    <mergeCell ref="B429:B430"/>
    <mergeCell ref="A434:A444"/>
    <mergeCell ref="B434:B444"/>
    <mergeCell ref="A446:A451"/>
    <mergeCell ref="B446:B451"/>
    <mergeCell ref="A453:A463"/>
    <mergeCell ref="B453:B463"/>
    <mergeCell ref="A474:A491"/>
    <mergeCell ref="B474:B491"/>
    <mergeCell ref="B469:B472"/>
    <mergeCell ref="A469:A472"/>
    <mergeCell ref="A493:A500"/>
    <mergeCell ref="B493:B500"/>
    <mergeCell ref="A502:A505"/>
    <mergeCell ref="B502:B505"/>
    <mergeCell ref="A507:A512"/>
    <mergeCell ref="B507:B512"/>
    <mergeCell ref="A549:A550"/>
    <mergeCell ref="B549:B550"/>
    <mergeCell ref="A536:A537"/>
    <mergeCell ref="B536:B537"/>
    <mergeCell ref="A541:A542"/>
    <mergeCell ref="B541:B542"/>
    <mergeCell ref="A546:A547"/>
    <mergeCell ref="B546:B547"/>
    <mergeCell ref="A516:A522"/>
    <mergeCell ref="B516:B522"/>
    <mergeCell ref="A524:A527"/>
    <mergeCell ref="B524:B527"/>
    <mergeCell ref="A529:A532"/>
    <mergeCell ref="B529:B532"/>
  </mergeCells>
  <pageMargins left="0.74803149606299213" right="0.39370078740157483" top="0.78740157480314965" bottom="0.78740157480314965" header="0.31496062992125984" footer="0.31496062992125984"/>
  <pageSetup paperSize="9" scale="72" firstPageNumber="41" orientation="portrait" useFirstPageNumber="1" r:id="rId1"/>
  <headerFooter>
    <oddHeader>&amp;RPhụ biểu số 02</oddHead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6"/>
  <sheetViews>
    <sheetView topLeftCell="A4" zoomScale="85" zoomScaleNormal="85" zoomScalePageLayoutView="53" workbookViewId="0">
      <pane xSplit="2" ySplit="1" topLeftCell="C5" activePane="bottomRight" state="frozen"/>
      <selection activeCell="A4" sqref="A4"/>
      <selection pane="topRight" activeCell="C4" sqref="C4"/>
      <selection pane="bottomLeft" activeCell="A5" sqref="A5"/>
      <selection pane="bottomRight" activeCell="P7" sqref="P7"/>
    </sheetView>
  </sheetViews>
  <sheetFormatPr defaultColWidth="7.75" defaultRowHeight="15.75" x14ac:dyDescent="0.25"/>
  <cols>
    <col min="1" max="1" width="6.75" style="79" customWidth="1"/>
    <col min="2" max="2" width="39.875" style="78" customWidth="1"/>
    <col min="3" max="3" width="11.5" style="79" customWidth="1"/>
    <col min="4" max="14" width="11.125" style="79" customWidth="1"/>
    <col min="15" max="16" width="12.75" style="78" bestFit="1" customWidth="1"/>
    <col min="17" max="20" width="10.75" style="78" customWidth="1"/>
    <col min="21" max="16384" width="7.75" style="78"/>
  </cols>
  <sheetData>
    <row r="1" spans="1:14" ht="30" customHeight="1" x14ac:dyDescent="0.25">
      <c r="A1" s="80"/>
      <c r="B1" s="81"/>
      <c r="C1" s="80"/>
      <c r="D1" s="80"/>
      <c r="E1" s="80"/>
      <c r="F1" s="80"/>
      <c r="G1" s="80"/>
      <c r="H1" s="80"/>
      <c r="I1" s="80"/>
      <c r="J1" s="80"/>
      <c r="K1" s="80"/>
      <c r="L1" s="1239" t="s">
        <v>203</v>
      </c>
      <c r="M1" s="1239"/>
      <c r="N1" s="1239"/>
    </row>
    <row r="2" spans="1:14" ht="58.5" customHeight="1" x14ac:dyDescent="0.25">
      <c r="A2" s="1237" t="s">
        <v>134</v>
      </c>
      <c r="B2" s="1237"/>
      <c r="C2" s="1237"/>
      <c r="D2" s="1237"/>
      <c r="E2" s="1237"/>
      <c r="F2" s="1237"/>
      <c r="G2" s="1237"/>
      <c r="H2" s="1237"/>
      <c r="I2" s="1237"/>
      <c r="J2" s="1237"/>
      <c r="K2" s="1237"/>
      <c r="L2" s="1237"/>
      <c r="M2" s="1237"/>
      <c r="N2" s="1237"/>
    </row>
    <row r="3" spans="1:14" ht="36" customHeight="1" x14ac:dyDescent="0.25">
      <c r="A3" s="1238" t="str">
        <f>'B15-TDA1,DA10'!A3:N3</f>
        <v>(Kèm theo Tờ trình số:          /TTr-UBND ngày          tháng 11 năm 2022 của UBND tỉnh)</v>
      </c>
      <c r="B3" s="1238"/>
      <c r="C3" s="1238"/>
      <c r="D3" s="1238"/>
      <c r="E3" s="1238"/>
      <c r="F3" s="1238"/>
      <c r="G3" s="1238"/>
      <c r="H3" s="1238"/>
      <c r="I3" s="1238"/>
      <c r="J3" s="1238"/>
      <c r="K3" s="1238"/>
      <c r="L3" s="1238"/>
      <c r="M3" s="1238"/>
      <c r="N3" s="1238"/>
    </row>
    <row r="4" spans="1:14" s="72" customFormat="1" ht="58.5" customHeight="1" x14ac:dyDescent="0.25">
      <c r="A4" s="82" t="s">
        <v>1</v>
      </c>
      <c r="B4" s="82" t="s">
        <v>35</v>
      </c>
      <c r="C4" s="82" t="s">
        <v>36</v>
      </c>
      <c r="D4" s="82" t="s">
        <v>37</v>
      </c>
      <c r="E4" s="82" t="s">
        <v>135</v>
      </c>
      <c r="F4" s="82" t="s">
        <v>204</v>
      </c>
      <c r="G4" s="82" t="s">
        <v>38</v>
      </c>
      <c r="H4" s="82" t="s">
        <v>39</v>
      </c>
      <c r="I4" s="82" t="s">
        <v>40</v>
      </c>
      <c r="J4" s="82" t="s">
        <v>41</v>
      </c>
      <c r="K4" s="82" t="s">
        <v>42</v>
      </c>
      <c r="L4" s="82" t="s">
        <v>43</v>
      </c>
      <c r="M4" s="82" t="s">
        <v>44</v>
      </c>
      <c r="N4" s="82" t="s">
        <v>45</v>
      </c>
    </row>
    <row r="5" spans="1:14" s="76" customFormat="1" ht="27.75" customHeight="1" x14ac:dyDescent="0.25">
      <c r="A5" s="290" t="s">
        <v>46</v>
      </c>
      <c r="B5" s="291" t="s">
        <v>47</v>
      </c>
      <c r="C5" s="290"/>
      <c r="D5" s="290"/>
      <c r="E5" s="290"/>
      <c r="F5" s="290"/>
      <c r="G5" s="290"/>
      <c r="H5" s="290"/>
      <c r="I5" s="290"/>
      <c r="J5" s="290"/>
      <c r="K5" s="290"/>
      <c r="L5" s="290"/>
      <c r="M5" s="290"/>
      <c r="N5" s="290"/>
    </row>
    <row r="6" spans="1:14" ht="40.5" customHeight="1" x14ac:dyDescent="0.25">
      <c r="A6" s="292">
        <v>1</v>
      </c>
      <c r="B6" s="293" t="s">
        <v>133</v>
      </c>
      <c r="C6" s="292" t="s">
        <v>70</v>
      </c>
      <c r="D6" s="293">
        <f>SUM(G6:N6)</f>
        <v>66</v>
      </c>
      <c r="E6" s="293"/>
      <c r="F6" s="293"/>
      <c r="G6" s="293">
        <v>8</v>
      </c>
      <c r="H6" s="293">
        <v>8</v>
      </c>
      <c r="I6" s="293">
        <v>9</v>
      </c>
      <c r="J6" s="293">
        <v>8</v>
      </c>
      <c r="K6" s="293">
        <v>13</v>
      </c>
      <c r="L6" s="293">
        <v>10</v>
      </c>
      <c r="M6" s="293">
        <v>10</v>
      </c>
      <c r="N6" s="293">
        <v>0</v>
      </c>
    </row>
    <row r="7" spans="1:14" ht="57.75" customHeight="1" x14ac:dyDescent="0.25">
      <c r="A7" s="292">
        <v>2</v>
      </c>
      <c r="B7" s="293" t="s">
        <v>136</v>
      </c>
      <c r="C7" s="292" t="s">
        <v>73</v>
      </c>
      <c r="D7" s="293">
        <f>SUM(G7:N7)</f>
        <v>61</v>
      </c>
      <c r="E7" s="293"/>
      <c r="F7" s="293"/>
      <c r="G7" s="293">
        <v>9</v>
      </c>
      <c r="H7" s="293">
        <v>15</v>
      </c>
      <c r="I7" s="293">
        <v>1</v>
      </c>
      <c r="J7" s="293">
        <v>10</v>
      </c>
      <c r="K7" s="293">
        <v>11</v>
      </c>
      <c r="L7" s="293">
        <v>0</v>
      </c>
      <c r="M7" s="293">
        <v>14</v>
      </c>
      <c r="N7" s="293">
        <v>1</v>
      </c>
    </row>
    <row r="8" spans="1:14" s="76" customFormat="1" ht="27.75" customHeight="1" x14ac:dyDescent="0.25">
      <c r="A8" s="294" t="s">
        <v>31</v>
      </c>
      <c r="B8" s="295" t="s">
        <v>79</v>
      </c>
      <c r="C8" s="294"/>
      <c r="D8" s="295">
        <f>SUM(D9:D10)</f>
        <v>2010.5</v>
      </c>
      <c r="E8" s="295"/>
      <c r="F8" s="295"/>
      <c r="G8" s="295">
        <f t="shared" ref="G8:N8" si="0">SUM(G9:G10)</f>
        <v>244.5</v>
      </c>
      <c r="H8" s="295">
        <f t="shared" si="0"/>
        <v>247.5</v>
      </c>
      <c r="I8" s="295">
        <f t="shared" si="0"/>
        <v>270.5</v>
      </c>
      <c r="J8" s="295">
        <f t="shared" si="0"/>
        <v>245</v>
      </c>
      <c r="K8" s="295">
        <f t="shared" si="0"/>
        <v>395.5</v>
      </c>
      <c r="L8" s="295">
        <f t="shared" si="0"/>
        <v>300</v>
      </c>
      <c r="M8" s="295">
        <f t="shared" si="0"/>
        <v>307</v>
      </c>
      <c r="N8" s="295">
        <f t="shared" si="0"/>
        <v>0.5</v>
      </c>
    </row>
    <row r="9" spans="1:14" ht="39.75" customHeight="1" x14ac:dyDescent="0.25">
      <c r="A9" s="292">
        <v>1</v>
      </c>
      <c r="B9" s="293" t="s">
        <v>133</v>
      </c>
      <c r="C9" s="292">
        <v>30</v>
      </c>
      <c r="D9" s="293">
        <f>SUM(G9:N9)</f>
        <v>1980</v>
      </c>
      <c r="E9" s="293"/>
      <c r="F9" s="293"/>
      <c r="G9" s="293">
        <f>$C9*G6</f>
        <v>240</v>
      </c>
      <c r="H9" s="293">
        <f t="shared" ref="H9:N9" si="1">$C9*H6</f>
        <v>240</v>
      </c>
      <c r="I9" s="293">
        <f t="shared" si="1"/>
        <v>270</v>
      </c>
      <c r="J9" s="293">
        <f t="shared" si="1"/>
        <v>240</v>
      </c>
      <c r="K9" s="293">
        <f t="shared" si="1"/>
        <v>390</v>
      </c>
      <c r="L9" s="293">
        <f t="shared" si="1"/>
        <v>300</v>
      </c>
      <c r="M9" s="293">
        <f t="shared" si="1"/>
        <v>300</v>
      </c>
      <c r="N9" s="293">
        <f t="shared" si="1"/>
        <v>0</v>
      </c>
    </row>
    <row r="10" spans="1:14" ht="57.75" customHeight="1" x14ac:dyDescent="0.25">
      <c r="A10" s="292">
        <v>2</v>
      </c>
      <c r="B10" s="293" t="s">
        <v>136</v>
      </c>
      <c r="C10" s="296">
        <v>0.5</v>
      </c>
      <c r="D10" s="293">
        <f>SUM(G10:N10)</f>
        <v>30.5</v>
      </c>
      <c r="E10" s="293"/>
      <c r="F10" s="293"/>
      <c r="G10" s="293">
        <f>$C10*G7</f>
        <v>4.5</v>
      </c>
      <c r="H10" s="293">
        <f t="shared" ref="H10:N10" si="2">$C10*H7</f>
        <v>7.5</v>
      </c>
      <c r="I10" s="293">
        <f t="shared" si="2"/>
        <v>0.5</v>
      </c>
      <c r="J10" s="293">
        <f>$C10*J7</f>
        <v>5</v>
      </c>
      <c r="K10" s="293">
        <f t="shared" si="2"/>
        <v>5.5</v>
      </c>
      <c r="L10" s="293">
        <f t="shared" si="2"/>
        <v>0</v>
      </c>
      <c r="M10" s="293">
        <f t="shared" si="2"/>
        <v>7</v>
      </c>
      <c r="N10" s="293">
        <f t="shared" si="2"/>
        <v>0.5</v>
      </c>
    </row>
    <row r="11" spans="1:14" s="76" customFormat="1" ht="41.25" customHeight="1" x14ac:dyDescent="0.25">
      <c r="A11" s="297" t="s">
        <v>54</v>
      </c>
      <c r="B11" s="255" t="s">
        <v>183</v>
      </c>
      <c r="C11" s="297"/>
      <c r="D11" s="255">
        <v>2120</v>
      </c>
      <c r="E11" s="255">
        <f>E12</f>
        <v>360</v>
      </c>
      <c r="F11" s="255">
        <f t="shared" ref="F11:N11" si="3">F12</f>
        <v>1060</v>
      </c>
      <c r="G11" s="255">
        <f t="shared" si="3"/>
        <v>85</v>
      </c>
      <c r="H11" s="255">
        <f t="shared" si="3"/>
        <v>86</v>
      </c>
      <c r="I11" s="255">
        <f t="shared" si="3"/>
        <v>94</v>
      </c>
      <c r="J11" s="255">
        <f t="shared" si="3"/>
        <v>85</v>
      </c>
      <c r="K11" s="255">
        <f t="shared" si="3"/>
        <v>138</v>
      </c>
      <c r="L11" s="255">
        <f t="shared" si="3"/>
        <v>105</v>
      </c>
      <c r="M11" s="255">
        <f t="shared" si="3"/>
        <v>107</v>
      </c>
      <c r="N11" s="255">
        <f t="shared" si="3"/>
        <v>0</v>
      </c>
    </row>
    <row r="12" spans="1:14" s="75" customFormat="1" ht="27.75" customHeight="1" x14ac:dyDescent="0.25">
      <c r="A12" s="298">
        <v>1</v>
      </c>
      <c r="B12" s="157" t="s">
        <v>201</v>
      </c>
      <c r="C12" s="292" t="s">
        <v>55</v>
      </c>
      <c r="D12" s="157">
        <f>SUM(E12:N12)</f>
        <v>2120</v>
      </c>
      <c r="E12" s="157">
        <f>ROUND($D$11*17%,0)</f>
        <v>360</v>
      </c>
      <c r="F12" s="157">
        <f>ROUND($D$11*50%,0)</f>
        <v>1060</v>
      </c>
      <c r="G12" s="157">
        <f>ROUND(($D$11-$E$12-$F$12)/$D$8*G8,0)</f>
        <v>85</v>
      </c>
      <c r="H12" s="157">
        <f t="shared" ref="H12:N12" si="4">ROUND(($D$11-$E$12-$F$12)/$D$8*H8,0)</f>
        <v>86</v>
      </c>
      <c r="I12" s="157">
        <f t="shared" si="4"/>
        <v>94</v>
      </c>
      <c r="J12" s="157">
        <f t="shared" si="4"/>
        <v>85</v>
      </c>
      <c r="K12" s="157">
        <f>ROUND(($D$11-$E$12-$F$12)/$D$8*K8,0)</f>
        <v>138</v>
      </c>
      <c r="L12" s="157">
        <f>ROUND(($D$11-$E$12-$F$12)/$D$8*L8+0.8,0)</f>
        <v>105</v>
      </c>
      <c r="M12" s="157">
        <f t="shared" si="4"/>
        <v>107</v>
      </c>
      <c r="N12" s="157">
        <f t="shared" si="4"/>
        <v>0</v>
      </c>
    </row>
    <row r="13" spans="1:14" s="76" customFormat="1" ht="41.25" customHeight="1" x14ac:dyDescent="0.25">
      <c r="A13" s="297" t="s">
        <v>56</v>
      </c>
      <c r="B13" s="255" t="s">
        <v>180</v>
      </c>
      <c r="C13" s="297"/>
      <c r="D13" s="299">
        <f>D14</f>
        <v>0</v>
      </c>
      <c r="E13" s="299">
        <f t="shared" ref="E13:N13" si="5">E14</f>
        <v>0</v>
      </c>
      <c r="F13" s="299">
        <f t="shared" si="5"/>
        <v>0</v>
      </c>
      <c r="G13" s="299">
        <f t="shared" si="5"/>
        <v>0</v>
      </c>
      <c r="H13" s="299">
        <f t="shared" si="5"/>
        <v>0</v>
      </c>
      <c r="I13" s="299">
        <f t="shared" si="5"/>
        <v>0</v>
      </c>
      <c r="J13" s="299">
        <f t="shared" si="5"/>
        <v>0</v>
      </c>
      <c r="K13" s="299">
        <f t="shared" si="5"/>
        <v>0</v>
      </c>
      <c r="L13" s="299">
        <f t="shared" si="5"/>
        <v>0</v>
      </c>
      <c r="M13" s="299">
        <f t="shared" si="5"/>
        <v>0</v>
      </c>
      <c r="N13" s="299">
        <f t="shared" si="5"/>
        <v>0</v>
      </c>
    </row>
    <row r="14" spans="1:14" s="75" customFormat="1" ht="27.75" customHeight="1" x14ac:dyDescent="0.25">
      <c r="A14" s="298">
        <v>1</v>
      </c>
      <c r="B14" s="157" t="s">
        <v>201</v>
      </c>
      <c r="C14" s="292" t="s">
        <v>55</v>
      </c>
      <c r="D14" s="190">
        <f>SUM(E14:N14)</f>
        <v>0</v>
      </c>
      <c r="E14" s="190">
        <v>0</v>
      </c>
      <c r="F14" s="190">
        <v>0</v>
      </c>
      <c r="G14" s="190">
        <v>0</v>
      </c>
      <c r="H14" s="190">
        <v>0</v>
      </c>
      <c r="I14" s="190">
        <v>0</v>
      </c>
      <c r="J14" s="190">
        <v>0</v>
      </c>
      <c r="K14" s="190">
        <v>0</v>
      </c>
      <c r="L14" s="190">
        <v>0</v>
      </c>
      <c r="M14" s="190">
        <v>0</v>
      </c>
      <c r="N14" s="190">
        <v>0</v>
      </c>
    </row>
    <row r="15" spans="1:14" s="76" customFormat="1" ht="27.75" customHeight="1" x14ac:dyDescent="0.25">
      <c r="A15" s="297" t="s">
        <v>57</v>
      </c>
      <c r="B15" s="255" t="s">
        <v>150</v>
      </c>
      <c r="C15" s="297"/>
      <c r="D15" s="255">
        <f>D16</f>
        <v>2120</v>
      </c>
      <c r="E15" s="255">
        <f t="shared" ref="E15:N15" si="6">E16</f>
        <v>360</v>
      </c>
      <c r="F15" s="255">
        <f t="shared" si="6"/>
        <v>1060</v>
      </c>
      <c r="G15" s="255">
        <f t="shared" si="6"/>
        <v>85</v>
      </c>
      <c r="H15" s="255">
        <f t="shared" si="6"/>
        <v>86</v>
      </c>
      <c r="I15" s="255">
        <f t="shared" si="6"/>
        <v>94</v>
      </c>
      <c r="J15" s="255">
        <f t="shared" si="6"/>
        <v>85</v>
      </c>
      <c r="K15" s="255">
        <f t="shared" si="6"/>
        <v>138</v>
      </c>
      <c r="L15" s="255">
        <f t="shared" si="6"/>
        <v>105</v>
      </c>
      <c r="M15" s="255">
        <f t="shared" si="6"/>
        <v>107</v>
      </c>
      <c r="N15" s="255">
        <f t="shared" si="6"/>
        <v>0</v>
      </c>
    </row>
    <row r="16" spans="1:14" s="75" customFormat="1" ht="27.75" customHeight="1" x14ac:dyDescent="0.25">
      <c r="A16" s="300">
        <v>1</v>
      </c>
      <c r="B16" s="260" t="s">
        <v>201</v>
      </c>
      <c r="C16" s="301" t="s">
        <v>55</v>
      </c>
      <c r="D16" s="260">
        <f>SUM(E16:N16)</f>
        <v>2120</v>
      </c>
      <c r="E16" s="260">
        <f>E12+E14</f>
        <v>360</v>
      </c>
      <c r="F16" s="260">
        <f t="shared" ref="F16:N16" si="7">F12+F14</f>
        <v>1060</v>
      </c>
      <c r="G16" s="260">
        <f t="shared" si="7"/>
        <v>85</v>
      </c>
      <c r="H16" s="260">
        <f t="shared" si="7"/>
        <v>86</v>
      </c>
      <c r="I16" s="260">
        <f t="shared" si="7"/>
        <v>94</v>
      </c>
      <c r="J16" s="260">
        <f t="shared" si="7"/>
        <v>85</v>
      </c>
      <c r="K16" s="260">
        <f t="shared" si="7"/>
        <v>138</v>
      </c>
      <c r="L16" s="260">
        <f t="shared" si="7"/>
        <v>105</v>
      </c>
      <c r="M16" s="260">
        <f t="shared" si="7"/>
        <v>107</v>
      </c>
      <c r="N16" s="260">
        <f t="shared" si="7"/>
        <v>0</v>
      </c>
    </row>
  </sheetData>
  <mergeCells count="3">
    <mergeCell ref="A2:N2"/>
    <mergeCell ref="A3:N3"/>
    <mergeCell ref="L1:N1"/>
  </mergeCells>
  <pageMargins left="0.7" right="0.44" top="0.75" bottom="0.75" header="0.3" footer="0.3"/>
  <pageSetup paperSize="9" scale="65"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6"/>
  <sheetViews>
    <sheetView zoomScaleNormal="100" workbookViewId="0">
      <selection activeCell="J77" sqref="J77"/>
    </sheetView>
  </sheetViews>
  <sheetFormatPr defaultColWidth="8.875" defaultRowHeight="18.75" x14ac:dyDescent="0.25"/>
  <cols>
    <col min="1" max="1" width="6.75" style="334" customWidth="1"/>
    <col min="2" max="2" width="36.25" style="302" customWidth="1"/>
    <col min="3" max="3" width="10.75" style="302" customWidth="1"/>
    <col min="4" max="4" width="8.25" style="302" customWidth="1"/>
    <col min="5" max="5" width="8.375" style="302" customWidth="1"/>
    <col min="6" max="20" width="7.875" style="302" customWidth="1"/>
    <col min="21" max="16384" width="8.875" style="302"/>
  </cols>
  <sheetData>
    <row r="1" spans="1:24" x14ac:dyDescent="0.25">
      <c r="Q1" s="1254" t="s">
        <v>243</v>
      </c>
      <c r="R1" s="1254"/>
      <c r="S1" s="1254"/>
      <c r="T1" s="1254"/>
    </row>
    <row r="2" spans="1:24" ht="47.25" customHeight="1" x14ac:dyDescent="0.25">
      <c r="A2" s="1032" t="s">
        <v>137</v>
      </c>
      <c r="B2" s="1032"/>
      <c r="C2" s="1032"/>
      <c r="D2" s="1032"/>
      <c r="E2" s="1032"/>
      <c r="F2" s="1032"/>
      <c r="G2" s="1032"/>
      <c r="H2" s="1032"/>
      <c r="I2" s="1032"/>
      <c r="J2" s="1032"/>
      <c r="K2" s="1032"/>
      <c r="L2" s="1032"/>
      <c r="M2" s="1032"/>
      <c r="N2" s="1032"/>
      <c r="O2" s="1032"/>
      <c r="P2" s="1032"/>
      <c r="Q2" s="1032"/>
      <c r="R2" s="1032"/>
      <c r="S2" s="1032"/>
      <c r="T2" s="1032"/>
    </row>
    <row r="3" spans="1:24" x14ac:dyDescent="0.25">
      <c r="A3" s="1033" t="str">
        <f>'B15-TDA1,DA10'!A3:N3</f>
        <v>(Kèm theo Tờ trình số:          /TTr-UBND ngày          tháng 11 năm 2022 của UBND tỉnh)</v>
      </c>
      <c r="B3" s="1034"/>
      <c r="C3" s="1034"/>
      <c r="D3" s="1034"/>
      <c r="E3" s="1034"/>
      <c r="F3" s="1034"/>
      <c r="G3" s="1034"/>
      <c r="H3" s="1034"/>
      <c r="I3" s="1034"/>
      <c r="J3" s="1034"/>
      <c r="K3" s="1034"/>
      <c r="L3" s="1034"/>
      <c r="M3" s="1034"/>
      <c r="N3" s="1034"/>
      <c r="O3" s="1034"/>
      <c r="P3" s="1034"/>
      <c r="Q3" s="1034"/>
      <c r="R3" s="1034"/>
      <c r="S3" s="1034"/>
      <c r="T3" s="1034"/>
    </row>
    <row r="4" spans="1:24" x14ac:dyDescent="0.25">
      <c r="A4" s="303"/>
      <c r="B4" s="303"/>
      <c r="C4" s="303"/>
      <c r="D4" s="303"/>
      <c r="E4" s="303"/>
      <c r="F4" s="303"/>
      <c r="G4" s="303"/>
      <c r="H4" s="303"/>
      <c r="I4" s="303"/>
      <c r="J4" s="303"/>
      <c r="K4" s="303"/>
      <c r="L4" s="303"/>
      <c r="M4" s="303"/>
      <c r="N4" s="303"/>
      <c r="O4" s="303"/>
      <c r="P4" s="303"/>
      <c r="Q4" s="303"/>
      <c r="R4" s="303"/>
      <c r="S4" s="303"/>
      <c r="T4" s="303"/>
    </row>
    <row r="5" spans="1:24" x14ac:dyDescent="0.25">
      <c r="A5" s="1243" t="s">
        <v>244</v>
      </c>
      <c r="B5" s="1243"/>
      <c r="C5" s="1243"/>
      <c r="D5" s="1243"/>
      <c r="E5" s="1243"/>
      <c r="F5" s="1243"/>
      <c r="G5" s="1243"/>
      <c r="H5" s="1243"/>
      <c r="I5" s="1243"/>
      <c r="J5" s="1243"/>
      <c r="K5" s="1243"/>
      <c r="L5" s="1243"/>
      <c r="M5" s="1243"/>
      <c r="N5" s="1243"/>
      <c r="O5" s="1243"/>
      <c r="P5" s="1243"/>
      <c r="Q5" s="1243"/>
      <c r="R5" s="1243"/>
      <c r="S5" s="1243"/>
      <c r="T5" s="1243"/>
    </row>
    <row r="6" spans="1:24" s="304" customFormat="1" ht="22.5" customHeight="1" x14ac:dyDescent="0.25">
      <c r="A6" s="1142" t="s">
        <v>1</v>
      </c>
      <c r="B6" s="1142" t="s">
        <v>35</v>
      </c>
      <c r="C6" s="1245" t="s">
        <v>205</v>
      </c>
      <c r="D6" s="1247" t="s">
        <v>206</v>
      </c>
      <c r="E6" s="1247"/>
      <c r="F6" s="1247"/>
      <c r="G6" s="1247"/>
      <c r="H6" s="1247"/>
      <c r="I6" s="1247"/>
      <c r="J6" s="1247"/>
      <c r="K6" s="1248"/>
      <c r="L6" s="1249" t="s">
        <v>207</v>
      </c>
      <c r="M6" s="1250"/>
      <c r="N6" s="1250"/>
      <c r="O6" s="1250"/>
      <c r="P6" s="1250"/>
      <c r="Q6" s="1250"/>
      <c r="R6" s="1250"/>
      <c r="S6" s="1250"/>
      <c r="T6" s="1251"/>
    </row>
    <row r="7" spans="1:24" s="306" customFormat="1" ht="69.75" customHeight="1" x14ac:dyDescent="0.25">
      <c r="A7" s="1244"/>
      <c r="B7" s="1244"/>
      <c r="C7" s="1246"/>
      <c r="D7" s="305" t="s">
        <v>208</v>
      </c>
      <c r="E7" s="305" t="s">
        <v>209</v>
      </c>
      <c r="F7" s="305" t="s">
        <v>210</v>
      </c>
      <c r="G7" s="305" t="s">
        <v>211</v>
      </c>
      <c r="H7" s="305" t="s">
        <v>212</v>
      </c>
      <c r="I7" s="305" t="s">
        <v>213</v>
      </c>
      <c r="J7" s="305" t="s">
        <v>214</v>
      </c>
      <c r="K7" s="305" t="s">
        <v>215</v>
      </c>
      <c r="L7" s="305" t="s">
        <v>216</v>
      </c>
      <c r="M7" s="305" t="s">
        <v>208</v>
      </c>
      <c r="N7" s="305" t="s">
        <v>209</v>
      </c>
      <c r="O7" s="305" t="s">
        <v>210</v>
      </c>
      <c r="P7" s="305" t="s">
        <v>211</v>
      </c>
      <c r="Q7" s="305" t="s">
        <v>212</v>
      </c>
      <c r="R7" s="305" t="s">
        <v>213</v>
      </c>
      <c r="S7" s="305" t="s">
        <v>214</v>
      </c>
      <c r="T7" s="305" t="s">
        <v>215</v>
      </c>
    </row>
    <row r="8" spans="1:24" s="304" customFormat="1" ht="22.5" customHeight="1" x14ac:dyDescent="0.25">
      <c r="A8" s="308" t="s">
        <v>46</v>
      </c>
      <c r="B8" s="1240" t="s">
        <v>30</v>
      </c>
      <c r="C8" s="1240"/>
      <c r="D8" s="1240"/>
      <c r="E8" s="1240"/>
      <c r="F8" s="1240"/>
      <c r="G8" s="1240"/>
      <c r="H8" s="1240"/>
      <c r="I8" s="1240"/>
      <c r="J8" s="1240"/>
      <c r="K8" s="1240"/>
      <c r="L8" s="1240"/>
      <c r="M8" s="1240"/>
      <c r="N8" s="1240"/>
      <c r="O8" s="1240"/>
      <c r="P8" s="1240"/>
      <c r="Q8" s="1240"/>
      <c r="R8" s="1240"/>
      <c r="S8" s="1240"/>
      <c r="T8" s="1240"/>
    </row>
    <row r="9" spans="1:24" s="304" customFormat="1" ht="22.5" customHeight="1" x14ac:dyDescent="0.25">
      <c r="A9" s="308"/>
      <c r="B9" s="309" t="s">
        <v>47</v>
      </c>
      <c r="C9" s="310"/>
      <c r="D9" s="310"/>
      <c r="E9" s="310"/>
      <c r="F9" s="310"/>
      <c r="G9" s="310"/>
      <c r="H9" s="310"/>
      <c r="I9" s="310"/>
      <c r="J9" s="310"/>
      <c r="K9" s="310"/>
      <c r="L9" s="310">
        <f>SUM(M9:T9)</f>
        <v>376</v>
      </c>
      <c r="M9" s="310">
        <f>M10+M11+M12</f>
        <v>47</v>
      </c>
      <c r="N9" s="310">
        <f t="shared" ref="N9:T9" si="0">N10+N11+N12</f>
        <v>53</v>
      </c>
      <c r="O9" s="310">
        <f t="shared" si="0"/>
        <v>46</v>
      </c>
      <c r="P9" s="310">
        <f t="shared" si="0"/>
        <v>47</v>
      </c>
      <c r="Q9" s="310">
        <f t="shared" si="0"/>
        <v>70</v>
      </c>
      <c r="R9" s="310">
        <f t="shared" si="0"/>
        <v>50</v>
      </c>
      <c r="S9" s="310">
        <f t="shared" si="0"/>
        <v>55</v>
      </c>
      <c r="T9" s="310">
        <f t="shared" si="0"/>
        <v>8</v>
      </c>
    </row>
    <row r="10" spans="1:24" s="314" customFormat="1" ht="22.5" customHeight="1" x14ac:dyDescent="0.25">
      <c r="A10" s="311">
        <v>1</v>
      </c>
      <c r="B10" s="312" t="s">
        <v>118</v>
      </c>
      <c r="C10" s="313">
        <v>5</v>
      </c>
      <c r="D10" s="313">
        <v>8</v>
      </c>
      <c r="E10" s="313">
        <v>8</v>
      </c>
      <c r="F10" s="313">
        <v>9</v>
      </c>
      <c r="G10" s="313">
        <v>8</v>
      </c>
      <c r="H10" s="313">
        <v>13</v>
      </c>
      <c r="I10" s="313">
        <v>10</v>
      </c>
      <c r="J10" s="313">
        <v>10</v>
      </c>
      <c r="K10" s="313"/>
      <c r="L10" s="313">
        <f>SUM(M10:T10)</f>
        <v>330</v>
      </c>
      <c r="M10" s="313">
        <f>$C10*D10</f>
        <v>40</v>
      </c>
      <c r="N10" s="313">
        <f t="shared" ref="N10:T12" si="1">$C10*E10</f>
        <v>40</v>
      </c>
      <c r="O10" s="313">
        <f t="shared" si="1"/>
        <v>45</v>
      </c>
      <c r="P10" s="313">
        <f>$C10*G10</f>
        <v>40</v>
      </c>
      <c r="Q10" s="313">
        <f t="shared" si="1"/>
        <v>65</v>
      </c>
      <c r="R10" s="313">
        <f t="shared" si="1"/>
        <v>50</v>
      </c>
      <c r="S10" s="313">
        <f t="shared" si="1"/>
        <v>50</v>
      </c>
      <c r="T10" s="313">
        <f t="shared" si="1"/>
        <v>0</v>
      </c>
    </row>
    <row r="11" spans="1:24" s="314" customFormat="1" ht="22.5" customHeight="1" x14ac:dyDescent="0.25">
      <c r="A11" s="311">
        <v>2</v>
      </c>
      <c r="B11" s="312" t="s">
        <v>119</v>
      </c>
      <c r="C11" s="313">
        <v>2</v>
      </c>
      <c r="D11" s="313">
        <v>1</v>
      </c>
      <c r="E11" s="313">
        <v>1</v>
      </c>
      <c r="F11" s="313">
        <v>0</v>
      </c>
      <c r="G11" s="313">
        <v>1</v>
      </c>
      <c r="H11" s="313">
        <v>1</v>
      </c>
      <c r="I11" s="313">
        <v>0</v>
      </c>
      <c r="J11" s="313">
        <v>0</v>
      </c>
      <c r="K11" s="313"/>
      <c r="L11" s="313">
        <f>SUM(M11:T11)</f>
        <v>8</v>
      </c>
      <c r="M11" s="313">
        <f>$C11*D11</f>
        <v>2</v>
      </c>
      <c r="N11" s="313">
        <f t="shared" si="1"/>
        <v>2</v>
      </c>
      <c r="O11" s="313">
        <f t="shared" si="1"/>
        <v>0</v>
      </c>
      <c r="P11" s="313">
        <f t="shared" si="1"/>
        <v>2</v>
      </c>
      <c r="Q11" s="313">
        <f t="shared" si="1"/>
        <v>2</v>
      </c>
      <c r="R11" s="313">
        <f t="shared" si="1"/>
        <v>0</v>
      </c>
      <c r="S11" s="313">
        <f t="shared" si="1"/>
        <v>0</v>
      </c>
      <c r="T11" s="313">
        <f t="shared" si="1"/>
        <v>0</v>
      </c>
    </row>
    <row r="12" spans="1:24" s="314" customFormat="1" ht="22.5" customHeight="1" x14ac:dyDescent="0.25">
      <c r="A12" s="315">
        <v>3</v>
      </c>
      <c r="B12" s="316" t="s">
        <v>120</v>
      </c>
      <c r="C12" s="317">
        <v>1</v>
      </c>
      <c r="D12" s="317">
        <v>5</v>
      </c>
      <c r="E12" s="317">
        <v>11</v>
      </c>
      <c r="F12" s="317">
        <v>1</v>
      </c>
      <c r="G12" s="317">
        <v>5</v>
      </c>
      <c r="H12" s="317">
        <v>3</v>
      </c>
      <c r="I12" s="317">
        <v>0</v>
      </c>
      <c r="J12" s="317">
        <v>5</v>
      </c>
      <c r="K12" s="317">
        <v>8</v>
      </c>
      <c r="L12" s="317">
        <f>SUM(M12:T12)</f>
        <v>38</v>
      </c>
      <c r="M12" s="317">
        <f>$C12*D12</f>
        <v>5</v>
      </c>
      <c r="N12" s="317">
        <f t="shared" si="1"/>
        <v>11</v>
      </c>
      <c r="O12" s="317">
        <f t="shared" si="1"/>
        <v>1</v>
      </c>
      <c r="P12" s="317">
        <f t="shared" si="1"/>
        <v>5</v>
      </c>
      <c r="Q12" s="317">
        <f t="shared" si="1"/>
        <v>3</v>
      </c>
      <c r="R12" s="317">
        <f t="shared" si="1"/>
        <v>0</v>
      </c>
      <c r="S12" s="317">
        <f t="shared" si="1"/>
        <v>5</v>
      </c>
      <c r="T12" s="317">
        <f t="shared" si="1"/>
        <v>8</v>
      </c>
    </row>
    <row r="13" spans="1:24" s="314" customFormat="1" ht="32.25" customHeight="1" x14ac:dyDescent="0.25">
      <c r="A13" s="1241" t="s">
        <v>217</v>
      </c>
      <c r="B13" s="1241"/>
      <c r="C13" s="1241"/>
      <c r="D13" s="1241"/>
      <c r="E13" s="1241"/>
      <c r="F13" s="1241"/>
      <c r="G13" s="1241"/>
      <c r="H13" s="1241"/>
      <c r="I13" s="1241"/>
      <c r="J13" s="1241"/>
      <c r="K13" s="1241"/>
      <c r="L13" s="1241"/>
      <c r="M13" s="1241"/>
    </row>
    <row r="14" spans="1:24" s="314" customFormat="1" ht="32.25" customHeight="1" x14ac:dyDescent="0.25">
      <c r="A14" s="1242" t="s">
        <v>245</v>
      </c>
      <c r="B14" s="1242"/>
      <c r="C14" s="1242"/>
      <c r="D14" s="1242"/>
      <c r="E14" s="1242"/>
      <c r="F14" s="1242"/>
      <c r="G14" s="1242"/>
      <c r="H14" s="1242"/>
      <c r="I14" s="1242"/>
      <c r="J14" s="1242"/>
      <c r="K14" s="1242"/>
      <c r="L14" s="1242"/>
      <c r="M14" s="1242"/>
      <c r="N14" s="1242"/>
      <c r="O14" s="1242"/>
      <c r="P14" s="1242"/>
      <c r="Q14" s="1242"/>
      <c r="R14" s="1242"/>
      <c r="S14" s="1242"/>
      <c r="T14" s="1242"/>
    </row>
    <row r="15" spans="1:24" s="314" customFormat="1" ht="22.5" customHeight="1" x14ac:dyDescent="0.25">
      <c r="A15" s="1255" t="s">
        <v>1</v>
      </c>
      <c r="B15" s="1255" t="s">
        <v>36</v>
      </c>
      <c r="C15" s="1255" t="s">
        <v>33</v>
      </c>
      <c r="D15" s="1255" t="s">
        <v>239</v>
      </c>
      <c r="E15" s="1255"/>
      <c r="F15" s="1255"/>
      <c r="G15" s="1255"/>
      <c r="H15" s="322"/>
      <c r="I15" s="322"/>
      <c r="J15" s="322"/>
      <c r="K15" s="322"/>
      <c r="L15" s="322"/>
      <c r="M15" s="322"/>
      <c r="N15" s="322"/>
      <c r="O15" s="322"/>
      <c r="P15" s="322"/>
      <c r="Q15" s="322"/>
      <c r="R15" s="322"/>
      <c r="S15" s="322"/>
      <c r="T15" s="322"/>
    </row>
    <row r="16" spans="1:24" s="307" customFormat="1" ht="40.5" customHeight="1" x14ac:dyDescent="0.25">
      <c r="A16" s="1255"/>
      <c r="B16" s="1255"/>
      <c r="C16" s="1255"/>
      <c r="D16" s="1255" t="s">
        <v>160</v>
      </c>
      <c r="E16" s="1255"/>
      <c r="F16" s="1255" t="s">
        <v>161</v>
      </c>
      <c r="G16" s="1255"/>
      <c r="H16" s="330"/>
      <c r="I16" s="348">
        <v>3592</v>
      </c>
      <c r="J16" s="330"/>
      <c r="K16" s="330"/>
      <c r="L16" s="330"/>
      <c r="M16" s="330"/>
      <c r="N16" s="318"/>
      <c r="O16" s="318"/>
      <c r="P16" s="318"/>
      <c r="Q16" s="318"/>
      <c r="R16" s="318"/>
      <c r="S16" s="318"/>
      <c r="T16" s="318"/>
      <c r="U16" s="318"/>
      <c r="V16" s="318"/>
      <c r="W16" s="318"/>
      <c r="X16" s="318"/>
    </row>
    <row r="17" spans="1:24" s="307" customFormat="1" ht="40.5" customHeight="1" x14ac:dyDescent="0.25">
      <c r="A17" s="1255"/>
      <c r="B17" s="1255"/>
      <c r="C17" s="1255"/>
      <c r="D17" s="305" t="s">
        <v>246</v>
      </c>
      <c r="E17" s="305" t="s">
        <v>247</v>
      </c>
      <c r="F17" s="305" t="s">
        <v>246</v>
      </c>
      <c r="G17" s="305" t="s">
        <v>247</v>
      </c>
      <c r="H17" s="318"/>
      <c r="I17" s="318"/>
      <c r="J17" s="318"/>
      <c r="K17" s="318"/>
      <c r="L17" s="318"/>
      <c r="M17" s="318"/>
      <c r="N17" s="318"/>
      <c r="O17" s="318"/>
      <c r="P17" s="318"/>
      <c r="Q17" s="318"/>
      <c r="R17" s="318"/>
      <c r="S17" s="318"/>
      <c r="T17" s="318"/>
      <c r="U17" s="318"/>
      <c r="V17" s="318"/>
      <c r="W17" s="318"/>
      <c r="X17" s="318"/>
    </row>
    <row r="18" spans="1:24" s="304" customFormat="1" ht="25.5" customHeight="1" x14ac:dyDescent="0.25">
      <c r="A18" s="1259" t="s">
        <v>34</v>
      </c>
      <c r="B18" s="1259"/>
      <c r="C18" s="350">
        <f>SUM(C19:C42)</f>
        <v>1672</v>
      </c>
      <c r="D18" s="351">
        <f t="shared" ref="D18:G18" si="2">SUM(D19:D42)</f>
        <v>0.44000000000000017</v>
      </c>
      <c r="E18" s="350">
        <f t="shared" si="2"/>
        <v>1582</v>
      </c>
      <c r="F18" s="350"/>
      <c r="G18" s="350">
        <f t="shared" si="2"/>
        <v>90</v>
      </c>
      <c r="H18" s="349"/>
      <c r="I18" s="338"/>
      <c r="J18" s="340"/>
      <c r="K18" s="339"/>
      <c r="L18" s="341"/>
      <c r="M18" s="341"/>
      <c r="N18" s="322"/>
      <c r="O18" s="322"/>
      <c r="P18" s="322"/>
      <c r="Q18" s="322"/>
      <c r="R18" s="322"/>
      <c r="S18" s="322"/>
      <c r="T18" s="322"/>
      <c r="U18" s="322"/>
      <c r="V18" s="322"/>
    </row>
    <row r="19" spans="1:24" s="314" customFormat="1" ht="25.5" customHeight="1" x14ac:dyDescent="0.25">
      <c r="A19" s="311">
        <v>1</v>
      </c>
      <c r="B19" s="320" t="s">
        <v>129</v>
      </c>
      <c r="C19" s="352">
        <f>E19+G19</f>
        <v>399</v>
      </c>
      <c r="D19" s="353">
        <v>0.105</v>
      </c>
      <c r="E19" s="354">
        <f>ROUND(D19*$I$16,0)</f>
        <v>377</v>
      </c>
      <c r="F19" s="355">
        <v>5.7299999999999997E-2</v>
      </c>
      <c r="G19" s="321">
        <f>ROUND(E19*F19,0)</f>
        <v>22</v>
      </c>
      <c r="H19" s="342"/>
      <c r="I19" s="343"/>
      <c r="J19" s="343"/>
      <c r="K19" s="344"/>
      <c r="L19" s="345"/>
      <c r="M19" s="345"/>
      <c r="N19" s="319"/>
      <c r="O19" s="319"/>
      <c r="P19" s="319"/>
      <c r="Q19" s="319"/>
      <c r="R19" s="319"/>
      <c r="S19" s="319"/>
      <c r="T19" s="319"/>
      <c r="U19" s="319"/>
      <c r="V19" s="319"/>
      <c r="W19" s="319"/>
      <c r="X19" s="319"/>
    </row>
    <row r="20" spans="1:24" s="314" customFormat="1" ht="25.5" customHeight="1" x14ac:dyDescent="0.25">
      <c r="A20" s="311">
        <v>2</v>
      </c>
      <c r="B20" s="320" t="s">
        <v>219</v>
      </c>
      <c r="C20" s="352">
        <f t="shared" ref="C20:C42" si="3">E20+G20</f>
        <v>38</v>
      </c>
      <c r="D20" s="356">
        <v>0.01</v>
      </c>
      <c r="E20" s="354">
        <f t="shared" ref="E20:E42" si="4">ROUND(D20*$I$16,0)</f>
        <v>36</v>
      </c>
      <c r="F20" s="355">
        <v>5.7299999999999997E-2</v>
      </c>
      <c r="G20" s="321">
        <f t="shared" ref="G20:G42" si="5">ROUND(E20*F20,0)</f>
        <v>2</v>
      </c>
      <c r="H20" s="342"/>
      <c r="I20" s="347"/>
      <c r="J20" s="343"/>
      <c r="K20" s="342"/>
      <c r="L20" s="345"/>
      <c r="M20" s="345"/>
      <c r="N20" s="319"/>
      <c r="O20" s="319"/>
      <c r="P20" s="319"/>
      <c r="Q20" s="319"/>
      <c r="R20" s="319"/>
      <c r="S20" s="319"/>
      <c r="T20" s="319"/>
      <c r="U20" s="319"/>
      <c r="V20" s="319"/>
      <c r="W20" s="319"/>
      <c r="X20" s="319"/>
    </row>
    <row r="21" spans="1:24" s="314" customFormat="1" ht="25.5" customHeight="1" x14ac:dyDescent="0.25">
      <c r="A21" s="311">
        <v>3</v>
      </c>
      <c r="B21" s="320" t="s">
        <v>220</v>
      </c>
      <c r="C21" s="352">
        <f t="shared" si="3"/>
        <v>95</v>
      </c>
      <c r="D21" s="353">
        <v>2.5000000000000001E-2</v>
      </c>
      <c r="E21" s="354">
        <f t="shared" si="4"/>
        <v>90</v>
      </c>
      <c r="F21" s="355">
        <v>5.7299999999999997E-2</v>
      </c>
      <c r="G21" s="321">
        <f t="shared" si="5"/>
        <v>5</v>
      </c>
      <c r="H21" s="346"/>
      <c r="I21" s="343"/>
      <c r="J21" s="343"/>
      <c r="K21" s="344"/>
      <c r="L21" s="345"/>
      <c r="M21" s="345"/>
      <c r="N21" s="319"/>
      <c r="O21" s="319"/>
      <c r="P21" s="319"/>
      <c r="Q21" s="319"/>
      <c r="R21" s="319"/>
      <c r="S21" s="319"/>
      <c r="T21" s="319"/>
      <c r="U21" s="319"/>
      <c r="V21" s="319"/>
      <c r="W21" s="319"/>
      <c r="X21" s="319"/>
    </row>
    <row r="22" spans="1:24" s="314" customFormat="1" ht="25.5" customHeight="1" x14ac:dyDescent="0.25">
      <c r="A22" s="311">
        <v>4</v>
      </c>
      <c r="B22" s="320" t="s">
        <v>221</v>
      </c>
      <c r="C22" s="352">
        <f t="shared" si="3"/>
        <v>38</v>
      </c>
      <c r="D22" s="356">
        <v>0.01</v>
      </c>
      <c r="E22" s="354">
        <f t="shared" si="4"/>
        <v>36</v>
      </c>
      <c r="F22" s="355">
        <v>5.7299999999999997E-2</v>
      </c>
      <c r="G22" s="321">
        <f t="shared" si="5"/>
        <v>2</v>
      </c>
      <c r="H22" s="346"/>
      <c r="I22" s="343"/>
      <c r="J22" s="343"/>
      <c r="K22" s="342"/>
      <c r="L22" s="345"/>
      <c r="M22" s="345"/>
      <c r="N22" s="319"/>
      <c r="O22" s="319"/>
      <c r="P22" s="319"/>
      <c r="Q22" s="319"/>
      <c r="R22" s="319"/>
      <c r="S22" s="319"/>
      <c r="T22" s="319"/>
      <c r="U22" s="319"/>
      <c r="V22" s="319"/>
      <c r="W22" s="319"/>
      <c r="X22" s="319"/>
    </row>
    <row r="23" spans="1:24" s="314" customFormat="1" ht="25.5" customHeight="1" x14ac:dyDescent="0.25">
      <c r="A23" s="311">
        <v>5</v>
      </c>
      <c r="B23" s="320" t="s">
        <v>222</v>
      </c>
      <c r="C23" s="352">
        <f t="shared" si="3"/>
        <v>38</v>
      </c>
      <c r="D23" s="356">
        <v>0.01</v>
      </c>
      <c r="E23" s="354">
        <f t="shared" si="4"/>
        <v>36</v>
      </c>
      <c r="F23" s="355">
        <v>5.7299999999999997E-2</v>
      </c>
      <c r="G23" s="321">
        <f t="shared" si="5"/>
        <v>2</v>
      </c>
      <c r="H23" s="346"/>
      <c r="I23" s="343"/>
      <c r="J23" s="343"/>
      <c r="K23" s="342"/>
      <c r="L23" s="345"/>
      <c r="M23" s="345"/>
      <c r="N23" s="319"/>
      <c r="O23" s="319"/>
      <c r="P23" s="319"/>
      <c r="Q23" s="319"/>
      <c r="R23" s="319"/>
      <c r="S23" s="319"/>
      <c r="T23" s="319"/>
      <c r="U23" s="319"/>
      <c r="V23" s="319"/>
      <c r="W23" s="319"/>
      <c r="X23" s="319"/>
    </row>
    <row r="24" spans="1:24" s="314" customFormat="1" ht="25.5" customHeight="1" x14ac:dyDescent="0.25">
      <c r="A24" s="311">
        <v>6</v>
      </c>
      <c r="B24" s="320" t="s">
        <v>92</v>
      </c>
      <c r="C24" s="352">
        <f t="shared" si="3"/>
        <v>38</v>
      </c>
      <c r="D24" s="356">
        <v>0.01</v>
      </c>
      <c r="E24" s="354">
        <f t="shared" si="4"/>
        <v>36</v>
      </c>
      <c r="F24" s="355">
        <v>5.7299999999999997E-2</v>
      </c>
      <c r="G24" s="321">
        <f t="shared" si="5"/>
        <v>2</v>
      </c>
      <c r="H24" s="346"/>
      <c r="I24" s="343"/>
      <c r="J24" s="343"/>
      <c r="K24" s="342"/>
      <c r="L24" s="345"/>
      <c r="M24" s="345"/>
      <c r="N24" s="319"/>
      <c r="O24" s="319"/>
      <c r="P24" s="319"/>
      <c r="Q24" s="319"/>
      <c r="R24" s="319"/>
      <c r="S24" s="319"/>
      <c r="T24" s="319"/>
      <c r="U24" s="319"/>
      <c r="V24" s="319"/>
      <c r="W24" s="319"/>
      <c r="X24" s="319"/>
    </row>
    <row r="25" spans="1:24" s="314" customFormat="1" ht="25.5" customHeight="1" x14ac:dyDescent="0.25">
      <c r="A25" s="311">
        <v>7</v>
      </c>
      <c r="B25" s="320" t="s">
        <v>182</v>
      </c>
      <c r="C25" s="352">
        <f t="shared" si="3"/>
        <v>38</v>
      </c>
      <c r="D25" s="356">
        <v>0.01</v>
      </c>
      <c r="E25" s="354">
        <f t="shared" si="4"/>
        <v>36</v>
      </c>
      <c r="F25" s="355">
        <v>5.7299999999999997E-2</v>
      </c>
      <c r="G25" s="321">
        <f t="shared" si="5"/>
        <v>2</v>
      </c>
      <c r="H25" s="346"/>
      <c r="I25" s="343"/>
      <c r="J25" s="343"/>
      <c r="K25" s="342"/>
      <c r="L25" s="345"/>
      <c r="M25" s="345"/>
      <c r="N25" s="319"/>
      <c r="O25" s="319"/>
      <c r="P25" s="319"/>
      <c r="Q25" s="319"/>
      <c r="R25" s="319"/>
      <c r="S25" s="319"/>
      <c r="T25" s="319"/>
      <c r="U25" s="319"/>
      <c r="V25" s="319"/>
      <c r="W25" s="319"/>
      <c r="X25" s="319"/>
    </row>
    <row r="26" spans="1:24" s="314" customFormat="1" ht="25.5" customHeight="1" x14ac:dyDescent="0.25">
      <c r="A26" s="311">
        <v>8</v>
      </c>
      <c r="B26" s="320" t="s">
        <v>117</v>
      </c>
      <c r="C26" s="352">
        <f t="shared" si="3"/>
        <v>38</v>
      </c>
      <c r="D26" s="356">
        <v>0.01</v>
      </c>
      <c r="E26" s="354">
        <f t="shared" si="4"/>
        <v>36</v>
      </c>
      <c r="F26" s="355">
        <v>5.7299999999999997E-2</v>
      </c>
      <c r="G26" s="321">
        <f t="shared" si="5"/>
        <v>2</v>
      </c>
      <c r="H26" s="346"/>
      <c r="I26" s="343"/>
      <c r="J26" s="343"/>
      <c r="K26" s="342"/>
      <c r="L26" s="345"/>
      <c r="M26" s="345"/>
      <c r="N26" s="319"/>
      <c r="O26" s="319"/>
      <c r="P26" s="319"/>
      <c r="Q26" s="319"/>
      <c r="R26" s="319"/>
      <c r="S26" s="319"/>
      <c r="T26" s="319"/>
      <c r="U26" s="319"/>
      <c r="V26" s="319"/>
      <c r="W26" s="319"/>
      <c r="X26" s="319"/>
    </row>
    <row r="27" spans="1:24" s="314" customFormat="1" ht="25.5" customHeight="1" x14ac:dyDescent="0.25">
      <c r="A27" s="311">
        <v>9</v>
      </c>
      <c r="B27" s="320" t="s">
        <v>121</v>
      </c>
      <c r="C27" s="352">
        <f t="shared" si="3"/>
        <v>38</v>
      </c>
      <c r="D27" s="356">
        <v>0.01</v>
      </c>
      <c r="E27" s="354">
        <f t="shared" si="4"/>
        <v>36</v>
      </c>
      <c r="F27" s="355">
        <v>5.7299999999999997E-2</v>
      </c>
      <c r="G27" s="321">
        <f t="shared" si="5"/>
        <v>2</v>
      </c>
      <c r="H27" s="346"/>
      <c r="I27" s="343"/>
      <c r="J27" s="343"/>
      <c r="K27" s="342"/>
      <c r="L27" s="345"/>
      <c r="M27" s="345"/>
      <c r="N27" s="319"/>
      <c r="O27" s="319"/>
      <c r="P27" s="319"/>
      <c r="Q27" s="319"/>
      <c r="R27" s="319"/>
      <c r="S27" s="319"/>
      <c r="T27" s="319"/>
      <c r="U27" s="319"/>
      <c r="V27" s="319"/>
      <c r="W27" s="319"/>
      <c r="X27" s="319"/>
    </row>
    <row r="28" spans="1:24" s="314" customFormat="1" ht="25.5" customHeight="1" x14ac:dyDescent="0.25">
      <c r="A28" s="311">
        <v>10</v>
      </c>
      <c r="B28" s="320" t="s">
        <v>223</v>
      </c>
      <c r="C28" s="352">
        <f t="shared" si="3"/>
        <v>38</v>
      </c>
      <c r="D28" s="356">
        <v>0.01</v>
      </c>
      <c r="E28" s="354">
        <f t="shared" si="4"/>
        <v>36</v>
      </c>
      <c r="F28" s="355">
        <v>5.7299999999999997E-2</v>
      </c>
      <c r="G28" s="321">
        <f t="shared" si="5"/>
        <v>2</v>
      </c>
      <c r="H28" s="346"/>
      <c r="I28" s="343"/>
      <c r="J28" s="343"/>
      <c r="K28" s="342"/>
      <c r="L28" s="345"/>
      <c r="M28" s="345"/>
      <c r="N28" s="319"/>
      <c r="O28" s="319"/>
      <c r="P28" s="319"/>
      <c r="Q28" s="319"/>
      <c r="R28" s="319"/>
      <c r="S28" s="319"/>
      <c r="T28" s="319"/>
      <c r="U28" s="319"/>
      <c r="V28" s="319"/>
      <c r="W28" s="319"/>
      <c r="X28" s="319"/>
    </row>
    <row r="29" spans="1:24" s="314" customFormat="1" ht="25.5" customHeight="1" x14ac:dyDescent="0.25">
      <c r="A29" s="311">
        <v>11</v>
      </c>
      <c r="B29" s="320" t="s">
        <v>224</v>
      </c>
      <c r="C29" s="352">
        <f t="shared" si="3"/>
        <v>380</v>
      </c>
      <c r="D29" s="356">
        <v>0.1</v>
      </c>
      <c r="E29" s="354">
        <f t="shared" si="4"/>
        <v>359</v>
      </c>
      <c r="F29" s="355">
        <v>5.7299999999999997E-2</v>
      </c>
      <c r="G29" s="321">
        <f t="shared" si="5"/>
        <v>21</v>
      </c>
      <c r="H29" s="346"/>
      <c r="I29" s="343"/>
      <c r="J29" s="343"/>
      <c r="K29" s="342"/>
      <c r="L29" s="345"/>
      <c r="M29" s="345"/>
      <c r="N29" s="319"/>
      <c r="O29" s="319"/>
      <c r="P29" s="319"/>
      <c r="Q29" s="319"/>
      <c r="R29" s="319"/>
      <c r="S29" s="319"/>
      <c r="T29" s="319"/>
      <c r="U29" s="319"/>
      <c r="V29" s="319"/>
      <c r="W29" s="319"/>
      <c r="X29" s="319"/>
    </row>
    <row r="30" spans="1:24" s="314" customFormat="1" ht="25.5" customHeight="1" x14ac:dyDescent="0.25">
      <c r="A30" s="311">
        <v>12</v>
      </c>
      <c r="B30" s="320" t="s">
        <v>225</v>
      </c>
      <c r="C30" s="352">
        <f t="shared" si="3"/>
        <v>38</v>
      </c>
      <c r="D30" s="356">
        <v>0.01</v>
      </c>
      <c r="E30" s="354">
        <f t="shared" si="4"/>
        <v>36</v>
      </c>
      <c r="F30" s="355">
        <v>5.7299999999999997E-2</v>
      </c>
      <c r="G30" s="321">
        <f t="shared" si="5"/>
        <v>2</v>
      </c>
      <c r="H30" s="346"/>
      <c r="I30" s="343"/>
      <c r="J30" s="343"/>
      <c r="K30" s="342"/>
      <c r="L30" s="345"/>
      <c r="M30" s="345"/>
      <c r="N30" s="319"/>
      <c r="O30" s="319"/>
      <c r="P30" s="319"/>
      <c r="Q30" s="319"/>
      <c r="R30" s="319"/>
      <c r="S30" s="319"/>
      <c r="T30" s="319"/>
      <c r="U30" s="319"/>
      <c r="V30" s="319"/>
      <c r="W30" s="319"/>
      <c r="X30" s="319"/>
    </row>
    <row r="31" spans="1:24" s="314" customFormat="1" ht="25.5" customHeight="1" x14ac:dyDescent="0.25">
      <c r="A31" s="311">
        <v>13</v>
      </c>
      <c r="B31" s="320" t="s">
        <v>144</v>
      </c>
      <c r="C31" s="352">
        <f t="shared" si="3"/>
        <v>38</v>
      </c>
      <c r="D31" s="356">
        <v>0.01</v>
      </c>
      <c r="E31" s="354">
        <f t="shared" si="4"/>
        <v>36</v>
      </c>
      <c r="F31" s="355">
        <v>5.7299999999999997E-2</v>
      </c>
      <c r="G31" s="321">
        <f t="shared" si="5"/>
        <v>2</v>
      </c>
      <c r="H31" s="346"/>
      <c r="I31" s="343"/>
      <c r="J31" s="343"/>
      <c r="K31" s="342"/>
      <c r="L31" s="345"/>
      <c r="M31" s="345"/>
      <c r="N31" s="319"/>
      <c r="O31" s="319"/>
      <c r="P31" s="319"/>
      <c r="Q31" s="319"/>
      <c r="R31" s="319"/>
      <c r="S31" s="319"/>
      <c r="T31" s="319"/>
      <c r="U31" s="319"/>
      <c r="V31" s="319"/>
      <c r="W31" s="319"/>
      <c r="X31" s="319"/>
    </row>
    <row r="32" spans="1:24" s="314" customFormat="1" ht="25.5" customHeight="1" x14ac:dyDescent="0.25">
      <c r="A32" s="311">
        <v>14</v>
      </c>
      <c r="B32" s="320" t="s">
        <v>226</v>
      </c>
      <c r="C32" s="352">
        <f t="shared" si="3"/>
        <v>38</v>
      </c>
      <c r="D32" s="356">
        <v>0.01</v>
      </c>
      <c r="E32" s="354">
        <f t="shared" si="4"/>
        <v>36</v>
      </c>
      <c r="F32" s="355">
        <v>5.7299999999999997E-2</v>
      </c>
      <c r="G32" s="321">
        <f t="shared" si="5"/>
        <v>2</v>
      </c>
      <c r="H32" s="346"/>
      <c r="I32" s="343"/>
      <c r="J32" s="343"/>
      <c r="K32" s="342"/>
      <c r="L32" s="345"/>
      <c r="M32" s="345"/>
      <c r="N32" s="319"/>
      <c r="O32" s="319"/>
      <c r="P32" s="319"/>
      <c r="Q32" s="319"/>
      <c r="R32" s="319"/>
      <c r="S32" s="319"/>
      <c r="T32" s="319"/>
      <c r="U32" s="319"/>
      <c r="V32" s="319"/>
      <c r="W32" s="319"/>
      <c r="X32" s="319"/>
    </row>
    <row r="33" spans="1:24" s="314" customFormat="1" ht="25.5" customHeight="1" x14ac:dyDescent="0.25">
      <c r="A33" s="311">
        <v>15</v>
      </c>
      <c r="B33" s="320" t="s">
        <v>227</v>
      </c>
      <c r="C33" s="352">
        <f t="shared" si="3"/>
        <v>38</v>
      </c>
      <c r="D33" s="356">
        <v>0.01</v>
      </c>
      <c r="E33" s="354">
        <f>ROUND(D33*$I$16,0)</f>
        <v>36</v>
      </c>
      <c r="F33" s="355">
        <v>5.7299999999999997E-2</v>
      </c>
      <c r="G33" s="321">
        <f t="shared" si="5"/>
        <v>2</v>
      </c>
      <c r="H33" s="346"/>
      <c r="I33" s="343"/>
      <c r="J33" s="343"/>
      <c r="K33" s="342"/>
      <c r="L33" s="345"/>
      <c r="M33" s="345"/>
      <c r="N33" s="319"/>
      <c r="O33" s="319"/>
      <c r="P33" s="319"/>
      <c r="Q33" s="319"/>
      <c r="R33" s="319"/>
      <c r="S33" s="319"/>
      <c r="T33" s="319"/>
      <c r="U33" s="319"/>
      <c r="V33" s="319"/>
      <c r="W33" s="319"/>
      <c r="X33" s="319"/>
    </row>
    <row r="34" spans="1:24" s="314" customFormat="1" ht="25.5" customHeight="1" x14ac:dyDescent="0.25">
      <c r="A34" s="311">
        <v>16</v>
      </c>
      <c r="B34" s="320" t="s">
        <v>228</v>
      </c>
      <c r="C34" s="352">
        <f t="shared" si="3"/>
        <v>38</v>
      </c>
      <c r="D34" s="356">
        <v>0.01</v>
      </c>
      <c r="E34" s="354">
        <f t="shared" si="4"/>
        <v>36</v>
      </c>
      <c r="F34" s="355">
        <v>5.7299999999999997E-2</v>
      </c>
      <c r="G34" s="321">
        <f t="shared" si="5"/>
        <v>2</v>
      </c>
      <c r="H34" s="346"/>
      <c r="I34" s="343"/>
      <c r="J34" s="343"/>
      <c r="K34" s="342"/>
      <c r="L34" s="345"/>
      <c r="M34" s="345"/>
      <c r="N34" s="319"/>
      <c r="O34" s="319"/>
      <c r="P34" s="319"/>
      <c r="Q34" s="319"/>
      <c r="R34" s="319"/>
      <c r="S34" s="319"/>
      <c r="T34" s="319"/>
      <c r="U34" s="319"/>
      <c r="V34" s="319"/>
      <c r="W34" s="319"/>
      <c r="X34" s="319"/>
    </row>
    <row r="35" spans="1:24" s="314" customFormat="1" ht="25.5" customHeight="1" x14ac:dyDescent="0.25">
      <c r="A35" s="311">
        <v>17</v>
      </c>
      <c r="B35" s="320" t="s">
        <v>89</v>
      </c>
      <c r="C35" s="352">
        <f t="shared" si="3"/>
        <v>38</v>
      </c>
      <c r="D35" s="356">
        <v>0.01</v>
      </c>
      <c r="E35" s="354">
        <f t="shared" si="4"/>
        <v>36</v>
      </c>
      <c r="F35" s="355">
        <v>5.7299999999999997E-2</v>
      </c>
      <c r="G35" s="321">
        <f t="shared" si="5"/>
        <v>2</v>
      </c>
      <c r="H35" s="346"/>
      <c r="I35" s="343"/>
      <c r="J35" s="343"/>
      <c r="K35" s="342"/>
      <c r="L35" s="345"/>
      <c r="M35" s="345"/>
      <c r="N35" s="319"/>
      <c r="O35" s="319"/>
      <c r="P35" s="319"/>
      <c r="Q35" s="319"/>
      <c r="R35" s="319"/>
      <c r="S35" s="319"/>
      <c r="T35" s="319"/>
      <c r="U35" s="319"/>
      <c r="V35" s="319"/>
      <c r="W35" s="319"/>
      <c r="X35" s="319"/>
    </row>
    <row r="36" spans="1:24" s="314" customFormat="1" ht="25.5" customHeight="1" x14ac:dyDescent="0.25">
      <c r="A36" s="311">
        <v>18</v>
      </c>
      <c r="B36" s="320" t="s">
        <v>229</v>
      </c>
      <c r="C36" s="352">
        <f t="shared" si="3"/>
        <v>38</v>
      </c>
      <c r="D36" s="356">
        <v>0.01</v>
      </c>
      <c r="E36" s="354">
        <f t="shared" si="4"/>
        <v>36</v>
      </c>
      <c r="F36" s="355">
        <v>5.7299999999999997E-2</v>
      </c>
      <c r="G36" s="321">
        <f t="shared" si="5"/>
        <v>2</v>
      </c>
      <c r="H36" s="346"/>
      <c r="I36" s="343"/>
      <c r="J36" s="343"/>
      <c r="K36" s="342"/>
      <c r="L36" s="345"/>
      <c r="M36" s="345"/>
      <c r="N36" s="319"/>
      <c r="O36" s="319"/>
      <c r="P36" s="319"/>
      <c r="Q36" s="319"/>
      <c r="R36" s="319"/>
      <c r="S36" s="319"/>
      <c r="T36" s="319"/>
      <c r="U36" s="319"/>
      <c r="V36" s="319"/>
      <c r="W36" s="319"/>
      <c r="X36" s="319"/>
    </row>
    <row r="37" spans="1:24" s="314" customFormat="1" ht="25.5" customHeight="1" x14ac:dyDescent="0.25">
      <c r="A37" s="311">
        <v>19</v>
      </c>
      <c r="B37" s="320" t="s">
        <v>248</v>
      </c>
      <c r="C37" s="352">
        <f t="shared" si="3"/>
        <v>38</v>
      </c>
      <c r="D37" s="356">
        <v>0.01</v>
      </c>
      <c r="E37" s="354">
        <f t="shared" si="4"/>
        <v>36</v>
      </c>
      <c r="F37" s="355">
        <v>5.7299999999999997E-2</v>
      </c>
      <c r="G37" s="321">
        <f t="shared" si="5"/>
        <v>2</v>
      </c>
      <c r="H37" s="346"/>
      <c r="I37" s="343"/>
      <c r="J37" s="343"/>
      <c r="K37" s="342"/>
      <c r="L37" s="345"/>
      <c r="M37" s="345"/>
      <c r="N37" s="319"/>
      <c r="O37" s="319"/>
      <c r="P37" s="319"/>
      <c r="Q37" s="319"/>
      <c r="R37" s="319"/>
      <c r="S37" s="319"/>
      <c r="T37" s="319"/>
      <c r="U37" s="319"/>
      <c r="V37" s="319"/>
      <c r="W37" s="319"/>
      <c r="X37" s="319"/>
    </row>
    <row r="38" spans="1:24" s="314" customFormat="1" ht="25.5" customHeight="1" x14ac:dyDescent="0.25">
      <c r="A38" s="311">
        <v>20</v>
      </c>
      <c r="B38" s="320" t="s">
        <v>131</v>
      </c>
      <c r="C38" s="352">
        <f t="shared" si="3"/>
        <v>38</v>
      </c>
      <c r="D38" s="356">
        <v>0.01</v>
      </c>
      <c r="E38" s="354">
        <f t="shared" si="4"/>
        <v>36</v>
      </c>
      <c r="F38" s="355">
        <v>5.7299999999999997E-2</v>
      </c>
      <c r="G38" s="321">
        <f t="shared" si="5"/>
        <v>2</v>
      </c>
      <c r="H38" s="346"/>
      <c r="I38" s="343"/>
      <c r="J38" s="343"/>
      <c r="K38" s="342"/>
      <c r="L38" s="345"/>
      <c r="M38" s="345"/>
      <c r="N38" s="319"/>
      <c r="O38" s="319"/>
      <c r="P38" s="319"/>
      <c r="Q38" s="319"/>
      <c r="R38" s="319"/>
      <c r="S38" s="319"/>
      <c r="T38" s="319"/>
      <c r="U38" s="319"/>
      <c r="V38" s="319"/>
      <c r="W38" s="319"/>
      <c r="X38" s="319"/>
    </row>
    <row r="39" spans="1:24" s="314" customFormat="1" ht="25.5" customHeight="1" x14ac:dyDescent="0.25">
      <c r="A39" s="311">
        <v>21</v>
      </c>
      <c r="B39" s="320" t="s">
        <v>230</v>
      </c>
      <c r="C39" s="352">
        <f t="shared" si="3"/>
        <v>38</v>
      </c>
      <c r="D39" s="356">
        <v>0.01</v>
      </c>
      <c r="E39" s="354">
        <f t="shared" si="4"/>
        <v>36</v>
      </c>
      <c r="F39" s="355">
        <v>5.7299999999999997E-2</v>
      </c>
      <c r="G39" s="321">
        <f t="shared" si="5"/>
        <v>2</v>
      </c>
      <c r="H39" s="346"/>
      <c r="I39" s="343"/>
      <c r="J39" s="343"/>
      <c r="K39" s="342"/>
      <c r="L39" s="345"/>
      <c r="M39" s="345"/>
      <c r="N39" s="319"/>
      <c r="O39" s="319"/>
      <c r="P39" s="319"/>
      <c r="Q39" s="319"/>
      <c r="R39" s="319"/>
      <c r="S39" s="319"/>
      <c r="T39" s="319"/>
      <c r="U39" s="319"/>
      <c r="V39" s="319"/>
      <c r="W39" s="319"/>
      <c r="X39" s="319"/>
    </row>
    <row r="40" spans="1:24" s="314" customFormat="1" ht="25.5" customHeight="1" x14ac:dyDescent="0.25">
      <c r="A40" s="311">
        <v>22</v>
      </c>
      <c r="B40" s="320" t="s">
        <v>231</v>
      </c>
      <c r="C40" s="352">
        <f t="shared" si="3"/>
        <v>38</v>
      </c>
      <c r="D40" s="356">
        <v>0.01</v>
      </c>
      <c r="E40" s="354">
        <f t="shared" si="4"/>
        <v>36</v>
      </c>
      <c r="F40" s="355">
        <v>5.7299999999999997E-2</v>
      </c>
      <c r="G40" s="321">
        <f t="shared" si="5"/>
        <v>2</v>
      </c>
      <c r="H40" s="346"/>
      <c r="I40" s="343"/>
      <c r="J40" s="343"/>
      <c r="K40" s="342"/>
      <c r="L40" s="345"/>
      <c r="M40" s="345"/>
      <c r="N40" s="319"/>
      <c r="O40" s="319"/>
      <c r="P40" s="319"/>
      <c r="Q40" s="319"/>
      <c r="R40" s="319"/>
      <c r="S40" s="319"/>
      <c r="T40" s="319"/>
      <c r="U40" s="319"/>
      <c r="V40" s="319"/>
      <c r="W40" s="319"/>
      <c r="X40" s="319"/>
    </row>
    <row r="41" spans="1:24" s="314" customFormat="1" ht="25.5" customHeight="1" x14ac:dyDescent="0.25">
      <c r="A41" s="311">
        <v>23</v>
      </c>
      <c r="B41" s="320" t="s">
        <v>143</v>
      </c>
      <c r="C41" s="352">
        <f t="shared" si="3"/>
        <v>38</v>
      </c>
      <c r="D41" s="356">
        <v>0.01</v>
      </c>
      <c r="E41" s="354">
        <f t="shared" si="4"/>
        <v>36</v>
      </c>
      <c r="F41" s="355">
        <v>5.7299999999999997E-2</v>
      </c>
      <c r="G41" s="321">
        <f t="shared" si="5"/>
        <v>2</v>
      </c>
      <c r="H41" s="346"/>
      <c r="I41" s="343"/>
      <c r="J41" s="343"/>
      <c r="K41" s="342"/>
      <c r="L41" s="345"/>
      <c r="M41" s="345"/>
      <c r="N41" s="319"/>
      <c r="O41" s="319"/>
      <c r="P41" s="319"/>
      <c r="Q41" s="319"/>
      <c r="R41" s="319"/>
      <c r="S41" s="319"/>
      <c r="T41" s="319"/>
      <c r="U41" s="319"/>
      <c r="V41" s="319"/>
      <c r="W41" s="319"/>
      <c r="X41" s="319"/>
    </row>
    <row r="42" spans="1:24" s="314" customFormat="1" ht="25.5" customHeight="1" x14ac:dyDescent="0.25">
      <c r="A42" s="315">
        <v>24</v>
      </c>
      <c r="B42" s="357" t="s">
        <v>249</v>
      </c>
      <c r="C42" s="358">
        <f t="shared" si="3"/>
        <v>38</v>
      </c>
      <c r="D42" s="359">
        <v>0.01</v>
      </c>
      <c r="E42" s="360">
        <f t="shared" si="4"/>
        <v>36</v>
      </c>
      <c r="F42" s="361">
        <v>5.7299999999999997E-2</v>
      </c>
      <c r="G42" s="362">
        <f t="shared" si="5"/>
        <v>2</v>
      </c>
      <c r="H42" s="346"/>
      <c r="I42" s="343"/>
      <c r="J42" s="343"/>
      <c r="K42" s="342"/>
      <c r="L42" s="345"/>
      <c r="M42" s="345"/>
      <c r="N42" s="319"/>
      <c r="O42" s="319"/>
      <c r="P42" s="319"/>
      <c r="Q42" s="319"/>
      <c r="R42" s="319"/>
      <c r="S42" s="319"/>
      <c r="T42" s="319"/>
      <c r="U42" s="319"/>
      <c r="V42" s="319"/>
      <c r="W42" s="319"/>
      <c r="X42" s="319"/>
    </row>
    <row r="43" spans="1:24" s="314" customFormat="1" ht="31.5" customHeight="1" x14ac:dyDescent="0.25">
      <c r="A43" s="1242" t="s">
        <v>232</v>
      </c>
      <c r="B43" s="1242"/>
      <c r="C43" s="1242"/>
      <c r="D43" s="1242"/>
      <c r="E43" s="1242"/>
      <c r="F43" s="1242"/>
      <c r="G43" s="1242"/>
      <c r="H43" s="1242"/>
      <c r="I43" s="1242"/>
      <c r="J43" s="1242"/>
      <c r="K43" s="1242"/>
      <c r="L43" s="1242"/>
      <c r="M43" s="1242"/>
      <c r="N43" s="1242"/>
      <c r="O43" s="1242"/>
      <c r="P43" s="1242"/>
      <c r="Q43" s="1242"/>
      <c r="R43" s="1242"/>
      <c r="S43" s="1242"/>
      <c r="T43" s="1242"/>
    </row>
    <row r="44" spans="1:24" s="363" customFormat="1" ht="30.75" customHeight="1" x14ac:dyDescent="0.25">
      <c r="A44" s="1252" t="s">
        <v>1</v>
      </c>
      <c r="B44" s="1252" t="s">
        <v>233</v>
      </c>
      <c r="C44" s="1252" t="s">
        <v>234</v>
      </c>
      <c r="D44" s="1252" t="s">
        <v>235</v>
      </c>
      <c r="E44" s="1252" t="s">
        <v>236</v>
      </c>
      <c r="F44" s="1252" t="s">
        <v>237</v>
      </c>
      <c r="G44" s="1252"/>
      <c r="H44" s="1252"/>
      <c r="I44" s="1252"/>
      <c r="J44" s="1252"/>
      <c r="K44" s="1252"/>
      <c r="L44" s="1252"/>
      <c r="M44" s="1252"/>
    </row>
    <row r="45" spans="1:24" s="363" customFormat="1" ht="69" customHeight="1" x14ac:dyDescent="0.25">
      <c r="A45" s="1252"/>
      <c r="B45" s="1252"/>
      <c r="C45" s="1252"/>
      <c r="D45" s="1252"/>
      <c r="E45" s="1252"/>
      <c r="F45" s="364" t="s">
        <v>208</v>
      </c>
      <c r="G45" s="364" t="s">
        <v>209</v>
      </c>
      <c r="H45" s="364" t="s">
        <v>210</v>
      </c>
      <c r="I45" s="364" t="s">
        <v>211</v>
      </c>
      <c r="J45" s="364" t="s">
        <v>212</v>
      </c>
      <c r="K45" s="364" t="s">
        <v>213</v>
      </c>
      <c r="L45" s="364" t="s">
        <v>214</v>
      </c>
      <c r="M45" s="364" t="s">
        <v>45</v>
      </c>
    </row>
    <row r="46" spans="1:24" s="314" customFormat="1" ht="24" customHeight="1" x14ac:dyDescent="0.25">
      <c r="A46" s="315">
        <v>1</v>
      </c>
      <c r="B46" s="316" t="s">
        <v>174</v>
      </c>
      <c r="C46" s="324">
        <f>I16-E18</f>
        <v>2010</v>
      </c>
      <c r="D46" s="324">
        <f>L9</f>
        <v>376</v>
      </c>
      <c r="E46" s="325">
        <f>C46/D46</f>
        <v>5.3457446808510642</v>
      </c>
      <c r="F46" s="324">
        <f>ROUND($E$46*M9,0)</f>
        <v>251</v>
      </c>
      <c r="G46" s="324">
        <f t="shared" ref="G46:M46" si="6">ROUND($E$46*N9,0)</f>
        <v>283</v>
      </c>
      <c r="H46" s="324">
        <f t="shared" si="6"/>
        <v>246</v>
      </c>
      <c r="I46" s="324">
        <f t="shared" si="6"/>
        <v>251</v>
      </c>
      <c r="J46" s="324">
        <f t="shared" si="6"/>
        <v>374</v>
      </c>
      <c r="K46" s="324">
        <f>ROUND($E$46*R9+0.5,0)</f>
        <v>268</v>
      </c>
      <c r="L46" s="324">
        <f t="shared" si="6"/>
        <v>294</v>
      </c>
      <c r="M46" s="324">
        <f t="shared" si="6"/>
        <v>43</v>
      </c>
    </row>
    <row r="47" spans="1:24" s="314" customFormat="1" ht="28.5" customHeight="1" x14ac:dyDescent="0.25">
      <c r="A47" s="1242" t="s">
        <v>250</v>
      </c>
      <c r="B47" s="1242"/>
      <c r="C47" s="1242"/>
      <c r="D47" s="1242"/>
      <c r="E47" s="1242"/>
      <c r="F47" s="1242"/>
      <c r="G47" s="1242"/>
      <c r="H47" s="1242"/>
      <c r="I47" s="1242"/>
      <c r="J47" s="1242"/>
      <c r="K47" s="1242"/>
      <c r="L47" s="1242"/>
      <c r="M47" s="1242"/>
      <c r="N47" s="1242"/>
      <c r="O47" s="1242"/>
      <c r="P47" s="1242"/>
      <c r="Q47" s="1242"/>
      <c r="R47" s="1242"/>
      <c r="S47" s="1242"/>
      <c r="T47" s="1242"/>
    </row>
    <row r="48" spans="1:24" s="314" customFormat="1" ht="21.75" customHeight="1" x14ac:dyDescent="0.25">
      <c r="A48" s="322"/>
      <c r="B48" s="322"/>
      <c r="C48" s="322"/>
      <c r="D48" s="1257" t="s">
        <v>55</v>
      </c>
      <c r="E48" s="1257"/>
      <c r="F48" s="322"/>
      <c r="G48" s="322"/>
      <c r="H48" s="322"/>
      <c r="I48" s="322"/>
      <c r="J48" s="322"/>
      <c r="K48" s="322"/>
      <c r="L48" s="322"/>
      <c r="O48" s="322"/>
      <c r="P48" s="322"/>
      <c r="Q48" s="322"/>
      <c r="R48" s="322"/>
      <c r="S48" s="322"/>
      <c r="T48" s="322"/>
    </row>
    <row r="49" spans="1:21" s="314" customFormat="1" ht="54" customHeight="1" x14ac:dyDescent="0.25">
      <c r="A49" s="1258" t="s">
        <v>1</v>
      </c>
      <c r="B49" s="1258" t="s">
        <v>238</v>
      </c>
      <c r="C49" s="1258" t="s">
        <v>251</v>
      </c>
      <c r="D49" s="1258"/>
      <c r="E49" s="1258"/>
      <c r="F49" s="330"/>
      <c r="G49" s="330"/>
      <c r="H49" s="330"/>
      <c r="I49" s="330"/>
      <c r="J49" s="330"/>
      <c r="K49" s="330"/>
      <c r="L49" s="330"/>
      <c r="M49" s="330"/>
      <c r="N49" s="330"/>
    </row>
    <row r="50" spans="1:21" s="304" customFormat="1" ht="24.75" customHeight="1" x14ac:dyDescent="0.25">
      <c r="A50" s="1256"/>
      <c r="B50" s="1256"/>
      <c r="C50" s="1256" t="s">
        <v>33</v>
      </c>
      <c r="D50" s="1256" t="s">
        <v>240</v>
      </c>
      <c r="E50" s="1256"/>
      <c r="F50" s="330"/>
      <c r="G50" s="330"/>
      <c r="H50" s="330"/>
      <c r="I50" s="330"/>
      <c r="J50" s="330"/>
      <c r="K50" s="330"/>
      <c r="L50" s="330"/>
      <c r="M50" s="330"/>
      <c r="N50" s="330"/>
    </row>
    <row r="51" spans="1:21" s="306" customFormat="1" ht="54" customHeight="1" x14ac:dyDescent="0.25">
      <c r="A51" s="1256"/>
      <c r="B51" s="1256"/>
      <c r="C51" s="1256"/>
      <c r="D51" s="367" t="s">
        <v>218</v>
      </c>
      <c r="E51" s="367" t="s">
        <v>323</v>
      </c>
      <c r="F51" s="330"/>
      <c r="G51" s="318"/>
      <c r="H51" s="318"/>
      <c r="I51" s="330"/>
      <c r="J51" s="318"/>
      <c r="K51" s="318"/>
      <c r="L51" s="330"/>
      <c r="M51" s="318"/>
      <c r="N51" s="318"/>
    </row>
    <row r="52" spans="1:21" s="304" customFormat="1" ht="16.5" x14ac:dyDescent="0.25">
      <c r="A52" s="1253" t="s">
        <v>67</v>
      </c>
      <c r="B52" s="1253"/>
      <c r="C52" s="327">
        <f>C53+C78</f>
        <v>3795</v>
      </c>
      <c r="D52" s="327">
        <f t="shared" ref="D52:E52" si="7">D53+D78</f>
        <v>3592</v>
      </c>
      <c r="E52" s="327">
        <f t="shared" si="7"/>
        <v>203</v>
      </c>
      <c r="F52" s="365"/>
      <c r="G52" s="365"/>
      <c r="H52" s="365"/>
      <c r="I52" s="365"/>
      <c r="J52" s="365"/>
      <c r="K52" s="365"/>
      <c r="L52" s="365"/>
      <c r="M52" s="365"/>
      <c r="N52" s="365"/>
      <c r="P52" s="326"/>
    </row>
    <row r="53" spans="1:21" s="304" customFormat="1" ht="16.5" x14ac:dyDescent="0.25">
      <c r="A53" s="308" t="s">
        <v>46</v>
      </c>
      <c r="B53" s="309" t="s">
        <v>241</v>
      </c>
      <c r="C53" s="327">
        <f>SUM(C54:C77)</f>
        <v>1672</v>
      </c>
      <c r="D53" s="327">
        <f t="shared" ref="D53:E53" si="8">SUM(D54:D77)</f>
        <v>1582</v>
      </c>
      <c r="E53" s="327">
        <f t="shared" si="8"/>
        <v>90</v>
      </c>
      <c r="F53" s="365"/>
      <c r="G53" s="365"/>
      <c r="H53" s="365"/>
      <c r="I53" s="365"/>
      <c r="J53" s="365"/>
      <c r="K53" s="365"/>
      <c r="L53" s="365"/>
      <c r="M53" s="365"/>
      <c r="N53" s="365"/>
    </row>
    <row r="54" spans="1:21" s="304" customFormat="1" ht="16.5" x14ac:dyDescent="0.25">
      <c r="A54" s="311">
        <v>1</v>
      </c>
      <c r="B54" s="320" t="s">
        <v>129</v>
      </c>
      <c r="C54" s="323">
        <f>D54+E54</f>
        <v>399</v>
      </c>
      <c r="D54" s="323">
        <f>E19</f>
        <v>377</v>
      </c>
      <c r="E54" s="323">
        <f>G19</f>
        <v>22</v>
      </c>
      <c r="F54" s="366"/>
      <c r="G54" s="366"/>
      <c r="H54" s="366"/>
      <c r="I54" s="366"/>
      <c r="J54" s="366"/>
      <c r="K54" s="366"/>
      <c r="L54" s="366"/>
      <c r="M54" s="366"/>
      <c r="N54" s="366"/>
      <c r="P54" s="314"/>
      <c r="Q54" s="314"/>
      <c r="S54" s="326"/>
      <c r="T54" s="326"/>
      <c r="U54" s="326"/>
    </row>
    <row r="55" spans="1:21" s="304" customFormat="1" ht="16.5" x14ac:dyDescent="0.25">
      <c r="A55" s="311">
        <v>2</v>
      </c>
      <c r="B55" s="320" t="s">
        <v>219</v>
      </c>
      <c r="C55" s="323">
        <f t="shared" ref="C55:C77" si="9">D55+E55</f>
        <v>38</v>
      </c>
      <c r="D55" s="323">
        <f t="shared" ref="D55:D77" si="10">E20</f>
        <v>36</v>
      </c>
      <c r="E55" s="323">
        <f t="shared" ref="E55:E77" si="11">G20</f>
        <v>2</v>
      </c>
      <c r="F55" s="366"/>
      <c r="G55" s="366"/>
      <c r="H55" s="366"/>
      <c r="I55" s="366"/>
      <c r="J55" s="366"/>
      <c r="K55" s="366"/>
      <c r="L55" s="366"/>
      <c r="M55" s="366"/>
      <c r="N55" s="366"/>
      <c r="P55" s="314"/>
      <c r="Q55" s="314"/>
      <c r="T55" s="326"/>
    </row>
    <row r="56" spans="1:21" s="304" customFormat="1" ht="16.5" x14ac:dyDescent="0.25">
      <c r="A56" s="311">
        <v>3</v>
      </c>
      <c r="B56" s="320" t="s">
        <v>220</v>
      </c>
      <c r="C56" s="323">
        <f t="shared" si="9"/>
        <v>95</v>
      </c>
      <c r="D56" s="323">
        <f t="shared" si="10"/>
        <v>90</v>
      </c>
      <c r="E56" s="323">
        <f t="shared" si="11"/>
        <v>5</v>
      </c>
      <c r="F56" s="366"/>
      <c r="G56" s="366"/>
      <c r="H56" s="366"/>
      <c r="I56" s="366"/>
      <c r="J56" s="366"/>
      <c r="K56" s="366"/>
      <c r="L56" s="366"/>
      <c r="M56" s="366"/>
      <c r="N56" s="366"/>
      <c r="P56" s="314"/>
      <c r="Q56" s="314"/>
    </row>
    <row r="57" spans="1:21" s="304" customFormat="1" ht="16.5" x14ac:dyDescent="0.25">
      <c r="A57" s="311">
        <v>4</v>
      </c>
      <c r="B57" s="320" t="s">
        <v>221</v>
      </c>
      <c r="C57" s="323">
        <f t="shared" si="9"/>
        <v>38</v>
      </c>
      <c r="D57" s="323">
        <f t="shared" si="10"/>
        <v>36</v>
      </c>
      <c r="E57" s="323">
        <f t="shared" si="11"/>
        <v>2</v>
      </c>
      <c r="F57" s="366"/>
      <c r="G57" s="366"/>
      <c r="H57" s="366"/>
      <c r="I57" s="366"/>
      <c r="J57" s="366"/>
      <c r="K57" s="366"/>
      <c r="L57" s="366"/>
      <c r="M57" s="366"/>
      <c r="N57" s="366"/>
      <c r="P57" s="314"/>
      <c r="Q57" s="314"/>
    </row>
    <row r="58" spans="1:21" s="304" customFormat="1" ht="16.5" x14ac:dyDescent="0.25">
      <c r="A58" s="311">
        <v>5</v>
      </c>
      <c r="B58" s="320" t="s">
        <v>222</v>
      </c>
      <c r="C58" s="323">
        <f t="shared" si="9"/>
        <v>38</v>
      </c>
      <c r="D58" s="323">
        <f t="shared" si="10"/>
        <v>36</v>
      </c>
      <c r="E58" s="323">
        <f t="shared" si="11"/>
        <v>2</v>
      </c>
      <c r="F58" s="366"/>
      <c r="G58" s="366"/>
      <c r="H58" s="366"/>
      <c r="I58" s="366"/>
      <c r="J58" s="366"/>
      <c r="K58" s="366"/>
      <c r="L58" s="366"/>
      <c r="M58" s="366"/>
      <c r="N58" s="366"/>
      <c r="P58" s="314"/>
      <c r="Q58" s="314"/>
    </row>
    <row r="59" spans="1:21" s="304" customFormat="1" ht="16.5" x14ac:dyDescent="0.25">
      <c r="A59" s="311">
        <v>6</v>
      </c>
      <c r="B59" s="320" t="s">
        <v>92</v>
      </c>
      <c r="C59" s="323">
        <f t="shared" si="9"/>
        <v>38</v>
      </c>
      <c r="D59" s="323">
        <f t="shared" si="10"/>
        <v>36</v>
      </c>
      <c r="E59" s="323">
        <f t="shared" si="11"/>
        <v>2</v>
      </c>
      <c r="F59" s="366"/>
      <c r="G59" s="366"/>
      <c r="H59" s="366"/>
      <c r="I59" s="366"/>
      <c r="J59" s="366"/>
      <c r="K59" s="366"/>
      <c r="L59" s="366"/>
      <c r="M59" s="366"/>
      <c r="N59" s="366"/>
      <c r="P59" s="314"/>
      <c r="Q59" s="314"/>
    </row>
    <row r="60" spans="1:21" s="304" customFormat="1" ht="16.5" x14ac:dyDescent="0.25">
      <c r="A60" s="311">
        <v>7</v>
      </c>
      <c r="B60" s="320" t="s">
        <v>182</v>
      </c>
      <c r="C60" s="323">
        <f t="shared" si="9"/>
        <v>38</v>
      </c>
      <c r="D60" s="323">
        <f t="shared" si="10"/>
        <v>36</v>
      </c>
      <c r="E60" s="323">
        <f t="shared" si="11"/>
        <v>2</v>
      </c>
      <c r="F60" s="366"/>
      <c r="G60" s="366"/>
      <c r="H60" s="366"/>
      <c r="I60" s="366"/>
      <c r="J60" s="366"/>
      <c r="K60" s="366"/>
      <c r="L60" s="366"/>
      <c r="M60" s="366"/>
      <c r="N60" s="366"/>
      <c r="P60" s="314"/>
      <c r="Q60" s="314"/>
    </row>
    <row r="61" spans="1:21" s="304" customFormat="1" ht="16.5" x14ac:dyDescent="0.25">
      <c r="A61" s="311">
        <v>8</v>
      </c>
      <c r="B61" s="320" t="s">
        <v>117</v>
      </c>
      <c r="C61" s="323">
        <f t="shared" si="9"/>
        <v>38</v>
      </c>
      <c r="D61" s="323">
        <f t="shared" si="10"/>
        <v>36</v>
      </c>
      <c r="E61" s="323">
        <f t="shared" si="11"/>
        <v>2</v>
      </c>
      <c r="F61" s="366"/>
      <c r="G61" s="366"/>
      <c r="H61" s="366"/>
      <c r="I61" s="366"/>
      <c r="J61" s="366"/>
      <c r="K61" s="366"/>
      <c r="L61" s="366"/>
      <c r="M61" s="366"/>
      <c r="N61" s="366"/>
      <c r="P61" s="314"/>
      <c r="Q61" s="314"/>
    </row>
    <row r="62" spans="1:21" s="304" customFormat="1" ht="16.5" x14ac:dyDescent="0.25">
      <c r="A62" s="311">
        <v>9</v>
      </c>
      <c r="B62" s="320" t="s">
        <v>121</v>
      </c>
      <c r="C62" s="323">
        <f t="shared" si="9"/>
        <v>38</v>
      </c>
      <c r="D62" s="323">
        <f t="shared" si="10"/>
        <v>36</v>
      </c>
      <c r="E62" s="323">
        <f t="shared" si="11"/>
        <v>2</v>
      </c>
      <c r="F62" s="366"/>
      <c r="G62" s="366"/>
      <c r="H62" s="366"/>
      <c r="I62" s="366"/>
      <c r="J62" s="366"/>
      <c r="K62" s="366"/>
      <c r="L62" s="366"/>
      <c r="M62" s="366"/>
      <c r="N62" s="366"/>
      <c r="P62" s="314"/>
      <c r="Q62" s="314"/>
    </row>
    <row r="63" spans="1:21" s="304" customFormat="1" ht="16.5" x14ac:dyDescent="0.25">
      <c r="A63" s="311">
        <v>10</v>
      </c>
      <c r="B63" s="320" t="s">
        <v>223</v>
      </c>
      <c r="C63" s="323">
        <f t="shared" si="9"/>
        <v>38</v>
      </c>
      <c r="D63" s="323">
        <f t="shared" si="10"/>
        <v>36</v>
      </c>
      <c r="E63" s="323">
        <f t="shared" si="11"/>
        <v>2</v>
      </c>
      <c r="F63" s="366"/>
      <c r="G63" s="366"/>
      <c r="H63" s="366"/>
      <c r="I63" s="366"/>
      <c r="J63" s="366"/>
      <c r="K63" s="366"/>
      <c r="L63" s="366"/>
      <c r="M63" s="366"/>
      <c r="N63" s="366"/>
      <c r="P63" s="314"/>
      <c r="Q63" s="314"/>
    </row>
    <row r="64" spans="1:21" s="304" customFormat="1" ht="16.5" x14ac:dyDescent="0.25">
      <c r="A64" s="311">
        <v>11</v>
      </c>
      <c r="B64" s="320" t="s">
        <v>224</v>
      </c>
      <c r="C64" s="323">
        <f t="shared" si="9"/>
        <v>380</v>
      </c>
      <c r="D64" s="323">
        <f t="shared" si="10"/>
        <v>359</v>
      </c>
      <c r="E64" s="323">
        <f t="shared" si="11"/>
        <v>21</v>
      </c>
      <c r="F64" s="366"/>
      <c r="G64" s="366"/>
      <c r="H64" s="366"/>
      <c r="I64" s="366"/>
      <c r="J64" s="366"/>
      <c r="K64" s="366"/>
      <c r="L64" s="366"/>
      <c r="M64" s="366"/>
      <c r="N64" s="366"/>
      <c r="P64" s="314"/>
      <c r="Q64" s="314"/>
    </row>
    <row r="65" spans="1:19" s="304" customFormat="1" ht="16.5" x14ac:dyDescent="0.25">
      <c r="A65" s="311">
        <v>12</v>
      </c>
      <c r="B65" s="320" t="s">
        <v>225</v>
      </c>
      <c r="C65" s="323">
        <f t="shared" si="9"/>
        <v>38</v>
      </c>
      <c r="D65" s="323">
        <f t="shared" si="10"/>
        <v>36</v>
      </c>
      <c r="E65" s="323">
        <f t="shared" si="11"/>
        <v>2</v>
      </c>
      <c r="F65" s="366"/>
      <c r="G65" s="366"/>
      <c r="H65" s="366"/>
      <c r="I65" s="366"/>
      <c r="J65" s="366"/>
      <c r="K65" s="366"/>
      <c r="L65" s="366"/>
      <c r="M65" s="366"/>
      <c r="N65" s="366"/>
      <c r="P65" s="314"/>
      <c r="Q65" s="314"/>
    </row>
    <row r="66" spans="1:19" s="304" customFormat="1" ht="16.5" x14ac:dyDescent="0.25">
      <c r="A66" s="311">
        <v>13</v>
      </c>
      <c r="B66" s="320" t="s">
        <v>144</v>
      </c>
      <c r="C66" s="323">
        <f t="shared" si="9"/>
        <v>38</v>
      </c>
      <c r="D66" s="323">
        <f t="shared" si="10"/>
        <v>36</v>
      </c>
      <c r="E66" s="323">
        <f t="shared" si="11"/>
        <v>2</v>
      </c>
      <c r="F66" s="366"/>
      <c r="G66" s="366"/>
      <c r="H66" s="366"/>
      <c r="I66" s="366"/>
      <c r="J66" s="366"/>
      <c r="K66" s="366"/>
      <c r="L66" s="366"/>
      <c r="M66" s="366"/>
      <c r="N66" s="366"/>
      <c r="P66" s="314"/>
      <c r="Q66" s="314"/>
    </row>
    <row r="67" spans="1:19" s="304" customFormat="1" ht="16.5" x14ac:dyDescent="0.25">
      <c r="A67" s="311">
        <v>14</v>
      </c>
      <c r="B67" s="320" t="s">
        <v>226</v>
      </c>
      <c r="C67" s="323">
        <f t="shared" si="9"/>
        <v>38</v>
      </c>
      <c r="D67" s="323">
        <f t="shared" si="10"/>
        <v>36</v>
      </c>
      <c r="E67" s="323">
        <f t="shared" si="11"/>
        <v>2</v>
      </c>
      <c r="F67" s="366"/>
      <c r="G67" s="366"/>
      <c r="H67" s="366"/>
      <c r="I67" s="366"/>
      <c r="J67" s="366"/>
      <c r="K67" s="366"/>
      <c r="L67" s="366"/>
      <c r="M67" s="366"/>
      <c r="N67" s="366"/>
      <c r="P67" s="314"/>
      <c r="Q67" s="314"/>
    </row>
    <row r="68" spans="1:19" s="304" customFormat="1" ht="16.5" x14ac:dyDescent="0.25">
      <c r="A68" s="311">
        <v>15</v>
      </c>
      <c r="B68" s="320" t="s">
        <v>227</v>
      </c>
      <c r="C68" s="323">
        <f t="shared" si="9"/>
        <v>38</v>
      </c>
      <c r="D68" s="323">
        <f t="shared" si="10"/>
        <v>36</v>
      </c>
      <c r="E68" s="323">
        <f t="shared" si="11"/>
        <v>2</v>
      </c>
      <c r="F68" s="366"/>
      <c r="G68" s="366"/>
      <c r="H68" s="366"/>
      <c r="I68" s="366"/>
      <c r="J68" s="366"/>
      <c r="K68" s="366"/>
      <c r="L68" s="366"/>
      <c r="M68" s="366"/>
      <c r="N68" s="366"/>
      <c r="P68" s="314"/>
      <c r="Q68" s="314"/>
    </row>
    <row r="69" spans="1:19" s="304" customFormat="1" ht="16.5" x14ac:dyDescent="0.25">
      <c r="A69" s="311">
        <v>16</v>
      </c>
      <c r="B69" s="320" t="s">
        <v>228</v>
      </c>
      <c r="C69" s="323">
        <f t="shared" si="9"/>
        <v>38</v>
      </c>
      <c r="D69" s="323">
        <f t="shared" si="10"/>
        <v>36</v>
      </c>
      <c r="E69" s="323">
        <f t="shared" si="11"/>
        <v>2</v>
      </c>
      <c r="F69" s="366"/>
      <c r="G69" s="366"/>
      <c r="H69" s="366"/>
      <c r="I69" s="366"/>
      <c r="J69" s="366"/>
      <c r="K69" s="366"/>
      <c r="L69" s="366"/>
      <c r="M69" s="366"/>
      <c r="N69" s="366"/>
      <c r="P69" s="314"/>
      <c r="Q69" s="314"/>
    </row>
    <row r="70" spans="1:19" s="304" customFormat="1" ht="16.5" x14ac:dyDescent="0.25">
      <c r="A70" s="311">
        <v>17</v>
      </c>
      <c r="B70" s="320" t="s">
        <v>89</v>
      </c>
      <c r="C70" s="323">
        <f t="shared" si="9"/>
        <v>38</v>
      </c>
      <c r="D70" s="323">
        <f t="shared" si="10"/>
        <v>36</v>
      </c>
      <c r="E70" s="323">
        <f t="shared" si="11"/>
        <v>2</v>
      </c>
      <c r="F70" s="366"/>
      <c r="G70" s="366"/>
      <c r="H70" s="366"/>
      <c r="I70" s="366"/>
      <c r="J70" s="366"/>
      <c r="K70" s="366"/>
      <c r="L70" s="366"/>
      <c r="M70" s="366"/>
      <c r="N70" s="366"/>
      <c r="P70" s="314"/>
      <c r="Q70" s="314"/>
    </row>
    <row r="71" spans="1:19" s="304" customFormat="1" ht="16.5" x14ac:dyDescent="0.25">
      <c r="A71" s="311">
        <v>18</v>
      </c>
      <c r="B71" s="320" t="s">
        <v>229</v>
      </c>
      <c r="C71" s="323">
        <f t="shared" si="9"/>
        <v>38</v>
      </c>
      <c r="D71" s="323">
        <f t="shared" si="10"/>
        <v>36</v>
      </c>
      <c r="E71" s="323">
        <f t="shared" si="11"/>
        <v>2</v>
      </c>
      <c r="F71" s="366"/>
      <c r="G71" s="366"/>
      <c r="H71" s="366"/>
      <c r="I71" s="366"/>
      <c r="J71" s="366"/>
      <c r="K71" s="366"/>
      <c r="L71" s="366"/>
      <c r="M71" s="366"/>
      <c r="N71" s="366"/>
      <c r="P71" s="314"/>
      <c r="Q71" s="314"/>
    </row>
    <row r="72" spans="1:19" s="304" customFormat="1" ht="16.5" x14ac:dyDescent="0.25">
      <c r="A72" s="311">
        <v>19</v>
      </c>
      <c r="B72" s="320" t="s">
        <v>248</v>
      </c>
      <c r="C72" s="323">
        <f t="shared" si="9"/>
        <v>38</v>
      </c>
      <c r="D72" s="323">
        <f t="shared" si="10"/>
        <v>36</v>
      </c>
      <c r="E72" s="323">
        <f t="shared" si="11"/>
        <v>2</v>
      </c>
      <c r="F72" s="366"/>
      <c r="G72" s="366"/>
      <c r="H72" s="366"/>
      <c r="I72" s="366"/>
      <c r="J72" s="366"/>
      <c r="K72" s="366"/>
      <c r="L72" s="366"/>
      <c r="M72" s="366"/>
      <c r="N72" s="366"/>
      <c r="P72" s="314"/>
      <c r="Q72" s="314"/>
    </row>
    <row r="73" spans="1:19" s="304" customFormat="1" ht="16.5" x14ac:dyDescent="0.25">
      <c r="A73" s="311">
        <v>20</v>
      </c>
      <c r="B73" s="320" t="s">
        <v>131</v>
      </c>
      <c r="C73" s="323">
        <f t="shared" si="9"/>
        <v>38</v>
      </c>
      <c r="D73" s="323">
        <f t="shared" si="10"/>
        <v>36</v>
      </c>
      <c r="E73" s="323">
        <f t="shared" si="11"/>
        <v>2</v>
      </c>
      <c r="F73" s="366"/>
      <c r="G73" s="366"/>
      <c r="H73" s="366"/>
      <c r="I73" s="366"/>
      <c r="J73" s="366"/>
      <c r="K73" s="366"/>
      <c r="L73" s="366"/>
      <c r="M73" s="366"/>
      <c r="N73" s="366"/>
      <c r="P73" s="314"/>
      <c r="Q73" s="314"/>
    </row>
    <row r="74" spans="1:19" s="304" customFormat="1" ht="16.5" x14ac:dyDescent="0.25">
      <c r="A74" s="311">
        <v>21</v>
      </c>
      <c r="B74" s="320" t="s">
        <v>230</v>
      </c>
      <c r="C74" s="323">
        <f t="shared" si="9"/>
        <v>38</v>
      </c>
      <c r="D74" s="323">
        <f t="shared" si="10"/>
        <v>36</v>
      </c>
      <c r="E74" s="323">
        <f t="shared" si="11"/>
        <v>2</v>
      </c>
      <c r="F74" s="366"/>
      <c r="G74" s="366"/>
      <c r="H74" s="366"/>
      <c r="I74" s="366"/>
      <c r="J74" s="366"/>
      <c r="K74" s="366"/>
      <c r="L74" s="366"/>
      <c r="M74" s="366"/>
      <c r="N74" s="366"/>
      <c r="P74" s="314"/>
      <c r="Q74" s="314"/>
    </row>
    <row r="75" spans="1:19" s="304" customFormat="1" ht="16.5" x14ac:dyDescent="0.25">
      <c r="A75" s="311">
        <v>22</v>
      </c>
      <c r="B75" s="320" t="s">
        <v>231</v>
      </c>
      <c r="C75" s="323">
        <f t="shared" si="9"/>
        <v>38</v>
      </c>
      <c r="D75" s="323">
        <f t="shared" si="10"/>
        <v>36</v>
      </c>
      <c r="E75" s="323">
        <f t="shared" si="11"/>
        <v>2</v>
      </c>
      <c r="F75" s="366"/>
      <c r="G75" s="366"/>
      <c r="H75" s="366"/>
      <c r="I75" s="366"/>
      <c r="J75" s="366"/>
      <c r="K75" s="366"/>
      <c r="L75" s="366"/>
      <c r="M75" s="366"/>
      <c r="N75" s="366"/>
      <c r="P75" s="314"/>
      <c r="Q75" s="314"/>
    </row>
    <row r="76" spans="1:19" s="304" customFormat="1" ht="16.5" x14ac:dyDescent="0.25">
      <c r="A76" s="311">
        <v>23</v>
      </c>
      <c r="B76" s="320" t="s">
        <v>143</v>
      </c>
      <c r="C76" s="323">
        <f t="shared" si="9"/>
        <v>38</v>
      </c>
      <c r="D76" s="323">
        <f t="shared" si="10"/>
        <v>36</v>
      </c>
      <c r="E76" s="323">
        <f t="shared" si="11"/>
        <v>2</v>
      </c>
      <c r="F76" s="366"/>
      <c r="G76" s="366"/>
      <c r="H76" s="366"/>
      <c r="I76" s="366"/>
      <c r="J76" s="366"/>
      <c r="K76" s="366"/>
      <c r="L76" s="366"/>
      <c r="M76" s="366"/>
      <c r="N76" s="366"/>
      <c r="P76" s="314"/>
      <c r="Q76" s="314"/>
    </row>
    <row r="77" spans="1:19" s="304" customFormat="1" ht="16.5" x14ac:dyDescent="0.25">
      <c r="A77" s="311">
        <v>24</v>
      </c>
      <c r="B77" s="320" t="s">
        <v>249</v>
      </c>
      <c r="C77" s="323">
        <f t="shared" si="9"/>
        <v>38</v>
      </c>
      <c r="D77" s="323">
        <f t="shared" si="10"/>
        <v>36</v>
      </c>
      <c r="E77" s="323">
        <f t="shared" si="11"/>
        <v>2</v>
      </c>
      <c r="F77" s="366"/>
      <c r="G77" s="366"/>
      <c r="H77" s="366"/>
      <c r="I77" s="366"/>
      <c r="J77" s="366"/>
      <c r="K77" s="366"/>
      <c r="L77" s="366"/>
      <c r="M77" s="366"/>
      <c r="N77" s="366"/>
      <c r="P77" s="314"/>
      <c r="Q77" s="314"/>
    </row>
    <row r="78" spans="1:19" s="304" customFormat="1" ht="16.5" x14ac:dyDescent="0.25">
      <c r="A78" s="308" t="s">
        <v>31</v>
      </c>
      <c r="B78" s="309" t="s">
        <v>242</v>
      </c>
      <c r="C78" s="327">
        <f>SUM(C79:C86)</f>
        <v>2123</v>
      </c>
      <c r="D78" s="327">
        <f t="shared" ref="D78:E78" si="12">SUM(D79:D86)</f>
        <v>2010</v>
      </c>
      <c r="E78" s="327">
        <f t="shared" si="12"/>
        <v>113</v>
      </c>
      <c r="F78" s="365"/>
      <c r="G78" s="365"/>
      <c r="H78" s="365"/>
      <c r="I78" s="365"/>
      <c r="J78" s="365"/>
      <c r="K78" s="365"/>
      <c r="L78" s="365"/>
      <c r="M78" s="365"/>
      <c r="N78" s="365"/>
      <c r="P78" s="328"/>
      <c r="Q78" s="328"/>
      <c r="R78" s="329"/>
      <c r="S78" s="330"/>
    </row>
    <row r="79" spans="1:19" s="314" customFormat="1" ht="16.5" x14ac:dyDescent="0.25">
      <c r="A79" s="311">
        <v>1</v>
      </c>
      <c r="B79" s="331" t="s">
        <v>38</v>
      </c>
      <c r="C79" s="323">
        <f>D79+E79</f>
        <v>265</v>
      </c>
      <c r="D79" s="323">
        <f>F46</f>
        <v>251</v>
      </c>
      <c r="E79" s="323">
        <f>ROUND(D79*5.73%,0)</f>
        <v>14</v>
      </c>
      <c r="F79" s="366"/>
      <c r="G79" s="366"/>
      <c r="H79" s="366"/>
      <c r="I79" s="366"/>
      <c r="J79" s="366"/>
      <c r="K79" s="366"/>
      <c r="L79" s="366"/>
      <c r="M79" s="366"/>
      <c r="N79" s="366"/>
      <c r="P79" s="328"/>
      <c r="Q79" s="328"/>
      <c r="R79" s="328"/>
      <c r="S79" s="332"/>
    </row>
    <row r="80" spans="1:19" s="314" customFormat="1" ht="16.5" x14ac:dyDescent="0.25">
      <c r="A80" s="311">
        <v>2</v>
      </c>
      <c r="B80" s="331" t="s">
        <v>39</v>
      </c>
      <c r="C80" s="323">
        <f t="shared" ref="C80:C86" si="13">D80+E80</f>
        <v>299</v>
      </c>
      <c r="D80" s="323">
        <f>G46</f>
        <v>283</v>
      </c>
      <c r="E80" s="323">
        <f t="shared" ref="E80:E86" si="14">ROUND(D80*5.73%,0)</f>
        <v>16</v>
      </c>
      <c r="F80" s="366"/>
      <c r="G80" s="366"/>
      <c r="H80" s="366"/>
      <c r="I80" s="366"/>
      <c r="J80" s="366"/>
      <c r="K80" s="366"/>
      <c r="L80" s="366"/>
      <c r="M80" s="366"/>
      <c r="N80" s="366"/>
      <c r="P80" s="328"/>
      <c r="Q80" s="328"/>
      <c r="R80" s="328"/>
      <c r="S80" s="332"/>
    </row>
    <row r="81" spans="1:19" s="314" customFormat="1" ht="16.5" x14ac:dyDescent="0.25">
      <c r="A81" s="311">
        <v>3</v>
      </c>
      <c r="B81" s="331" t="s">
        <v>40</v>
      </c>
      <c r="C81" s="323">
        <f t="shared" si="13"/>
        <v>260</v>
      </c>
      <c r="D81" s="323">
        <f>H46</f>
        <v>246</v>
      </c>
      <c r="E81" s="323">
        <f t="shared" si="14"/>
        <v>14</v>
      </c>
      <c r="F81" s="366"/>
      <c r="G81" s="366"/>
      <c r="H81" s="366"/>
      <c r="I81" s="366"/>
      <c r="J81" s="366"/>
      <c r="K81" s="366"/>
      <c r="L81" s="366"/>
      <c r="M81" s="366"/>
      <c r="N81" s="366"/>
      <c r="P81" s="328"/>
      <c r="Q81" s="328"/>
      <c r="R81" s="328"/>
      <c r="S81" s="332"/>
    </row>
    <row r="82" spans="1:19" s="314" customFormat="1" ht="16.5" x14ac:dyDescent="0.25">
      <c r="A82" s="311">
        <v>4</v>
      </c>
      <c r="B82" s="331" t="s">
        <v>41</v>
      </c>
      <c r="C82" s="323">
        <f t="shared" si="13"/>
        <v>265</v>
      </c>
      <c r="D82" s="323">
        <f>I46</f>
        <v>251</v>
      </c>
      <c r="E82" s="323">
        <f t="shared" si="14"/>
        <v>14</v>
      </c>
      <c r="F82" s="366"/>
      <c r="G82" s="366"/>
      <c r="H82" s="366"/>
      <c r="I82" s="366"/>
      <c r="J82" s="366"/>
      <c r="K82" s="366"/>
      <c r="L82" s="366"/>
      <c r="M82" s="366"/>
      <c r="N82" s="366"/>
      <c r="P82" s="328"/>
      <c r="Q82" s="328"/>
      <c r="R82" s="328"/>
      <c r="S82" s="332"/>
    </row>
    <row r="83" spans="1:19" s="314" customFormat="1" ht="16.5" x14ac:dyDescent="0.25">
      <c r="A83" s="311">
        <v>5</v>
      </c>
      <c r="B83" s="331" t="s">
        <v>42</v>
      </c>
      <c r="C83" s="323">
        <f t="shared" si="13"/>
        <v>395</v>
      </c>
      <c r="D83" s="323">
        <f>J46</f>
        <v>374</v>
      </c>
      <c r="E83" s="323">
        <f t="shared" si="14"/>
        <v>21</v>
      </c>
      <c r="F83" s="366"/>
      <c r="G83" s="366"/>
      <c r="H83" s="366"/>
      <c r="I83" s="366"/>
      <c r="J83" s="366"/>
      <c r="K83" s="366"/>
      <c r="L83" s="366"/>
      <c r="M83" s="366"/>
      <c r="N83" s="366"/>
      <c r="P83" s="328"/>
      <c r="Q83" s="328"/>
      <c r="R83" s="328"/>
      <c r="S83" s="332"/>
    </row>
    <row r="84" spans="1:19" s="314" customFormat="1" ht="16.5" x14ac:dyDescent="0.25">
      <c r="A84" s="311">
        <v>6</v>
      </c>
      <c r="B84" s="331" t="s">
        <v>43</v>
      </c>
      <c r="C84" s="323">
        <f t="shared" si="13"/>
        <v>283</v>
      </c>
      <c r="D84" s="323">
        <f>K46</f>
        <v>268</v>
      </c>
      <c r="E84" s="323">
        <f t="shared" si="14"/>
        <v>15</v>
      </c>
      <c r="F84" s="366"/>
      <c r="G84" s="366"/>
      <c r="H84" s="366"/>
      <c r="I84" s="366"/>
      <c r="J84" s="366"/>
      <c r="K84" s="366"/>
      <c r="L84" s="366"/>
      <c r="M84" s="366"/>
      <c r="N84" s="366"/>
      <c r="P84" s="328"/>
      <c r="Q84" s="328"/>
      <c r="R84" s="328"/>
      <c r="S84" s="332"/>
    </row>
    <row r="85" spans="1:19" s="314" customFormat="1" ht="16.5" x14ac:dyDescent="0.25">
      <c r="A85" s="311">
        <v>7</v>
      </c>
      <c r="B85" s="331" t="s">
        <v>44</v>
      </c>
      <c r="C85" s="323">
        <f t="shared" si="13"/>
        <v>311</v>
      </c>
      <c r="D85" s="323">
        <f>L46</f>
        <v>294</v>
      </c>
      <c r="E85" s="323">
        <f t="shared" si="14"/>
        <v>17</v>
      </c>
      <c r="F85" s="366"/>
      <c r="G85" s="366"/>
      <c r="H85" s="366"/>
      <c r="I85" s="366"/>
      <c r="J85" s="366"/>
      <c r="K85" s="366"/>
      <c r="L85" s="366"/>
      <c r="M85" s="366"/>
      <c r="N85" s="366"/>
      <c r="P85" s="328"/>
      <c r="Q85" s="328"/>
      <c r="R85" s="328"/>
      <c r="S85" s="332"/>
    </row>
    <row r="86" spans="1:19" s="314" customFormat="1" ht="16.5" x14ac:dyDescent="0.25">
      <c r="A86" s="315">
        <v>8</v>
      </c>
      <c r="B86" s="333" t="s">
        <v>45</v>
      </c>
      <c r="C86" s="324">
        <f t="shared" si="13"/>
        <v>45</v>
      </c>
      <c r="D86" s="324">
        <f>M46</f>
        <v>43</v>
      </c>
      <c r="E86" s="324">
        <f t="shared" si="14"/>
        <v>2</v>
      </c>
      <c r="F86" s="366"/>
      <c r="G86" s="366"/>
      <c r="H86" s="366"/>
      <c r="I86" s="366"/>
      <c r="J86" s="366"/>
      <c r="K86" s="366"/>
      <c r="L86" s="366"/>
      <c r="M86" s="366"/>
      <c r="N86" s="366"/>
      <c r="P86" s="328"/>
      <c r="Q86" s="328"/>
      <c r="R86" s="328"/>
      <c r="S86" s="332"/>
    </row>
    <row r="88" spans="1:19" x14ac:dyDescent="0.25">
      <c r="D88" s="335"/>
      <c r="E88" s="335"/>
    </row>
    <row r="89" spans="1:19" x14ac:dyDescent="0.25">
      <c r="D89" s="31"/>
      <c r="E89" s="336"/>
    </row>
    <row r="90" spans="1:19" x14ac:dyDescent="0.25">
      <c r="D90" s="31"/>
      <c r="E90" s="336"/>
    </row>
    <row r="91" spans="1:19" x14ac:dyDescent="0.25">
      <c r="A91" s="302"/>
      <c r="D91" s="31"/>
      <c r="E91" s="336"/>
    </row>
    <row r="92" spans="1:19" x14ac:dyDescent="0.25">
      <c r="A92" s="302"/>
      <c r="D92" s="31"/>
      <c r="E92" s="336"/>
    </row>
    <row r="93" spans="1:19" x14ac:dyDescent="0.25">
      <c r="A93" s="302"/>
      <c r="D93" s="31"/>
      <c r="E93" s="336"/>
    </row>
    <row r="94" spans="1:19" x14ac:dyDescent="0.25">
      <c r="A94" s="302"/>
      <c r="D94" s="31"/>
      <c r="E94" s="336"/>
    </row>
    <row r="95" spans="1:19" x14ac:dyDescent="0.25">
      <c r="A95" s="302"/>
      <c r="D95" s="31"/>
      <c r="E95" s="336"/>
    </row>
    <row r="96" spans="1:19" x14ac:dyDescent="0.25">
      <c r="A96" s="302"/>
      <c r="D96" s="31"/>
      <c r="E96" s="336"/>
    </row>
  </sheetData>
  <mergeCells count="34">
    <mergeCell ref="A52:B52"/>
    <mergeCell ref="Q1:T1"/>
    <mergeCell ref="D16:E16"/>
    <mergeCell ref="F16:G16"/>
    <mergeCell ref="A15:A17"/>
    <mergeCell ref="B15:B17"/>
    <mergeCell ref="C15:C17"/>
    <mergeCell ref="D15:G15"/>
    <mergeCell ref="C50:C51"/>
    <mergeCell ref="D50:E50"/>
    <mergeCell ref="A47:T47"/>
    <mergeCell ref="D48:E48"/>
    <mergeCell ref="A49:A51"/>
    <mergeCell ref="B49:B51"/>
    <mergeCell ref="C49:E49"/>
    <mergeCell ref="A18:B18"/>
    <mergeCell ref="A43:T43"/>
    <mergeCell ref="A44:A45"/>
    <mergeCell ref="B44:B45"/>
    <mergeCell ref="C44:C45"/>
    <mergeCell ref="D44:D45"/>
    <mergeCell ref="E44:E45"/>
    <mergeCell ref="F44:M44"/>
    <mergeCell ref="B8:T8"/>
    <mergeCell ref="A13:M13"/>
    <mergeCell ref="A14:T14"/>
    <mergeCell ref="A2:T2"/>
    <mergeCell ref="A3:T3"/>
    <mergeCell ref="A5:T5"/>
    <mergeCell ref="A6:A7"/>
    <mergeCell ref="B6:B7"/>
    <mergeCell ref="C6:C7"/>
    <mergeCell ref="D6:K6"/>
    <mergeCell ref="L6:T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72"/>
  <sheetViews>
    <sheetView view="pageLayout" topLeftCell="A7" zoomScaleNormal="100" zoomScaleSheetLayoutView="115" workbookViewId="0">
      <selection activeCell="C18" sqref="C18"/>
    </sheetView>
  </sheetViews>
  <sheetFormatPr defaultColWidth="9" defaultRowHeight="15.75" x14ac:dyDescent="0.25"/>
  <cols>
    <col min="1" max="1" width="7.125" style="1004" customWidth="1"/>
    <col min="2" max="2" width="30.375" style="992" customWidth="1"/>
    <col min="3" max="3" width="54.75" style="706" customWidth="1"/>
    <col min="4" max="4" width="10" style="691" customWidth="1"/>
    <col min="5" max="7" width="0" style="676" hidden="1" customWidth="1"/>
    <col min="8" max="16384" width="9" style="676"/>
  </cols>
  <sheetData>
    <row r="1" spans="1:7" s="675" customFormat="1" ht="35.25" customHeight="1" x14ac:dyDescent="0.25">
      <c r="A1" s="1060" t="s">
        <v>1291</v>
      </c>
      <c r="B1" s="1060"/>
      <c r="C1" s="1060"/>
      <c r="D1" s="1060"/>
    </row>
    <row r="2" spans="1:7" x14ac:dyDescent="0.25">
      <c r="A2" s="1061" t="str">
        <f>'PL 1'!A3:B3</f>
        <v>(Kèm theo Nghị quyết số            /NQ-HĐND ngày           tháng 12 năm 2022 của HĐND tỉnh Bắc Kạn)</v>
      </c>
      <c r="B2" s="1061"/>
      <c r="C2" s="1061"/>
      <c r="D2" s="1061"/>
    </row>
    <row r="3" spans="1:7" ht="10.5" customHeight="1" x14ac:dyDescent="0.25">
      <c r="A3" s="914"/>
      <c r="B3" s="914"/>
      <c r="C3" s="914"/>
      <c r="D3" s="914"/>
    </row>
    <row r="4" spans="1:7" x14ac:dyDescent="0.25">
      <c r="C4" s="1069" t="s">
        <v>511</v>
      </c>
      <c r="D4" s="1069"/>
    </row>
    <row r="5" spans="1:7" ht="36" customHeight="1" x14ac:dyDescent="0.25">
      <c r="A5" s="677" t="s">
        <v>512</v>
      </c>
      <c r="B5" s="677" t="s">
        <v>36</v>
      </c>
      <c r="C5" s="692" t="s">
        <v>513</v>
      </c>
      <c r="D5" s="678" t="s">
        <v>514</v>
      </c>
    </row>
    <row r="6" spans="1:7" ht="34.5" customHeight="1" x14ac:dyDescent="0.25">
      <c r="A6" s="1005">
        <v>1</v>
      </c>
      <c r="B6" s="974" t="s">
        <v>515</v>
      </c>
      <c r="C6" s="993"/>
      <c r="D6" s="975">
        <f>SUM(D7:D12)</f>
        <v>5955.9</v>
      </c>
      <c r="E6" s="691"/>
      <c r="G6" s="691"/>
    </row>
    <row r="7" spans="1:7" ht="19.5" customHeight="1" x14ac:dyDescent="0.25">
      <c r="A7" s="1065"/>
      <c r="B7" s="1067"/>
      <c r="C7" s="679" t="s">
        <v>516</v>
      </c>
      <c r="D7" s="680">
        <v>774</v>
      </c>
    </row>
    <row r="8" spans="1:7" ht="19.5" customHeight="1" x14ac:dyDescent="0.25">
      <c r="A8" s="1065"/>
      <c r="B8" s="1067"/>
      <c r="C8" s="679" t="s">
        <v>517</v>
      </c>
      <c r="D8" s="680">
        <v>2141.6999999999998</v>
      </c>
    </row>
    <row r="9" spans="1:7" ht="19.5" customHeight="1" x14ac:dyDescent="0.25">
      <c r="A9" s="1065"/>
      <c r="B9" s="1067"/>
      <c r="C9" s="679" t="s">
        <v>518</v>
      </c>
      <c r="D9" s="680">
        <v>1449.8</v>
      </c>
    </row>
    <row r="10" spans="1:7" ht="19.5" customHeight="1" x14ac:dyDescent="0.25">
      <c r="A10" s="1065"/>
      <c r="B10" s="1067"/>
      <c r="C10" s="679" t="s">
        <v>519</v>
      </c>
      <c r="D10" s="680">
        <v>765.4</v>
      </c>
    </row>
    <row r="11" spans="1:7" ht="19.5" customHeight="1" x14ac:dyDescent="0.25">
      <c r="A11" s="1065"/>
      <c r="B11" s="1067"/>
      <c r="C11" s="693" t="s">
        <v>520</v>
      </c>
      <c r="D11" s="680">
        <v>535</v>
      </c>
    </row>
    <row r="12" spans="1:7" ht="19.5" customHeight="1" x14ac:dyDescent="0.25">
      <c r="A12" s="1065"/>
      <c r="B12" s="1067"/>
      <c r="C12" s="694" t="s">
        <v>1217</v>
      </c>
      <c r="D12" s="680">
        <v>290</v>
      </c>
    </row>
    <row r="13" spans="1:7" x14ac:dyDescent="0.25">
      <c r="A13" s="991">
        <v>2</v>
      </c>
      <c r="B13" s="976" t="s">
        <v>521</v>
      </c>
      <c r="C13" s="695"/>
      <c r="D13" s="681">
        <f>SUM(D14:D24)</f>
        <v>18261.22</v>
      </c>
    </row>
    <row r="14" spans="1:7" ht="110.25" x14ac:dyDescent="0.25">
      <c r="A14" s="1070"/>
      <c r="B14" s="1071"/>
      <c r="C14" s="910" t="s">
        <v>1218</v>
      </c>
      <c r="D14" s="682">
        <f>320+44.8+171+634+84.5+84.5</f>
        <v>1338.8</v>
      </c>
    </row>
    <row r="15" spans="1:7" ht="27.75" customHeight="1" x14ac:dyDescent="0.25">
      <c r="A15" s="1070"/>
      <c r="B15" s="1071"/>
      <c r="C15" s="910" t="s">
        <v>1219</v>
      </c>
      <c r="D15" s="682">
        <f>1100+247.71+70.17</f>
        <v>1417.88</v>
      </c>
    </row>
    <row r="16" spans="1:7" ht="47.25" x14ac:dyDescent="0.25">
      <c r="A16" s="1070"/>
      <c r="B16" s="1071"/>
      <c r="C16" s="910" t="s">
        <v>1220</v>
      </c>
      <c r="D16" s="682">
        <v>2536</v>
      </c>
    </row>
    <row r="17" spans="1:4" ht="63" x14ac:dyDescent="0.25">
      <c r="A17" s="1070"/>
      <c r="B17" s="1071"/>
      <c r="C17" s="910" t="s">
        <v>1221</v>
      </c>
      <c r="D17" s="682">
        <f>169+169+84.54+169+35+135+70+423</f>
        <v>1254.54</v>
      </c>
    </row>
    <row r="18" spans="1:4" ht="47.25" x14ac:dyDescent="0.25">
      <c r="A18" s="1070"/>
      <c r="B18" s="1071"/>
      <c r="C18" s="910" t="s">
        <v>1222</v>
      </c>
      <c r="D18" s="682">
        <f>220+465+296+465</f>
        <v>1446</v>
      </c>
    </row>
    <row r="19" spans="1:4" x14ac:dyDescent="0.25">
      <c r="A19" s="1070"/>
      <c r="B19" s="1071"/>
      <c r="C19" s="910" t="s">
        <v>539</v>
      </c>
      <c r="D19" s="682">
        <v>1203</v>
      </c>
    </row>
    <row r="20" spans="1:4" ht="31.5" x14ac:dyDescent="0.25">
      <c r="A20" s="1070"/>
      <c r="B20" s="1071"/>
      <c r="C20" s="693" t="s">
        <v>1223</v>
      </c>
      <c r="D20" s="682">
        <f>230+946+80</f>
        <v>1256</v>
      </c>
    </row>
    <row r="21" spans="1:4" ht="31.5" x14ac:dyDescent="0.25">
      <c r="A21" s="1070"/>
      <c r="B21" s="1071"/>
      <c r="C21" s="693" t="s">
        <v>546</v>
      </c>
      <c r="D21" s="682">
        <v>130</v>
      </c>
    </row>
    <row r="22" spans="1:4" ht="31.5" x14ac:dyDescent="0.25">
      <c r="A22" s="1070"/>
      <c r="B22" s="1071"/>
      <c r="C22" s="697" t="s">
        <v>547</v>
      </c>
      <c r="D22" s="683">
        <v>3679</v>
      </c>
    </row>
    <row r="23" spans="1:4" ht="31.5" x14ac:dyDescent="0.25">
      <c r="A23" s="1070"/>
      <c r="B23" s="1071"/>
      <c r="C23" s="697" t="s">
        <v>548</v>
      </c>
      <c r="D23" s="683">
        <v>2000</v>
      </c>
    </row>
    <row r="24" spans="1:4" x14ac:dyDescent="0.25">
      <c r="A24" s="1070"/>
      <c r="B24" s="1071"/>
      <c r="C24" s="697" t="s">
        <v>549</v>
      </c>
      <c r="D24" s="683">
        <v>2000</v>
      </c>
    </row>
    <row r="25" spans="1:4" x14ac:dyDescent="0.25">
      <c r="A25" s="991">
        <v>3</v>
      </c>
      <c r="B25" s="976" t="s">
        <v>89</v>
      </c>
      <c r="C25" s="695"/>
      <c r="D25" s="681">
        <f>SUM(D26:D36)</f>
        <v>10909.877</v>
      </c>
    </row>
    <row r="26" spans="1:4" ht="25.9" customHeight="1" x14ac:dyDescent="0.25">
      <c r="A26" s="1065"/>
      <c r="B26" s="1067"/>
      <c r="C26" s="994" t="s">
        <v>550</v>
      </c>
      <c r="D26" s="978">
        <v>245</v>
      </c>
    </row>
    <row r="27" spans="1:4" x14ac:dyDescent="0.25">
      <c r="A27" s="1065"/>
      <c r="B27" s="1067"/>
      <c r="C27" s="994" t="s">
        <v>553</v>
      </c>
      <c r="D27" s="978">
        <v>416</v>
      </c>
    </row>
    <row r="28" spans="1:4" x14ac:dyDescent="0.25">
      <c r="A28" s="1065"/>
      <c r="B28" s="1067"/>
      <c r="C28" s="994" t="s">
        <v>557</v>
      </c>
      <c r="D28" s="978">
        <v>280</v>
      </c>
    </row>
    <row r="29" spans="1:4" x14ac:dyDescent="0.25">
      <c r="A29" s="1065"/>
      <c r="B29" s="1067"/>
      <c r="C29" s="994" t="s">
        <v>1224</v>
      </c>
      <c r="D29" s="978">
        <v>276.1198000000004</v>
      </c>
    </row>
    <row r="30" spans="1:4" x14ac:dyDescent="0.25">
      <c r="A30" s="1065"/>
      <c r="B30" s="1067"/>
      <c r="C30" s="994" t="s">
        <v>1225</v>
      </c>
      <c r="D30" s="978">
        <v>4960</v>
      </c>
    </row>
    <row r="31" spans="1:4" x14ac:dyDescent="0.25">
      <c r="A31" s="1065"/>
      <c r="B31" s="1067"/>
      <c r="C31" s="994" t="s">
        <v>1226</v>
      </c>
      <c r="D31" s="978">
        <v>274.57719999999972</v>
      </c>
    </row>
    <row r="32" spans="1:4" x14ac:dyDescent="0.25">
      <c r="A32" s="1065"/>
      <c r="B32" s="1067"/>
      <c r="C32" s="994" t="s">
        <v>562</v>
      </c>
      <c r="D32" s="978">
        <v>126.17999999999999</v>
      </c>
    </row>
    <row r="33" spans="1:4" ht="31.5" x14ac:dyDescent="0.25">
      <c r="A33" s="1065"/>
      <c r="B33" s="1067"/>
      <c r="C33" s="994" t="s">
        <v>563</v>
      </c>
      <c r="D33" s="978">
        <v>250</v>
      </c>
    </row>
    <row r="34" spans="1:4" x14ac:dyDescent="0.25">
      <c r="A34" s="1065"/>
      <c r="B34" s="1067"/>
      <c r="C34" s="994" t="s">
        <v>564</v>
      </c>
      <c r="D34" s="978">
        <v>582</v>
      </c>
    </row>
    <row r="35" spans="1:4" ht="31.5" x14ac:dyDescent="0.25">
      <c r="A35" s="1065"/>
      <c r="B35" s="1067"/>
      <c r="C35" s="994" t="s">
        <v>1227</v>
      </c>
      <c r="D35" s="978">
        <v>1500</v>
      </c>
    </row>
    <row r="36" spans="1:4" x14ac:dyDescent="0.25">
      <c r="A36" s="1065"/>
      <c r="B36" s="1067"/>
      <c r="C36" s="994" t="s">
        <v>1175</v>
      </c>
      <c r="D36" s="978">
        <v>2000</v>
      </c>
    </row>
    <row r="37" spans="1:4" x14ac:dyDescent="0.25">
      <c r="A37" s="991">
        <v>4</v>
      </c>
      <c r="B37" s="976" t="s">
        <v>225</v>
      </c>
      <c r="C37" s="695"/>
      <c r="D37" s="681">
        <f>SUM(D38:D41)</f>
        <v>2710.0365999999999</v>
      </c>
    </row>
    <row r="38" spans="1:4" x14ac:dyDescent="0.25">
      <c r="A38" s="1065"/>
      <c r="B38" s="1067"/>
      <c r="C38" s="994" t="s">
        <v>567</v>
      </c>
      <c r="D38" s="978">
        <v>187.53300000000002</v>
      </c>
    </row>
    <row r="39" spans="1:4" ht="31.5" x14ac:dyDescent="0.25">
      <c r="A39" s="1065"/>
      <c r="B39" s="1067"/>
      <c r="C39" s="994" t="s">
        <v>572</v>
      </c>
      <c r="D39" s="978">
        <v>209.34360000000001</v>
      </c>
    </row>
    <row r="40" spans="1:4" x14ac:dyDescent="0.25">
      <c r="A40" s="1065"/>
      <c r="B40" s="1067"/>
      <c r="C40" s="994" t="s">
        <v>1228</v>
      </c>
      <c r="D40" s="978">
        <v>2000</v>
      </c>
    </row>
    <row r="41" spans="1:4" x14ac:dyDescent="0.25">
      <c r="A41" s="1065"/>
      <c r="B41" s="1067"/>
      <c r="C41" s="994" t="s">
        <v>1229</v>
      </c>
      <c r="D41" s="978">
        <v>313.16000000000003</v>
      </c>
    </row>
    <row r="42" spans="1:4" x14ac:dyDescent="0.25">
      <c r="A42" s="991">
        <v>5</v>
      </c>
      <c r="B42" s="976" t="s">
        <v>223</v>
      </c>
      <c r="C42" s="695"/>
      <c r="D42" s="681">
        <f>SUM(D43:D60)</f>
        <v>10773</v>
      </c>
    </row>
    <row r="43" spans="1:4" x14ac:dyDescent="0.25">
      <c r="A43" s="1070"/>
      <c r="B43" s="1071"/>
      <c r="C43" s="684" t="s">
        <v>574</v>
      </c>
      <c r="D43" s="680">
        <v>500</v>
      </c>
    </row>
    <row r="44" spans="1:4" ht="31.5" x14ac:dyDescent="0.25">
      <c r="A44" s="1070"/>
      <c r="B44" s="1071"/>
      <c r="C44" s="684" t="s">
        <v>575</v>
      </c>
      <c r="D44" s="680">
        <v>600</v>
      </c>
    </row>
    <row r="45" spans="1:4" x14ac:dyDescent="0.25">
      <c r="A45" s="1070"/>
      <c r="B45" s="1071"/>
      <c r="C45" s="684" t="s">
        <v>576</v>
      </c>
      <c r="D45" s="680">
        <v>250</v>
      </c>
    </row>
    <row r="46" spans="1:4" x14ac:dyDescent="0.25">
      <c r="A46" s="1070"/>
      <c r="B46" s="1071"/>
      <c r="C46" s="684" t="s">
        <v>577</v>
      </c>
      <c r="D46" s="680">
        <v>70</v>
      </c>
    </row>
    <row r="47" spans="1:4" ht="31.5" x14ac:dyDescent="0.25">
      <c r="A47" s="1070"/>
      <c r="B47" s="1071"/>
      <c r="C47" s="684" t="s">
        <v>578</v>
      </c>
      <c r="D47" s="680">
        <v>150</v>
      </c>
    </row>
    <row r="48" spans="1:4" x14ac:dyDescent="0.25">
      <c r="A48" s="1070"/>
      <c r="B48" s="1071"/>
      <c r="C48" s="693" t="s">
        <v>579</v>
      </c>
      <c r="D48" s="680">
        <v>75</v>
      </c>
    </row>
    <row r="49" spans="1:4" x14ac:dyDescent="0.25">
      <c r="A49" s="1070"/>
      <c r="B49" s="1071"/>
      <c r="C49" s="684" t="s">
        <v>580</v>
      </c>
      <c r="D49" s="680">
        <v>75</v>
      </c>
    </row>
    <row r="50" spans="1:4" x14ac:dyDescent="0.25">
      <c r="A50" s="1070"/>
      <c r="B50" s="1071"/>
      <c r="C50" s="684" t="s">
        <v>581</v>
      </c>
      <c r="D50" s="680">
        <v>30</v>
      </c>
    </row>
    <row r="51" spans="1:4" x14ac:dyDescent="0.25">
      <c r="A51" s="1070"/>
      <c r="B51" s="1071"/>
      <c r="C51" s="693" t="s">
        <v>582</v>
      </c>
      <c r="D51" s="680">
        <v>1000</v>
      </c>
    </row>
    <row r="52" spans="1:4" x14ac:dyDescent="0.25">
      <c r="A52" s="1070"/>
      <c r="B52" s="1071"/>
      <c r="C52" s="693" t="s">
        <v>583</v>
      </c>
      <c r="D52" s="680">
        <v>250</v>
      </c>
    </row>
    <row r="53" spans="1:4" x14ac:dyDescent="0.25">
      <c r="A53" s="1070"/>
      <c r="B53" s="1071"/>
      <c r="C53" s="693" t="s">
        <v>584</v>
      </c>
      <c r="D53" s="680">
        <v>150</v>
      </c>
    </row>
    <row r="54" spans="1:4" x14ac:dyDescent="0.25">
      <c r="A54" s="1070"/>
      <c r="B54" s="1071"/>
      <c r="C54" s="693" t="s">
        <v>585</v>
      </c>
      <c r="D54" s="680">
        <v>250</v>
      </c>
    </row>
    <row r="55" spans="1:4" ht="31.5" x14ac:dyDescent="0.25">
      <c r="A55" s="1070"/>
      <c r="B55" s="1071"/>
      <c r="C55" s="693" t="s">
        <v>586</v>
      </c>
      <c r="D55" s="680">
        <v>3000</v>
      </c>
    </row>
    <row r="56" spans="1:4" x14ac:dyDescent="0.25">
      <c r="A56" s="1070"/>
      <c r="B56" s="1071"/>
      <c r="C56" s="693" t="s">
        <v>587</v>
      </c>
      <c r="D56" s="680">
        <v>35</v>
      </c>
    </row>
    <row r="57" spans="1:4" x14ac:dyDescent="0.25">
      <c r="A57" s="1070"/>
      <c r="B57" s="1071"/>
      <c r="C57" s="684" t="s">
        <v>588</v>
      </c>
      <c r="D57" s="680">
        <v>1000</v>
      </c>
    </row>
    <row r="58" spans="1:4" ht="31.5" x14ac:dyDescent="0.25">
      <c r="A58" s="1070"/>
      <c r="B58" s="1071"/>
      <c r="C58" s="979" t="s">
        <v>589</v>
      </c>
      <c r="D58" s="680">
        <v>800</v>
      </c>
    </row>
    <row r="59" spans="1:4" x14ac:dyDescent="0.25">
      <c r="A59" s="1070"/>
      <c r="B59" s="1071"/>
      <c r="C59" s="679" t="s">
        <v>590</v>
      </c>
      <c r="D59" s="685">
        <v>140</v>
      </c>
    </row>
    <row r="60" spans="1:4" ht="47.25" x14ac:dyDescent="0.25">
      <c r="A60" s="1070"/>
      <c r="B60" s="1071"/>
      <c r="C60" s="693" t="s">
        <v>1230</v>
      </c>
      <c r="D60" s="685">
        <v>2398</v>
      </c>
    </row>
    <row r="61" spans="1:4" x14ac:dyDescent="0.25">
      <c r="A61" s="991">
        <v>6</v>
      </c>
      <c r="B61" s="976" t="s">
        <v>131</v>
      </c>
      <c r="C61" s="695"/>
      <c r="D61" s="681">
        <f>SUM(D62:D68)</f>
        <v>3707.0816999999997</v>
      </c>
    </row>
    <row r="62" spans="1:4" ht="31.5" x14ac:dyDescent="0.25">
      <c r="A62" s="1065"/>
      <c r="B62" s="1067"/>
      <c r="C62" s="994" t="s">
        <v>594</v>
      </c>
      <c r="D62" s="978">
        <v>638</v>
      </c>
    </row>
    <row r="63" spans="1:4" x14ac:dyDescent="0.25">
      <c r="A63" s="1065"/>
      <c r="B63" s="1067"/>
      <c r="C63" s="994" t="s">
        <v>595</v>
      </c>
      <c r="D63" s="978">
        <v>135</v>
      </c>
    </row>
    <row r="64" spans="1:4" ht="31.5" x14ac:dyDescent="0.25">
      <c r="A64" s="1065"/>
      <c r="B64" s="1067"/>
      <c r="C64" s="994" t="s">
        <v>596</v>
      </c>
      <c r="D64" s="978">
        <v>228.48569999999998</v>
      </c>
    </row>
    <row r="65" spans="1:4" x14ac:dyDescent="0.25">
      <c r="A65" s="1065"/>
      <c r="B65" s="1067"/>
      <c r="C65" s="994" t="s">
        <v>1231</v>
      </c>
      <c r="D65" s="978">
        <v>621.68000000000006</v>
      </c>
    </row>
    <row r="66" spans="1:4" x14ac:dyDescent="0.25">
      <c r="A66" s="1065"/>
      <c r="B66" s="1067"/>
      <c r="C66" s="994" t="s">
        <v>601</v>
      </c>
      <c r="D66" s="978">
        <v>1187.9159999999997</v>
      </c>
    </row>
    <row r="67" spans="1:4" x14ac:dyDescent="0.25">
      <c r="A67" s="1065"/>
      <c r="B67" s="1067"/>
      <c r="C67" s="994" t="s">
        <v>1232</v>
      </c>
      <c r="D67" s="978">
        <v>96</v>
      </c>
    </row>
    <row r="68" spans="1:4" ht="31.5" x14ac:dyDescent="0.25">
      <c r="A68" s="1065"/>
      <c r="B68" s="1067"/>
      <c r="C68" s="994" t="s">
        <v>1233</v>
      </c>
      <c r="D68" s="978">
        <v>800</v>
      </c>
    </row>
    <row r="69" spans="1:4" x14ac:dyDescent="0.25">
      <c r="A69" s="991">
        <v>7</v>
      </c>
      <c r="B69" s="976" t="s">
        <v>144</v>
      </c>
      <c r="C69" s="695"/>
      <c r="D69" s="681">
        <f>SUM(D70:D77)</f>
        <v>63163</v>
      </c>
    </row>
    <row r="70" spans="1:4" ht="31.5" x14ac:dyDescent="0.25">
      <c r="A70" s="1065"/>
      <c r="B70" s="1067"/>
      <c r="C70" s="910" t="s">
        <v>1234</v>
      </c>
      <c r="D70" s="682">
        <f>669+86</f>
        <v>755</v>
      </c>
    </row>
    <row r="71" spans="1:4" ht="31.5" x14ac:dyDescent="0.25">
      <c r="A71" s="1065"/>
      <c r="B71" s="1067"/>
      <c r="C71" s="693" t="s">
        <v>1235</v>
      </c>
      <c r="D71" s="682">
        <f>124+64</f>
        <v>188</v>
      </c>
    </row>
    <row r="72" spans="1:4" ht="31.5" x14ac:dyDescent="0.25">
      <c r="A72" s="1065"/>
      <c r="B72" s="1067"/>
      <c r="C72" s="693" t="s">
        <v>1236</v>
      </c>
      <c r="D72" s="682">
        <v>26500</v>
      </c>
    </row>
    <row r="73" spans="1:4" ht="31.5" x14ac:dyDescent="0.25">
      <c r="A73" s="1065"/>
      <c r="B73" s="1067"/>
      <c r="C73" s="693" t="s">
        <v>1237</v>
      </c>
      <c r="D73" s="682">
        <f>500+815</f>
        <v>1315</v>
      </c>
    </row>
    <row r="74" spans="1:4" ht="31.5" x14ac:dyDescent="0.25">
      <c r="A74" s="1065"/>
      <c r="B74" s="1067"/>
      <c r="C74" s="693" t="s">
        <v>608</v>
      </c>
      <c r="D74" s="682">
        <v>32849</v>
      </c>
    </row>
    <row r="75" spans="1:4" x14ac:dyDescent="0.25">
      <c r="A75" s="1065"/>
      <c r="B75" s="1067"/>
      <c r="C75" s="693" t="s">
        <v>610</v>
      </c>
      <c r="D75" s="682">
        <v>1006</v>
      </c>
    </row>
    <row r="76" spans="1:4" ht="31.5" x14ac:dyDescent="0.25">
      <c r="A76" s="1065"/>
      <c r="B76" s="1067"/>
      <c r="C76" s="693" t="s">
        <v>611</v>
      </c>
      <c r="D76" s="682">
        <v>500</v>
      </c>
    </row>
    <row r="77" spans="1:4" x14ac:dyDescent="0.25">
      <c r="A77" s="1065"/>
      <c r="B77" s="1067"/>
      <c r="C77" s="693" t="s">
        <v>612</v>
      </c>
      <c r="D77" s="682">
        <v>50</v>
      </c>
    </row>
    <row r="78" spans="1:4" x14ac:dyDescent="0.25">
      <c r="A78" s="991">
        <v>8</v>
      </c>
      <c r="B78" s="976" t="s">
        <v>143</v>
      </c>
      <c r="C78" s="695"/>
      <c r="D78" s="681">
        <f>SUM(D79:D83)</f>
        <v>3514</v>
      </c>
    </row>
    <row r="79" spans="1:4" ht="63" x14ac:dyDescent="0.25">
      <c r="A79" s="1065"/>
      <c r="B79" s="1067"/>
      <c r="C79" s="693" t="s">
        <v>1238</v>
      </c>
      <c r="D79" s="682">
        <f>60+50+77+25+80</f>
        <v>292</v>
      </c>
    </row>
    <row r="80" spans="1:4" ht="127.5" customHeight="1" x14ac:dyDescent="0.25">
      <c r="A80" s="1065"/>
      <c r="B80" s="1067"/>
      <c r="C80" s="693" t="s">
        <v>1239</v>
      </c>
      <c r="D80" s="682">
        <f>204+149+18+180</f>
        <v>551</v>
      </c>
    </row>
    <row r="81" spans="1:4" ht="31.5" x14ac:dyDescent="0.25">
      <c r="A81" s="1065"/>
      <c r="B81" s="1067"/>
      <c r="C81" s="693" t="s">
        <v>622</v>
      </c>
      <c r="D81" s="682">
        <v>1271</v>
      </c>
    </row>
    <row r="82" spans="1:4" x14ac:dyDescent="0.25">
      <c r="A82" s="1065"/>
      <c r="B82" s="1067"/>
      <c r="C82" s="693" t="s">
        <v>623</v>
      </c>
      <c r="D82" s="682">
        <v>400</v>
      </c>
    </row>
    <row r="83" spans="1:4" x14ac:dyDescent="0.25">
      <c r="A83" s="1065"/>
      <c r="B83" s="1067"/>
      <c r="C83" s="693" t="s">
        <v>624</v>
      </c>
      <c r="D83" s="682">
        <v>1000</v>
      </c>
    </row>
    <row r="84" spans="1:4" x14ac:dyDescent="0.25">
      <c r="A84" s="991">
        <v>9</v>
      </c>
      <c r="B84" s="976" t="s">
        <v>506</v>
      </c>
      <c r="C84" s="695"/>
      <c r="D84" s="681">
        <f>SUM(D85:D88)</f>
        <v>7213.5</v>
      </c>
    </row>
    <row r="85" spans="1:4" ht="141.75" x14ac:dyDescent="0.25">
      <c r="A85" s="1065"/>
      <c r="B85" s="1067"/>
      <c r="C85" s="693" t="s">
        <v>1240</v>
      </c>
      <c r="D85" s="682">
        <f>144+38+39+12+17+34+127+22+19+38+43+121+142+17+26+22+39+68+20.5</f>
        <v>988.5</v>
      </c>
    </row>
    <row r="86" spans="1:4" ht="47.25" x14ac:dyDescent="0.25">
      <c r="A86" s="1065"/>
      <c r="B86" s="1067"/>
      <c r="C86" s="693" t="s">
        <v>1241</v>
      </c>
      <c r="D86" s="682">
        <f>500+2385</f>
        <v>2885</v>
      </c>
    </row>
    <row r="87" spans="1:4" x14ac:dyDescent="0.25">
      <c r="A87" s="1065"/>
      <c r="B87" s="1067"/>
      <c r="C87" s="693" t="s">
        <v>645</v>
      </c>
      <c r="D87" s="682">
        <v>3196</v>
      </c>
    </row>
    <row r="88" spans="1:4" ht="31.5" x14ac:dyDescent="0.25">
      <c r="A88" s="1065"/>
      <c r="B88" s="1067"/>
      <c r="C88" s="693" t="s">
        <v>646</v>
      </c>
      <c r="D88" s="682">
        <v>144</v>
      </c>
    </row>
    <row r="89" spans="1:4" ht="21.75" customHeight="1" x14ac:dyDescent="0.25">
      <c r="A89" s="991">
        <v>10</v>
      </c>
      <c r="B89" s="976" t="s">
        <v>647</v>
      </c>
      <c r="C89" s="695"/>
      <c r="D89" s="681">
        <f>SUM(D90:D104)</f>
        <v>20441.5448</v>
      </c>
    </row>
    <row r="90" spans="1:4" x14ac:dyDescent="0.25">
      <c r="A90" s="1065"/>
      <c r="B90" s="1067"/>
      <c r="C90" s="994" t="s">
        <v>648</v>
      </c>
      <c r="D90" s="978">
        <v>154.82599999999999</v>
      </c>
    </row>
    <row r="91" spans="1:4" x14ac:dyDescent="0.25">
      <c r="A91" s="1065"/>
      <c r="B91" s="1067"/>
      <c r="C91" s="994" t="s">
        <v>649</v>
      </c>
      <c r="D91" s="978">
        <v>446.42719999999997</v>
      </c>
    </row>
    <row r="92" spans="1:4" x14ac:dyDescent="0.25">
      <c r="A92" s="1065"/>
      <c r="B92" s="1067"/>
      <c r="C92" s="994" t="s">
        <v>650</v>
      </c>
      <c r="D92" s="978">
        <v>3253.8</v>
      </c>
    </row>
    <row r="93" spans="1:4" x14ac:dyDescent="0.25">
      <c r="A93" s="1065"/>
      <c r="B93" s="1067"/>
      <c r="C93" s="994" t="s">
        <v>651</v>
      </c>
      <c r="D93" s="978">
        <v>2518</v>
      </c>
    </row>
    <row r="94" spans="1:4" x14ac:dyDescent="0.25">
      <c r="A94" s="1065"/>
      <c r="B94" s="1067"/>
      <c r="C94" s="994" t="s">
        <v>1242</v>
      </c>
      <c r="D94" s="978">
        <v>800</v>
      </c>
    </row>
    <row r="95" spans="1:4" ht="31.5" x14ac:dyDescent="0.25">
      <c r="A95" s="1065"/>
      <c r="B95" s="1067"/>
      <c r="C95" s="994" t="s">
        <v>1243</v>
      </c>
      <c r="D95" s="978">
        <v>800</v>
      </c>
    </row>
    <row r="96" spans="1:4" ht="31.5" x14ac:dyDescent="0.25">
      <c r="A96" s="1065"/>
      <c r="B96" s="1067"/>
      <c r="C96" s="994" t="s">
        <v>1244</v>
      </c>
      <c r="D96" s="978">
        <v>856.8</v>
      </c>
    </row>
    <row r="97" spans="1:4" x14ac:dyDescent="0.25">
      <c r="A97" s="1065"/>
      <c r="B97" s="1067"/>
      <c r="C97" s="994" t="s">
        <v>655</v>
      </c>
      <c r="D97" s="978">
        <v>628.32999999999993</v>
      </c>
    </row>
    <row r="98" spans="1:4" x14ac:dyDescent="0.25">
      <c r="A98" s="1065"/>
      <c r="B98" s="1067"/>
      <c r="C98" s="994" t="s">
        <v>656</v>
      </c>
      <c r="D98" s="978">
        <v>516.46600000000001</v>
      </c>
    </row>
    <row r="99" spans="1:4" ht="31.5" x14ac:dyDescent="0.25">
      <c r="A99" s="1065"/>
      <c r="B99" s="1067"/>
      <c r="C99" s="994" t="s">
        <v>657</v>
      </c>
      <c r="D99" s="978">
        <v>224.01900000000001</v>
      </c>
    </row>
    <row r="100" spans="1:4" x14ac:dyDescent="0.25">
      <c r="A100" s="1065"/>
      <c r="B100" s="1067"/>
      <c r="C100" s="994" t="s">
        <v>658</v>
      </c>
      <c r="D100" s="978">
        <v>381.892</v>
      </c>
    </row>
    <row r="101" spans="1:4" x14ac:dyDescent="0.25">
      <c r="A101" s="1065"/>
      <c r="B101" s="1067"/>
      <c r="C101" s="994" t="s">
        <v>659</v>
      </c>
      <c r="D101" s="978">
        <v>5000</v>
      </c>
    </row>
    <row r="102" spans="1:4" x14ac:dyDescent="0.25">
      <c r="A102" s="1065"/>
      <c r="B102" s="1067"/>
      <c r="C102" s="994" t="s">
        <v>660</v>
      </c>
      <c r="D102" s="978">
        <v>1189.566</v>
      </c>
    </row>
    <row r="103" spans="1:4" x14ac:dyDescent="0.25">
      <c r="A103" s="1065"/>
      <c r="B103" s="1067"/>
      <c r="C103" s="994" t="s">
        <v>661</v>
      </c>
      <c r="D103" s="978">
        <v>1790.6471999999999</v>
      </c>
    </row>
    <row r="104" spans="1:4" x14ac:dyDescent="0.25">
      <c r="A104" s="1065"/>
      <c r="B104" s="1067"/>
      <c r="C104" s="994" t="s">
        <v>662</v>
      </c>
      <c r="D104" s="978">
        <v>1880.7713999999999</v>
      </c>
    </row>
    <row r="105" spans="1:4" s="675" customFormat="1" ht="31.5" x14ac:dyDescent="0.25">
      <c r="A105" s="991">
        <v>11</v>
      </c>
      <c r="B105" s="976" t="s">
        <v>663</v>
      </c>
      <c r="C105" s="695"/>
      <c r="D105" s="681">
        <f>SUM(D106:D121)</f>
        <v>22547</v>
      </c>
    </row>
    <row r="106" spans="1:4" x14ac:dyDescent="0.25">
      <c r="A106" s="1065"/>
      <c r="B106" s="1067"/>
      <c r="C106" s="995" t="s">
        <v>664</v>
      </c>
      <c r="D106" s="980">
        <v>639</v>
      </c>
    </row>
    <row r="107" spans="1:4" x14ac:dyDescent="0.25">
      <c r="A107" s="1065"/>
      <c r="B107" s="1067"/>
      <c r="C107" s="995" t="s">
        <v>665</v>
      </c>
      <c r="D107" s="980">
        <v>68</v>
      </c>
    </row>
    <row r="108" spans="1:4" x14ac:dyDescent="0.25">
      <c r="A108" s="1065"/>
      <c r="B108" s="1067"/>
      <c r="C108" s="995" t="s">
        <v>666</v>
      </c>
      <c r="D108" s="980">
        <v>2508</v>
      </c>
    </row>
    <row r="109" spans="1:4" x14ac:dyDescent="0.25">
      <c r="A109" s="1065"/>
      <c r="B109" s="1067"/>
      <c r="C109" s="995" t="s">
        <v>667</v>
      </c>
      <c r="D109" s="980">
        <v>418</v>
      </c>
    </row>
    <row r="110" spans="1:4" x14ac:dyDescent="0.25">
      <c r="A110" s="1065"/>
      <c r="B110" s="1067"/>
      <c r="C110" s="995" t="s">
        <v>668</v>
      </c>
      <c r="D110" s="980">
        <v>86</v>
      </c>
    </row>
    <row r="111" spans="1:4" x14ac:dyDescent="0.25">
      <c r="A111" s="1065"/>
      <c r="B111" s="1067"/>
      <c r="C111" s="995" t="s">
        <v>669</v>
      </c>
      <c r="D111" s="980">
        <v>384</v>
      </c>
    </row>
    <row r="112" spans="1:4" x14ac:dyDescent="0.25">
      <c r="A112" s="1065"/>
      <c r="B112" s="1067"/>
      <c r="C112" s="995" t="s">
        <v>670</v>
      </c>
      <c r="D112" s="980">
        <v>173</v>
      </c>
    </row>
    <row r="113" spans="1:4" x14ac:dyDescent="0.25">
      <c r="A113" s="1065"/>
      <c r="B113" s="1067"/>
      <c r="C113" s="995" t="s">
        <v>671</v>
      </c>
      <c r="D113" s="980">
        <v>55</v>
      </c>
    </row>
    <row r="114" spans="1:4" ht="31.5" x14ac:dyDescent="0.25">
      <c r="A114" s="1065"/>
      <c r="B114" s="1067"/>
      <c r="C114" s="995" t="s">
        <v>672</v>
      </c>
      <c r="D114" s="980">
        <v>220</v>
      </c>
    </row>
    <row r="115" spans="1:4" x14ac:dyDescent="0.25">
      <c r="A115" s="1065"/>
      <c r="B115" s="1067"/>
      <c r="C115" s="995" t="s">
        <v>673</v>
      </c>
      <c r="D115" s="980">
        <v>2160</v>
      </c>
    </row>
    <row r="116" spans="1:4" x14ac:dyDescent="0.25">
      <c r="A116" s="1065"/>
      <c r="B116" s="1067"/>
      <c r="C116" s="995" t="s">
        <v>674</v>
      </c>
      <c r="D116" s="980">
        <v>720</v>
      </c>
    </row>
    <row r="117" spans="1:4" x14ac:dyDescent="0.25">
      <c r="A117" s="1065"/>
      <c r="B117" s="1067"/>
      <c r="C117" s="995" t="s">
        <v>675</v>
      </c>
      <c r="D117" s="980">
        <v>2450</v>
      </c>
    </row>
    <row r="118" spans="1:4" x14ac:dyDescent="0.25">
      <c r="A118" s="1065"/>
      <c r="B118" s="1067"/>
      <c r="C118" s="995" t="s">
        <v>676</v>
      </c>
      <c r="D118" s="980">
        <v>90</v>
      </c>
    </row>
    <row r="119" spans="1:4" ht="47.25" x14ac:dyDescent="0.25">
      <c r="A119" s="1065"/>
      <c r="B119" s="1067"/>
      <c r="C119" s="995" t="s">
        <v>677</v>
      </c>
      <c r="D119" s="980">
        <v>10200</v>
      </c>
    </row>
    <row r="120" spans="1:4" ht="36.75" customHeight="1" x14ac:dyDescent="0.25">
      <c r="A120" s="1065"/>
      <c r="B120" s="1067"/>
      <c r="C120" s="995" t="s">
        <v>678</v>
      </c>
      <c r="D120" s="980">
        <v>376</v>
      </c>
    </row>
    <row r="121" spans="1:4" ht="36.75" customHeight="1" x14ac:dyDescent="0.25">
      <c r="A121" s="981"/>
      <c r="B121" s="982"/>
      <c r="C121" s="995" t="s">
        <v>679</v>
      </c>
      <c r="D121" s="980">
        <v>2000</v>
      </c>
    </row>
    <row r="122" spans="1:4" s="675" customFormat="1" ht="18.75" customHeight="1" x14ac:dyDescent="0.25">
      <c r="A122" s="991">
        <v>12</v>
      </c>
      <c r="B122" s="976" t="s">
        <v>680</v>
      </c>
      <c r="C122" s="695"/>
      <c r="D122" s="681">
        <f>SUM(D123:D139)</f>
        <v>17569</v>
      </c>
    </row>
    <row r="123" spans="1:4" x14ac:dyDescent="0.25">
      <c r="A123" s="1065"/>
      <c r="B123" s="1067"/>
      <c r="C123" s="995" t="s">
        <v>1245</v>
      </c>
      <c r="D123" s="980">
        <f>313+22</f>
        <v>335</v>
      </c>
    </row>
    <row r="124" spans="1:4" ht="47.25" x14ac:dyDescent="0.25">
      <c r="A124" s="1065"/>
      <c r="B124" s="1067"/>
      <c r="C124" s="995" t="s">
        <v>1246</v>
      </c>
      <c r="D124" s="980">
        <f>59+36</f>
        <v>95</v>
      </c>
    </row>
    <row r="125" spans="1:4" ht="31.5" x14ac:dyDescent="0.25">
      <c r="A125" s="1065"/>
      <c r="B125" s="1067"/>
      <c r="C125" s="995" t="s">
        <v>684</v>
      </c>
      <c r="D125" s="980">
        <v>66</v>
      </c>
    </row>
    <row r="126" spans="1:4" ht="31.5" x14ac:dyDescent="0.25">
      <c r="A126" s="1065"/>
      <c r="B126" s="1067"/>
      <c r="C126" s="995" t="s">
        <v>685</v>
      </c>
      <c r="D126" s="980">
        <v>57</v>
      </c>
    </row>
    <row r="127" spans="1:4" ht="47.25" x14ac:dyDescent="0.25">
      <c r="A127" s="1065"/>
      <c r="B127" s="1067"/>
      <c r="C127" s="995" t="s">
        <v>686</v>
      </c>
      <c r="D127" s="980">
        <v>66</v>
      </c>
    </row>
    <row r="128" spans="1:4" x14ac:dyDescent="0.25">
      <c r="A128" s="1065"/>
      <c r="B128" s="1067"/>
      <c r="C128" s="995" t="s">
        <v>687</v>
      </c>
      <c r="D128" s="980">
        <v>72</v>
      </c>
    </row>
    <row r="129" spans="1:4" ht="31.5" x14ac:dyDescent="0.25">
      <c r="A129" s="1065"/>
      <c r="B129" s="1067"/>
      <c r="C129" s="995" t="s">
        <v>688</v>
      </c>
      <c r="D129" s="980">
        <v>2685</v>
      </c>
    </row>
    <row r="130" spans="1:4" ht="31.5" x14ac:dyDescent="0.25">
      <c r="A130" s="1065"/>
      <c r="B130" s="1067"/>
      <c r="C130" s="995" t="s">
        <v>1247</v>
      </c>
      <c r="D130" s="980">
        <v>1400</v>
      </c>
    </row>
    <row r="131" spans="1:4" x14ac:dyDescent="0.25">
      <c r="A131" s="1065"/>
      <c r="B131" s="1067"/>
      <c r="C131" s="995" t="s">
        <v>689</v>
      </c>
      <c r="D131" s="980">
        <v>400</v>
      </c>
    </row>
    <row r="132" spans="1:4" x14ac:dyDescent="0.25">
      <c r="A132" s="1065"/>
      <c r="B132" s="1067"/>
      <c r="C132" s="995" t="s">
        <v>690</v>
      </c>
      <c r="D132" s="980">
        <v>550</v>
      </c>
    </row>
    <row r="133" spans="1:4" ht="94.5" x14ac:dyDescent="0.25">
      <c r="A133" s="1065"/>
      <c r="B133" s="1067"/>
      <c r="C133" s="995" t="s">
        <v>691</v>
      </c>
      <c r="D133" s="980">
        <v>465</v>
      </c>
    </row>
    <row r="134" spans="1:4" x14ac:dyDescent="0.25">
      <c r="A134" s="1065"/>
      <c r="B134" s="1067"/>
      <c r="C134" s="995" t="s">
        <v>693</v>
      </c>
      <c r="D134" s="980">
        <v>135</v>
      </c>
    </row>
    <row r="135" spans="1:4" x14ac:dyDescent="0.25">
      <c r="A135" s="1065"/>
      <c r="B135" s="1067"/>
      <c r="C135" s="995" t="s">
        <v>694</v>
      </c>
      <c r="D135" s="980">
        <v>91</v>
      </c>
    </row>
    <row r="136" spans="1:4" ht="31.5" x14ac:dyDescent="0.25">
      <c r="A136" s="1065"/>
      <c r="B136" s="1067"/>
      <c r="C136" s="995" t="s">
        <v>695</v>
      </c>
      <c r="D136" s="980">
        <v>259</v>
      </c>
    </row>
    <row r="137" spans="1:4" x14ac:dyDescent="0.25">
      <c r="A137" s="1065"/>
      <c r="B137" s="1067"/>
      <c r="C137" s="995" t="s">
        <v>696</v>
      </c>
      <c r="D137" s="980">
        <v>100</v>
      </c>
    </row>
    <row r="138" spans="1:4" x14ac:dyDescent="0.25">
      <c r="A138" s="1065"/>
      <c r="B138" s="1067"/>
      <c r="C138" s="995" t="s">
        <v>697</v>
      </c>
      <c r="D138" s="980">
        <v>9793</v>
      </c>
    </row>
    <row r="139" spans="1:4" ht="31.5" x14ac:dyDescent="0.25">
      <c r="A139" s="1065"/>
      <c r="B139" s="1067"/>
      <c r="C139" s="995" t="s">
        <v>698</v>
      </c>
      <c r="D139" s="980">
        <v>1000</v>
      </c>
    </row>
    <row r="140" spans="1:4" ht="31.5" x14ac:dyDescent="0.25">
      <c r="A140" s="991">
        <v>13</v>
      </c>
      <c r="B140" s="976" t="s">
        <v>406</v>
      </c>
      <c r="C140" s="695"/>
      <c r="D140" s="681">
        <f>SUM(D141:D175)</f>
        <v>44808.82834</v>
      </c>
    </row>
    <row r="141" spans="1:4" x14ac:dyDescent="0.25">
      <c r="A141" s="1065"/>
      <c r="B141" s="1067"/>
      <c r="C141" s="984" t="s">
        <v>699</v>
      </c>
      <c r="D141" s="978">
        <v>469.99999999999994</v>
      </c>
    </row>
    <row r="142" spans="1:4" x14ac:dyDescent="0.25">
      <c r="A142" s="1065"/>
      <c r="B142" s="1067"/>
      <c r="C142" s="984" t="s">
        <v>700</v>
      </c>
      <c r="D142" s="978">
        <v>264</v>
      </c>
    </row>
    <row r="143" spans="1:4" ht="31.5" x14ac:dyDescent="0.25">
      <c r="A143" s="1065"/>
      <c r="B143" s="1067"/>
      <c r="C143" s="984" t="s">
        <v>701</v>
      </c>
      <c r="D143" s="978">
        <v>270</v>
      </c>
    </row>
    <row r="144" spans="1:4" ht="31.5" x14ac:dyDescent="0.25">
      <c r="A144" s="1065"/>
      <c r="B144" s="1067"/>
      <c r="C144" s="984" t="s">
        <v>1248</v>
      </c>
      <c r="D144" s="978">
        <v>500</v>
      </c>
    </row>
    <row r="145" spans="1:4" x14ac:dyDescent="0.25">
      <c r="A145" s="1065"/>
      <c r="B145" s="1067"/>
      <c r="C145" s="984" t="s">
        <v>703</v>
      </c>
      <c r="D145" s="978">
        <v>441.66</v>
      </c>
    </row>
    <row r="146" spans="1:4" x14ac:dyDescent="0.25">
      <c r="A146" s="1065"/>
      <c r="B146" s="1067"/>
      <c r="C146" s="984" t="s">
        <v>704</v>
      </c>
      <c r="D146" s="978">
        <v>220</v>
      </c>
    </row>
    <row r="147" spans="1:4" ht="31.5" x14ac:dyDescent="0.25">
      <c r="A147" s="1065"/>
      <c r="B147" s="1067"/>
      <c r="C147" s="984" t="s">
        <v>705</v>
      </c>
      <c r="D147" s="978">
        <v>223.46549999999999</v>
      </c>
    </row>
    <row r="148" spans="1:4" ht="31.5" x14ac:dyDescent="0.25">
      <c r="A148" s="1065"/>
      <c r="B148" s="1067"/>
      <c r="C148" s="984" t="s">
        <v>706</v>
      </c>
      <c r="D148" s="978">
        <v>695.71479999999997</v>
      </c>
    </row>
    <row r="149" spans="1:4" x14ac:dyDescent="0.25">
      <c r="A149" s="1065"/>
      <c r="B149" s="1067"/>
      <c r="C149" s="984" t="s">
        <v>707</v>
      </c>
      <c r="D149" s="978">
        <v>165</v>
      </c>
    </row>
    <row r="150" spans="1:4" x14ac:dyDescent="0.25">
      <c r="A150" s="1065"/>
      <c r="B150" s="1067"/>
      <c r="C150" s="984" t="s">
        <v>708</v>
      </c>
      <c r="D150" s="978">
        <v>1320</v>
      </c>
    </row>
    <row r="151" spans="1:4" x14ac:dyDescent="0.25">
      <c r="A151" s="1065"/>
      <c r="B151" s="1067"/>
      <c r="C151" s="984" t="s">
        <v>709</v>
      </c>
      <c r="D151" s="978">
        <v>978</v>
      </c>
    </row>
    <row r="152" spans="1:4" x14ac:dyDescent="0.25">
      <c r="A152" s="1065"/>
      <c r="B152" s="1067"/>
      <c r="C152" s="984" t="s">
        <v>710</v>
      </c>
      <c r="D152" s="978">
        <v>435</v>
      </c>
    </row>
    <row r="153" spans="1:4" x14ac:dyDescent="0.25">
      <c r="A153" s="1065"/>
      <c r="B153" s="1067"/>
      <c r="C153" s="984" t="s">
        <v>711</v>
      </c>
      <c r="D153" s="978">
        <v>896</v>
      </c>
    </row>
    <row r="154" spans="1:4" x14ac:dyDescent="0.25">
      <c r="A154" s="1065"/>
      <c r="B154" s="1067"/>
      <c r="C154" s="984" t="s">
        <v>712</v>
      </c>
      <c r="D154" s="978">
        <v>142</v>
      </c>
    </row>
    <row r="155" spans="1:4" x14ac:dyDescent="0.25">
      <c r="A155" s="1065"/>
      <c r="B155" s="1067"/>
      <c r="C155" s="996" t="s">
        <v>713</v>
      </c>
      <c r="D155" s="983">
        <v>211.1892499999999</v>
      </c>
    </row>
    <row r="156" spans="1:4" x14ac:dyDescent="0.25">
      <c r="A156" s="1065"/>
      <c r="B156" s="1067"/>
      <c r="C156" s="984" t="s">
        <v>714</v>
      </c>
      <c r="D156" s="978">
        <v>1892</v>
      </c>
    </row>
    <row r="157" spans="1:4" x14ac:dyDescent="0.25">
      <c r="A157" s="1065"/>
      <c r="B157" s="1067"/>
      <c r="C157" s="984" t="s">
        <v>715</v>
      </c>
      <c r="D157" s="978">
        <v>797.65199999999993</v>
      </c>
    </row>
    <row r="158" spans="1:4" ht="31.5" x14ac:dyDescent="0.25">
      <c r="A158" s="1065"/>
      <c r="B158" s="1067"/>
      <c r="C158" s="984" t="s">
        <v>716</v>
      </c>
      <c r="D158" s="978">
        <v>4147</v>
      </c>
    </row>
    <row r="159" spans="1:4" ht="63" x14ac:dyDescent="0.25">
      <c r="A159" s="1065"/>
      <c r="B159" s="1067"/>
      <c r="C159" s="984" t="s">
        <v>717</v>
      </c>
      <c r="D159" s="978">
        <v>279</v>
      </c>
    </row>
    <row r="160" spans="1:4" x14ac:dyDescent="0.25">
      <c r="A160" s="1065"/>
      <c r="B160" s="1067"/>
      <c r="C160" s="984" t="s">
        <v>1249</v>
      </c>
      <c r="D160" s="978">
        <v>641</v>
      </c>
    </row>
    <row r="161" spans="1:4" ht="31.5" x14ac:dyDescent="0.25">
      <c r="A161" s="1065"/>
      <c r="B161" s="1067"/>
      <c r="C161" s="984" t="s">
        <v>1250</v>
      </c>
      <c r="D161" s="978">
        <v>275</v>
      </c>
    </row>
    <row r="162" spans="1:4" ht="31.5" x14ac:dyDescent="0.25">
      <c r="A162" s="1065"/>
      <c r="B162" s="1067"/>
      <c r="C162" s="984" t="s">
        <v>1251</v>
      </c>
      <c r="D162" s="978">
        <v>261</v>
      </c>
    </row>
    <row r="163" spans="1:4" ht="31.5" x14ac:dyDescent="0.25">
      <c r="A163" s="1065"/>
      <c r="B163" s="1067"/>
      <c r="C163" s="984" t="s">
        <v>1252</v>
      </c>
      <c r="D163" s="978">
        <v>146</v>
      </c>
    </row>
    <row r="164" spans="1:4" ht="31.5" x14ac:dyDescent="0.25">
      <c r="A164" s="1065"/>
      <c r="B164" s="1067"/>
      <c r="C164" s="984" t="s">
        <v>1253</v>
      </c>
      <c r="D164" s="978">
        <v>146</v>
      </c>
    </row>
    <row r="165" spans="1:4" x14ac:dyDescent="0.25">
      <c r="A165" s="1065"/>
      <c r="B165" s="1067"/>
      <c r="C165" s="984" t="s">
        <v>1254</v>
      </c>
      <c r="D165" s="978">
        <v>240</v>
      </c>
    </row>
    <row r="166" spans="1:4" x14ac:dyDescent="0.25">
      <c r="A166" s="1065"/>
      <c r="B166" s="1067"/>
      <c r="C166" s="984" t="s">
        <v>724</v>
      </c>
      <c r="D166" s="978">
        <v>804.76999999999953</v>
      </c>
    </row>
    <row r="167" spans="1:4" x14ac:dyDescent="0.25">
      <c r="A167" s="1065"/>
      <c r="B167" s="1067"/>
      <c r="C167" s="984" t="s">
        <v>1255</v>
      </c>
      <c r="D167" s="978">
        <v>1455.2</v>
      </c>
    </row>
    <row r="168" spans="1:4" x14ac:dyDescent="0.25">
      <c r="A168" s="1065"/>
      <c r="B168" s="1067"/>
      <c r="C168" s="984" t="s">
        <v>730</v>
      </c>
      <c r="D168" s="978">
        <v>272</v>
      </c>
    </row>
    <row r="169" spans="1:4" x14ac:dyDescent="0.25">
      <c r="A169" s="1065"/>
      <c r="B169" s="1067"/>
      <c r="C169" s="984" t="s">
        <v>731</v>
      </c>
      <c r="D169" s="978">
        <v>520.40798999999993</v>
      </c>
    </row>
    <row r="170" spans="1:4" x14ac:dyDescent="0.25">
      <c r="A170" s="1065"/>
      <c r="B170" s="1067"/>
      <c r="C170" s="984" t="s">
        <v>1256</v>
      </c>
      <c r="D170" s="978">
        <v>9011</v>
      </c>
    </row>
    <row r="171" spans="1:4" ht="47.25" x14ac:dyDescent="0.25">
      <c r="A171" s="1065"/>
      <c r="B171" s="1067"/>
      <c r="C171" s="984" t="s">
        <v>1257</v>
      </c>
      <c r="D171" s="978">
        <v>10400</v>
      </c>
    </row>
    <row r="172" spans="1:4" x14ac:dyDescent="0.25">
      <c r="A172" s="1065"/>
      <c r="B172" s="1067"/>
      <c r="C172" s="984" t="s">
        <v>734</v>
      </c>
      <c r="D172" s="978">
        <v>101.24379999999999</v>
      </c>
    </row>
    <row r="173" spans="1:4" x14ac:dyDescent="0.25">
      <c r="A173" s="1065"/>
      <c r="B173" s="1067"/>
      <c r="C173" s="984" t="s">
        <v>735</v>
      </c>
      <c r="D173" s="978">
        <v>350</v>
      </c>
    </row>
    <row r="174" spans="1:4" x14ac:dyDescent="0.25">
      <c r="A174" s="1065"/>
      <c r="B174" s="1067"/>
      <c r="C174" s="984" t="s">
        <v>736</v>
      </c>
      <c r="D174" s="978">
        <v>5000</v>
      </c>
    </row>
    <row r="175" spans="1:4" x14ac:dyDescent="0.25">
      <c r="A175" s="1065"/>
      <c r="B175" s="1067"/>
      <c r="C175" s="984" t="s">
        <v>737</v>
      </c>
      <c r="D175" s="978">
        <v>837.52499999999964</v>
      </c>
    </row>
    <row r="176" spans="1:4" s="675" customFormat="1" x14ac:dyDescent="0.25">
      <c r="A176" s="991">
        <v>14</v>
      </c>
      <c r="B176" s="976" t="s">
        <v>738</v>
      </c>
      <c r="C176" s="695"/>
      <c r="D176" s="681">
        <f>SUM(D177:D205)</f>
        <v>34365</v>
      </c>
    </row>
    <row r="177" spans="1:4" ht="31.5" x14ac:dyDescent="0.25">
      <c r="A177" s="1065"/>
      <c r="B177" s="1067"/>
      <c r="C177" s="995" t="s">
        <v>739</v>
      </c>
      <c r="D177" s="980">
        <v>80</v>
      </c>
    </row>
    <row r="178" spans="1:4" x14ac:dyDescent="0.25">
      <c r="A178" s="1065"/>
      <c r="B178" s="1067"/>
      <c r="C178" s="995" t="s">
        <v>740</v>
      </c>
      <c r="D178" s="980">
        <v>199</v>
      </c>
    </row>
    <row r="179" spans="1:4" x14ac:dyDescent="0.25">
      <c r="A179" s="1065"/>
      <c r="B179" s="1067"/>
      <c r="C179" s="995" t="s">
        <v>741</v>
      </c>
      <c r="D179" s="980">
        <v>260</v>
      </c>
    </row>
    <row r="180" spans="1:4" x14ac:dyDescent="0.25">
      <c r="A180" s="1065"/>
      <c r="B180" s="1067"/>
      <c r="C180" s="995" t="s">
        <v>742</v>
      </c>
      <c r="D180" s="980">
        <f>118+80+35</f>
        <v>233</v>
      </c>
    </row>
    <row r="181" spans="1:4" ht="31.5" x14ac:dyDescent="0.25">
      <c r="A181" s="1065"/>
      <c r="B181" s="1067"/>
      <c r="C181" s="995" t="s">
        <v>743</v>
      </c>
      <c r="D181" s="980">
        <v>720</v>
      </c>
    </row>
    <row r="182" spans="1:4" ht="47.25" x14ac:dyDescent="0.25">
      <c r="A182" s="1065"/>
      <c r="B182" s="1067"/>
      <c r="C182" s="995" t="s">
        <v>744</v>
      </c>
      <c r="D182" s="980">
        <v>1752</v>
      </c>
    </row>
    <row r="183" spans="1:4" ht="31.5" x14ac:dyDescent="0.25">
      <c r="A183" s="1065"/>
      <c r="B183" s="1067"/>
      <c r="C183" s="995" t="s">
        <v>745</v>
      </c>
      <c r="D183" s="980">
        <v>100</v>
      </c>
    </row>
    <row r="184" spans="1:4" ht="31.5" x14ac:dyDescent="0.25">
      <c r="A184" s="1065"/>
      <c r="B184" s="1067"/>
      <c r="C184" s="995" t="s">
        <v>746</v>
      </c>
      <c r="D184" s="980">
        <v>200</v>
      </c>
    </row>
    <row r="185" spans="1:4" ht="31.5" x14ac:dyDescent="0.25">
      <c r="A185" s="1065"/>
      <c r="B185" s="1067"/>
      <c r="C185" s="995" t="s">
        <v>1258</v>
      </c>
      <c r="D185" s="980">
        <v>400</v>
      </c>
    </row>
    <row r="186" spans="1:4" ht="31.5" x14ac:dyDescent="0.25">
      <c r="A186" s="1065"/>
      <c r="B186" s="1067"/>
      <c r="C186" s="995" t="s">
        <v>751</v>
      </c>
      <c r="D186" s="980">
        <v>1490</v>
      </c>
    </row>
    <row r="187" spans="1:4" ht="31.5" x14ac:dyDescent="0.25">
      <c r="A187" s="1065"/>
      <c r="B187" s="1067"/>
      <c r="C187" s="995" t="s">
        <v>752</v>
      </c>
      <c r="D187" s="980">
        <v>398</v>
      </c>
    </row>
    <row r="188" spans="1:4" x14ac:dyDescent="0.25">
      <c r="A188" s="1065"/>
      <c r="B188" s="1067"/>
      <c r="C188" s="995" t="s">
        <v>753</v>
      </c>
      <c r="D188" s="980">
        <v>1850</v>
      </c>
    </row>
    <row r="189" spans="1:4" ht="47.25" x14ac:dyDescent="0.25">
      <c r="A189" s="1065"/>
      <c r="B189" s="1067"/>
      <c r="C189" s="995" t="s">
        <v>754</v>
      </c>
      <c r="D189" s="980">
        <v>2700</v>
      </c>
    </row>
    <row r="190" spans="1:4" x14ac:dyDescent="0.25">
      <c r="A190" s="1065"/>
      <c r="B190" s="1067"/>
      <c r="C190" s="995" t="s">
        <v>755</v>
      </c>
      <c r="D190" s="980">
        <v>350</v>
      </c>
    </row>
    <row r="191" spans="1:4" ht="31.5" x14ac:dyDescent="0.25">
      <c r="A191" s="1065"/>
      <c r="B191" s="1067"/>
      <c r="C191" s="995" t="s">
        <v>756</v>
      </c>
      <c r="D191" s="980">
        <v>1145</v>
      </c>
    </row>
    <row r="192" spans="1:4" ht="47.25" x14ac:dyDescent="0.25">
      <c r="A192" s="1065"/>
      <c r="B192" s="1067"/>
      <c r="C192" s="995" t="s">
        <v>757</v>
      </c>
      <c r="D192" s="980">
        <v>3800</v>
      </c>
    </row>
    <row r="193" spans="1:4" x14ac:dyDescent="0.25">
      <c r="A193" s="1065"/>
      <c r="B193" s="1067"/>
      <c r="C193" s="995" t="s">
        <v>758</v>
      </c>
      <c r="D193" s="980">
        <v>7350</v>
      </c>
    </row>
    <row r="194" spans="1:4" ht="47.25" x14ac:dyDescent="0.25">
      <c r="A194" s="1065"/>
      <c r="B194" s="1067"/>
      <c r="C194" s="995" t="s">
        <v>759</v>
      </c>
      <c r="D194" s="980">
        <v>300</v>
      </c>
    </row>
    <row r="195" spans="1:4" x14ac:dyDescent="0.25">
      <c r="A195" s="1065"/>
      <c r="B195" s="1067"/>
      <c r="C195" s="995" t="s">
        <v>760</v>
      </c>
      <c r="D195" s="980">
        <v>678</v>
      </c>
    </row>
    <row r="196" spans="1:4" x14ac:dyDescent="0.25">
      <c r="A196" s="1065"/>
      <c r="B196" s="1067"/>
      <c r="C196" s="995" t="s">
        <v>761</v>
      </c>
      <c r="D196" s="980">
        <v>100</v>
      </c>
    </row>
    <row r="197" spans="1:4" ht="31.5" x14ac:dyDescent="0.25">
      <c r="A197" s="1065"/>
      <c r="B197" s="1067"/>
      <c r="C197" s="995" t="s">
        <v>762</v>
      </c>
      <c r="D197" s="980">
        <v>603</v>
      </c>
    </row>
    <row r="198" spans="1:4" ht="31.5" x14ac:dyDescent="0.25">
      <c r="A198" s="1065"/>
      <c r="B198" s="1067"/>
      <c r="C198" s="995" t="s">
        <v>763</v>
      </c>
      <c r="D198" s="980">
        <v>48</v>
      </c>
    </row>
    <row r="199" spans="1:4" ht="32.25" customHeight="1" x14ac:dyDescent="0.25">
      <c r="A199" s="1065"/>
      <c r="B199" s="1067"/>
      <c r="C199" s="995" t="s">
        <v>764</v>
      </c>
      <c r="D199" s="980">
        <v>30</v>
      </c>
    </row>
    <row r="200" spans="1:4" ht="47.25" x14ac:dyDescent="0.25">
      <c r="A200" s="1065"/>
      <c r="B200" s="1067"/>
      <c r="C200" s="995" t="s">
        <v>765</v>
      </c>
      <c r="D200" s="980">
        <v>4975</v>
      </c>
    </row>
    <row r="201" spans="1:4" ht="47.25" x14ac:dyDescent="0.25">
      <c r="A201" s="1065"/>
      <c r="B201" s="1067"/>
      <c r="C201" s="995" t="s">
        <v>766</v>
      </c>
      <c r="D201" s="980">
        <v>154</v>
      </c>
    </row>
    <row r="202" spans="1:4" x14ac:dyDescent="0.25">
      <c r="A202" s="1065"/>
      <c r="B202" s="1067"/>
      <c r="C202" s="995" t="s">
        <v>770</v>
      </c>
      <c r="D202" s="980">
        <v>1500</v>
      </c>
    </row>
    <row r="203" spans="1:4" ht="47.25" x14ac:dyDescent="0.25">
      <c r="A203" s="1065"/>
      <c r="B203" s="1067"/>
      <c r="C203" s="995" t="s">
        <v>772</v>
      </c>
      <c r="D203" s="980">
        <v>600</v>
      </c>
    </row>
    <row r="204" spans="1:4" ht="47.25" x14ac:dyDescent="0.25">
      <c r="A204" s="1065"/>
      <c r="B204" s="1067"/>
      <c r="C204" s="997" t="s">
        <v>774</v>
      </c>
      <c r="D204" s="980">
        <v>2000</v>
      </c>
    </row>
    <row r="205" spans="1:4" x14ac:dyDescent="0.25">
      <c r="A205" s="981"/>
      <c r="B205" s="982"/>
      <c r="C205" s="997" t="s">
        <v>1259</v>
      </c>
      <c r="D205" s="980">
        <f>50+100+100+50+50</f>
        <v>350</v>
      </c>
    </row>
    <row r="206" spans="1:4" s="675" customFormat="1" x14ac:dyDescent="0.25">
      <c r="A206" s="991">
        <v>15</v>
      </c>
      <c r="B206" s="976" t="s">
        <v>117</v>
      </c>
      <c r="C206" s="695"/>
      <c r="D206" s="681">
        <f>SUM(D207:D240)</f>
        <v>41747</v>
      </c>
    </row>
    <row r="207" spans="1:4" x14ac:dyDescent="0.25">
      <c r="A207" s="1065"/>
      <c r="B207" s="1067"/>
      <c r="C207" s="995" t="s">
        <v>775</v>
      </c>
      <c r="D207" s="980">
        <v>32</v>
      </c>
    </row>
    <row r="208" spans="1:4" x14ac:dyDescent="0.25">
      <c r="A208" s="1065"/>
      <c r="B208" s="1067"/>
      <c r="C208" s="995" t="s">
        <v>776</v>
      </c>
      <c r="D208" s="980">
        <f>9276+800</f>
        <v>10076</v>
      </c>
    </row>
    <row r="209" spans="1:4" x14ac:dyDescent="0.25">
      <c r="A209" s="1065"/>
      <c r="B209" s="1067"/>
      <c r="C209" s="995" t="s">
        <v>777</v>
      </c>
      <c r="D209" s="985">
        <v>315</v>
      </c>
    </row>
    <row r="210" spans="1:4" x14ac:dyDescent="0.25">
      <c r="A210" s="1065"/>
      <c r="B210" s="1067"/>
      <c r="C210" s="998" t="s">
        <v>778</v>
      </c>
      <c r="D210" s="985">
        <v>88</v>
      </c>
    </row>
    <row r="211" spans="1:4" ht="31.5" x14ac:dyDescent="0.25">
      <c r="A211" s="1065"/>
      <c r="B211" s="1067"/>
      <c r="C211" s="995" t="s">
        <v>779</v>
      </c>
      <c r="D211" s="985">
        <v>880</v>
      </c>
    </row>
    <row r="212" spans="1:4" ht="31.5" x14ac:dyDescent="0.25">
      <c r="A212" s="1065"/>
      <c r="B212" s="1067"/>
      <c r="C212" s="995" t="s">
        <v>780</v>
      </c>
      <c r="D212" s="985">
        <v>185</v>
      </c>
    </row>
    <row r="213" spans="1:4" ht="31.5" x14ac:dyDescent="0.25">
      <c r="A213" s="1065"/>
      <c r="B213" s="1067"/>
      <c r="C213" s="995" t="s">
        <v>781</v>
      </c>
      <c r="D213" s="985">
        <v>440</v>
      </c>
    </row>
    <row r="214" spans="1:4" x14ac:dyDescent="0.25">
      <c r="A214" s="1065"/>
      <c r="B214" s="1067"/>
      <c r="C214" s="995" t="s">
        <v>782</v>
      </c>
      <c r="D214" s="985">
        <v>70</v>
      </c>
    </row>
    <row r="215" spans="1:4" x14ac:dyDescent="0.25">
      <c r="A215" s="1065"/>
      <c r="B215" s="1067"/>
      <c r="C215" s="995" t="s">
        <v>783</v>
      </c>
      <c r="D215" s="985">
        <v>500</v>
      </c>
    </row>
    <row r="216" spans="1:4" x14ac:dyDescent="0.25">
      <c r="A216" s="1065"/>
      <c r="B216" s="1067"/>
      <c r="C216" s="995" t="s">
        <v>784</v>
      </c>
      <c r="D216" s="985">
        <v>1220</v>
      </c>
    </row>
    <row r="217" spans="1:4" ht="31.5" x14ac:dyDescent="0.25">
      <c r="A217" s="1065"/>
      <c r="B217" s="1067"/>
      <c r="C217" s="995" t="s">
        <v>1260</v>
      </c>
      <c r="D217" s="985">
        <v>58</v>
      </c>
    </row>
    <row r="218" spans="1:4" x14ac:dyDescent="0.25">
      <c r="A218" s="1065"/>
      <c r="B218" s="1067"/>
      <c r="C218" s="995" t="s">
        <v>1261</v>
      </c>
      <c r="D218" s="985">
        <f>30+100+30</f>
        <v>160</v>
      </c>
    </row>
    <row r="219" spans="1:4" x14ac:dyDescent="0.25">
      <c r="A219" s="1065"/>
      <c r="B219" s="1067"/>
      <c r="C219" s="995" t="s">
        <v>789</v>
      </c>
      <c r="D219" s="985">
        <v>50</v>
      </c>
    </row>
    <row r="220" spans="1:4" x14ac:dyDescent="0.25">
      <c r="A220" s="1065"/>
      <c r="B220" s="1067"/>
      <c r="C220" s="995" t="s">
        <v>790</v>
      </c>
      <c r="D220" s="985">
        <v>90</v>
      </c>
    </row>
    <row r="221" spans="1:4" x14ac:dyDescent="0.25">
      <c r="A221" s="1065"/>
      <c r="B221" s="1067"/>
      <c r="C221" s="995" t="s">
        <v>791</v>
      </c>
      <c r="D221" s="985">
        <v>220</v>
      </c>
    </row>
    <row r="222" spans="1:4" x14ac:dyDescent="0.25">
      <c r="A222" s="1065"/>
      <c r="B222" s="1067"/>
      <c r="C222" s="995" t="s">
        <v>792</v>
      </c>
      <c r="D222" s="985">
        <v>350</v>
      </c>
    </row>
    <row r="223" spans="1:4" x14ac:dyDescent="0.25">
      <c r="A223" s="1065"/>
      <c r="B223" s="1067"/>
      <c r="C223" s="995" t="s">
        <v>1262</v>
      </c>
      <c r="D223" s="985">
        <v>250</v>
      </c>
    </row>
    <row r="224" spans="1:4" ht="31.5" x14ac:dyDescent="0.25">
      <c r="A224" s="1065"/>
      <c r="B224" s="1067"/>
      <c r="C224" s="995" t="s">
        <v>794</v>
      </c>
      <c r="D224" s="985">
        <v>943</v>
      </c>
    </row>
    <row r="225" spans="1:4" x14ac:dyDescent="0.25">
      <c r="A225" s="1065"/>
      <c r="B225" s="1067"/>
      <c r="C225" s="995" t="s">
        <v>795</v>
      </c>
      <c r="D225" s="985">
        <v>97</v>
      </c>
    </row>
    <row r="226" spans="1:4" x14ac:dyDescent="0.25">
      <c r="A226" s="1065"/>
      <c r="B226" s="1067"/>
      <c r="C226" s="995" t="s">
        <v>796</v>
      </c>
      <c r="D226" s="985">
        <v>500</v>
      </c>
    </row>
    <row r="227" spans="1:4" ht="31.5" x14ac:dyDescent="0.25">
      <c r="A227" s="1065"/>
      <c r="B227" s="1067"/>
      <c r="C227" s="995" t="s">
        <v>797</v>
      </c>
      <c r="D227" s="985">
        <v>50</v>
      </c>
    </row>
    <row r="228" spans="1:4" ht="31.5" x14ac:dyDescent="0.25">
      <c r="A228" s="1065"/>
      <c r="B228" s="1067"/>
      <c r="C228" s="998" t="s">
        <v>798</v>
      </c>
      <c r="D228" s="985">
        <v>1873</v>
      </c>
    </row>
    <row r="229" spans="1:4" x14ac:dyDescent="0.25">
      <c r="A229" s="1065"/>
      <c r="B229" s="1067"/>
      <c r="C229" s="998" t="s">
        <v>799</v>
      </c>
      <c r="D229" s="985">
        <v>2000</v>
      </c>
    </row>
    <row r="230" spans="1:4" x14ac:dyDescent="0.25">
      <c r="A230" s="1065"/>
      <c r="B230" s="1067"/>
      <c r="C230" s="998" t="s">
        <v>800</v>
      </c>
      <c r="D230" s="985">
        <v>4840</v>
      </c>
    </row>
    <row r="231" spans="1:4" x14ac:dyDescent="0.25">
      <c r="A231" s="1065"/>
      <c r="B231" s="1067"/>
      <c r="C231" s="998" t="s">
        <v>801</v>
      </c>
      <c r="D231" s="985">
        <v>750</v>
      </c>
    </row>
    <row r="232" spans="1:4" x14ac:dyDescent="0.25">
      <c r="A232" s="1065"/>
      <c r="B232" s="1067"/>
      <c r="C232" s="995" t="s">
        <v>802</v>
      </c>
      <c r="D232" s="980">
        <v>1354</v>
      </c>
    </row>
    <row r="233" spans="1:4" ht="31.5" x14ac:dyDescent="0.25">
      <c r="A233" s="1065"/>
      <c r="B233" s="1067"/>
      <c r="C233" s="995" t="s">
        <v>803</v>
      </c>
      <c r="D233" s="980">
        <v>7000</v>
      </c>
    </row>
    <row r="234" spans="1:4" x14ac:dyDescent="0.25">
      <c r="A234" s="1065"/>
      <c r="B234" s="1067"/>
      <c r="C234" s="995" t="s">
        <v>1263</v>
      </c>
      <c r="D234" s="980">
        <f>540+105+1930</f>
        <v>2575</v>
      </c>
    </row>
    <row r="235" spans="1:4" ht="31.5" x14ac:dyDescent="0.25">
      <c r="A235" s="1065"/>
      <c r="B235" s="1067"/>
      <c r="C235" s="995" t="s">
        <v>807</v>
      </c>
      <c r="D235" s="980">
        <v>582</v>
      </c>
    </row>
    <row r="236" spans="1:4" x14ac:dyDescent="0.25">
      <c r="A236" s="1065"/>
      <c r="B236" s="1067"/>
      <c r="C236" s="995" t="s">
        <v>1264</v>
      </c>
      <c r="D236" s="980">
        <v>440</v>
      </c>
    </row>
    <row r="237" spans="1:4" ht="31.5" x14ac:dyDescent="0.25">
      <c r="A237" s="1065"/>
      <c r="B237" s="1067"/>
      <c r="C237" s="995" t="s">
        <v>809</v>
      </c>
      <c r="D237" s="980">
        <v>359</v>
      </c>
    </row>
    <row r="238" spans="1:4" ht="31.5" x14ac:dyDescent="0.25">
      <c r="A238" s="1065"/>
      <c r="B238" s="1067"/>
      <c r="C238" s="995" t="s">
        <v>810</v>
      </c>
      <c r="D238" s="980">
        <v>1500</v>
      </c>
    </row>
    <row r="239" spans="1:4" x14ac:dyDescent="0.25">
      <c r="A239" s="1065"/>
      <c r="B239" s="1067"/>
      <c r="C239" s="995" t="s">
        <v>811</v>
      </c>
      <c r="D239" s="980">
        <v>700</v>
      </c>
    </row>
    <row r="240" spans="1:4" ht="31.5" x14ac:dyDescent="0.25">
      <c r="A240" s="1065"/>
      <c r="B240" s="1067"/>
      <c r="C240" s="995" t="s">
        <v>812</v>
      </c>
      <c r="D240" s="980">
        <v>1200</v>
      </c>
    </row>
    <row r="241" spans="1:4" x14ac:dyDescent="0.25">
      <c r="A241" s="991">
        <v>16</v>
      </c>
      <c r="B241" s="976" t="s">
        <v>221</v>
      </c>
      <c r="C241" s="695"/>
      <c r="D241" s="681">
        <f>SUM(D242:D277)</f>
        <v>69968.582999999984</v>
      </c>
    </row>
    <row r="242" spans="1:4" ht="94.5" x14ac:dyDescent="0.25">
      <c r="A242" s="1065"/>
      <c r="B242" s="1067"/>
      <c r="C242" s="693" t="s">
        <v>1265</v>
      </c>
      <c r="D242" s="682">
        <f>130+80+100+70+300+46</f>
        <v>726</v>
      </c>
    </row>
    <row r="243" spans="1:4" ht="47.25" x14ac:dyDescent="0.25">
      <c r="A243" s="1065"/>
      <c r="B243" s="1067"/>
      <c r="C243" s="910" t="s">
        <v>818</v>
      </c>
      <c r="D243" s="682">
        <v>23417</v>
      </c>
    </row>
    <row r="244" spans="1:4" ht="47.25" x14ac:dyDescent="0.25">
      <c r="A244" s="1065"/>
      <c r="B244" s="1067"/>
      <c r="C244" s="700" t="s">
        <v>1266</v>
      </c>
      <c r="D244" s="685">
        <f>5928.44</f>
        <v>5928.44</v>
      </c>
    </row>
    <row r="245" spans="1:4" ht="47.25" x14ac:dyDescent="0.25">
      <c r="A245" s="1065"/>
      <c r="B245" s="1067"/>
      <c r="C245" s="700" t="s">
        <v>820</v>
      </c>
      <c r="D245" s="685">
        <v>1763.4</v>
      </c>
    </row>
    <row r="246" spans="1:4" ht="31.5" x14ac:dyDescent="0.25">
      <c r="A246" s="1065"/>
      <c r="B246" s="1067"/>
      <c r="C246" s="910" t="s">
        <v>1267</v>
      </c>
      <c r="D246" s="682">
        <v>7424</v>
      </c>
    </row>
    <row r="247" spans="1:4" ht="60.75" customHeight="1" x14ac:dyDescent="0.25">
      <c r="A247" s="1065"/>
      <c r="B247" s="1067"/>
      <c r="C247" s="700" t="s">
        <v>822</v>
      </c>
      <c r="D247" s="682">
        <v>1650</v>
      </c>
    </row>
    <row r="248" spans="1:4" ht="63" x14ac:dyDescent="0.25">
      <c r="A248" s="1065"/>
      <c r="B248" s="1067"/>
      <c r="C248" s="910" t="s">
        <v>823</v>
      </c>
      <c r="D248" s="682">
        <v>1255</v>
      </c>
    </row>
    <row r="249" spans="1:4" x14ac:dyDescent="0.25">
      <c r="A249" s="1065"/>
      <c r="B249" s="1067"/>
      <c r="C249" s="700" t="s">
        <v>1268</v>
      </c>
      <c r="D249" s="682">
        <v>1234</v>
      </c>
    </row>
    <row r="250" spans="1:4" ht="31.5" x14ac:dyDescent="0.25">
      <c r="A250" s="1065"/>
      <c r="B250" s="1067"/>
      <c r="C250" s="910" t="s">
        <v>1269</v>
      </c>
      <c r="D250" s="682">
        <v>373.86</v>
      </c>
    </row>
    <row r="251" spans="1:4" ht="31.5" x14ac:dyDescent="0.25">
      <c r="A251" s="1065"/>
      <c r="B251" s="1067"/>
      <c r="C251" s="910" t="s">
        <v>1270</v>
      </c>
      <c r="D251" s="682">
        <v>249</v>
      </c>
    </row>
    <row r="252" spans="1:4" ht="63" x14ac:dyDescent="0.25">
      <c r="A252" s="1065"/>
      <c r="B252" s="1067"/>
      <c r="C252" s="700" t="s">
        <v>1271</v>
      </c>
      <c r="D252" s="682">
        <v>165</v>
      </c>
    </row>
    <row r="253" spans="1:4" ht="31.5" x14ac:dyDescent="0.25">
      <c r="A253" s="1065"/>
      <c r="B253" s="1067"/>
      <c r="C253" s="910" t="s">
        <v>1272</v>
      </c>
      <c r="D253" s="682">
        <v>140</v>
      </c>
    </row>
    <row r="254" spans="1:4" ht="47.25" x14ac:dyDescent="0.25">
      <c r="A254" s="1065"/>
      <c r="B254" s="1067"/>
      <c r="C254" s="910" t="s">
        <v>1273</v>
      </c>
      <c r="D254" s="682">
        <v>75.096000000000004</v>
      </c>
    </row>
    <row r="255" spans="1:4" ht="31.5" x14ac:dyDescent="0.25">
      <c r="A255" s="1065"/>
      <c r="B255" s="1067"/>
      <c r="C255" s="700" t="s">
        <v>830</v>
      </c>
      <c r="D255" s="682">
        <v>100</v>
      </c>
    </row>
    <row r="256" spans="1:4" ht="63" x14ac:dyDescent="0.25">
      <c r="A256" s="1065"/>
      <c r="B256" s="1067"/>
      <c r="C256" s="910" t="s">
        <v>1274</v>
      </c>
      <c r="D256" s="682">
        <f>80+1316+271+182+378+634+70</f>
        <v>2931</v>
      </c>
    </row>
    <row r="257" spans="1:4" ht="32.25" customHeight="1" x14ac:dyDescent="0.25">
      <c r="A257" s="1065"/>
      <c r="B257" s="1067"/>
      <c r="C257" s="910" t="s">
        <v>837</v>
      </c>
      <c r="D257" s="682">
        <v>1858</v>
      </c>
    </row>
    <row r="258" spans="1:4" x14ac:dyDescent="0.25">
      <c r="A258" s="1065"/>
      <c r="B258" s="1067"/>
      <c r="C258" s="910" t="s">
        <v>838</v>
      </c>
      <c r="D258" s="682">
        <v>530</v>
      </c>
    </row>
    <row r="259" spans="1:4" ht="24" customHeight="1" x14ac:dyDescent="0.25">
      <c r="A259" s="1065"/>
      <c r="B259" s="1067"/>
      <c r="C259" s="910" t="s">
        <v>839</v>
      </c>
      <c r="D259" s="682">
        <v>2565</v>
      </c>
    </row>
    <row r="260" spans="1:4" ht="31.5" x14ac:dyDescent="0.25">
      <c r="A260" s="1065"/>
      <c r="B260" s="1067"/>
      <c r="C260" s="910" t="s">
        <v>841</v>
      </c>
      <c r="D260" s="682">
        <v>500</v>
      </c>
    </row>
    <row r="261" spans="1:4" ht="63" x14ac:dyDescent="0.25">
      <c r="A261" s="1065"/>
      <c r="B261" s="1067"/>
      <c r="C261" s="910" t="s">
        <v>842</v>
      </c>
      <c r="D261" s="682">
        <v>1441.787</v>
      </c>
    </row>
    <row r="262" spans="1:4" ht="94.5" x14ac:dyDescent="0.25">
      <c r="A262" s="1065"/>
      <c r="B262" s="1067"/>
      <c r="C262" s="910" t="s">
        <v>843</v>
      </c>
      <c r="D262" s="682">
        <v>3625</v>
      </c>
    </row>
    <row r="263" spans="1:4" x14ac:dyDescent="0.25">
      <c r="A263" s="1065"/>
      <c r="B263" s="1067"/>
      <c r="C263" s="910" t="s">
        <v>845</v>
      </c>
      <c r="D263" s="682">
        <v>2545</v>
      </c>
    </row>
    <row r="264" spans="1:4" ht="47.25" x14ac:dyDescent="0.25">
      <c r="A264" s="1065"/>
      <c r="B264" s="1067"/>
      <c r="C264" s="910" t="s">
        <v>846</v>
      </c>
      <c r="D264" s="682">
        <v>216</v>
      </c>
    </row>
    <row r="265" spans="1:4" ht="31.5" x14ac:dyDescent="0.25">
      <c r="A265" s="1065"/>
      <c r="B265" s="1067"/>
      <c r="C265" s="910" t="s">
        <v>1275</v>
      </c>
      <c r="D265" s="682">
        <f>150+30</f>
        <v>180</v>
      </c>
    </row>
    <row r="266" spans="1:4" ht="31.5" x14ac:dyDescent="0.25">
      <c r="A266" s="1065"/>
      <c r="B266" s="1067"/>
      <c r="C266" s="910" t="s">
        <v>848</v>
      </c>
      <c r="D266" s="682">
        <v>108</v>
      </c>
    </row>
    <row r="267" spans="1:4" ht="31.5" x14ac:dyDescent="0.25">
      <c r="A267" s="1065"/>
      <c r="B267" s="1067"/>
      <c r="C267" s="910" t="s">
        <v>850</v>
      </c>
      <c r="D267" s="682">
        <v>900</v>
      </c>
    </row>
    <row r="268" spans="1:4" x14ac:dyDescent="0.25">
      <c r="A268" s="1065"/>
      <c r="B268" s="1067"/>
      <c r="C268" s="910" t="s">
        <v>851</v>
      </c>
      <c r="D268" s="682">
        <v>461</v>
      </c>
    </row>
    <row r="269" spans="1:4" ht="47.25" x14ac:dyDescent="0.25">
      <c r="A269" s="1065"/>
      <c r="B269" s="1067"/>
      <c r="C269" s="910" t="s">
        <v>853</v>
      </c>
      <c r="D269" s="682">
        <v>1312</v>
      </c>
    </row>
    <row r="270" spans="1:4" ht="94.5" x14ac:dyDescent="0.25">
      <c r="A270" s="1065"/>
      <c r="B270" s="1067"/>
      <c r="C270" s="701" t="s">
        <v>1276</v>
      </c>
      <c r="D270" s="682">
        <f>113+102</f>
        <v>215</v>
      </c>
    </row>
    <row r="271" spans="1:4" x14ac:dyDescent="0.25">
      <c r="A271" s="1065"/>
      <c r="B271" s="1067"/>
      <c r="C271" s="701" t="s">
        <v>855</v>
      </c>
      <c r="D271" s="682">
        <v>990</v>
      </c>
    </row>
    <row r="272" spans="1:4" x14ac:dyDescent="0.25">
      <c r="A272" s="1065"/>
      <c r="B272" s="1067"/>
      <c r="C272" s="701" t="s">
        <v>856</v>
      </c>
      <c r="D272" s="682">
        <v>450</v>
      </c>
    </row>
    <row r="273" spans="1:4" ht="31.5" x14ac:dyDescent="0.25">
      <c r="A273" s="1065"/>
      <c r="B273" s="1067"/>
      <c r="C273" s="701" t="s">
        <v>857</v>
      </c>
      <c r="D273" s="682">
        <v>590</v>
      </c>
    </row>
    <row r="274" spans="1:4" ht="31.5" x14ac:dyDescent="0.25">
      <c r="A274" s="1065"/>
      <c r="B274" s="1067"/>
      <c r="C274" s="697" t="s">
        <v>858</v>
      </c>
      <c r="D274" s="682">
        <v>1500</v>
      </c>
    </row>
    <row r="275" spans="1:4" ht="31.5" x14ac:dyDescent="0.25">
      <c r="A275" s="1065"/>
      <c r="B275" s="1067"/>
      <c r="C275" s="697" t="s">
        <v>859</v>
      </c>
      <c r="D275" s="682">
        <v>750</v>
      </c>
    </row>
    <row r="276" spans="1:4" x14ac:dyDescent="0.25">
      <c r="A276" s="1065"/>
      <c r="B276" s="1067"/>
      <c r="C276" s="697" t="s">
        <v>860</v>
      </c>
      <c r="D276" s="682">
        <v>800</v>
      </c>
    </row>
    <row r="277" spans="1:4" x14ac:dyDescent="0.25">
      <c r="A277" s="1065"/>
      <c r="B277" s="1067"/>
      <c r="C277" s="697" t="s">
        <v>861</v>
      </c>
      <c r="D277" s="682">
        <v>1000</v>
      </c>
    </row>
    <row r="278" spans="1:4" s="675" customFormat="1" x14ac:dyDescent="0.25">
      <c r="A278" s="991">
        <v>17</v>
      </c>
      <c r="B278" s="976" t="s">
        <v>219</v>
      </c>
      <c r="C278" s="695"/>
      <c r="D278" s="681">
        <f>SUM(D279:D296)</f>
        <v>26436</v>
      </c>
    </row>
    <row r="279" spans="1:4" ht="31.5" x14ac:dyDescent="0.25">
      <c r="A279" s="1065"/>
      <c r="B279" s="1067"/>
      <c r="C279" s="995" t="s">
        <v>1277</v>
      </c>
      <c r="D279" s="980">
        <f>88+10+25</f>
        <v>123</v>
      </c>
    </row>
    <row r="280" spans="1:4" x14ac:dyDescent="0.25">
      <c r="A280" s="1065"/>
      <c r="B280" s="1067"/>
      <c r="C280" s="995" t="s">
        <v>1278</v>
      </c>
      <c r="D280" s="980">
        <f>357+67</f>
        <v>424</v>
      </c>
    </row>
    <row r="281" spans="1:4" x14ac:dyDescent="0.25">
      <c r="A281" s="1065"/>
      <c r="B281" s="1067"/>
      <c r="C281" s="995" t="s">
        <v>867</v>
      </c>
      <c r="D281" s="980">
        <v>712</v>
      </c>
    </row>
    <row r="282" spans="1:4" x14ac:dyDescent="0.25">
      <c r="A282" s="1065"/>
      <c r="B282" s="1067"/>
      <c r="C282" s="995" t="s">
        <v>868</v>
      </c>
      <c r="D282" s="980">
        <v>185</v>
      </c>
    </row>
    <row r="283" spans="1:4" x14ac:dyDescent="0.25">
      <c r="A283" s="1065"/>
      <c r="B283" s="1067"/>
      <c r="C283" s="995" t="s">
        <v>869</v>
      </c>
      <c r="D283" s="980">
        <v>3028</v>
      </c>
    </row>
    <row r="284" spans="1:4" x14ac:dyDescent="0.25">
      <c r="A284" s="1065"/>
      <c r="B284" s="1067"/>
      <c r="C284" s="995" t="s">
        <v>870</v>
      </c>
      <c r="D284" s="980">
        <v>1521</v>
      </c>
    </row>
    <row r="285" spans="1:4" x14ac:dyDescent="0.25">
      <c r="A285" s="1065"/>
      <c r="B285" s="1067"/>
      <c r="C285" s="995" t="s">
        <v>871</v>
      </c>
      <c r="D285" s="980">
        <v>2738</v>
      </c>
    </row>
    <row r="286" spans="1:4" ht="63" x14ac:dyDescent="0.25">
      <c r="A286" s="1065"/>
      <c r="B286" s="1067"/>
      <c r="C286" s="995" t="s">
        <v>872</v>
      </c>
      <c r="D286" s="980">
        <v>204</v>
      </c>
    </row>
    <row r="287" spans="1:4" ht="31.5" x14ac:dyDescent="0.25">
      <c r="A287" s="1065"/>
      <c r="B287" s="1067"/>
      <c r="C287" s="995" t="s">
        <v>873</v>
      </c>
      <c r="D287" s="980">
        <v>731</v>
      </c>
    </row>
    <row r="288" spans="1:4" ht="47.25" x14ac:dyDescent="0.25">
      <c r="A288" s="1065"/>
      <c r="B288" s="1067"/>
      <c r="C288" s="995" t="s">
        <v>874</v>
      </c>
      <c r="D288" s="980">
        <v>847</v>
      </c>
    </row>
    <row r="289" spans="1:4" x14ac:dyDescent="0.25">
      <c r="A289" s="1065"/>
      <c r="B289" s="1067"/>
      <c r="C289" s="995" t="s">
        <v>875</v>
      </c>
      <c r="D289" s="980">
        <v>2000</v>
      </c>
    </row>
    <row r="290" spans="1:4" x14ac:dyDescent="0.25">
      <c r="A290" s="1065"/>
      <c r="B290" s="1067"/>
      <c r="C290" s="995" t="s">
        <v>876</v>
      </c>
      <c r="D290" s="980">
        <v>2800</v>
      </c>
    </row>
    <row r="291" spans="1:4" x14ac:dyDescent="0.25">
      <c r="A291" s="1065"/>
      <c r="B291" s="1067"/>
      <c r="C291" s="995" t="s">
        <v>877</v>
      </c>
      <c r="D291" s="980">
        <v>1400</v>
      </c>
    </row>
    <row r="292" spans="1:4" ht="47.25" x14ac:dyDescent="0.25">
      <c r="A292" s="1065"/>
      <c r="B292" s="1067"/>
      <c r="C292" s="995" t="s">
        <v>878</v>
      </c>
      <c r="D292" s="980">
        <v>801</v>
      </c>
    </row>
    <row r="293" spans="1:4" x14ac:dyDescent="0.25">
      <c r="A293" s="1065"/>
      <c r="B293" s="1067"/>
      <c r="C293" s="995" t="s">
        <v>879</v>
      </c>
      <c r="D293" s="980">
        <v>1000</v>
      </c>
    </row>
    <row r="294" spans="1:4" ht="31.5" x14ac:dyDescent="0.25">
      <c r="A294" s="1065"/>
      <c r="B294" s="1067"/>
      <c r="C294" s="995" t="s">
        <v>880</v>
      </c>
      <c r="D294" s="980">
        <v>4000</v>
      </c>
    </row>
    <row r="295" spans="1:4" x14ac:dyDescent="0.25">
      <c r="A295" s="1065"/>
      <c r="B295" s="1067"/>
      <c r="C295" s="995" t="s">
        <v>881</v>
      </c>
      <c r="D295" s="980">
        <v>1500</v>
      </c>
    </row>
    <row r="296" spans="1:4" ht="31.5" x14ac:dyDescent="0.25">
      <c r="A296" s="1065"/>
      <c r="B296" s="1067"/>
      <c r="C296" s="995" t="s">
        <v>882</v>
      </c>
      <c r="D296" s="980">
        <v>2422</v>
      </c>
    </row>
    <row r="297" spans="1:4" x14ac:dyDescent="0.25">
      <c r="A297" s="991">
        <v>18</v>
      </c>
      <c r="B297" s="976" t="s">
        <v>883</v>
      </c>
      <c r="C297" s="999"/>
      <c r="D297" s="986">
        <f>SUM(D298:D303)</f>
        <v>872.57458775999999</v>
      </c>
    </row>
    <row r="298" spans="1:4" ht="31.5" x14ac:dyDescent="0.25">
      <c r="A298" s="1065"/>
      <c r="B298" s="1067"/>
      <c r="C298" s="995" t="s">
        <v>884</v>
      </c>
      <c r="D298" s="980">
        <v>96.336000000000013</v>
      </c>
    </row>
    <row r="299" spans="1:4" ht="31.5" x14ac:dyDescent="0.25">
      <c r="A299" s="1065"/>
      <c r="B299" s="1067"/>
      <c r="C299" s="995" t="s">
        <v>1279</v>
      </c>
      <c r="D299" s="980">
        <f>25.4+22</f>
        <v>47.4</v>
      </c>
    </row>
    <row r="300" spans="1:4" x14ac:dyDescent="0.25">
      <c r="A300" s="1065"/>
      <c r="B300" s="1067"/>
      <c r="C300" s="995" t="s">
        <v>887</v>
      </c>
      <c r="D300" s="980">
        <v>55.8</v>
      </c>
    </row>
    <row r="301" spans="1:4" x14ac:dyDescent="0.25">
      <c r="A301" s="1065"/>
      <c r="B301" s="1067"/>
      <c r="C301" s="995" t="s">
        <v>888</v>
      </c>
      <c r="D301" s="980">
        <v>234</v>
      </c>
    </row>
    <row r="302" spans="1:4" ht="31.5" x14ac:dyDescent="0.25">
      <c r="A302" s="1065"/>
      <c r="B302" s="1067"/>
      <c r="C302" s="995" t="s">
        <v>891</v>
      </c>
      <c r="D302" s="980">
        <v>369.03858775999998</v>
      </c>
    </row>
    <row r="303" spans="1:4" x14ac:dyDescent="0.25">
      <c r="A303" s="981"/>
      <c r="B303" s="982"/>
      <c r="C303" s="995" t="s">
        <v>1280</v>
      </c>
      <c r="D303" s="980">
        <f>25+45</f>
        <v>70</v>
      </c>
    </row>
    <row r="304" spans="1:4" s="675" customFormat="1" x14ac:dyDescent="0.25">
      <c r="A304" s="991">
        <v>19</v>
      </c>
      <c r="B304" s="976" t="s">
        <v>892</v>
      </c>
      <c r="C304" s="695"/>
      <c r="D304" s="681">
        <f>SUM(D305:D309)</f>
        <v>19270</v>
      </c>
    </row>
    <row r="305" spans="1:4" ht="47.25" x14ac:dyDescent="0.25">
      <c r="A305" s="1065"/>
      <c r="B305" s="1067"/>
      <c r="C305" s="693" t="s">
        <v>893</v>
      </c>
      <c r="D305" s="682">
        <v>4458</v>
      </c>
    </row>
    <row r="306" spans="1:4" x14ac:dyDescent="0.25">
      <c r="A306" s="1065"/>
      <c r="B306" s="1067"/>
      <c r="C306" s="693" t="s">
        <v>894</v>
      </c>
      <c r="D306" s="682">
        <v>700</v>
      </c>
    </row>
    <row r="307" spans="1:4" ht="47.25" x14ac:dyDescent="0.25">
      <c r="A307" s="1065"/>
      <c r="B307" s="1067"/>
      <c r="C307" s="693" t="s">
        <v>895</v>
      </c>
      <c r="D307" s="682">
        <v>880</v>
      </c>
    </row>
    <row r="308" spans="1:4" ht="31.5" x14ac:dyDescent="0.25">
      <c r="A308" s="1065"/>
      <c r="B308" s="1067"/>
      <c r="C308" s="693" t="s">
        <v>896</v>
      </c>
      <c r="D308" s="682">
        <v>10920</v>
      </c>
    </row>
    <row r="309" spans="1:4" ht="31.5" x14ac:dyDescent="0.25">
      <c r="A309" s="1065"/>
      <c r="B309" s="1067"/>
      <c r="C309" s="693" t="s">
        <v>897</v>
      </c>
      <c r="D309" s="682">
        <v>2312</v>
      </c>
    </row>
    <row r="310" spans="1:4" s="675" customFormat="1" x14ac:dyDescent="0.25">
      <c r="A310" s="991">
        <v>20</v>
      </c>
      <c r="B310" s="976" t="s">
        <v>898</v>
      </c>
      <c r="C310" s="695"/>
      <c r="D310" s="681">
        <f>SUM(D311:D315)</f>
        <v>3941</v>
      </c>
    </row>
    <row r="311" spans="1:4" x14ac:dyDescent="0.25">
      <c r="A311" s="1065"/>
      <c r="B311" s="1067"/>
      <c r="C311" s="1000" t="s">
        <v>899</v>
      </c>
      <c r="D311" s="980">
        <v>132</v>
      </c>
    </row>
    <row r="312" spans="1:4" ht="31.5" x14ac:dyDescent="0.25">
      <c r="A312" s="1065"/>
      <c r="B312" s="1067"/>
      <c r="C312" s="995" t="s">
        <v>900</v>
      </c>
      <c r="D312" s="980">
        <v>585</v>
      </c>
    </row>
    <row r="313" spans="1:4" ht="31.5" x14ac:dyDescent="0.25">
      <c r="A313" s="1065"/>
      <c r="B313" s="1067"/>
      <c r="C313" s="995" t="s">
        <v>901</v>
      </c>
      <c r="D313" s="980">
        <v>2805</v>
      </c>
    </row>
    <row r="314" spans="1:4" x14ac:dyDescent="0.25">
      <c r="A314" s="1065"/>
      <c r="B314" s="1067"/>
      <c r="C314" s="995" t="s">
        <v>902</v>
      </c>
      <c r="D314" s="980">
        <v>359</v>
      </c>
    </row>
    <row r="315" spans="1:4" x14ac:dyDescent="0.25">
      <c r="A315" s="1065"/>
      <c r="B315" s="1067"/>
      <c r="C315" s="995" t="s">
        <v>903</v>
      </c>
      <c r="D315" s="980">
        <v>60</v>
      </c>
    </row>
    <row r="316" spans="1:4" x14ac:dyDescent="0.25">
      <c r="A316" s="991">
        <v>21</v>
      </c>
      <c r="B316" s="976" t="s">
        <v>365</v>
      </c>
      <c r="C316" s="695"/>
      <c r="D316" s="681">
        <f>SUM(D317:D320)</f>
        <v>8756.1</v>
      </c>
    </row>
    <row r="317" spans="1:4" ht="31.5" x14ac:dyDescent="0.25">
      <c r="A317" s="1065"/>
      <c r="B317" s="1067"/>
      <c r="C317" s="910" t="s">
        <v>904</v>
      </c>
      <c r="D317" s="682">
        <v>4970.6000000000004</v>
      </c>
    </row>
    <row r="318" spans="1:4" ht="47.25" x14ac:dyDescent="0.25">
      <c r="A318" s="1065"/>
      <c r="B318" s="1067"/>
      <c r="C318" s="910" t="s">
        <v>905</v>
      </c>
      <c r="D318" s="682">
        <v>1403.5</v>
      </c>
    </row>
    <row r="319" spans="1:4" ht="31.5" x14ac:dyDescent="0.25">
      <c r="A319" s="1065"/>
      <c r="B319" s="1067"/>
      <c r="C319" s="910" t="s">
        <v>906</v>
      </c>
      <c r="D319" s="682">
        <v>55</v>
      </c>
    </row>
    <row r="320" spans="1:4" ht="31.5" x14ac:dyDescent="0.25">
      <c r="A320" s="1065"/>
      <c r="B320" s="1067"/>
      <c r="C320" s="910" t="s">
        <v>907</v>
      </c>
      <c r="D320" s="682">
        <v>2327</v>
      </c>
    </row>
    <row r="321" spans="1:4" x14ac:dyDescent="0.25">
      <c r="A321" s="991">
        <v>22</v>
      </c>
      <c r="B321" s="976" t="s">
        <v>129</v>
      </c>
      <c r="C321" s="695"/>
      <c r="D321" s="681">
        <f>SUM(D322:D325)</f>
        <v>2538.1764000000003</v>
      </c>
    </row>
    <row r="322" spans="1:4" ht="31.5" x14ac:dyDescent="0.25">
      <c r="A322" s="1065"/>
      <c r="B322" s="1067"/>
      <c r="C322" s="994" t="s">
        <v>908</v>
      </c>
      <c r="D322" s="978">
        <v>1425.7964000000002</v>
      </c>
    </row>
    <row r="323" spans="1:4" ht="31.5" x14ac:dyDescent="0.25">
      <c r="A323" s="1065"/>
      <c r="B323" s="1067"/>
      <c r="C323" s="994" t="s">
        <v>909</v>
      </c>
      <c r="D323" s="978">
        <v>113.99999999999999</v>
      </c>
    </row>
    <row r="324" spans="1:4" ht="31.5" x14ac:dyDescent="0.25">
      <c r="A324" s="1065"/>
      <c r="B324" s="1067"/>
      <c r="C324" s="994" t="s">
        <v>910</v>
      </c>
      <c r="D324" s="978">
        <v>894</v>
      </c>
    </row>
    <row r="325" spans="1:4" x14ac:dyDescent="0.25">
      <c r="A325" s="1065"/>
      <c r="B325" s="1067"/>
      <c r="C325" s="994" t="s">
        <v>1281</v>
      </c>
      <c r="D325" s="978">
        <v>104.38000000000012</v>
      </c>
    </row>
    <row r="326" spans="1:4" s="686" customFormat="1" ht="31.5" x14ac:dyDescent="0.25">
      <c r="A326" s="1006">
        <v>23</v>
      </c>
      <c r="B326" s="987" t="s">
        <v>914</v>
      </c>
      <c r="C326" s="1001"/>
      <c r="D326" s="988">
        <f>SUM(D327:D329)</f>
        <v>1321.1949999999999</v>
      </c>
    </row>
    <row r="327" spans="1:4" x14ac:dyDescent="0.25">
      <c r="A327" s="1065"/>
      <c r="B327" s="1067"/>
      <c r="C327" s="994" t="s">
        <v>915</v>
      </c>
      <c r="D327" s="989">
        <v>291.19499999999999</v>
      </c>
    </row>
    <row r="328" spans="1:4" x14ac:dyDescent="0.25">
      <c r="A328" s="1065"/>
      <c r="B328" s="1067"/>
      <c r="C328" s="994" t="s">
        <v>918</v>
      </c>
      <c r="D328" s="989">
        <v>897</v>
      </c>
    </row>
    <row r="329" spans="1:4" x14ac:dyDescent="0.25">
      <c r="A329" s="1065"/>
      <c r="B329" s="1067"/>
      <c r="C329" s="994" t="s">
        <v>1282</v>
      </c>
      <c r="D329" s="989">
        <f>65+55+13</f>
        <v>133</v>
      </c>
    </row>
    <row r="330" spans="1:4" s="675" customFormat="1" x14ac:dyDescent="0.25">
      <c r="A330" s="991">
        <v>24</v>
      </c>
      <c r="B330" s="976" t="s">
        <v>920</v>
      </c>
      <c r="C330" s="695"/>
      <c r="D330" s="681">
        <f>+D331+D332</f>
        <v>1070</v>
      </c>
    </row>
    <row r="331" spans="1:4" ht="47.25" x14ac:dyDescent="0.25">
      <c r="A331" s="1065"/>
      <c r="B331" s="1067"/>
      <c r="C331" s="693" t="s">
        <v>921</v>
      </c>
      <c r="D331" s="682">
        <v>990</v>
      </c>
    </row>
    <row r="332" spans="1:4" x14ac:dyDescent="0.25">
      <c r="A332" s="1065"/>
      <c r="B332" s="1067"/>
      <c r="C332" s="693" t="s">
        <v>816</v>
      </c>
      <c r="D332" s="682">
        <v>80</v>
      </c>
    </row>
    <row r="333" spans="1:4" ht="31.5" x14ac:dyDescent="0.25">
      <c r="A333" s="991">
        <v>25</v>
      </c>
      <c r="B333" s="976" t="s">
        <v>922</v>
      </c>
      <c r="C333" s="702"/>
      <c r="D333" s="681">
        <f>D334</f>
        <v>303</v>
      </c>
    </row>
    <row r="334" spans="1:4" x14ac:dyDescent="0.25">
      <c r="A334" s="991"/>
      <c r="B334" s="976"/>
      <c r="C334" s="994" t="s">
        <v>923</v>
      </c>
      <c r="D334" s="716">
        <v>303</v>
      </c>
    </row>
    <row r="335" spans="1:4" x14ac:dyDescent="0.25">
      <c r="A335" s="991">
        <v>26</v>
      </c>
      <c r="B335" s="976" t="s">
        <v>924</v>
      </c>
      <c r="C335" s="695"/>
      <c r="D335" s="681">
        <f>SUM(D336:D344)</f>
        <v>17242</v>
      </c>
    </row>
    <row r="336" spans="1:4" x14ac:dyDescent="0.25">
      <c r="A336" s="1065"/>
      <c r="B336" s="1067"/>
      <c r="C336" s="679" t="s">
        <v>925</v>
      </c>
      <c r="D336" s="680">
        <v>2133</v>
      </c>
    </row>
    <row r="337" spans="1:4" x14ac:dyDescent="0.25">
      <c r="A337" s="1065"/>
      <c r="B337" s="1067"/>
      <c r="C337" s="679" t="s">
        <v>926</v>
      </c>
      <c r="D337" s="680">
        <v>900</v>
      </c>
    </row>
    <row r="338" spans="1:4" x14ac:dyDescent="0.25">
      <c r="A338" s="1065"/>
      <c r="B338" s="1067"/>
      <c r="C338" s="679" t="s">
        <v>927</v>
      </c>
      <c r="D338" s="680">
        <v>3280</v>
      </c>
    </row>
    <row r="339" spans="1:4" x14ac:dyDescent="0.25">
      <c r="A339" s="1065"/>
      <c r="B339" s="1067"/>
      <c r="C339" s="679" t="s">
        <v>928</v>
      </c>
      <c r="D339" s="680">
        <v>924</v>
      </c>
    </row>
    <row r="340" spans="1:4" x14ac:dyDescent="0.25">
      <c r="A340" s="1065"/>
      <c r="B340" s="1067"/>
      <c r="C340" s="679" t="s">
        <v>929</v>
      </c>
      <c r="D340" s="680">
        <v>3500</v>
      </c>
    </row>
    <row r="341" spans="1:4" x14ac:dyDescent="0.25">
      <c r="A341" s="1065"/>
      <c r="B341" s="1067"/>
      <c r="C341" s="693" t="s">
        <v>930</v>
      </c>
      <c r="D341" s="680">
        <v>300</v>
      </c>
    </row>
    <row r="342" spans="1:4" x14ac:dyDescent="0.25">
      <c r="A342" s="1065"/>
      <c r="B342" s="1067"/>
      <c r="C342" s="679" t="s">
        <v>931</v>
      </c>
      <c r="D342" s="680">
        <v>435</v>
      </c>
    </row>
    <row r="343" spans="1:4" x14ac:dyDescent="0.25">
      <c r="A343" s="1065"/>
      <c r="B343" s="1067"/>
      <c r="C343" s="694" t="s">
        <v>932</v>
      </c>
      <c r="D343" s="680">
        <f>4045+673</f>
        <v>4718</v>
      </c>
    </row>
    <row r="344" spans="1:4" x14ac:dyDescent="0.25">
      <c r="A344" s="1065"/>
      <c r="B344" s="1067"/>
      <c r="C344" s="694" t="s">
        <v>933</v>
      </c>
      <c r="D344" s="680">
        <v>1052</v>
      </c>
    </row>
    <row r="345" spans="1:4" x14ac:dyDescent="0.25">
      <c r="A345" s="991">
        <v>27</v>
      </c>
      <c r="B345" s="976" t="s">
        <v>934</v>
      </c>
      <c r="C345" s="695"/>
      <c r="D345" s="681">
        <f>SUM(D346:D351)</f>
        <v>953.5</v>
      </c>
    </row>
    <row r="346" spans="1:4" ht="31.5" x14ac:dyDescent="0.25">
      <c r="A346" s="1065"/>
      <c r="B346" s="1067"/>
      <c r="C346" s="693" t="s">
        <v>935</v>
      </c>
      <c r="D346" s="680">
        <v>36</v>
      </c>
    </row>
    <row r="347" spans="1:4" x14ac:dyDescent="0.25">
      <c r="A347" s="1065"/>
      <c r="B347" s="1067"/>
      <c r="C347" s="679" t="s">
        <v>936</v>
      </c>
      <c r="D347" s="680">
        <v>67.5</v>
      </c>
    </row>
    <row r="348" spans="1:4" ht="31.5" x14ac:dyDescent="0.25">
      <c r="A348" s="1065"/>
      <c r="B348" s="1067"/>
      <c r="C348" s="694" t="s">
        <v>937</v>
      </c>
      <c r="D348" s="680">
        <v>60</v>
      </c>
    </row>
    <row r="349" spans="1:4" x14ac:dyDescent="0.25">
      <c r="A349" s="1065"/>
      <c r="B349" s="1067"/>
      <c r="C349" s="694" t="s">
        <v>938</v>
      </c>
      <c r="D349" s="680">
        <v>40</v>
      </c>
    </row>
    <row r="350" spans="1:4" x14ac:dyDescent="0.25">
      <c r="A350" s="1065"/>
      <c r="B350" s="1067"/>
      <c r="C350" s="679" t="s">
        <v>939</v>
      </c>
      <c r="D350" s="680">
        <v>150</v>
      </c>
    </row>
    <row r="351" spans="1:4" x14ac:dyDescent="0.25">
      <c r="A351" s="1065"/>
      <c r="B351" s="1067"/>
      <c r="C351" s="679" t="s">
        <v>940</v>
      </c>
      <c r="D351" s="680">
        <v>600</v>
      </c>
    </row>
    <row r="352" spans="1:4" x14ac:dyDescent="0.25">
      <c r="A352" s="991">
        <v>28</v>
      </c>
      <c r="B352" s="976" t="s">
        <v>508</v>
      </c>
      <c r="C352" s="695"/>
      <c r="D352" s="681">
        <f>SUM(D353:D361)</f>
        <v>1008.8969999999999</v>
      </c>
    </row>
    <row r="353" spans="1:4" ht="31.5" x14ac:dyDescent="0.25">
      <c r="A353" s="1065"/>
      <c r="B353" s="1067"/>
      <c r="C353" s="910" t="s">
        <v>1283</v>
      </c>
      <c r="D353" s="680">
        <f>54+16</f>
        <v>70</v>
      </c>
    </row>
    <row r="354" spans="1:4" x14ac:dyDescent="0.25">
      <c r="A354" s="1065"/>
      <c r="B354" s="1067"/>
      <c r="C354" s="910" t="s">
        <v>942</v>
      </c>
      <c r="D354" s="680">
        <v>96.768000000000001</v>
      </c>
    </row>
    <row r="355" spans="1:4" x14ac:dyDescent="0.25">
      <c r="A355" s="1065"/>
      <c r="B355" s="1067"/>
      <c r="C355" s="910" t="s">
        <v>943</v>
      </c>
      <c r="D355" s="680">
        <v>61.769000000000005</v>
      </c>
    </row>
    <row r="356" spans="1:4" x14ac:dyDescent="0.25">
      <c r="A356" s="1065"/>
      <c r="B356" s="1067"/>
      <c r="C356" s="693" t="s">
        <v>944</v>
      </c>
      <c r="D356" s="680">
        <v>54.359999999999992</v>
      </c>
    </row>
    <row r="357" spans="1:4" x14ac:dyDescent="0.25">
      <c r="A357" s="1065"/>
      <c r="B357" s="1067"/>
      <c r="C357" s="910" t="s">
        <v>945</v>
      </c>
      <c r="D357" s="680">
        <v>191</v>
      </c>
    </row>
    <row r="358" spans="1:4" ht="31.5" x14ac:dyDescent="0.25">
      <c r="A358" s="1065"/>
      <c r="B358" s="1067"/>
      <c r="C358" s="910" t="s">
        <v>946</v>
      </c>
      <c r="D358" s="680">
        <v>52</v>
      </c>
    </row>
    <row r="359" spans="1:4" ht="31.5" x14ac:dyDescent="0.25">
      <c r="A359" s="1065"/>
      <c r="B359" s="1067"/>
      <c r="C359" s="910" t="s">
        <v>947</v>
      </c>
      <c r="D359" s="680">
        <v>59</v>
      </c>
    </row>
    <row r="360" spans="1:4" ht="47.25" x14ac:dyDescent="0.25">
      <c r="A360" s="1065"/>
      <c r="B360" s="1067"/>
      <c r="C360" s="693" t="s">
        <v>1284</v>
      </c>
      <c r="D360" s="680">
        <f>86+25</f>
        <v>111</v>
      </c>
    </row>
    <row r="361" spans="1:4" ht="47.25" x14ac:dyDescent="0.25">
      <c r="A361" s="1065"/>
      <c r="B361" s="1067"/>
      <c r="C361" s="693" t="s">
        <v>950</v>
      </c>
      <c r="D361" s="680">
        <v>313</v>
      </c>
    </row>
    <row r="362" spans="1:4" x14ac:dyDescent="0.25">
      <c r="A362" s="991">
        <v>29</v>
      </c>
      <c r="B362" s="976" t="s">
        <v>952</v>
      </c>
      <c r="C362" s="695"/>
      <c r="D362" s="681">
        <f>SUM(D363:D366)</f>
        <v>1085.6199999999999</v>
      </c>
    </row>
    <row r="363" spans="1:4" ht="47.25" x14ac:dyDescent="0.25">
      <c r="A363" s="1065"/>
      <c r="B363" s="1067"/>
      <c r="C363" s="994" t="s">
        <v>956</v>
      </c>
      <c r="D363" s="978">
        <v>149</v>
      </c>
    </row>
    <row r="364" spans="1:4" ht="31.5" x14ac:dyDescent="0.25">
      <c r="A364" s="1065"/>
      <c r="B364" s="1067"/>
      <c r="C364" s="994" t="s">
        <v>957</v>
      </c>
      <c r="D364" s="978">
        <v>524</v>
      </c>
    </row>
    <row r="365" spans="1:4" ht="47.25" x14ac:dyDescent="0.25">
      <c r="A365" s="1065"/>
      <c r="B365" s="1067"/>
      <c r="C365" s="994" t="s">
        <v>958</v>
      </c>
      <c r="D365" s="978">
        <v>230</v>
      </c>
    </row>
    <row r="366" spans="1:4" x14ac:dyDescent="0.25">
      <c r="A366" s="1065"/>
      <c r="B366" s="1067"/>
      <c r="C366" s="994" t="s">
        <v>1285</v>
      </c>
      <c r="D366" s="978">
        <v>182.61999999999989</v>
      </c>
    </row>
    <row r="367" spans="1:4" x14ac:dyDescent="0.25">
      <c r="A367" s="991">
        <v>30</v>
      </c>
      <c r="B367" s="976" t="s">
        <v>961</v>
      </c>
      <c r="C367" s="695"/>
      <c r="D367" s="681">
        <f>SUM(D368:D385)</f>
        <v>1623.7058</v>
      </c>
    </row>
    <row r="368" spans="1:4" ht="31.5" x14ac:dyDescent="0.25">
      <c r="A368" s="1065"/>
      <c r="B368" s="1067"/>
      <c r="C368" s="703" t="s">
        <v>962</v>
      </c>
      <c r="D368" s="680">
        <v>144</v>
      </c>
    </row>
    <row r="369" spans="1:4" ht="31.5" x14ac:dyDescent="0.25">
      <c r="A369" s="1065"/>
      <c r="B369" s="1067"/>
      <c r="C369" s="703" t="s">
        <v>963</v>
      </c>
      <c r="D369" s="680">
        <v>153.1</v>
      </c>
    </row>
    <row r="370" spans="1:4" ht="31.5" x14ac:dyDescent="0.25">
      <c r="A370" s="1065"/>
      <c r="B370" s="1067"/>
      <c r="C370" s="703" t="s">
        <v>964</v>
      </c>
      <c r="D370" s="680">
        <v>41.04</v>
      </c>
    </row>
    <row r="371" spans="1:4" x14ac:dyDescent="0.25">
      <c r="A371" s="1065"/>
      <c r="B371" s="1067"/>
      <c r="C371" s="703" t="s">
        <v>965</v>
      </c>
      <c r="D371" s="680">
        <v>182.59199999999998</v>
      </c>
    </row>
    <row r="372" spans="1:4" ht="31.5" x14ac:dyDescent="0.25">
      <c r="A372" s="1065"/>
      <c r="B372" s="1067"/>
      <c r="C372" s="703" t="s">
        <v>966</v>
      </c>
      <c r="D372" s="680">
        <v>20.736000000000001</v>
      </c>
    </row>
    <row r="373" spans="1:4" x14ac:dyDescent="0.25">
      <c r="A373" s="1065"/>
      <c r="B373" s="1067"/>
      <c r="C373" s="704" t="s">
        <v>967</v>
      </c>
      <c r="D373" s="680">
        <v>66.239999999999995</v>
      </c>
    </row>
    <row r="374" spans="1:4" ht="31.5" x14ac:dyDescent="0.25">
      <c r="A374" s="1065"/>
      <c r="B374" s="1067"/>
      <c r="C374" s="705" t="s">
        <v>968</v>
      </c>
      <c r="D374" s="680">
        <v>192.2</v>
      </c>
    </row>
    <row r="375" spans="1:4" ht="31.5" x14ac:dyDescent="0.25">
      <c r="A375" s="1065"/>
      <c r="B375" s="1067"/>
      <c r="C375" s="693" t="s">
        <v>969</v>
      </c>
      <c r="D375" s="680">
        <v>54.5</v>
      </c>
    </row>
    <row r="376" spans="1:4" ht="31.5" x14ac:dyDescent="0.25">
      <c r="A376" s="1065"/>
      <c r="B376" s="1067"/>
      <c r="C376" s="705" t="s">
        <v>970</v>
      </c>
      <c r="D376" s="680">
        <v>154.548</v>
      </c>
    </row>
    <row r="377" spans="1:4" ht="31.5" x14ac:dyDescent="0.25">
      <c r="A377" s="1065"/>
      <c r="B377" s="1067"/>
      <c r="C377" s="705" t="s">
        <v>971</v>
      </c>
      <c r="D377" s="680">
        <v>104.22</v>
      </c>
    </row>
    <row r="378" spans="1:4" ht="31.5" x14ac:dyDescent="0.25">
      <c r="A378" s="1065"/>
      <c r="B378" s="1067"/>
      <c r="C378" s="693" t="s">
        <v>972</v>
      </c>
      <c r="D378" s="680">
        <v>17.508000000000003</v>
      </c>
    </row>
    <row r="379" spans="1:4" x14ac:dyDescent="0.25">
      <c r="A379" s="1065"/>
      <c r="B379" s="1067"/>
      <c r="C379" s="704" t="s">
        <v>973</v>
      </c>
      <c r="D379" s="680">
        <v>105</v>
      </c>
    </row>
    <row r="380" spans="1:4" x14ac:dyDescent="0.25">
      <c r="A380" s="1065"/>
      <c r="B380" s="1067"/>
      <c r="C380" s="693" t="s">
        <v>974</v>
      </c>
      <c r="D380" s="680">
        <v>39.3048</v>
      </c>
    </row>
    <row r="381" spans="1:4" ht="31.5" x14ac:dyDescent="0.25">
      <c r="A381" s="1065"/>
      <c r="B381" s="1067"/>
      <c r="C381" s="693" t="s">
        <v>975</v>
      </c>
      <c r="D381" s="680">
        <v>35.216999999999999</v>
      </c>
    </row>
    <row r="382" spans="1:4" ht="47.25" x14ac:dyDescent="0.25">
      <c r="A382" s="1065"/>
      <c r="B382" s="1067"/>
      <c r="C382" s="910" t="s">
        <v>976</v>
      </c>
      <c r="D382" s="680">
        <v>74.61</v>
      </c>
    </row>
    <row r="383" spans="1:4" ht="31.5" x14ac:dyDescent="0.25">
      <c r="A383" s="1065"/>
      <c r="B383" s="1067"/>
      <c r="C383" s="704" t="s">
        <v>977</v>
      </c>
      <c r="D383" s="680">
        <v>106.11000000000001</v>
      </c>
    </row>
    <row r="384" spans="1:4" ht="31.5" x14ac:dyDescent="0.25">
      <c r="A384" s="1065"/>
      <c r="B384" s="1067"/>
      <c r="C384" s="693" t="s">
        <v>978</v>
      </c>
      <c r="D384" s="680">
        <v>50.699999999999996</v>
      </c>
    </row>
    <row r="385" spans="1:4" x14ac:dyDescent="0.25">
      <c r="A385" s="1065"/>
      <c r="B385" s="1067"/>
      <c r="C385" s="910" t="s">
        <v>979</v>
      </c>
      <c r="D385" s="680">
        <v>82.08</v>
      </c>
    </row>
    <row r="386" spans="1:4" ht="17.25" customHeight="1" x14ac:dyDescent="0.25">
      <c r="A386" s="991">
        <v>31</v>
      </c>
      <c r="B386" s="976" t="s">
        <v>231</v>
      </c>
      <c r="C386" s="695"/>
      <c r="D386" s="681">
        <f>SUM(D387:D394)</f>
        <v>1057.4568999999999</v>
      </c>
    </row>
    <row r="387" spans="1:4" ht="31.5" x14ac:dyDescent="0.25">
      <c r="A387" s="1065"/>
      <c r="B387" s="1067"/>
      <c r="C387" s="704" t="s">
        <v>980</v>
      </c>
      <c r="D387" s="680">
        <v>34.5</v>
      </c>
    </row>
    <row r="388" spans="1:4" x14ac:dyDescent="0.25">
      <c r="A388" s="1065"/>
      <c r="B388" s="1067"/>
      <c r="C388" s="704" t="s">
        <v>981</v>
      </c>
      <c r="D388" s="680">
        <v>27.4</v>
      </c>
    </row>
    <row r="389" spans="1:4" ht="31.5" x14ac:dyDescent="0.25">
      <c r="A389" s="1065"/>
      <c r="B389" s="1067"/>
      <c r="C389" s="704" t="s">
        <v>982</v>
      </c>
      <c r="D389" s="680">
        <v>27.48</v>
      </c>
    </row>
    <row r="390" spans="1:4" x14ac:dyDescent="0.25">
      <c r="A390" s="1065"/>
      <c r="B390" s="1067"/>
      <c r="C390" s="693" t="s">
        <v>983</v>
      </c>
      <c r="D390" s="680">
        <v>47</v>
      </c>
    </row>
    <row r="391" spans="1:4" ht="31.5" x14ac:dyDescent="0.25">
      <c r="A391" s="1065"/>
      <c r="B391" s="1067"/>
      <c r="C391" s="704" t="s">
        <v>984</v>
      </c>
      <c r="D391" s="680">
        <v>620.5</v>
      </c>
    </row>
    <row r="392" spans="1:4" ht="31.5" x14ac:dyDescent="0.25">
      <c r="A392" s="1065"/>
      <c r="B392" s="1067"/>
      <c r="C392" s="693" t="s">
        <v>985</v>
      </c>
      <c r="D392" s="680">
        <v>74</v>
      </c>
    </row>
    <row r="393" spans="1:4" ht="31.5" x14ac:dyDescent="0.25">
      <c r="A393" s="1065"/>
      <c r="B393" s="1067"/>
      <c r="C393" s="1002" t="s">
        <v>986</v>
      </c>
      <c r="D393" s="680">
        <v>30.55</v>
      </c>
    </row>
    <row r="394" spans="1:4" ht="47.25" x14ac:dyDescent="0.25">
      <c r="A394" s="1065"/>
      <c r="B394" s="1067"/>
      <c r="C394" s="693" t="s">
        <v>987</v>
      </c>
      <c r="D394" s="680">
        <v>196.02689999999998</v>
      </c>
    </row>
    <row r="395" spans="1:4" s="675" customFormat="1" x14ac:dyDescent="0.25">
      <c r="A395" s="991">
        <v>32</v>
      </c>
      <c r="B395" s="976" t="s">
        <v>988</v>
      </c>
      <c r="C395" s="695"/>
      <c r="D395" s="681">
        <f>SUM(D396:D398)</f>
        <v>351.56</v>
      </c>
    </row>
    <row r="396" spans="1:4" ht="31.5" x14ac:dyDescent="0.25">
      <c r="A396" s="1065"/>
      <c r="B396" s="1067"/>
      <c r="C396" s="994" t="s">
        <v>989</v>
      </c>
      <c r="D396" s="989">
        <v>120.51</v>
      </c>
    </row>
    <row r="397" spans="1:4" ht="47.25" x14ac:dyDescent="0.25">
      <c r="A397" s="1065"/>
      <c r="B397" s="1067"/>
      <c r="C397" s="994" t="s">
        <v>991</v>
      </c>
      <c r="D397" s="989">
        <v>184.05</v>
      </c>
    </row>
    <row r="398" spans="1:4" x14ac:dyDescent="0.25">
      <c r="A398" s="1065"/>
      <c r="B398" s="1067"/>
      <c r="C398" s="994" t="s">
        <v>1286</v>
      </c>
      <c r="D398" s="989">
        <f>11+36</f>
        <v>47</v>
      </c>
    </row>
    <row r="399" spans="1:4" s="675" customFormat="1" x14ac:dyDescent="0.25">
      <c r="A399" s="991">
        <v>33</v>
      </c>
      <c r="B399" s="976" t="s">
        <v>993</v>
      </c>
      <c r="C399" s="695"/>
      <c r="D399" s="681">
        <f>SUM(D400:D403)</f>
        <v>454.77800000000002</v>
      </c>
    </row>
    <row r="400" spans="1:4" x14ac:dyDescent="0.25">
      <c r="A400" s="1065"/>
      <c r="B400" s="1067"/>
      <c r="C400" s="994" t="s">
        <v>994</v>
      </c>
      <c r="D400" s="989">
        <v>220</v>
      </c>
    </row>
    <row r="401" spans="1:4" ht="31.5" x14ac:dyDescent="0.25">
      <c r="A401" s="1065"/>
      <c r="B401" s="1067"/>
      <c r="C401" s="994" t="s">
        <v>995</v>
      </c>
      <c r="D401" s="989">
        <v>50</v>
      </c>
    </row>
    <row r="402" spans="1:4" ht="31.5" x14ac:dyDescent="0.25">
      <c r="A402" s="1065"/>
      <c r="B402" s="1067"/>
      <c r="C402" s="994" t="s">
        <v>996</v>
      </c>
      <c r="D402" s="989">
        <v>97.378</v>
      </c>
    </row>
    <row r="403" spans="1:4" x14ac:dyDescent="0.25">
      <c r="A403" s="1065"/>
      <c r="B403" s="1067"/>
      <c r="C403" s="994" t="s">
        <v>1286</v>
      </c>
      <c r="D403" s="989">
        <f>48+12+27.4</f>
        <v>87.4</v>
      </c>
    </row>
    <row r="404" spans="1:4" x14ac:dyDescent="0.25">
      <c r="A404" s="991">
        <v>34</v>
      </c>
      <c r="B404" s="976" t="s">
        <v>1000</v>
      </c>
      <c r="C404" s="695"/>
      <c r="D404" s="681">
        <f>D405</f>
        <v>220</v>
      </c>
    </row>
    <row r="405" spans="1:4" x14ac:dyDescent="0.25">
      <c r="A405" s="981"/>
      <c r="B405" s="977"/>
      <c r="C405" s="994" t="s">
        <v>994</v>
      </c>
      <c r="D405" s="989">
        <v>220</v>
      </c>
    </row>
    <row r="406" spans="1:4" x14ac:dyDescent="0.25">
      <c r="A406" s="991">
        <v>35</v>
      </c>
      <c r="B406" s="976" t="s">
        <v>1001</v>
      </c>
      <c r="C406" s="695"/>
      <c r="D406" s="681">
        <f>SUM(D407:D410)</f>
        <v>622</v>
      </c>
    </row>
    <row r="407" spans="1:4" ht="47.25" x14ac:dyDescent="0.25">
      <c r="A407" s="1065"/>
      <c r="B407" s="1067"/>
      <c r="C407" s="684" t="s">
        <v>1287</v>
      </c>
      <c r="D407" s="682">
        <f>61+6+90</f>
        <v>157</v>
      </c>
    </row>
    <row r="408" spans="1:4" ht="31.5" x14ac:dyDescent="0.25">
      <c r="A408" s="1065"/>
      <c r="B408" s="1067"/>
      <c r="C408" s="684" t="s">
        <v>1288</v>
      </c>
      <c r="D408" s="682">
        <f>64+70</f>
        <v>134</v>
      </c>
    </row>
    <row r="409" spans="1:4" ht="47.25" x14ac:dyDescent="0.25">
      <c r="A409" s="1065"/>
      <c r="B409" s="1067"/>
      <c r="C409" s="693" t="s">
        <v>1005</v>
      </c>
      <c r="D409" s="682">
        <v>181</v>
      </c>
    </row>
    <row r="410" spans="1:4" x14ac:dyDescent="0.25">
      <c r="A410" s="1065"/>
      <c r="B410" s="1067"/>
      <c r="C410" s="684" t="s">
        <v>1008</v>
      </c>
      <c r="D410" s="682">
        <v>150</v>
      </c>
    </row>
    <row r="411" spans="1:4" s="675" customFormat="1" x14ac:dyDescent="0.25">
      <c r="A411" s="991">
        <v>36</v>
      </c>
      <c r="B411" s="976" t="s">
        <v>1009</v>
      </c>
      <c r="C411" s="695"/>
      <c r="D411" s="681">
        <f>SUM(D412:D414)</f>
        <v>1253</v>
      </c>
    </row>
    <row r="412" spans="1:4" x14ac:dyDescent="0.25">
      <c r="A412" s="1065"/>
      <c r="B412" s="1067"/>
      <c r="C412" s="994" t="s">
        <v>994</v>
      </c>
      <c r="D412" s="989">
        <v>220</v>
      </c>
    </row>
    <row r="413" spans="1:4" ht="31.5" x14ac:dyDescent="0.25">
      <c r="A413" s="1065"/>
      <c r="B413" s="1067"/>
      <c r="C413" s="994" t="s">
        <v>1289</v>
      </c>
      <c r="D413" s="989">
        <f>545+60</f>
        <v>605</v>
      </c>
    </row>
    <row r="414" spans="1:4" ht="31.5" x14ac:dyDescent="0.25">
      <c r="A414" s="1065"/>
      <c r="B414" s="1067"/>
      <c r="C414" s="994" t="s">
        <v>1012</v>
      </c>
      <c r="D414" s="989">
        <v>428</v>
      </c>
    </row>
    <row r="415" spans="1:4" x14ac:dyDescent="0.25">
      <c r="A415" s="991">
        <v>37</v>
      </c>
      <c r="B415" s="976" t="s">
        <v>1013</v>
      </c>
      <c r="C415" s="695"/>
      <c r="D415" s="681">
        <f>SUM(D416:D419)</f>
        <v>533</v>
      </c>
    </row>
    <row r="416" spans="1:4" x14ac:dyDescent="0.25">
      <c r="A416" s="1065"/>
      <c r="B416" s="1067"/>
      <c r="C416" s="994" t="s">
        <v>1014</v>
      </c>
      <c r="D416" s="989">
        <v>120</v>
      </c>
    </row>
    <row r="417" spans="1:4" ht="17.25" customHeight="1" x14ac:dyDescent="0.25">
      <c r="A417" s="1065"/>
      <c r="B417" s="1067"/>
      <c r="C417" s="910" t="s">
        <v>1015</v>
      </c>
      <c r="D417" s="689">
        <v>220</v>
      </c>
    </row>
    <row r="418" spans="1:4" ht="31.5" x14ac:dyDescent="0.25">
      <c r="A418" s="1065"/>
      <c r="B418" s="1067"/>
      <c r="C418" s="693" t="s">
        <v>1016</v>
      </c>
      <c r="D418" s="689">
        <v>160</v>
      </c>
    </row>
    <row r="419" spans="1:4" ht="31.5" x14ac:dyDescent="0.25">
      <c r="A419" s="1065"/>
      <c r="B419" s="1067"/>
      <c r="C419" s="693" t="s">
        <v>1017</v>
      </c>
      <c r="D419" s="689">
        <v>33</v>
      </c>
    </row>
    <row r="420" spans="1:4" x14ac:dyDescent="0.25">
      <c r="A420" s="991">
        <v>38</v>
      </c>
      <c r="B420" s="976" t="s">
        <v>1018</v>
      </c>
      <c r="C420" s="695"/>
      <c r="D420" s="681">
        <v>120</v>
      </c>
    </row>
    <row r="421" spans="1:4" x14ac:dyDescent="0.25">
      <c r="A421" s="981"/>
      <c r="B421" s="977"/>
      <c r="C421" s="994" t="s">
        <v>994</v>
      </c>
      <c r="D421" s="989">
        <v>120</v>
      </c>
    </row>
    <row r="422" spans="1:4" x14ac:dyDescent="0.25">
      <c r="A422" s="991">
        <v>39</v>
      </c>
      <c r="B422" s="976" t="s">
        <v>1019</v>
      </c>
      <c r="C422" s="695"/>
      <c r="D422" s="681">
        <f>D423+D424</f>
        <v>180</v>
      </c>
    </row>
    <row r="423" spans="1:4" ht="21" customHeight="1" x14ac:dyDescent="0.25">
      <c r="A423" s="1065"/>
      <c r="B423" s="1067"/>
      <c r="C423" s="994" t="s">
        <v>994</v>
      </c>
      <c r="D423" s="989">
        <v>120</v>
      </c>
    </row>
    <row r="424" spans="1:4" x14ac:dyDescent="0.25">
      <c r="A424" s="1065"/>
      <c r="B424" s="1067"/>
      <c r="C424" s="994" t="s">
        <v>1020</v>
      </c>
      <c r="D424" s="989">
        <v>60</v>
      </c>
    </row>
    <row r="425" spans="1:4" s="675" customFormat="1" x14ac:dyDescent="0.25">
      <c r="A425" s="991">
        <v>40</v>
      </c>
      <c r="B425" s="976" t="s">
        <v>1021</v>
      </c>
      <c r="C425" s="695"/>
      <c r="D425" s="681">
        <f>+D426</f>
        <v>120</v>
      </c>
    </row>
    <row r="426" spans="1:4" x14ac:dyDescent="0.25">
      <c r="A426" s="981"/>
      <c r="B426" s="977"/>
      <c r="C426" s="994" t="s">
        <v>994</v>
      </c>
      <c r="D426" s="989">
        <v>120</v>
      </c>
    </row>
    <row r="427" spans="1:4" s="675" customFormat="1" ht="31.5" x14ac:dyDescent="0.25">
      <c r="A427" s="991">
        <v>41</v>
      </c>
      <c r="B427" s="976" t="s">
        <v>1022</v>
      </c>
      <c r="C427" s="695"/>
      <c r="D427" s="681">
        <f>+D428+D429</f>
        <v>190</v>
      </c>
    </row>
    <row r="428" spans="1:4" ht="23.25" customHeight="1" x14ac:dyDescent="0.25">
      <c r="A428" s="1065"/>
      <c r="B428" s="1067"/>
      <c r="C428" s="994" t="s">
        <v>994</v>
      </c>
      <c r="D428" s="989">
        <v>120</v>
      </c>
    </row>
    <row r="429" spans="1:4" x14ac:dyDescent="0.25">
      <c r="A429" s="1065"/>
      <c r="B429" s="1067"/>
      <c r="C429" s="994" t="s">
        <v>1023</v>
      </c>
      <c r="D429" s="989">
        <v>70</v>
      </c>
    </row>
    <row r="430" spans="1:4" s="675" customFormat="1" x14ac:dyDescent="0.25">
      <c r="A430" s="991">
        <v>42</v>
      </c>
      <c r="B430" s="976" t="s">
        <v>1024</v>
      </c>
      <c r="C430" s="695"/>
      <c r="D430" s="681">
        <f>+D431</f>
        <v>120</v>
      </c>
    </row>
    <row r="431" spans="1:4" x14ac:dyDescent="0.25">
      <c r="A431" s="981"/>
      <c r="B431" s="977"/>
      <c r="C431" s="994" t="s">
        <v>994</v>
      </c>
      <c r="D431" s="989">
        <v>120</v>
      </c>
    </row>
    <row r="432" spans="1:4" s="675" customFormat="1" x14ac:dyDescent="0.25">
      <c r="A432" s="991">
        <v>43</v>
      </c>
      <c r="B432" s="976" t="s">
        <v>1025</v>
      </c>
      <c r="C432" s="695"/>
      <c r="D432" s="681">
        <f>+D433+D434</f>
        <v>152</v>
      </c>
    </row>
    <row r="433" spans="1:4" ht="24" customHeight="1" x14ac:dyDescent="0.25">
      <c r="A433" s="1065"/>
      <c r="B433" s="1067"/>
      <c r="C433" s="994" t="s">
        <v>994</v>
      </c>
      <c r="D433" s="989">
        <v>120</v>
      </c>
    </row>
    <row r="434" spans="1:4" x14ac:dyDescent="0.25">
      <c r="A434" s="1065"/>
      <c r="B434" s="1067"/>
      <c r="C434" s="994" t="s">
        <v>1026</v>
      </c>
      <c r="D434" s="989">
        <v>32</v>
      </c>
    </row>
    <row r="435" spans="1:4" ht="31.5" x14ac:dyDescent="0.25">
      <c r="A435" s="991">
        <v>44</v>
      </c>
      <c r="B435" s="976" t="s">
        <v>1027</v>
      </c>
      <c r="C435" s="695"/>
      <c r="D435" s="681">
        <f>D436+D437</f>
        <v>410</v>
      </c>
    </row>
    <row r="436" spans="1:4" x14ac:dyDescent="0.25">
      <c r="A436" s="1065"/>
      <c r="B436" s="1067"/>
      <c r="C436" s="994" t="s">
        <v>1290</v>
      </c>
      <c r="D436" s="989">
        <v>290</v>
      </c>
    </row>
    <row r="437" spans="1:4" ht="21" customHeight="1" x14ac:dyDescent="0.25">
      <c r="A437" s="1066"/>
      <c r="B437" s="1068"/>
      <c r="C437" s="1003" t="s">
        <v>994</v>
      </c>
      <c r="D437" s="990">
        <v>120</v>
      </c>
    </row>
    <row r="438" spans="1:4" ht="31.5" x14ac:dyDescent="0.25">
      <c r="A438" s="911">
        <v>45</v>
      </c>
      <c r="B438" s="707" t="s">
        <v>1029</v>
      </c>
      <c r="C438" s="912" t="s">
        <v>1030</v>
      </c>
      <c r="D438" s="721">
        <v>5000</v>
      </c>
    </row>
    <row r="439" spans="1:4" ht="27" customHeight="1" x14ac:dyDescent="0.25">
      <c r="A439" s="909">
        <v>46</v>
      </c>
      <c r="B439" s="708" t="s">
        <v>1031</v>
      </c>
      <c r="C439" s="910" t="s">
        <v>1032</v>
      </c>
      <c r="D439" s="682">
        <v>183173</v>
      </c>
    </row>
    <row r="440" spans="1:4" ht="31.5" x14ac:dyDescent="0.25">
      <c r="A440" s="911">
        <v>47</v>
      </c>
      <c r="B440" s="708" t="s">
        <v>1033</v>
      </c>
      <c r="C440" s="693" t="s">
        <v>1034</v>
      </c>
      <c r="D440" s="682">
        <v>22</v>
      </c>
    </row>
    <row r="441" spans="1:4" ht="31.5" x14ac:dyDescent="0.25">
      <c r="A441" s="909">
        <v>48</v>
      </c>
      <c r="B441" s="708" t="s">
        <v>1035</v>
      </c>
      <c r="C441" s="693" t="s">
        <v>1034</v>
      </c>
      <c r="D441" s="685">
        <v>9</v>
      </c>
    </row>
    <row r="442" spans="1:4" ht="31.5" x14ac:dyDescent="0.25">
      <c r="A442" s="911">
        <v>49</v>
      </c>
      <c r="B442" s="708" t="s">
        <v>1036</v>
      </c>
      <c r="C442" s="693" t="s">
        <v>1034</v>
      </c>
      <c r="D442" s="685">
        <v>9</v>
      </c>
    </row>
    <row r="443" spans="1:4" ht="31.5" x14ac:dyDescent="0.25">
      <c r="A443" s="909">
        <v>50</v>
      </c>
      <c r="B443" s="708" t="s">
        <v>1037</v>
      </c>
      <c r="C443" s="693" t="s">
        <v>1034</v>
      </c>
      <c r="D443" s="685">
        <v>9</v>
      </c>
    </row>
    <row r="444" spans="1:4" ht="31.5" x14ac:dyDescent="0.25">
      <c r="A444" s="911">
        <v>51</v>
      </c>
      <c r="B444" s="693" t="s">
        <v>1038</v>
      </c>
      <c r="C444" s="693" t="s">
        <v>1034</v>
      </c>
      <c r="D444" s="685">
        <v>39</v>
      </c>
    </row>
    <row r="445" spans="1:4" ht="31.5" x14ac:dyDescent="0.25">
      <c r="A445" s="909">
        <v>52</v>
      </c>
      <c r="B445" s="693" t="s">
        <v>1039</v>
      </c>
      <c r="C445" s="693" t="s">
        <v>1034</v>
      </c>
      <c r="D445" s="685">
        <v>27</v>
      </c>
    </row>
    <row r="446" spans="1:4" ht="31.5" x14ac:dyDescent="0.25">
      <c r="A446" s="911">
        <v>53</v>
      </c>
      <c r="B446" s="693" t="s">
        <v>1040</v>
      </c>
      <c r="C446" s="693" t="s">
        <v>1034</v>
      </c>
      <c r="D446" s="685">
        <v>19</v>
      </c>
    </row>
    <row r="447" spans="1:4" ht="31.5" x14ac:dyDescent="0.25">
      <c r="A447" s="909">
        <v>54</v>
      </c>
      <c r="B447" s="693" t="s">
        <v>1041</v>
      </c>
      <c r="C447" s="693" t="s">
        <v>1034</v>
      </c>
      <c r="D447" s="685">
        <v>63</v>
      </c>
    </row>
    <row r="448" spans="1:4" ht="31.5" x14ac:dyDescent="0.25">
      <c r="A448" s="911">
        <v>55</v>
      </c>
      <c r="B448" s="693" t="s">
        <v>1042</v>
      </c>
      <c r="C448" s="693" t="s">
        <v>1034</v>
      </c>
      <c r="D448" s="685">
        <v>9</v>
      </c>
    </row>
    <row r="449" spans="1:4" ht="31.5" x14ac:dyDescent="0.25">
      <c r="A449" s="909">
        <v>56</v>
      </c>
      <c r="B449" s="693" t="s">
        <v>1043</v>
      </c>
      <c r="C449" s="693" t="s">
        <v>1034</v>
      </c>
      <c r="D449" s="685">
        <v>9</v>
      </c>
    </row>
    <row r="450" spans="1:4" ht="31.5" x14ac:dyDescent="0.25">
      <c r="A450" s="911">
        <v>57</v>
      </c>
      <c r="B450" s="693" t="s">
        <v>1044</v>
      </c>
      <c r="C450" s="693" t="s">
        <v>1034</v>
      </c>
      <c r="D450" s="685">
        <v>58</v>
      </c>
    </row>
    <row r="451" spans="1:4" ht="31.5" x14ac:dyDescent="0.25">
      <c r="A451" s="909">
        <v>58</v>
      </c>
      <c r="B451" s="693" t="s">
        <v>1045</v>
      </c>
      <c r="C451" s="693" t="s">
        <v>1034</v>
      </c>
      <c r="D451" s="685">
        <v>116</v>
      </c>
    </row>
    <row r="452" spans="1:4" ht="31.5" x14ac:dyDescent="0.25">
      <c r="A452" s="911">
        <v>59</v>
      </c>
      <c r="B452" s="693" t="s">
        <v>1046</v>
      </c>
      <c r="C452" s="693" t="s">
        <v>1034</v>
      </c>
      <c r="D452" s="685">
        <v>23</v>
      </c>
    </row>
    <row r="453" spans="1:4" ht="31.5" x14ac:dyDescent="0.25">
      <c r="A453" s="909">
        <v>60</v>
      </c>
      <c r="B453" s="693" t="s">
        <v>1047</v>
      </c>
      <c r="C453" s="693" t="s">
        <v>1034</v>
      </c>
      <c r="D453" s="685">
        <v>9</v>
      </c>
    </row>
    <row r="454" spans="1:4" x14ac:dyDescent="0.25">
      <c r="A454" s="911">
        <v>61</v>
      </c>
      <c r="B454" s="708" t="s">
        <v>1048</v>
      </c>
      <c r="C454" s="693" t="s">
        <v>1049</v>
      </c>
      <c r="D454" s="685">
        <v>24</v>
      </c>
    </row>
    <row r="455" spans="1:4" x14ac:dyDescent="0.25">
      <c r="A455" s="909">
        <v>62</v>
      </c>
      <c r="B455" s="708" t="s">
        <v>1050</v>
      </c>
      <c r="C455" s="693" t="s">
        <v>1049</v>
      </c>
      <c r="D455" s="685">
        <v>18</v>
      </c>
    </row>
    <row r="456" spans="1:4" ht="63" x14ac:dyDescent="0.25">
      <c r="A456" s="911">
        <v>63</v>
      </c>
      <c r="B456" s="708" t="s">
        <v>1051</v>
      </c>
      <c r="C456" s="693" t="s">
        <v>1052</v>
      </c>
      <c r="D456" s="685">
        <v>174</v>
      </c>
    </row>
    <row r="457" spans="1:4" x14ac:dyDescent="0.25">
      <c r="A457" s="909">
        <v>64</v>
      </c>
      <c r="B457" s="708" t="s">
        <v>1053</v>
      </c>
      <c r="C457" s="693" t="s">
        <v>1049</v>
      </c>
      <c r="D457" s="685">
        <v>18</v>
      </c>
    </row>
    <row r="458" spans="1:4" ht="126" x14ac:dyDescent="0.25">
      <c r="A458" s="911">
        <v>65</v>
      </c>
      <c r="B458" s="708" t="s">
        <v>1054</v>
      </c>
      <c r="C458" s="693" t="s">
        <v>1055</v>
      </c>
      <c r="D458" s="685">
        <v>449</v>
      </c>
    </row>
    <row r="459" spans="1:4" x14ac:dyDescent="0.25">
      <c r="A459" s="909">
        <v>66</v>
      </c>
      <c r="B459" s="708" t="s">
        <v>1056</v>
      </c>
      <c r="C459" s="693" t="s">
        <v>1049</v>
      </c>
      <c r="D459" s="685">
        <v>18</v>
      </c>
    </row>
    <row r="460" spans="1:4" ht="31.5" x14ac:dyDescent="0.25">
      <c r="A460" s="911">
        <v>67</v>
      </c>
      <c r="B460" s="708" t="s">
        <v>1057</v>
      </c>
      <c r="C460" s="693" t="s">
        <v>1058</v>
      </c>
      <c r="D460" s="685">
        <v>50</v>
      </c>
    </row>
    <row r="461" spans="1:4" ht="31.5" x14ac:dyDescent="0.25">
      <c r="A461" s="909">
        <v>68</v>
      </c>
      <c r="B461" s="708" t="s">
        <v>1059</v>
      </c>
      <c r="C461" s="693" t="s">
        <v>1060</v>
      </c>
      <c r="D461" s="685">
        <v>120</v>
      </c>
    </row>
    <row r="462" spans="1:4" x14ac:dyDescent="0.25">
      <c r="A462" s="911">
        <v>69</v>
      </c>
      <c r="B462" s="910" t="s">
        <v>229</v>
      </c>
      <c r="C462" s="910"/>
      <c r="D462" s="681">
        <f>SUM(D463:D464)</f>
        <v>8600</v>
      </c>
    </row>
    <row r="463" spans="1:4" ht="31.5" x14ac:dyDescent="0.25">
      <c r="A463" s="909"/>
      <c r="B463" s="910"/>
      <c r="C463" s="910" t="s">
        <v>1061</v>
      </c>
      <c r="D463" s="682">
        <v>8000</v>
      </c>
    </row>
    <row r="464" spans="1:4" ht="31.5" x14ac:dyDescent="0.25">
      <c r="A464" s="909"/>
      <c r="B464" s="910"/>
      <c r="C464" s="910" t="s">
        <v>1062</v>
      </c>
      <c r="D464" s="682">
        <f>215+385</f>
        <v>600</v>
      </c>
    </row>
    <row r="465" spans="1:4" x14ac:dyDescent="0.25">
      <c r="A465" s="909">
        <v>70</v>
      </c>
      <c r="B465" s="679" t="s">
        <v>1063</v>
      </c>
      <c r="C465" s="690"/>
      <c r="D465" s="722">
        <f>SUM(D466:D472)</f>
        <v>42500</v>
      </c>
    </row>
    <row r="466" spans="1:4" ht="31.5" x14ac:dyDescent="0.25">
      <c r="A466" s="909"/>
      <c r="B466" s="679"/>
      <c r="C466" s="679" t="s">
        <v>1064</v>
      </c>
      <c r="D466" s="680">
        <f>9200-100</f>
        <v>9100</v>
      </c>
    </row>
    <row r="467" spans="1:4" ht="31.5" x14ac:dyDescent="0.25">
      <c r="A467" s="909"/>
      <c r="B467" s="679"/>
      <c r="C467" s="679" t="s">
        <v>1065</v>
      </c>
      <c r="D467" s="680">
        <v>215</v>
      </c>
    </row>
    <row r="468" spans="1:4" ht="31.5" x14ac:dyDescent="0.25">
      <c r="A468" s="909"/>
      <c r="B468" s="679"/>
      <c r="C468" s="679" t="s">
        <v>1066</v>
      </c>
      <c r="D468" s="680">
        <v>255</v>
      </c>
    </row>
    <row r="469" spans="1:4" x14ac:dyDescent="0.25">
      <c r="A469" s="909"/>
      <c r="B469" s="679"/>
      <c r="C469" s="679" t="s">
        <v>1067</v>
      </c>
      <c r="D469" s="680">
        <v>6000</v>
      </c>
    </row>
    <row r="470" spans="1:4" ht="23.25" customHeight="1" x14ac:dyDescent="0.25">
      <c r="A470" s="909"/>
      <c r="B470" s="679"/>
      <c r="C470" s="679" t="s">
        <v>1068</v>
      </c>
      <c r="D470" s="680">
        <v>9500</v>
      </c>
    </row>
    <row r="471" spans="1:4" ht="31.5" x14ac:dyDescent="0.25">
      <c r="A471" s="909"/>
      <c r="B471" s="679"/>
      <c r="C471" s="679" t="s">
        <v>1069</v>
      </c>
      <c r="D471" s="680">
        <v>430</v>
      </c>
    </row>
    <row r="472" spans="1:4" x14ac:dyDescent="0.25">
      <c r="A472" s="913"/>
      <c r="B472" s="723"/>
      <c r="C472" s="723" t="s">
        <v>1070</v>
      </c>
      <c r="D472" s="724">
        <v>17000</v>
      </c>
    </row>
  </sheetData>
  <mergeCells count="81">
    <mergeCell ref="B207:B240"/>
    <mergeCell ref="A26:A36"/>
    <mergeCell ref="B26:B36"/>
    <mergeCell ref="A38:A41"/>
    <mergeCell ref="B38:B41"/>
    <mergeCell ref="A85:A88"/>
    <mergeCell ref="B85:B88"/>
    <mergeCell ref="B177:B204"/>
    <mergeCell ref="A317:A320"/>
    <mergeCell ref="B317:B320"/>
    <mergeCell ref="A90:A104"/>
    <mergeCell ref="B90:B104"/>
    <mergeCell ref="A311:A315"/>
    <mergeCell ref="B311:B315"/>
    <mergeCell ref="A279:A296"/>
    <mergeCell ref="B279:B296"/>
    <mergeCell ref="A298:A302"/>
    <mergeCell ref="B298:B302"/>
    <mergeCell ref="A305:A309"/>
    <mergeCell ref="B305:B309"/>
    <mergeCell ref="A242:A277"/>
    <mergeCell ref="B242:B277"/>
    <mergeCell ref="A177:A204"/>
    <mergeCell ref="A207:A240"/>
    <mergeCell ref="A14:A24"/>
    <mergeCell ref="B14:B24"/>
    <mergeCell ref="B123:B139"/>
    <mergeCell ref="A141:A175"/>
    <mergeCell ref="B141:B175"/>
    <mergeCell ref="B106:B120"/>
    <mergeCell ref="A123:A139"/>
    <mergeCell ref="A79:A83"/>
    <mergeCell ref="B79:B83"/>
    <mergeCell ref="A407:A410"/>
    <mergeCell ref="B407:B410"/>
    <mergeCell ref="A412:A414"/>
    <mergeCell ref="B412:B414"/>
    <mergeCell ref="A322:A325"/>
    <mergeCell ref="B322:B325"/>
    <mergeCell ref="A400:A403"/>
    <mergeCell ref="B400:B403"/>
    <mergeCell ref="A353:A361"/>
    <mergeCell ref="B353:B361"/>
    <mergeCell ref="A363:A366"/>
    <mergeCell ref="B363:B366"/>
    <mergeCell ref="A368:A385"/>
    <mergeCell ref="B368:B385"/>
    <mergeCell ref="A387:A394"/>
    <mergeCell ref="B387:B394"/>
    <mergeCell ref="A396:A398"/>
    <mergeCell ref="B396:B398"/>
    <mergeCell ref="A346:A351"/>
    <mergeCell ref="B346:B351"/>
    <mergeCell ref="A1:D1"/>
    <mergeCell ref="A2:D2"/>
    <mergeCell ref="C4:D4"/>
    <mergeCell ref="A7:A12"/>
    <mergeCell ref="B7:B12"/>
    <mergeCell ref="A43:A60"/>
    <mergeCell ref="B43:B60"/>
    <mergeCell ref="A62:A68"/>
    <mergeCell ref="B62:B68"/>
    <mergeCell ref="A70:A77"/>
    <mergeCell ref="B70:B77"/>
    <mergeCell ref="A106:A120"/>
    <mergeCell ref="A327:A329"/>
    <mergeCell ref="B327:B329"/>
    <mergeCell ref="A331:A332"/>
    <mergeCell ref="B331:B332"/>
    <mergeCell ref="A336:A344"/>
    <mergeCell ref="B336:B344"/>
    <mergeCell ref="A436:A437"/>
    <mergeCell ref="B436:B437"/>
    <mergeCell ref="A416:A419"/>
    <mergeCell ref="B416:B419"/>
    <mergeCell ref="A423:A424"/>
    <mergeCell ref="B423:B424"/>
    <mergeCell ref="A428:A429"/>
    <mergeCell ref="B428:B429"/>
    <mergeCell ref="A433:A434"/>
    <mergeCell ref="B433:B434"/>
  </mergeCells>
  <pageMargins left="0.78740157480314965" right="0.39370078740157483" top="0.78740157480314965" bottom="0.78740157480314965" header="0.31496062992125984" footer="0.31496062992125984"/>
  <pageSetup paperSize="9" scale="82" firstPageNumber="41" orientation="portrait" useFirstPageNumber="1" verticalDpi="4294967295" r:id="rId1"/>
  <headerFooter>
    <oddFooter>&amp;R&amp;P</oddFooter>
  </headerFooter>
  <colBreaks count="1" manualBreakCount="1">
    <brk id="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topLeftCell="A16" zoomScale="85" zoomScaleNormal="100" zoomScalePageLayoutView="85" workbookViewId="0">
      <selection activeCell="B6" sqref="B6"/>
    </sheetView>
  </sheetViews>
  <sheetFormatPr defaultColWidth="9" defaultRowHeight="15.75" x14ac:dyDescent="0.25"/>
  <cols>
    <col min="1" max="1" width="6.875" style="68" customWidth="1"/>
    <col min="2" max="2" width="69.875" style="74" customWidth="1"/>
    <col min="3" max="3" width="15.25" style="74" customWidth="1"/>
    <col min="4" max="4" width="15" style="779" customWidth="1"/>
    <col min="5" max="5" width="15.125" style="74" customWidth="1"/>
    <col min="6" max="6" width="27.25" style="74" customWidth="1"/>
    <col min="7" max="7" width="9" style="74"/>
    <col min="8" max="8" width="10.75" style="74" bestFit="1" customWidth="1"/>
    <col min="9" max="9" width="20.75" style="74" customWidth="1"/>
    <col min="10" max="16384" width="9" style="74"/>
  </cols>
  <sheetData>
    <row r="1" spans="1:13" ht="25.5" customHeight="1" x14ac:dyDescent="0.25">
      <c r="A1" s="1072" t="s">
        <v>1097</v>
      </c>
      <c r="B1" s="1072"/>
      <c r="C1" s="1072"/>
      <c r="D1" s="1072"/>
      <c r="E1" s="1072"/>
    </row>
    <row r="2" spans="1:13" ht="21.75" customHeight="1" x14ac:dyDescent="0.25">
      <c r="A2" s="1073" t="str">
        <f>'PL 2'!A2:D2</f>
        <v>(Kèm theo Nghị quyết số            /NQ-HĐND ngày           tháng 12 năm 2022 của HĐND tỉnh Bắc Kạn)</v>
      </c>
      <c r="B2" s="1073"/>
      <c r="C2" s="1073"/>
      <c r="D2" s="1073"/>
      <c r="E2" s="1073"/>
      <c r="F2" s="1073"/>
      <c r="G2" s="1073"/>
      <c r="H2" s="1073"/>
      <c r="I2" s="1073"/>
      <c r="J2" s="1073"/>
      <c r="K2" s="1073"/>
      <c r="L2" s="1073"/>
      <c r="M2" s="1073"/>
    </row>
    <row r="3" spans="1:13" x14ac:dyDescent="0.25">
      <c r="A3" s="1074" t="s">
        <v>1098</v>
      </c>
      <c r="B3" s="1074"/>
      <c r="C3" s="1074"/>
      <c r="D3" s="1074"/>
      <c r="E3" s="1074"/>
    </row>
    <row r="4" spans="1:13" ht="42" customHeight="1" x14ac:dyDescent="0.25">
      <c r="A4" s="656" t="s">
        <v>1</v>
      </c>
      <c r="B4" s="656" t="s">
        <v>1099</v>
      </c>
      <c r="C4" s="656" t="s">
        <v>1100</v>
      </c>
      <c r="D4" s="760" t="s">
        <v>1101</v>
      </c>
      <c r="E4" s="656" t="s">
        <v>3</v>
      </c>
    </row>
    <row r="5" spans="1:13" ht="21.75" customHeight="1" x14ac:dyDescent="0.25">
      <c r="A5" s="656"/>
      <c r="B5" s="656" t="s">
        <v>290</v>
      </c>
      <c r="C5" s="761">
        <f>C6+C15</f>
        <v>40000</v>
      </c>
      <c r="D5" s="761">
        <f>D6+D15</f>
        <v>36849</v>
      </c>
      <c r="E5" s="656"/>
    </row>
    <row r="6" spans="1:13" s="67" customFormat="1" ht="21.75" customHeight="1" x14ac:dyDescent="0.25">
      <c r="A6" s="762" t="s">
        <v>4</v>
      </c>
      <c r="B6" s="763" t="s">
        <v>242</v>
      </c>
      <c r="C6" s="764">
        <f>SUM(C7:C14)</f>
        <v>4000</v>
      </c>
      <c r="D6" s="764">
        <f>SUM(D7:D14)</f>
        <v>4000</v>
      </c>
      <c r="E6" s="762"/>
    </row>
    <row r="7" spans="1:13" ht="21.75" customHeight="1" x14ac:dyDescent="0.25">
      <c r="A7" s="765">
        <v>1</v>
      </c>
      <c r="B7" s="766" t="s">
        <v>42</v>
      </c>
      <c r="C7" s="767">
        <v>500</v>
      </c>
      <c r="D7" s="767">
        <v>500</v>
      </c>
      <c r="E7" s="766"/>
      <c r="H7" s="768"/>
    </row>
    <row r="8" spans="1:13" ht="21.75" customHeight="1" x14ac:dyDescent="0.25">
      <c r="A8" s="765">
        <v>2</v>
      </c>
      <c r="B8" s="766" t="s">
        <v>39</v>
      </c>
      <c r="C8" s="767">
        <v>500</v>
      </c>
      <c r="D8" s="767">
        <v>500</v>
      </c>
      <c r="E8" s="766"/>
    </row>
    <row r="9" spans="1:13" ht="21.75" customHeight="1" x14ac:dyDescent="0.25">
      <c r="A9" s="765">
        <v>3</v>
      </c>
      <c r="B9" s="766" t="s">
        <v>40</v>
      </c>
      <c r="C9" s="767">
        <v>500</v>
      </c>
      <c r="D9" s="767">
        <v>500</v>
      </c>
      <c r="E9" s="766"/>
    </row>
    <row r="10" spans="1:13" ht="21.75" customHeight="1" x14ac:dyDescent="0.25">
      <c r="A10" s="765">
        <v>4</v>
      </c>
      <c r="B10" s="766" t="s">
        <v>41</v>
      </c>
      <c r="C10" s="767">
        <v>500</v>
      </c>
      <c r="D10" s="767">
        <v>500</v>
      </c>
      <c r="E10" s="766"/>
    </row>
    <row r="11" spans="1:13" ht="21.75" customHeight="1" x14ac:dyDescent="0.25">
      <c r="A11" s="765">
        <v>5</v>
      </c>
      <c r="B11" s="766" t="s">
        <v>43</v>
      </c>
      <c r="C11" s="767">
        <v>500</v>
      </c>
      <c r="D11" s="767">
        <v>500</v>
      </c>
      <c r="E11" s="766"/>
    </row>
    <row r="12" spans="1:13" ht="21.75" customHeight="1" x14ac:dyDescent="0.25">
      <c r="A12" s="765">
        <v>6</v>
      </c>
      <c r="B12" s="766" t="s">
        <v>38</v>
      </c>
      <c r="C12" s="767">
        <v>500</v>
      </c>
      <c r="D12" s="767">
        <v>500</v>
      </c>
      <c r="E12" s="766"/>
    </row>
    <row r="13" spans="1:13" ht="21.75" customHeight="1" x14ac:dyDescent="0.25">
      <c r="A13" s="765">
        <v>7</v>
      </c>
      <c r="B13" s="766" t="s">
        <v>44</v>
      </c>
      <c r="C13" s="767">
        <v>500</v>
      </c>
      <c r="D13" s="767">
        <v>500</v>
      </c>
      <c r="E13" s="766"/>
      <c r="F13" s="68"/>
    </row>
    <row r="14" spans="1:13" ht="21.75" customHeight="1" x14ac:dyDescent="0.25">
      <c r="A14" s="765">
        <v>8</v>
      </c>
      <c r="B14" s="766" t="s">
        <v>45</v>
      </c>
      <c r="C14" s="767">
        <v>500</v>
      </c>
      <c r="D14" s="767">
        <v>500</v>
      </c>
      <c r="E14" s="766"/>
      <c r="F14" s="68"/>
    </row>
    <row r="15" spans="1:13" s="771" customFormat="1" ht="21.75" customHeight="1" x14ac:dyDescent="0.25">
      <c r="A15" s="119" t="s">
        <v>1102</v>
      </c>
      <c r="B15" s="120" t="s">
        <v>144</v>
      </c>
      <c r="C15" s="769">
        <f>SUM(C16:C18)</f>
        <v>36000</v>
      </c>
      <c r="D15" s="769">
        <f>SUM(D16:D18)</f>
        <v>32849</v>
      </c>
      <c r="E15" s="120"/>
      <c r="F15" s="770"/>
    </row>
    <row r="16" spans="1:13" ht="35.25" customHeight="1" x14ac:dyDescent="0.25">
      <c r="A16" s="765">
        <v>1</v>
      </c>
      <c r="B16" s="688" t="s">
        <v>1103</v>
      </c>
      <c r="C16" s="772">
        <v>14000</v>
      </c>
      <c r="D16" s="767">
        <v>13000</v>
      </c>
      <c r="E16" s="773"/>
      <c r="F16" s="68"/>
    </row>
    <row r="17" spans="1:5" ht="46.5" customHeight="1" x14ac:dyDescent="0.25">
      <c r="A17" s="765">
        <v>2</v>
      </c>
      <c r="B17" s="688" t="s">
        <v>1104</v>
      </c>
      <c r="C17" s="772">
        <v>17500</v>
      </c>
      <c r="D17" s="767">
        <v>15849</v>
      </c>
      <c r="E17" s="766"/>
    </row>
    <row r="18" spans="1:5" ht="36.75" customHeight="1" x14ac:dyDescent="0.25">
      <c r="A18" s="774">
        <v>3</v>
      </c>
      <c r="B18" s="775" t="s">
        <v>1105</v>
      </c>
      <c r="C18" s="776">
        <v>4500</v>
      </c>
      <c r="D18" s="777">
        <v>4000</v>
      </c>
      <c r="E18" s="778"/>
    </row>
  </sheetData>
  <mergeCells count="4">
    <mergeCell ref="A1:E1"/>
    <mergeCell ref="A2:E2"/>
    <mergeCell ref="F2:M2"/>
    <mergeCell ref="A3:E3"/>
  </mergeCells>
  <pageMargins left="0.78740157480314965" right="0.55118110236220474" top="0.78740157480314965" bottom="0.78740157480314965" header="0.31496062992125984" footer="0.31496062992125984"/>
  <pageSetup paperSize="9" firstPageNumber="57" orientation="landscape" useFirstPageNumber="1" r:id="rId1"/>
  <headerFooter>
    <oddHeader>&amp;RPhụ biểu số 03</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Layout" zoomScaleNormal="100" zoomScaleSheetLayoutView="100" workbookViewId="0">
      <selection activeCell="A3" sqref="A3:N3"/>
    </sheetView>
  </sheetViews>
  <sheetFormatPr defaultColWidth="10" defaultRowHeight="15" x14ac:dyDescent="0.25"/>
  <cols>
    <col min="1" max="1" width="5" style="728" customWidth="1"/>
    <col min="2" max="2" width="23.75" style="728" customWidth="1"/>
    <col min="3" max="3" width="11.25" style="728" customWidth="1"/>
    <col min="4" max="4" width="10" style="736" customWidth="1"/>
    <col min="5" max="5" width="12.25" style="728" customWidth="1"/>
    <col min="6" max="14" width="10.125" style="728" customWidth="1"/>
    <col min="15" max="256" width="10" style="728"/>
    <col min="257" max="257" width="5" style="728" customWidth="1"/>
    <col min="258" max="258" width="23.75" style="728" customWidth="1"/>
    <col min="259" max="259" width="11.5" style="728" customWidth="1"/>
    <col min="260" max="260" width="10.25" style="728" customWidth="1"/>
    <col min="261" max="261" width="12.25" style="728" customWidth="1"/>
    <col min="262" max="270" width="10.125" style="728" customWidth="1"/>
    <col min="271" max="512" width="10" style="728"/>
    <col min="513" max="513" width="5" style="728" customWidth="1"/>
    <col min="514" max="514" width="23.75" style="728" customWidth="1"/>
    <col min="515" max="515" width="11.5" style="728" customWidth="1"/>
    <col min="516" max="516" width="10.25" style="728" customWidth="1"/>
    <col min="517" max="517" width="12.25" style="728" customWidth="1"/>
    <col min="518" max="526" width="10.125" style="728" customWidth="1"/>
    <col min="527" max="768" width="10" style="728"/>
    <col min="769" max="769" width="5" style="728" customWidth="1"/>
    <col min="770" max="770" width="23.75" style="728" customWidth="1"/>
    <col min="771" max="771" width="11.5" style="728" customWidth="1"/>
    <col min="772" max="772" width="10.25" style="728" customWidth="1"/>
    <col min="773" max="773" width="12.25" style="728" customWidth="1"/>
    <col min="774" max="782" width="10.125" style="728" customWidth="1"/>
    <col min="783" max="1024" width="10" style="728"/>
    <col min="1025" max="1025" width="5" style="728" customWidth="1"/>
    <col min="1026" max="1026" width="23.75" style="728" customWidth="1"/>
    <col min="1027" max="1027" width="11.5" style="728" customWidth="1"/>
    <col min="1028" max="1028" width="10.25" style="728" customWidth="1"/>
    <col min="1029" max="1029" width="12.25" style="728" customWidth="1"/>
    <col min="1030" max="1038" width="10.125" style="728" customWidth="1"/>
    <col min="1039" max="1280" width="10" style="728"/>
    <col min="1281" max="1281" width="5" style="728" customWidth="1"/>
    <col min="1282" max="1282" width="23.75" style="728" customWidth="1"/>
    <col min="1283" max="1283" width="11.5" style="728" customWidth="1"/>
    <col min="1284" max="1284" width="10.25" style="728" customWidth="1"/>
    <col min="1285" max="1285" width="12.25" style="728" customWidth="1"/>
    <col min="1286" max="1294" width="10.125" style="728" customWidth="1"/>
    <col min="1295" max="1536" width="10" style="728"/>
    <col min="1537" max="1537" width="5" style="728" customWidth="1"/>
    <col min="1538" max="1538" width="23.75" style="728" customWidth="1"/>
    <col min="1539" max="1539" width="11.5" style="728" customWidth="1"/>
    <col min="1540" max="1540" width="10.25" style="728" customWidth="1"/>
    <col min="1541" max="1541" width="12.25" style="728" customWidth="1"/>
    <col min="1542" max="1550" width="10.125" style="728" customWidth="1"/>
    <col min="1551" max="1792" width="10" style="728"/>
    <col min="1793" max="1793" width="5" style="728" customWidth="1"/>
    <col min="1794" max="1794" width="23.75" style="728" customWidth="1"/>
    <col min="1795" max="1795" width="11.5" style="728" customWidth="1"/>
    <col min="1796" max="1796" width="10.25" style="728" customWidth="1"/>
    <col min="1797" max="1797" width="12.25" style="728" customWidth="1"/>
    <col min="1798" max="1806" width="10.125" style="728" customWidth="1"/>
    <col min="1807" max="2048" width="10" style="728"/>
    <col min="2049" max="2049" width="5" style="728" customWidth="1"/>
    <col min="2050" max="2050" width="23.75" style="728" customWidth="1"/>
    <col min="2051" max="2051" width="11.5" style="728" customWidth="1"/>
    <col min="2052" max="2052" width="10.25" style="728" customWidth="1"/>
    <col min="2053" max="2053" width="12.25" style="728" customWidth="1"/>
    <col min="2054" max="2062" width="10.125" style="728" customWidth="1"/>
    <col min="2063" max="2304" width="10" style="728"/>
    <col min="2305" max="2305" width="5" style="728" customWidth="1"/>
    <col min="2306" max="2306" width="23.75" style="728" customWidth="1"/>
    <col min="2307" max="2307" width="11.5" style="728" customWidth="1"/>
    <col min="2308" max="2308" width="10.25" style="728" customWidth="1"/>
    <col min="2309" max="2309" width="12.25" style="728" customWidth="1"/>
    <col min="2310" max="2318" width="10.125" style="728" customWidth="1"/>
    <col min="2319" max="2560" width="10" style="728"/>
    <col min="2561" max="2561" width="5" style="728" customWidth="1"/>
    <col min="2562" max="2562" width="23.75" style="728" customWidth="1"/>
    <col min="2563" max="2563" width="11.5" style="728" customWidth="1"/>
    <col min="2564" max="2564" width="10.25" style="728" customWidth="1"/>
    <col min="2565" max="2565" width="12.25" style="728" customWidth="1"/>
    <col min="2566" max="2574" width="10.125" style="728" customWidth="1"/>
    <col min="2575" max="2816" width="10" style="728"/>
    <col min="2817" max="2817" width="5" style="728" customWidth="1"/>
    <col min="2818" max="2818" width="23.75" style="728" customWidth="1"/>
    <col min="2819" max="2819" width="11.5" style="728" customWidth="1"/>
    <col min="2820" max="2820" width="10.25" style="728" customWidth="1"/>
    <col min="2821" max="2821" width="12.25" style="728" customWidth="1"/>
    <col min="2822" max="2830" width="10.125" style="728" customWidth="1"/>
    <col min="2831" max="3072" width="10" style="728"/>
    <col min="3073" max="3073" width="5" style="728" customWidth="1"/>
    <col min="3074" max="3074" width="23.75" style="728" customWidth="1"/>
    <col min="3075" max="3075" width="11.5" style="728" customWidth="1"/>
    <col min="3076" max="3076" width="10.25" style="728" customWidth="1"/>
    <col min="3077" max="3077" width="12.25" style="728" customWidth="1"/>
    <col min="3078" max="3086" width="10.125" style="728" customWidth="1"/>
    <col min="3087" max="3328" width="10" style="728"/>
    <col min="3329" max="3329" width="5" style="728" customWidth="1"/>
    <col min="3330" max="3330" width="23.75" style="728" customWidth="1"/>
    <col min="3331" max="3331" width="11.5" style="728" customWidth="1"/>
    <col min="3332" max="3332" width="10.25" style="728" customWidth="1"/>
    <col min="3333" max="3333" width="12.25" style="728" customWidth="1"/>
    <col min="3334" max="3342" width="10.125" style="728" customWidth="1"/>
    <col min="3343" max="3584" width="10" style="728"/>
    <col min="3585" max="3585" width="5" style="728" customWidth="1"/>
    <col min="3586" max="3586" width="23.75" style="728" customWidth="1"/>
    <col min="3587" max="3587" width="11.5" style="728" customWidth="1"/>
    <col min="3588" max="3588" width="10.25" style="728" customWidth="1"/>
    <col min="3589" max="3589" width="12.25" style="728" customWidth="1"/>
    <col min="3590" max="3598" width="10.125" style="728" customWidth="1"/>
    <col min="3599" max="3840" width="10" style="728"/>
    <col min="3841" max="3841" width="5" style="728" customWidth="1"/>
    <col min="3842" max="3842" width="23.75" style="728" customWidth="1"/>
    <col min="3843" max="3843" width="11.5" style="728" customWidth="1"/>
    <col min="3844" max="3844" width="10.25" style="728" customWidth="1"/>
    <col min="3845" max="3845" width="12.25" style="728" customWidth="1"/>
    <col min="3846" max="3854" width="10.125" style="728" customWidth="1"/>
    <col min="3855" max="4096" width="10" style="728"/>
    <col min="4097" max="4097" width="5" style="728" customWidth="1"/>
    <col min="4098" max="4098" width="23.75" style="728" customWidth="1"/>
    <col min="4099" max="4099" width="11.5" style="728" customWidth="1"/>
    <col min="4100" max="4100" width="10.25" style="728" customWidth="1"/>
    <col min="4101" max="4101" width="12.25" style="728" customWidth="1"/>
    <col min="4102" max="4110" width="10.125" style="728" customWidth="1"/>
    <col min="4111" max="4352" width="10" style="728"/>
    <col min="4353" max="4353" width="5" style="728" customWidth="1"/>
    <col min="4354" max="4354" width="23.75" style="728" customWidth="1"/>
    <col min="4355" max="4355" width="11.5" style="728" customWidth="1"/>
    <col min="4356" max="4356" width="10.25" style="728" customWidth="1"/>
    <col min="4357" max="4357" width="12.25" style="728" customWidth="1"/>
    <col min="4358" max="4366" width="10.125" style="728" customWidth="1"/>
    <col min="4367" max="4608" width="10" style="728"/>
    <col min="4609" max="4609" width="5" style="728" customWidth="1"/>
    <col min="4610" max="4610" width="23.75" style="728" customWidth="1"/>
    <col min="4611" max="4611" width="11.5" style="728" customWidth="1"/>
    <col min="4612" max="4612" width="10.25" style="728" customWidth="1"/>
    <col min="4613" max="4613" width="12.25" style="728" customWidth="1"/>
    <col min="4614" max="4622" width="10.125" style="728" customWidth="1"/>
    <col min="4623" max="4864" width="10" style="728"/>
    <col min="4865" max="4865" width="5" style="728" customWidth="1"/>
    <col min="4866" max="4866" width="23.75" style="728" customWidth="1"/>
    <col min="4867" max="4867" width="11.5" style="728" customWidth="1"/>
    <col min="4868" max="4868" width="10.25" style="728" customWidth="1"/>
    <col min="4869" max="4869" width="12.25" style="728" customWidth="1"/>
    <col min="4870" max="4878" width="10.125" style="728" customWidth="1"/>
    <col min="4879" max="5120" width="10" style="728"/>
    <col min="5121" max="5121" width="5" style="728" customWidth="1"/>
    <col min="5122" max="5122" width="23.75" style="728" customWidth="1"/>
    <col min="5123" max="5123" width="11.5" style="728" customWidth="1"/>
    <col min="5124" max="5124" width="10.25" style="728" customWidth="1"/>
    <col min="5125" max="5125" width="12.25" style="728" customWidth="1"/>
    <col min="5126" max="5134" width="10.125" style="728" customWidth="1"/>
    <col min="5135" max="5376" width="10" style="728"/>
    <col min="5377" max="5377" width="5" style="728" customWidth="1"/>
    <col min="5378" max="5378" width="23.75" style="728" customWidth="1"/>
    <col min="5379" max="5379" width="11.5" style="728" customWidth="1"/>
    <col min="5380" max="5380" width="10.25" style="728" customWidth="1"/>
    <col min="5381" max="5381" width="12.25" style="728" customWidth="1"/>
    <col min="5382" max="5390" width="10.125" style="728" customWidth="1"/>
    <col min="5391" max="5632" width="10" style="728"/>
    <col min="5633" max="5633" width="5" style="728" customWidth="1"/>
    <col min="5634" max="5634" width="23.75" style="728" customWidth="1"/>
    <col min="5635" max="5635" width="11.5" style="728" customWidth="1"/>
    <col min="5636" max="5636" width="10.25" style="728" customWidth="1"/>
    <col min="5637" max="5637" width="12.25" style="728" customWidth="1"/>
    <col min="5638" max="5646" width="10.125" style="728" customWidth="1"/>
    <col min="5647" max="5888" width="10" style="728"/>
    <col min="5889" max="5889" width="5" style="728" customWidth="1"/>
    <col min="5890" max="5890" width="23.75" style="728" customWidth="1"/>
    <col min="5891" max="5891" width="11.5" style="728" customWidth="1"/>
    <col min="5892" max="5892" width="10.25" style="728" customWidth="1"/>
    <col min="5893" max="5893" width="12.25" style="728" customWidth="1"/>
    <col min="5894" max="5902" width="10.125" style="728" customWidth="1"/>
    <col min="5903" max="6144" width="10" style="728"/>
    <col min="6145" max="6145" width="5" style="728" customWidth="1"/>
    <col min="6146" max="6146" width="23.75" style="728" customWidth="1"/>
    <col min="6147" max="6147" width="11.5" style="728" customWidth="1"/>
    <col min="6148" max="6148" width="10.25" style="728" customWidth="1"/>
    <col min="6149" max="6149" width="12.25" style="728" customWidth="1"/>
    <col min="6150" max="6158" width="10.125" style="728" customWidth="1"/>
    <col min="6159" max="6400" width="10" style="728"/>
    <col min="6401" max="6401" width="5" style="728" customWidth="1"/>
    <col min="6402" max="6402" width="23.75" style="728" customWidth="1"/>
    <col min="6403" max="6403" width="11.5" style="728" customWidth="1"/>
    <col min="6404" max="6404" width="10.25" style="728" customWidth="1"/>
    <col min="6405" max="6405" width="12.25" style="728" customWidth="1"/>
    <col min="6406" max="6414" width="10.125" style="728" customWidth="1"/>
    <col min="6415" max="6656" width="10" style="728"/>
    <col min="6657" max="6657" width="5" style="728" customWidth="1"/>
    <col min="6658" max="6658" width="23.75" style="728" customWidth="1"/>
    <col min="6659" max="6659" width="11.5" style="728" customWidth="1"/>
    <col min="6660" max="6660" width="10.25" style="728" customWidth="1"/>
    <col min="6661" max="6661" width="12.25" style="728" customWidth="1"/>
    <col min="6662" max="6670" width="10.125" style="728" customWidth="1"/>
    <col min="6671" max="6912" width="10" style="728"/>
    <col min="6913" max="6913" width="5" style="728" customWidth="1"/>
    <col min="6914" max="6914" width="23.75" style="728" customWidth="1"/>
    <col min="6915" max="6915" width="11.5" style="728" customWidth="1"/>
    <col min="6916" max="6916" width="10.25" style="728" customWidth="1"/>
    <col min="6917" max="6917" width="12.25" style="728" customWidth="1"/>
    <col min="6918" max="6926" width="10.125" style="728" customWidth="1"/>
    <col min="6927" max="7168" width="10" style="728"/>
    <col min="7169" max="7169" width="5" style="728" customWidth="1"/>
    <col min="7170" max="7170" width="23.75" style="728" customWidth="1"/>
    <col min="7171" max="7171" width="11.5" style="728" customWidth="1"/>
    <col min="7172" max="7172" width="10.25" style="728" customWidth="1"/>
    <col min="7173" max="7173" width="12.25" style="728" customWidth="1"/>
    <col min="7174" max="7182" width="10.125" style="728" customWidth="1"/>
    <col min="7183" max="7424" width="10" style="728"/>
    <col min="7425" max="7425" width="5" style="728" customWidth="1"/>
    <col min="7426" max="7426" width="23.75" style="728" customWidth="1"/>
    <col min="7427" max="7427" width="11.5" style="728" customWidth="1"/>
    <col min="7428" max="7428" width="10.25" style="728" customWidth="1"/>
    <col min="7429" max="7429" width="12.25" style="728" customWidth="1"/>
    <col min="7430" max="7438" width="10.125" style="728" customWidth="1"/>
    <col min="7439" max="7680" width="10" style="728"/>
    <col min="7681" max="7681" width="5" style="728" customWidth="1"/>
    <col min="7682" max="7682" width="23.75" style="728" customWidth="1"/>
    <col min="7683" max="7683" width="11.5" style="728" customWidth="1"/>
    <col min="7684" max="7684" width="10.25" style="728" customWidth="1"/>
    <col min="7685" max="7685" width="12.25" style="728" customWidth="1"/>
    <col min="7686" max="7694" width="10.125" style="728" customWidth="1"/>
    <col min="7695" max="7936" width="10" style="728"/>
    <col min="7937" max="7937" width="5" style="728" customWidth="1"/>
    <col min="7938" max="7938" width="23.75" style="728" customWidth="1"/>
    <col min="7939" max="7939" width="11.5" style="728" customWidth="1"/>
    <col min="7940" max="7940" width="10.25" style="728" customWidth="1"/>
    <col min="7941" max="7941" width="12.25" style="728" customWidth="1"/>
    <col min="7942" max="7950" width="10.125" style="728" customWidth="1"/>
    <col min="7951" max="8192" width="10" style="728"/>
    <col min="8193" max="8193" width="5" style="728" customWidth="1"/>
    <col min="8194" max="8194" width="23.75" style="728" customWidth="1"/>
    <col min="8195" max="8195" width="11.5" style="728" customWidth="1"/>
    <col min="8196" max="8196" width="10.25" style="728" customWidth="1"/>
    <col min="8197" max="8197" width="12.25" style="728" customWidth="1"/>
    <col min="8198" max="8206" width="10.125" style="728" customWidth="1"/>
    <col min="8207" max="8448" width="10" style="728"/>
    <col min="8449" max="8449" width="5" style="728" customWidth="1"/>
    <col min="8450" max="8450" width="23.75" style="728" customWidth="1"/>
    <col min="8451" max="8451" width="11.5" style="728" customWidth="1"/>
    <col min="8452" max="8452" width="10.25" style="728" customWidth="1"/>
    <col min="8453" max="8453" width="12.25" style="728" customWidth="1"/>
    <col min="8454" max="8462" width="10.125" style="728" customWidth="1"/>
    <col min="8463" max="8704" width="10" style="728"/>
    <col min="8705" max="8705" width="5" style="728" customWidth="1"/>
    <col min="8706" max="8706" width="23.75" style="728" customWidth="1"/>
    <col min="8707" max="8707" width="11.5" style="728" customWidth="1"/>
    <col min="8708" max="8708" width="10.25" style="728" customWidth="1"/>
    <col min="8709" max="8709" width="12.25" style="728" customWidth="1"/>
    <col min="8710" max="8718" width="10.125" style="728" customWidth="1"/>
    <col min="8719" max="8960" width="10" style="728"/>
    <col min="8961" max="8961" width="5" style="728" customWidth="1"/>
    <col min="8962" max="8962" width="23.75" style="728" customWidth="1"/>
    <col min="8963" max="8963" width="11.5" style="728" customWidth="1"/>
    <col min="8964" max="8964" width="10.25" style="728" customWidth="1"/>
    <col min="8965" max="8965" width="12.25" style="728" customWidth="1"/>
    <col min="8966" max="8974" width="10.125" style="728" customWidth="1"/>
    <col min="8975" max="9216" width="10" style="728"/>
    <col min="9217" max="9217" width="5" style="728" customWidth="1"/>
    <col min="9218" max="9218" width="23.75" style="728" customWidth="1"/>
    <col min="9219" max="9219" width="11.5" style="728" customWidth="1"/>
    <col min="9220" max="9220" width="10.25" style="728" customWidth="1"/>
    <col min="9221" max="9221" width="12.25" style="728" customWidth="1"/>
    <col min="9222" max="9230" width="10.125" style="728" customWidth="1"/>
    <col min="9231" max="9472" width="10" style="728"/>
    <col min="9473" max="9473" width="5" style="728" customWidth="1"/>
    <col min="9474" max="9474" width="23.75" style="728" customWidth="1"/>
    <col min="9475" max="9475" width="11.5" style="728" customWidth="1"/>
    <col min="9476" max="9476" width="10.25" style="728" customWidth="1"/>
    <col min="9477" max="9477" width="12.25" style="728" customWidth="1"/>
    <col min="9478" max="9486" width="10.125" style="728" customWidth="1"/>
    <col min="9487" max="9728" width="10" style="728"/>
    <col min="9729" max="9729" width="5" style="728" customWidth="1"/>
    <col min="9730" max="9730" width="23.75" style="728" customWidth="1"/>
    <col min="9731" max="9731" width="11.5" style="728" customWidth="1"/>
    <col min="9732" max="9732" width="10.25" style="728" customWidth="1"/>
    <col min="9733" max="9733" width="12.25" style="728" customWidth="1"/>
    <col min="9734" max="9742" width="10.125" style="728" customWidth="1"/>
    <col min="9743" max="9984" width="10" style="728"/>
    <col min="9985" max="9985" width="5" style="728" customWidth="1"/>
    <col min="9986" max="9986" width="23.75" style="728" customWidth="1"/>
    <col min="9987" max="9987" width="11.5" style="728" customWidth="1"/>
    <col min="9988" max="9988" width="10.25" style="728" customWidth="1"/>
    <col min="9989" max="9989" width="12.25" style="728" customWidth="1"/>
    <col min="9990" max="9998" width="10.125" style="728" customWidth="1"/>
    <col min="9999" max="10240" width="10" style="728"/>
    <col min="10241" max="10241" width="5" style="728" customWidth="1"/>
    <col min="10242" max="10242" width="23.75" style="728" customWidth="1"/>
    <col min="10243" max="10243" width="11.5" style="728" customWidth="1"/>
    <col min="10244" max="10244" width="10.25" style="728" customWidth="1"/>
    <col min="10245" max="10245" width="12.25" style="728" customWidth="1"/>
    <col min="10246" max="10254" width="10.125" style="728" customWidth="1"/>
    <col min="10255" max="10496" width="10" style="728"/>
    <col min="10497" max="10497" width="5" style="728" customWidth="1"/>
    <col min="10498" max="10498" width="23.75" style="728" customWidth="1"/>
    <col min="10499" max="10499" width="11.5" style="728" customWidth="1"/>
    <col min="10500" max="10500" width="10.25" style="728" customWidth="1"/>
    <col min="10501" max="10501" width="12.25" style="728" customWidth="1"/>
    <col min="10502" max="10510" width="10.125" style="728" customWidth="1"/>
    <col min="10511" max="10752" width="10" style="728"/>
    <col min="10753" max="10753" width="5" style="728" customWidth="1"/>
    <col min="10754" max="10754" width="23.75" style="728" customWidth="1"/>
    <col min="10755" max="10755" width="11.5" style="728" customWidth="1"/>
    <col min="10756" max="10756" width="10.25" style="728" customWidth="1"/>
    <col min="10757" max="10757" width="12.25" style="728" customWidth="1"/>
    <col min="10758" max="10766" width="10.125" style="728" customWidth="1"/>
    <col min="10767" max="11008" width="10" style="728"/>
    <col min="11009" max="11009" width="5" style="728" customWidth="1"/>
    <col min="11010" max="11010" width="23.75" style="728" customWidth="1"/>
    <col min="11011" max="11011" width="11.5" style="728" customWidth="1"/>
    <col min="11012" max="11012" width="10.25" style="728" customWidth="1"/>
    <col min="11013" max="11013" width="12.25" style="728" customWidth="1"/>
    <col min="11014" max="11022" width="10.125" style="728" customWidth="1"/>
    <col min="11023" max="11264" width="10" style="728"/>
    <col min="11265" max="11265" width="5" style="728" customWidth="1"/>
    <col min="11266" max="11266" width="23.75" style="728" customWidth="1"/>
    <col min="11267" max="11267" width="11.5" style="728" customWidth="1"/>
    <col min="11268" max="11268" width="10.25" style="728" customWidth="1"/>
    <col min="11269" max="11269" width="12.25" style="728" customWidth="1"/>
    <col min="11270" max="11278" width="10.125" style="728" customWidth="1"/>
    <col min="11279" max="11520" width="10" style="728"/>
    <col min="11521" max="11521" width="5" style="728" customWidth="1"/>
    <col min="11522" max="11522" width="23.75" style="728" customWidth="1"/>
    <col min="11523" max="11523" width="11.5" style="728" customWidth="1"/>
    <col min="11524" max="11524" width="10.25" style="728" customWidth="1"/>
    <col min="11525" max="11525" width="12.25" style="728" customWidth="1"/>
    <col min="11526" max="11534" width="10.125" style="728" customWidth="1"/>
    <col min="11535" max="11776" width="10" style="728"/>
    <col min="11777" max="11777" width="5" style="728" customWidth="1"/>
    <col min="11778" max="11778" width="23.75" style="728" customWidth="1"/>
    <col min="11779" max="11779" width="11.5" style="728" customWidth="1"/>
    <col min="11780" max="11780" width="10.25" style="728" customWidth="1"/>
    <col min="11781" max="11781" width="12.25" style="728" customWidth="1"/>
    <col min="11782" max="11790" width="10.125" style="728" customWidth="1"/>
    <col min="11791" max="12032" width="10" style="728"/>
    <col min="12033" max="12033" width="5" style="728" customWidth="1"/>
    <col min="12034" max="12034" width="23.75" style="728" customWidth="1"/>
    <col min="12035" max="12035" width="11.5" style="728" customWidth="1"/>
    <col min="12036" max="12036" width="10.25" style="728" customWidth="1"/>
    <col min="12037" max="12037" width="12.25" style="728" customWidth="1"/>
    <col min="12038" max="12046" width="10.125" style="728" customWidth="1"/>
    <col min="12047" max="12288" width="10" style="728"/>
    <col min="12289" max="12289" width="5" style="728" customWidth="1"/>
    <col min="12290" max="12290" width="23.75" style="728" customWidth="1"/>
    <col min="12291" max="12291" width="11.5" style="728" customWidth="1"/>
    <col min="12292" max="12292" width="10.25" style="728" customWidth="1"/>
    <col min="12293" max="12293" width="12.25" style="728" customWidth="1"/>
    <col min="12294" max="12302" width="10.125" style="728" customWidth="1"/>
    <col min="12303" max="12544" width="10" style="728"/>
    <col min="12545" max="12545" width="5" style="728" customWidth="1"/>
    <col min="12546" max="12546" width="23.75" style="728" customWidth="1"/>
    <col min="12547" max="12547" width="11.5" style="728" customWidth="1"/>
    <col min="12548" max="12548" width="10.25" style="728" customWidth="1"/>
    <col min="12549" max="12549" width="12.25" style="728" customWidth="1"/>
    <col min="12550" max="12558" width="10.125" style="728" customWidth="1"/>
    <col min="12559" max="12800" width="10" style="728"/>
    <col min="12801" max="12801" width="5" style="728" customWidth="1"/>
    <col min="12802" max="12802" width="23.75" style="728" customWidth="1"/>
    <col min="12803" max="12803" width="11.5" style="728" customWidth="1"/>
    <col min="12804" max="12804" width="10.25" style="728" customWidth="1"/>
    <col min="12805" max="12805" width="12.25" style="728" customWidth="1"/>
    <col min="12806" max="12814" width="10.125" style="728" customWidth="1"/>
    <col min="12815" max="13056" width="10" style="728"/>
    <col min="13057" max="13057" width="5" style="728" customWidth="1"/>
    <col min="13058" max="13058" width="23.75" style="728" customWidth="1"/>
    <col min="13059" max="13059" width="11.5" style="728" customWidth="1"/>
    <col min="13060" max="13060" width="10.25" style="728" customWidth="1"/>
    <col min="13061" max="13061" width="12.25" style="728" customWidth="1"/>
    <col min="13062" max="13070" width="10.125" style="728" customWidth="1"/>
    <col min="13071" max="13312" width="10" style="728"/>
    <col min="13313" max="13313" width="5" style="728" customWidth="1"/>
    <col min="13314" max="13314" width="23.75" style="728" customWidth="1"/>
    <col min="13315" max="13315" width="11.5" style="728" customWidth="1"/>
    <col min="13316" max="13316" width="10.25" style="728" customWidth="1"/>
    <col min="13317" max="13317" width="12.25" style="728" customWidth="1"/>
    <col min="13318" max="13326" width="10.125" style="728" customWidth="1"/>
    <col min="13327" max="13568" width="10" style="728"/>
    <col min="13569" max="13569" width="5" style="728" customWidth="1"/>
    <col min="13570" max="13570" width="23.75" style="728" customWidth="1"/>
    <col min="13571" max="13571" width="11.5" style="728" customWidth="1"/>
    <col min="13572" max="13572" width="10.25" style="728" customWidth="1"/>
    <col min="13573" max="13573" width="12.25" style="728" customWidth="1"/>
    <col min="13574" max="13582" width="10.125" style="728" customWidth="1"/>
    <col min="13583" max="13824" width="10" style="728"/>
    <col min="13825" max="13825" width="5" style="728" customWidth="1"/>
    <col min="13826" max="13826" width="23.75" style="728" customWidth="1"/>
    <col min="13827" max="13827" width="11.5" style="728" customWidth="1"/>
    <col min="13828" max="13828" width="10.25" style="728" customWidth="1"/>
    <col min="13829" max="13829" width="12.25" style="728" customWidth="1"/>
    <col min="13830" max="13838" width="10.125" style="728" customWidth="1"/>
    <col min="13839" max="14080" width="10" style="728"/>
    <col min="14081" max="14081" width="5" style="728" customWidth="1"/>
    <col min="14082" max="14082" width="23.75" style="728" customWidth="1"/>
    <col min="14083" max="14083" width="11.5" style="728" customWidth="1"/>
    <col min="14084" max="14084" width="10.25" style="728" customWidth="1"/>
    <col min="14085" max="14085" width="12.25" style="728" customWidth="1"/>
    <col min="14086" max="14094" width="10.125" style="728" customWidth="1"/>
    <col min="14095" max="14336" width="10" style="728"/>
    <col min="14337" max="14337" width="5" style="728" customWidth="1"/>
    <col min="14338" max="14338" width="23.75" style="728" customWidth="1"/>
    <col min="14339" max="14339" width="11.5" style="728" customWidth="1"/>
    <col min="14340" max="14340" width="10.25" style="728" customWidth="1"/>
    <col min="14341" max="14341" width="12.25" style="728" customWidth="1"/>
    <col min="14342" max="14350" width="10.125" style="728" customWidth="1"/>
    <col min="14351" max="14592" width="10" style="728"/>
    <col min="14593" max="14593" width="5" style="728" customWidth="1"/>
    <col min="14594" max="14594" width="23.75" style="728" customWidth="1"/>
    <col min="14595" max="14595" width="11.5" style="728" customWidth="1"/>
    <col min="14596" max="14596" width="10.25" style="728" customWidth="1"/>
    <col min="14597" max="14597" width="12.25" style="728" customWidth="1"/>
    <col min="14598" max="14606" width="10.125" style="728" customWidth="1"/>
    <col min="14607" max="14848" width="10" style="728"/>
    <col min="14849" max="14849" width="5" style="728" customWidth="1"/>
    <col min="14850" max="14850" width="23.75" style="728" customWidth="1"/>
    <col min="14851" max="14851" width="11.5" style="728" customWidth="1"/>
    <col min="14852" max="14852" width="10.25" style="728" customWidth="1"/>
    <col min="14853" max="14853" width="12.25" style="728" customWidth="1"/>
    <col min="14854" max="14862" width="10.125" style="728" customWidth="1"/>
    <col min="14863" max="15104" width="10" style="728"/>
    <col min="15105" max="15105" width="5" style="728" customWidth="1"/>
    <col min="15106" max="15106" width="23.75" style="728" customWidth="1"/>
    <col min="15107" max="15107" width="11.5" style="728" customWidth="1"/>
    <col min="15108" max="15108" width="10.25" style="728" customWidth="1"/>
    <col min="15109" max="15109" width="12.25" style="728" customWidth="1"/>
    <col min="15110" max="15118" width="10.125" style="728" customWidth="1"/>
    <col min="15119" max="15360" width="10" style="728"/>
    <col min="15361" max="15361" width="5" style="728" customWidth="1"/>
    <col min="15362" max="15362" width="23.75" style="728" customWidth="1"/>
    <col min="15363" max="15363" width="11.5" style="728" customWidth="1"/>
    <col min="15364" max="15364" width="10.25" style="728" customWidth="1"/>
    <col min="15365" max="15365" width="12.25" style="728" customWidth="1"/>
    <col min="15366" max="15374" width="10.125" style="728" customWidth="1"/>
    <col min="15375" max="15616" width="10" style="728"/>
    <col min="15617" max="15617" width="5" style="728" customWidth="1"/>
    <col min="15618" max="15618" width="23.75" style="728" customWidth="1"/>
    <col min="15619" max="15619" width="11.5" style="728" customWidth="1"/>
    <col min="15620" max="15620" width="10.25" style="728" customWidth="1"/>
    <col min="15621" max="15621" width="12.25" style="728" customWidth="1"/>
    <col min="15622" max="15630" width="10.125" style="728" customWidth="1"/>
    <col min="15631" max="15872" width="10" style="728"/>
    <col min="15873" max="15873" width="5" style="728" customWidth="1"/>
    <col min="15874" max="15874" width="23.75" style="728" customWidth="1"/>
    <col min="15875" max="15875" width="11.5" style="728" customWidth="1"/>
    <col min="15876" max="15876" width="10.25" style="728" customWidth="1"/>
    <col min="15877" max="15877" width="12.25" style="728" customWidth="1"/>
    <col min="15878" max="15886" width="10.125" style="728" customWidth="1"/>
    <col min="15887" max="16128" width="10" style="728"/>
    <col min="16129" max="16129" width="5" style="728" customWidth="1"/>
    <col min="16130" max="16130" width="23.75" style="728" customWidth="1"/>
    <col min="16131" max="16131" width="11.5" style="728" customWidth="1"/>
    <col min="16132" max="16132" width="10.25" style="728" customWidth="1"/>
    <col min="16133" max="16133" width="12.25" style="728" customWidth="1"/>
    <col min="16134" max="16142" width="10.125" style="728" customWidth="1"/>
    <col min="16143" max="16384" width="10" style="728"/>
  </cols>
  <sheetData>
    <row r="1" spans="1:17" x14ac:dyDescent="0.25">
      <c r="A1" s="727"/>
      <c r="B1" s="727"/>
      <c r="C1" s="727"/>
      <c r="D1" s="727"/>
      <c r="E1" s="727"/>
      <c r="F1" s="727"/>
      <c r="G1" s="727"/>
      <c r="H1" s="727"/>
      <c r="I1" s="727"/>
      <c r="J1" s="727"/>
      <c r="K1" s="727"/>
      <c r="L1" s="727"/>
      <c r="M1" s="727"/>
      <c r="N1" s="727"/>
    </row>
    <row r="2" spans="1:17" ht="15.75" x14ac:dyDescent="0.25">
      <c r="A2" s="1075" t="s">
        <v>1096</v>
      </c>
      <c r="B2" s="1075"/>
      <c r="C2" s="1075"/>
      <c r="D2" s="1075"/>
      <c r="E2" s="1075"/>
      <c r="F2" s="1075"/>
      <c r="G2" s="1075"/>
      <c r="H2" s="1075"/>
      <c r="I2" s="1075"/>
      <c r="J2" s="1075"/>
      <c r="K2" s="1075"/>
      <c r="L2" s="1075"/>
      <c r="M2" s="1075"/>
      <c r="N2" s="1075"/>
    </row>
    <row r="3" spans="1:17" ht="18.75" x14ac:dyDescent="0.25">
      <c r="A3" s="1076" t="str">
        <f>'PL 2'!A2:D2</f>
        <v>(Kèm theo Nghị quyết số            /NQ-HĐND ngày           tháng 12 năm 2022 của HĐND tỉnh Bắc Kạn)</v>
      </c>
      <c r="B3" s="1076"/>
      <c r="C3" s="1076"/>
      <c r="D3" s="1076"/>
      <c r="E3" s="1076"/>
      <c r="F3" s="1076"/>
      <c r="G3" s="1076"/>
      <c r="H3" s="1076"/>
      <c r="I3" s="1076"/>
      <c r="J3" s="1076"/>
      <c r="K3" s="1076"/>
      <c r="L3" s="1076"/>
      <c r="M3" s="1076"/>
      <c r="N3" s="1076"/>
    </row>
    <row r="4" spans="1:17" ht="18.75" x14ac:dyDescent="0.25">
      <c r="A4" s="738"/>
      <c r="B4" s="738"/>
      <c r="C4" s="738"/>
      <c r="D4" s="738"/>
      <c r="E4" s="738"/>
      <c r="F4" s="738"/>
      <c r="G4" s="738"/>
      <c r="H4" s="738"/>
      <c r="I4" s="738"/>
      <c r="J4" s="738"/>
      <c r="K4" s="738"/>
      <c r="L4" s="738"/>
      <c r="M4" s="738"/>
      <c r="N4" s="738"/>
    </row>
    <row r="5" spans="1:17" ht="22.5" customHeight="1" x14ac:dyDescent="0.25">
      <c r="A5" s="729" t="s">
        <v>370</v>
      </c>
      <c r="B5" s="1077" t="s">
        <v>35</v>
      </c>
      <c r="C5" s="1078"/>
      <c r="D5" s="1081" t="s">
        <v>1072</v>
      </c>
      <c r="E5" s="1081" t="s">
        <v>1073</v>
      </c>
      <c r="F5" s="1083" t="s">
        <v>1074</v>
      </c>
      <c r="G5" s="1084"/>
      <c r="H5" s="1084"/>
      <c r="I5" s="1084"/>
      <c r="J5" s="1084"/>
      <c r="K5" s="1084"/>
      <c r="L5" s="1084"/>
      <c r="M5" s="1084"/>
      <c r="N5" s="1085"/>
    </row>
    <row r="6" spans="1:17" ht="57" x14ac:dyDescent="0.25">
      <c r="A6" s="730"/>
      <c r="B6" s="1079"/>
      <c r="C6" s="1080"/>
      <c r="D6" s="1082"/>
      <c r="E6" s="1082"/>
      <c r="F6" s="731" t="s">
        <v>1075</v>
      </c>
      <c r="G6" s="731" t="s">
        <v>1076</v>
      </c>
      <c r="H6" s="731" t="s">
        <v>1077</v>
      </c>
      <c r="I6" s="731" t="s">
        <v>1078</v>
      </c>
      <c r="J6" s="731" t="s">
        <v>1079</v>
      </c>
      <c r="K6" s="731" t="s">
        <v>1080</v>
      </c>
      <c r="L6" s="731" t="s">
        <v>1081</v>
      </c>
      <c r="M6" s="731" t="s">
        <v>1082</v>
      </c>
      <c r="N6" s="731" t="s">
        <v>1083</v>
      </c>
    </row>
    <row r="7" spans="1:17" ht="33" customHeight="1" x14ac:dyDescent="0.25">
      <c r="A7" s="730"/>
      <c r="B7" s="732" t="s">
        <v>1084</v>
      </c>
      <c r="C7" s="739"/>
      <c r="D7" s="739" t="s">
        <v>1088</v>
      </c>
      <c r="E7" s="740">
        <f>E10+E13+E16+E19+E22</f>
        <v>21499999.5</v>
      </c>
      <c r="F7" s="740">
        <f>F10+F13+F16+F19+F22</f>
        <v>9011332</v>
      </c>
      <c r="G7" s="740">
        <f>G10+G13+G16+G19+G22</f>
        <v>692515</v>
      </c>
      <c r="H7" s="740">
        <f t="shared" ref="H7:N7" si="0">H10+H13+H16+H19+H22</f>
        <v>2643212</v>
      </c>
      <c r="I7" s="740">
        <f t="shared" si="0"/>
        <v>2753840</v>
      </c>
      <c r="J7" s="740">
        <f t="shared" si="0"/>
        <v>885266</v>
      </c>
      <c r="K7" s="740">
        <f t="shared" si="0"/>
        <v>1928000</v>
      </c>
      <c r="L7" s="740">
        <f t="shared" si="0"/>
        <v>1798550</v>
      </c>
      <c r="M7" s="740">
        <f t="shared" si="0"/>
        <v>1078984.5</v>
      </c>
      <c r="N7" s="740">
        <f t="shared" si="0"/>
        <v>708300</v>
      </c>
    </row>
    <row r="8" spans="1:17" s="733" customFormat="1" ht="24.75" customHeight="1" x14ac:dyDescent="0.2">
      <c r="A8" s="1086">
        <v>1</v>
      </c>
      <c r="B8" s="1092" t="s">
        <v>1085</v>
      </c>
      <c r="C8" s="741" t="s">
        <v>1086</v>
      </c>
      <c r="D8" s="741" t="s">
        <v>154</v>
      </c>
      <c r="E8" s="742">
        <f>SUM(F8:N8)</f>
        <v>779</v>
      </c>
      <c r="F8" s="742">
        <f>'[1]1.NN'!D4</f>
        <v>140</v>
      </c>
      <c r="G8" s="742">
        <f>'[1]2.TP (1)'!D6+'[1]2.TP(2)'!D7</f>
        <v>45</v>
      </c>
      <c r="H8" s="742">
        <f>'[1]3. BT (1)'!D8+'[1]3.BT(2)'!D9</f>
        <v>100</v>
      </c>
      <c r="I8" s="742">
        <f>'[1]4.NS'!D5</f>
        <v>54</v>
      </c>
      <c r="J8" s="742">
        <f>'[1]5. BB'!D6</f>
        <v>60</v>
      </c>
      <c r="K8" s="742">
        <f>'[1]6.PN'!D13</f>
        <v>160</v>
      </c>
      <c r="L8" s="742">
        <f>'[1]7.CĐ'!D6</f>
        <v>50</v>
      </c>
      <c r="M8" s="742">
        <f>'[1]8.NR'!D51</f>
        <v>90</v>
      </c>
      <c r="N8" s="742">
        <f>'[1]9.CM'!D6</f>
        <v>80</v>
      </c>
    </row>
    <row r="9" spans="1:17" s="733" customFormat="1" ht="21.75" customHeight="1" x14ac:dyDescent="0.2">
      <c r="A9" s="1087"/>
      <c r="B9" s="1093"/>
      <c r="C9" s="743" t="s">
        <v>1087</v>
      </c>
      <c r="D9" s="743" t="s">
        <v>1088</v>
      </c>
      <c r="E9" s="744">
        <f>E10/E8</f>
        <v>13950.448652118101</v>
      </c>
      <c r="F9" s="744">
        <f t="shared" ref="F9:N9" si="1">F10/F8</f>
        <v>15795.228571428572</v>
      </c>
      <c r="G9" s="744">
        <f t="shared" si="1"/>
        <v>15389.222222222223</v>
      </c>
      <c r="H9" s="744">
        <f t="shared" si="1"/>
        <v>15282.12</v>
      </c>
      <c r="I9" s="744">
        <f t="shared" si="1"/>
        <v>19515.555555555555</v>
      </c>
      <c r="J9" s="744">
        <f t="shared" si="1"/>
        <v>14754.433333333332</v>
      </c>
      <c r="K9" s="744">
        <f t="shared" si="1"/>
        <v>12050</v>
      </c>
      <c r="L9" s="744">
        <f t="shared" si="1"/>
        <v>15971</v>
      </c>
      <c r="M9" s="744">
        <f t="shared" si="1"/>
        <v>11793.161111111111</v>
      </c>
      <c r="N9" s="744">
        <f t="shared" si="1"/>
        <v>8853.75</v>
      </c>
    </row>
    <row r="10" spans="1:17" s="733" customFormat="1" ht="34.5" customHeight="1" x14ac:dyDescent="0.2">
      <c r="A10" s="1088"/>
      <c r="B10" s="1094"/>
      <c r="C10" s="745" t="s">
        <v>1089</v>
      </c>
      <c r="D10" s="745" t="s">
        <v>1088</v>
      </c>
      <c r="E10" s="746">
        <f t="shared" ref="E10:E22" si="2">SUM(F10:N10)</f>
        <v>10867399.5</v>
      </c>
      <c r="F10" s="746">
        <f>'[1]1.NN'!F4/1000+802</f>
        <v>2211332</v>
      </c>
      <c r="G10" s="746">
        <f>('[1]2.TP (1)'!F10+'[1]2.TP(2)'!F6)/1000</f>
        <v>692515</v>
      </c>
      <c r="H10" s="746">
        <f>('[1]3. BT (1)'!F30+'[1]3.BT(2)'!F34)/1000</f>
        <v>1528212</v>
      </c>
      <c r="I10" s="746">
        <f>'[1]4.NS'!F5/1000</f>
        <v>1053840</v>
      </c>
      <c r="J10" s="746">
        <f>'[1]5. BB'!F5/1000</f>
        <v>885266</v>
      </c>
      <c r="K10" s="746">
        <f>'[1]6.PN'!F13/1000</f>
        <v>1928000</v>
      </c>
      <c r="L10" s="746">
        <f>'[1]7.CĐ'!F6/1000</f>
        <v>798550</v>
      </c>
      <c r="M10" s="746">
        <f>'[1]8.NR'!F51/1000</f>
        <v>1061384.5</v>
      </c>
      <c r="N10" s="746">
        <f>'[1]9.CM'!F6/1000</f>
        <v>708300</v>
      </c>
      <c r="P10" s="734"/>
      <c r="Q10" s="734"/>
    </row>
    <row r="11" spans="1:17" s="733" customFormat="1" ht="21" customHeight="1" x14ac:dyDescent="0.2">
      <c r="A11" s="1086">
        <v>2</v>
      </c>
      <c r="B11" s="1092" t="s">
        <v>1090</v>
      </c>
      <c r="C11" s="741" t="s">
        <v>1086</v>
      </c>
      <c r="D11" s="741" t="s">
        <v>154</v>
      </c>
      <c r="E11" s="742">
        <f t="shared" si="2"/>
        <v>0</v>
      </c>
      <c r="F11" s="742"/>
      <c r="G11" s="742"/>
      <c r="H11" s="742"/>
      <c r="I11" s="742"/>
      <c r="J11" s="742"/>
      <c r="K11" s="742"/>
      <c r="L11" s="742"/>
      <c r="M11" s="742"/>
      <c r="N11" s="742"/>
      <c r="Q11" s="734"/>
    </row>
    <row r="12" spans="1:17" ht="19.5" customHeight="1" x14ac:dyDescent="0.25">
      <c r="A12" s="1087"/>
      <c r="B12" s="1093"/>
      <c r="C12" s="743" t="s">
        <v>1087</v>
      </c>
      <c r="D12" s="743" t="s">
        <v>1088</v>
      </c>
      <c r="E12" s="744">
        <f t="shared" si="2"/>
        <v>0</v>
      </c>
      <c r="F12" s="747"/>
      <c r="G12" s="744"/>
      <c r="H12" s="748"/>
      <c r="I12" s="748"/>
      <c r="J12" s="748"/>
      <c r="K12" s="748"/>
      <c r="L12" s="747"/>
      <c r="M12" s="747"/>
      <c r="N12" s="748"/>
    </row>
    <row r="13" spans="1:17" s="735" customFormat="1" ht="19.5" customHeight="1" x14ac:dyDescent="0.2">
      <c r="A13" s="1088"/>
      <c r="B13" s="1094"/>
      <c r="C13" s="749" t="s">
        <v>1089</v>
      </c>
      <c r="D13" s="749" t="s">
        <v>1088</v>
      </c>
      <c r="E13" s="746">
        <f t="shared" si="2"/>
        <v>0</v>
      </c>
      <c r="F13" s="746"/>
      <c r="G13" s="750">
        <v>0</v>
      </c>
      <c r="H13" s="746">
        <v>0</v>
      </c>
      <c r="I13" s="746">
        <v>0</v>
      </c>
      <c r="J13" s="746">
        <v>0</v>
      </c>
      <c r="K13" s="746">
        <v>0</v>
      </c>
      <c r="L13" s="746"/>
      <c r="M13" s="746">
        <v>0</v>
      </c>
      <c r="N13" s="746">
        <v>0</v>
      </c>
    </row>
    <row r="14" spans="1:17" ht="22.5" customHeight="1" x14ac:dyDescent="0.25">
      <c r="A14" s="1086">
        <v>3</v>
      </c>
      <c r="B14" s="1092" t="s">
        <v>1091</v>
      </c>
      <c r="C14" s="741" t="s">
        <v>1086</v>
      </c>
      <c r="D14" s="741" t="s">
        <v>154</v>
      </c>
      <c r="E14" s="751">
        <f t="shared" si="2"/>
        <v>1.76</v>
      </c>
      <c r="F14" s="751"/>
      <c r="G14" s="751"/>
      <c r="H14" s="751"/>
      <c r="I14" s="751"/>
      <c r="J14" s="751"/>
      <c r="K14" s="751"/>
      <c r="L14" s="751"/>
      <c r="M14" s="751">
        <v>1.76</v>
      </c>
      <c r="N14" s="751"/>
    </row>
    <row r="15" spans="1:17" ht="17.25" customHeight="1" x14ac:dyDescent="0.25">
      <c r="A15" s="1087"/>
      <c r="B15" s="1093"/>
      <c r="C15" s="743" t="s">
        <v>1087</v>
      </c>
      <c r="D15" s="743" t="s">
        <v>1088</v>
      </c>
      <c r="E15" s="744">
        <f t="shared" si="2"/>
        <v>10000</v>
      </c>
      <c r="F15" s="748"/>
      <c r="G15" s="748"/>
      <c r="H15" s="748"/>
      <c r="I15" s="748"/>
      <c r="J15" s="748"/>
      <c r="K15" s="748"/>
      <c r="L15" s="748"/>
      <c r="M15" s="744">
        <v>10000</v>
      </c>
      <c r="N15" s="748"/>
    </row>
    <row r="16" spans="1:17" s="735" customFormat="1" ht="24" customHeight="1" x14ac:dyDescent="0.2">
      <c r="A16" s="1088"/>
      <c r="B16" s="1094"/>
      <c r="C16" s="749" t="s">
        <v>1089</v>
      </c>
      <c r="D16" s="749" t="s">
        <v>1088</v>
      </c>
      <c r="E16" s="746">
        <f t="shared" si="2"/>
        <v>17600</v>
      </c>
      <c r="F16" s="746"/>
      <c r="G16" s="746"/>
      <c r="H16" s="746"/>
      <c r="I16" s="746"/>
      <c r="J16" s="746"/>
      <c r="K16" s="746"/>
      <c r="L16" s="746"/>
      <c r="M16" s="750">
        <f>M15*M14</f>
        <v>17600</v>
      </c>
      <c r="N16" s="746"/>
    </row>
    <row r="17" spans="1:14" ht="19.5" customHeight="1" x14ac:dyDescent="0.25">
      <c r="A17" s="1086">
        <v>4</v>
      </c>
      <c r="B17" s="1089" t="s">
        <v>1092</v>
      </c>
      <c r="C17" s="752" t="s">
        <v>206</v>
      </c>
      <c r="D17" s="753" t="s">
        <v>1093</v>
      </c>
      <c r="E17" s="742">
        <f t="shared" si="2"/>
        <v>0</v>
      </c>
      <c r="F17" s="754">
        <v>0</v>
      </c>
      <c r="G17" s="754"/>
      <c r="H17" s="754"/>
      <c r="I17" s="754"/>
      <c r="J17" s="754"/>
      <c r="K17" s="754"/>
      <c r="L17" s="754"/>
      <c r="M17" s="754"/>
      <c r="N17" s="754"/>
    </row>
    <row r="18" spans="1:14" ht="19.5" customHeight="1" x14ac:dyDescent="0.25">
      <c r="A18" s="1087"/>
      <c r="B18" s="1090"/>
      <c r="C18" s="755" t="s">
        <v>1087</v>
      </c>
      <c r="D18" s="756" t="s">
        <v>1088</v>
      </c>
      <c r="E18" s="744">
        <f t="shared" si="2"/>
        <v>0</v>
      </c>
      <c r="F18" s="757"/>
      <c r="G18" s="757"/>
      <c r="H18" s="757"/>
      <c r="I18" s="757"/>
      <c r="J18" s="757"/>
      <c r="K18" s="757"/>
      <c r="L18" s="757"/>
      <c r="M18" s="757"/>
      <c r="N18" s="757"/>
    </row>
    <row r="19" spans="1:14" s="735" customFormat="1" ht="19.5" customHeight="1" x14ac:dyDescent="0.2">
      <c r="A19" s="1088"/>
      <c r="B19" s="1091"/>
      <c r="C19" s="758" t="s">
        <v>1089</v>
      </c>
      <c r="D19" s="759" t="s">
        <v>1088</v>
      </c>
      <c r="E19" s="746">
        <f t="shared" si="2"/>
        <v>0</v>
      </c>
      <c r="F19" s="746">
        <f>F18*F17</f>
        <v>0</v>
      </c>
      <c r="G19" s="746"/>
      <c r="H19" s="746"/>
      <c r="I19" s="746"/>
      <c r="J19" s="746"/>
      <c r="K19" s="746"/>
      <c r="L19" s="746"/>
      <c r="M19" s="746"/>
      <c r="N19" s="746"/>
    </row>
    <row r="20" spans="1:14" s="733" customFormat="1" ht="18.75" customHeight="1" x14ac:dyDescent="0.2">
      <c r="A20" s="1086">
        <v>5</v>
      </c>
      <c r="B20" s="1089" t="s">
        <v>1094</v>
      </c>
      <c r="C20" s="752" t="s">
        <v>206</v>
      </c>
      <c r="D20" s="753" t="s">
        <v>1095</v>
      </c>
      <c r="E20" s="742">
        <f t="shared" si="2"/>
        <v>7</v>
      </c>
      <c r="F20" s="754">
        <v>4</v>
      </c>
      <c r="G20" s="754"/>
      <c r="H20" s="754">
        <v>1</v>
      </c>
      <c r="I20" s="754">
        <v>1</v>
      </c>
      <c r="J20" s="754"/>
      <c r="K20" s="754"/>
      <c r="L20" s="754">
        <v>1</v>
      </c>
      <c r="M20" s="754"/>
      <c r="N20" s="754"/>
    </row>
    <row r="21" spans="1:14" s="733" customFormat="1" ht="18.75" customHeight="1" x14ac:dyDescent="0.2">
      <c r="A21" s="1087"/>
      <c r="B21" s="1090"/>
      <c r="C21" s="755" t="s">
        <v>1087</v>
      </c>
      <c r="D21" s="756" t="s">
        <v>1088</v>
      </c>
      <c r="E21" s="744">
        <f t="shared" si="2"/>
        <v>5515000</v>
      </c>
      <c r="F21" s="748">
        <f>F22/F20</f>
        <v>1700000</v>
      </c>
      <c r="G21" s="747"/>
      <c r="H21" s="744">
        <f>H22</f>
        <v>1115000</v>
      </c>
      <c r="I21" s="744">
        <f>I22</f>
        <v>1700000</v>
      </c>
      <c r="J21" s="747"/>
      <c r="K21" s="747"/>
      <c r="L21" s="744">
        <f>L22</f>
        <v>1000000</v>
      </c>
      <c r="M21" s="747"/>
      <c r="N21" s="747"/>
    </row>
    <row r="22" spans="1:14" s="735" customFormat="1" ht="18.75" customHeight="1" x14ac:dyDescent="0.2">
      <c r="A22" s="1088"/>
      <c r="B22" s="1091"/>
      <c r="C22" s="758" t="s">
        <v>1089</v>
      </c>
      <c r="D22" s="759" t="s">
        <v>1088</v>
      </c>
      <c r="E22" s="746">
        <f t="shared" si="2"/>
        <v>10615000</v>
      </c>
      <c r="F22" s="746">
        <f>2200000+1400000+1500000+1700000</f>
        <v>6800000</v>
      </c>
      <c r="G22" s="746"/>
      <c r="H22" s="746">
        <v>1115000</v>
      </c>
      <c r="I22" s="746">
        <v>1700000</v>
      </c>
      <c r="J22" s="746"/>
      <c r="K22" s="746"/>
      <c r="L22" s="746">
        <v>1000000</v>
      </c>
      <c r="M22" s="746"/>
      <c r="N22" s="746"/>
    </row>
    <row r="25" spans="1:14" x14ac:dyDescent="0.25">
      <c r="F25" s="737"/>
    </row>
  </sheetData>
  <mergeCells count="16">
    <mergeCell ref="A17:A19"/>
    <mergeCell ref="B17:B19"/>
    <mergeCell ref="A20:A22"/>
    <mergeCell ref="B20:B22"/>
    <mergeCell ref="A8:A10"/>
    <mergeCell ref="B8:B10"/>
    <mergeCell ref="A11:A13"/>
    <mergeCell ref="B11:B13"/>
    <mergeCell ref="A14:A16"/>
    <mergeCell ref="B14:B16"/>
    <mergeCell ref="A2:N2"/>
    <mergeCell ref="A3:N3"/>
    <mergeCell ref="B5:C6"/>
    <mergeCell ref="D5:D6"/>
    <mergeCell ref="E5:E6"/>
    <mergeCell ref="F5:N5"/>
  </mergeCells>
  <pageMargins left="0.78740157480314965" right="0.39370078740157483" top="0.78740157480314965" bottom="0.78740157480314965" header="0.31496062992125984" footer="0.31496062992125984"/>
  <pageSetup paperSize="9" scale="82" firstPageNumber="58" orientation="landscape" useFirstPageNumber="1" r:id="rId1"/>
  <headerFooter>
    <oddHeader>&amp;RPhụ biểu số 04</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85" workbookViewId="0">
      <selection activeCell="A2" sqref="A2:XFD2"/>
    </sheetView>
  </sheetViews>
  <sheetFormatPr defaultRowHeight="15.75" x14ac:dyDescent="0.25"/>
  <cols>
    <col min="1" max="1" width="6.625" customWidth="1"/>
    <col min="2" max="2" width="39" customWidth="1"/>
    <col min="3" max="4" width="17.25" customWidth="1"/>
    <col min="5" max="5" width="21.875" style="605" customWidth="1"/>
  </cols>
  <sheetData>
    <row r="1" spans="1:5" ht="17.25" x14ac:dyDescent="0.25">
      <c r="A1" s="1095" t="s">
        <v>1116</v>
      </c>
      <c r="B1" s="1096"/>
      <c r="C1" s="1096"/>
      <c r="D1" s="1096"/>
      <c r="E1" s="1097"/>
    </row>
    <row r="2" spans="1:5" ht="17.25" x14ac:dyDescent="0.25">
      <c r="A2" s="1104" t="str">
        <f>'PL4'!A3:N3</f>
        <v>(Kèm theo Nghị quyết số            /NQ-HĐND ngày           tháng 12 năm 2022 của HĐND tỉnh Bắc Kạn)</v>
      </c>
      <c r="B2" s="1105"/>
      <c r="C2" s="1105"/>
      <c r="D2" s="1105"/>
      <c r="E2" s="1106"/>
    </row>
    <row r="3" spans="1:5" ht="17.25" x14ac:dyDescent="0.25">
      <c r="A3" s="1098" t="s">
        <v>511</v>
      </c>
      <c r="B3" s="1099"/>
      <c r="C3" s="1099"/>
      <c r="D3" s="1099"/>
      <c r="E3" s="1100"/>
    </row>
    <row r="4" spans="1:5" ht="34.5" x14ac:dyDescent="0.25">
      <c r="A4" s="834" t="s">
        <v>370</v>
      </c>
      <c r="B4" s="834" t="s">
        <v>1117</v>
      </c>
      <c r="C4" s="834" t="s">
        <v>1118</v>
      </c>
      <c r="D4" s="834" t="s">
        <v>1119</v>
      </c>
      <c r="E4" s="834" t="s">
        <v>1120</v>
      </c>
    </row>
    <row r="5" spans="1:5" ht="24.75" customHeight="1" x14ac:dyDescent="0.25">
      <c r="A5" s="835"/>
      <c r="B5" s="835" t="s">
        <v>1121</v>
      </c>
      <c r="C5" s="836">
        <f>C6+C13+C14+C17+C20+C21</f>
        <v>7303</v>
      </c>
      <c r="D5" s="836">
        <f>D6+D13+D14+D17+D20+D21</f>
        <v>5852.4</v>
      </c>
      <c r="E5" s="835"/>
    </row>
    <row r="6" spans="1:5" ht="24" customHeight="1" x14ac:dyDescent="0.25">
      <c r="A6" s="837">
        <v>1</v>
      </c>
      <c r="B6" s="838" t="s">
        <v>1122</v>
      </c>
      <c r="C6" s="839">
        <f>SUM(C7:C12)</f>
        <v>2136</v>
      </c>
      <c r="D6" s="839">
        <f>SUM(D7:D12)</f>
        <v>1708.8</v>
      </c>
      <c r="E6" s="1101" t="s">
        <v>1123</v>
      </c>
    </row>
    <row r="7" spans="1:5" ht="45.75" customHeight="1" x14ac:dyDescent="0.25">
      <c r="A7" s="840" t="s">
        <v>1124</v>
      </c>
      <c r="B7" s="841" t="s">
        <v>718</v>
      </c>
      <c r="C7" s="842">
        <v>801</v>
      </c>
      <c r="D7" s="842">
        <f>C7*0.8</f>
        <v>640.80000000000007</v>
      </c>
      <c r="E7" s="1102"/>
    </row>
    <row r="8" spans="1:5" ht="34.5" x14ac:dyDescent="0.25">
      <c r="A8" s="840" t="s">
        <v>1125</v>
      </c>
      <c r="B8" s="841" t="s">
        <v>719</v>
      </c>
      <c r="C8" s="842">
        <v>344</v>
      </c>
      <c r="D8" s="842">
        <f t="shared" ref="D8:D21" si="0">C8*0.8</f>
        <v>275.2</v>
      </c>
      <c r="E8" s="1102"/>
    </row>
    <row r="9" spans="1:5" ht="34.5" x14ac:dyDescent="0.25">
      <c r="A9" s="840" t="s">
        <v>1126</v>
      </c>
      <c r="B9" s="841" t="s">
        <v>720</v>
      </c>
      <c r="C9" s="842">
        <v>326</v>
      </c>
      <c r="D9" s="842">
        <f t="shared" si="0"/>
        <v>260.8</v>
      </c>
      <c r="E9" s="1102"/>
    </row>
    <row r="10" spans="1:5" ht="34.5" x14ac:dyDescent="0.25">
      <c r="A10" s="840" t="s">
        <v>1127</v>
      </c>
      <c r="B10" s="841" t="s">
        <v>721</v>
      </c>
      <c r="C10" s="842">
        <v>183</v>
      </c>
      <c r="D10" s="842">
        <f t="shared" si="0"/>
        <v>146.4</v>
      </c>
      <c r="E10" s="1102"/>
    </row>
    <row r="11" spans="1:5" ht="34.5" x14ac:dyDescent="0.25">
      <c r="A11" s="840" t="s">
        <v>1128</v>
      </c>
      <c r="B11" s="841" t="s">
        <v>722</v>
      </c>
      <c r="C11" s="842">
        <v>182</v>
      </c>
      <c r="D11" s="842">
        <f t="shared" si="0"/>
        <v>145.6</v>
      </c>
      <c r="E11" s="1102"/>
    </row>
    <row r="12" spans="1:5" ht="43.5" customHeight="1" x14ac:dyDescent="0.25">
      <c r="A12" s="843" t="s">
        <v>1129</v>
      </c>
      <c r="B12" s="844" t="s">
        <v>723</v>
      </c>
      <c r="C12" s="845">
        <v>300</v>
      </c>
      <c r="D12" s="845">
        <f t="shared" si="0"/>
        <v>240</v>
      </c>
      <c r="E12" s="1103"/>
    </row>
    <row r="13" spans="1:5" ht="34.5" x14ac:dyDescent="0.25">
      <c r="A13" s="846">
        <v>2</v>
      </c>
      <c r="B13" s="847" t="s">
        <v>1130</v>
      </c>
      <c r="C13" s="848">
        <v>500</v>
      </c>
      <c r="D13" s="848">
        <f t="shared" si="0"/>
        <v>400</v>
      </c>
      <c r="E13" s="846" t="s">
        <v>680</v>
      </c>
    </row>
    <row r="14" spans="1:5" ht="30.75" customHeight="1" x14ac:dyDescent="0.25">
      <c r="A14" s="846">
        <v>3</v>
      </c>
      <c r="B14" s="847" t="s">
        <v>1131</v>
      </c>
      <c r="C14" s="848">
        <v>999</v>
      </c>
      <c r="D14" s="848">
        <f t="shared" si="0"/>
        <v>799.2</v>
      </c>
      <c r="E14" s="1101" t="s">
        <v>1131</v>
      </c>
    </row>
    <row r="15" spans="1:5" ht="34.5" x14ac:dyDescent="0.25">
      <c r="A15" s="849" t="s">
        <v>1132</v>
      </c>
      <c r="B15" s="850" t="s">
        <v>1133</v>
      </c>
      <c r="C15" s="851">
        <v>550</v>
      </c>
      <c r="D15" s="851">
        <f t="shared" si="0"/>
        <v>440</v>
      </c>
      <c r="E15" s="1102"/>
    </row>
    <row r="16" spans="1:5" ht="34.5" x14ac:dyDescent="0.25">
      <c r="A16" s="852" t="s">
        <v>1134</v>
      </c>
      <c r="B16" s="853" t="s">
        <v>1135</v>
      </c>
      <c r="C16" s="854">
        <v>449</v>
      </c>
      <c r="D16" s="854">
        <f t="shared" si="0"/>
        <v>359.20000000000005</v>
      </c>
      <c r="E16" s="1103"/>
    </row>
    <row r="17" spans="1:5" ht="24" customHeight="1" x14ac:dyDescent="0.25">
      <c r="A17" s="846">
        <v>4</v>
      </c>
      <c r="B17" s="847" t="s">
        <v>367</v>
      </c>
      <c r="C17" s="848">
        <v>2890</v>
      </c>
      <c r="D17" s="848">
        <f t="shared" si="0"/>
        <v>2312</v>
      </c>
      <c r="E17" s="1101" t="s">
        <v>367</v>
      </c>
    </row>
    <row r="18" spans="1:5" ht="31.5" customHeight="1" x14ac:dyDescent="0.25">
      <c r="A18" s="855" t="s">
        <v>1136</v>
      </c>
      <c r="B18" s="856" t="s">
        <v>1137</v>
      </c>
      <c r="C18" s="857">
        <v>495</v>
      </c>
      <c r="D18" s="857">
        <f t="shared" si="0"/>
        <v>396</v>
      </c>
      <c r="E18" s="1102"/>
    </row>
    <row r="19" spans="1:5" ht="22.5" customHeight="1" x14ac:dyDescent="0.25">
      <c r="A19" s="843" t="s">
        <v>1138</v>
      </c>
      <c r="B19" s="844" t="s">
        <v>1139</v>
      </c>
      <c r="C19" s="845">
        <v>2395</v>
      </c>
      <c r="D19" s="845">
        <f t="shared" si="0"/>
        <v>1916</v>
      </c>
      <c r="E19" s="1103"/>
    </row>
    <row r="20" spans="1:5" ht="17.25" x14ac:dyDescent="0.25">
      <c r="A20" s="846">
        <v>5</v>
      </c>
      <c r="B20" s="847" t="s">
        <v>1140</v>
      </c>
      <c r="C20" s="848">
        <v>50</v>
      </c>
      <c r="D20" s="848">
        <v>50</v>
      </c>
      <c r="E20" s="846" t="s">
        <v>144</v>
      </c>
    </row>
    <row r="21" spans="1:5" ht="25.5" customHeight="1" x14ac:dyDescent="0.25">
      <c r="A21" s="846">
        <v>6</v>
      </c>
      <c r="B21" s="847" t="s">
        <v>1141</v>
      </c>
      <c r="C21" s="848">
        <v>728</v>
      </c>
      <c r="D21" s="848">
        <f t="shared" si="0"/>
        <v>582.4</v>
      </c>
      <c r="E21" s="846" t="s">
        <v>89</v>
      </c>
    </row>
  </sheetData>
  <mergeCells count="6">
    <mergeCell ref="A1:E1"/>
    <mergeCell ref="A3:E3"/>
    <mergeCell ref="E6:E12"/>
    <mergeCell ref="E14:E16"/>
    <mergeCell ref="E17:E19"/>
    <mergeCell ref="A2:E2"/>
  </mergeCells>
  <pageMargins left="0.78740157480314965" right="0.39370078740157483" top="0.78740157480314965" bottom="0.78740157480314965" header="0.31496062992125984" footer="0.31496062992125984"/>
  <pageSetup paperSize="9" scale="83" firstPageNumber="59" orientation="portrait" useFirstPageNumber="1" r:id="rId1"/>
  <headerFooter>
    <oddHeader>&amp;RPhụ lục số 05</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Layout" zoomScale="70" zoomScaleNormal="100" zoomScalePageLayoutView="70" workbookViewId="0">
      <selection activeCell="A2" sqref="A2:D2"/>
    </sheetView>
  </sheetViews>
  <sheetFormatPr defaultColWidth="9.125" defaultRowHeight="18.75" x14ac:dyDescent="0.25"/>
  <cols>
    <col min="1" max="1" width="8.625" style="860" customWidth="1"/>
    <col min="2" max="2" width="31.625" style="861" customWidth="1"/>
    <col min="3" max="3" width="54.125" style="861" customWidth="1"/>
    <col min="4" max="4" width="22.75" style="861" customWidth="1"/>
    <col min="5" max="5" width="26.875" style="858" hidden="1" customWidth="1"/>
    <col min="6" max="16384" width="9.125" style="861"/>
  </cols>
  <sheetData>
    <row r="1" spans="1:5" s="859" customFormat="1" ht="28.15" customHeight="1" x14ac:dyDescent="0.25">
      <c r="A1" s="1107" t="s">
        <v>1142</v>
      </c>
      <c r="B1" s="1107"/>
      <c r="C1" s="1107"/>
      <c r="D1" s="1107"/>
      <c r="E1" s="858"/>
    </row>
    <row r="2" spans="1:5" s="859" customFormat="1" ht="28.15" customHeight="1" x14ac:dyDescent="0.25">
      <c r="A2" s="1110" t="str">
        <f>'PL 5'!A2:E2</f>
        <v>(Kèm theo Nghị quyết số            /NQ-HĐND ngày           tháng 12 năm 2022 của HĐND tỉnh Bắc Kạn)</v>
      </c>
      <c r="B2" s="1110"/>
      <c r="C2" s="1110"/>
      <c r="D2" s="1110"/>
      <c r="E2" s="858"/>
    </row>
    <row r="3" spans="1:5" s="859" customFormat="1" ht="28.15" customHeight="1" x14ac:dyDescent="0.25">
      <c r="A3" s="888"/>
      <c r="B3" s="888"/>
      <c r="C3" s="888"/>
      <c r="D3" s="888"/>
      <c r="E3" s="858"/>
    </row>
    <row r="4" spans="1:5" x14ac:dyDescent="0.25">
      <c r="C4" s="1108" t="s">
        <v>511</v>
      </c>
      <c r="D4" s="1108"/>
    </row>
    <row r="5" spans="1:5" s="864" customFormat="1" ht="35.25" customHeight="1" x14ac:dyDescent="0.25">
      <c r="A5" s="862" t="s">
        <v>1</v>
      </c>
      <c r="B5" s="863" t="s">
        <v>36</v>
      </c>
      <c r="C5" s="863" t="s">
        <v>1143</v>
      </c>
      <c r="D5" s="863" t="s">
        <v>1144</v>
      </c>
      <c r="E5" s="858"/>
    </row>
    <row r="6" spans="1:5" s="864" customFormat="1" ht="30" customHeight="1" x14ac:dyDescent="0.25">
      <c r="A6" s="865">
        <v>1</v>
      </c>
      <c r="B6" s="866">
        <v>2</v>
      </c>
      <c r="C6" s="866">
        <v>3</v>
      </c>
      <c r="D6" s="866">
        <v>4</v>
      </c>
      <c r="E6" s="858"/>
    </row>
    <row r="7" spans="1:5" s="864" customFormat="1" x14ac:dyDescent="0.25">
      <c r="A7" s="865"/>
      <c r="B7" s="866" t="s">
        <v>67</v>
      </c>
      <c r="C7" s="866"/>
      <c r="D7" s="867">
        <f>SUM(D8+D41)</f>
        <v>72046.237999999998</v>
      </c>
      <c r="E7" s="858"/>
    </row>
    <row r="8" spans="1:5" s="859" customFormat="1" x14ac:dyDescent="0.25">
      <c r="A8" s="865" t="s">
        <v>46</v>
      </c>
      <c r="B8" s="868" t="s">
        <v>1145</v>
      </c>
      <c r="C8" s="868"/>
      <c r="D8" s="867">
        <f>D9+D11+D14+D19+D21+D23+D25+D33+D35+D37+D39</f>
        <v>28446.837999999996</v>
      </c>
      <c r="E8" s="858"/>
    </row>
    <row r="9" spans="1:5" s="859" customFormat="1" x14ac:dyDescent="0.25">
      <c r="A9" s="865">
        <v>1</v>
      </c>
      <c r="B9" s="868" t="s">
        <v>143</v>
      </c>
      <c r="C9" s="868"/>
      <c r="D9" s="867">
        <f>D10</f>
        <v>1271</v>
      </c>
      <c r="E9" s="858"/>
    </row>
    <row r="10" spans="1:5" ht="75" x14ac:dyDescent="0.25">
      <c r="A10" s="869" t="s">
        <v>10</v>
      </c>
      <c r="B10" s="870"/>
      <c r="C10" s="870" t="s">
        <v>1146</v>
      </c>
      <c r="D10" s="871">
        <v>1271</v>
      </c>
    </row>
    <row r="11" spans="1:5" s="859" customFormat="1" x14ac:dyDescent="0.25">
      <c r="A11" s="865">
        <v>2</v>
      </c>
      <c r="B11" s="868" t="s">
        <v>506</v>
      </c>
      <c r="C11" s="868"/>
      <c r="D11" s="867">
        <f t="shared" ref="D11" si="0">SUM(D12+D13)</f>
        <v>3339.87</v>
      </c>
      <c r="E11" s="858"/>
    </row>
    <row r="12" spans="1:5" ht="37.5" x14ac:dyDescent="0.25">
      <c r="A12" s="869" t="s">
        <v>10</v>
      </c>
      <c r="B12" s="870"/>
      <c r="C12" s="870" t="s">
        <v>1147</v>
      </c>
      <c r="D12" s="871">
        <v>3195.87</v>
      </c>
    </row>
    <row r="13" spans="1:5" ht="37.5" x14ac:dyDescent="0.25">
      <c r="A13" s="869" t="s">
        <v>10</v>
      </c>
      <c r="B13" s="870"/>
      <c r="C13" s="870" t="s">
        <v>1148</v>
      </c>
      <c r="D13" s="871">
        <v>144</v>
      </c>
    </row>
    <row r="14" spans="1:5" s="859" customFormat="1" x14ac:dyDescent="0.25">
      <c r="A14" s="865">
        <v>3</v>
      </c>
      <c r="B14" s="868" t="s">
        <v>221</v>
      </c>
      <c r="C14" s="868"/>
      <c r="D14" s="867">
        <f t="shared" ref="D14" si="1">SUM(D15:D18)</f>
        <v>3690</v>
      </c>
      <c r="E14" s="858"/>
    </row>
    <row r="15" spans="1:5" s="859" customFormat="1" x14ac:dyDescent="0.25">
      <c r="A15" s="865" t="s">
        <v>10</v>
      </c>
      <c r="B15" s="868"/>
      <c r="C15" s="872" t="s">
        <v>1149</v>
      </c>
      <c r="D15" s="871">
        <v>990</v>
      </c>
      <c r="E15" s="1109"/>
    </row>
    <row r="16" spans="1:5" ht="37.5" x14ac:dyDescent="0.25">
      <c r="A16" s="865" t="s">
        <v>10</v>
      </c>
      <c r="B16" s="870"/>
      <c r="C16" s="870" t="s">
        <v>1150</v>
      </c>
      <c r="D16" s="871">
        <v>450</v>
      </c>
      <c r="E16" s="1109"/>
    </row>
    <row r="17" spans="1:5" ht="37.5" x14ac:dyDescent="0.25">
      <c r="A17" s="865" t="s">
        <v>10</v>
      </c>
      <c r="B17" s="870"/>
      <c r="C17" s="870" t="s">
        <v>858</v>
      </c>
      <c r="D17" s="871">
        <v>1500</v>
      </c>
      <c r="E17" s="1109"/>
    </row>
    <row r="18" spans="1:5" ht="37.5" x14ac:dyDescent="0.25">
      <c r="A18" s="865" t="s">
        <v>10</v>
      </c>
      <c r="B18" s="870"/>
      <c r="C18" s="870" t="s">
        <v>859</v>
      </c>
      <c r="D18" s="871">
        <v>750</v>
      </c>
      <c r="E18" s="1109"/>
    </row>
    <row r="19" spans="1:5" s="859" customFormat="1" x14ac:dyDescent="0.25">
      <c r="A19" s="865">
        <v>4</v>
      </c>
      <c r="B19" s="868" t="s">
        <v>129</v>
      </c>
      <c r="C19" s="868"/>
      <c r="D19" s="867">
        <f t="shared" ref="D19" si="2">D20</f>
        <v>894</v>
      </c>
      <c r="E19" s="858"/>
    </row>
    <row r="20" spans="1:5" ht="37.5" x14ac:dyDescent="0.25">
      <c r="A20" s="869" t="s">
        <v>10</v>
      </c>
      <c r="B20" s="870"/>
      <c r="C20" s="870" t="s">
        <v>1151</v>
      </c>
      <c r="D20" s="871">
        <v>894</v>
      </c>
    </row>
    <row r="21" spans="1:5" s="859" customFormat="1" x14ac:dyDescent="0.25">
      <c r="A21" s="865">
        <v>5</v>
      </c>
      <c r="B21" s="868" t="s">
        <v>117</v>
      </c>
      <c r="C21" s="868"/>
      <c r="D21" s="867">
        <f t="shared" ref="D21" si="3">D22</f>
        <v>1200</v>
      </c>
      <c r="E21" s="858"/>
    </row>
    <row r="22" spans="1:5" ht="37.5" x14ac:dyDescent="0.25">
      <c r="A22" s="869" t="s">
        <v>10</v>
      </c>
      <c r="B22" s="870"/>
      <c r="C22" s="870" t="s">
        <v>812</v>
      </c>
      <c r="D22" s="871">
        <v>1200</v>
      </c>
    </row>
    <row r="23" spans="1:5" s="859" customFormat="1" ht="37.5" x14ac:dyDescent="0.25">
      <c r="A23" s="865">
        <v>6</v>
      </c>
      <c r="B23" s="868" t="s">
        <v>521</v>
      </c>
      <c r="C23" s="868"/>
      <c r="D23" s="867">
        <f>D24</f>
        <v>3678.6039999999998</v>
      </c>
      <c r="E23" s="873"/>
    </row>
    <row r="24" spans="1:5" ht="37.5" x14ac:dyDescent="0.25">
      <c r="A24" s="869" t="s">
        <v>10</v>
      </c>
      <c r="B24" s="870"/>
      <c r="C24" s="870" t="s">
        <v>1152</v>
      </c>
      <c r="D24" s="871">
        <v>3678.6039999999998</v>
      </c>
    </row>
    <row r="25" spans="1:5" s="859" customFormat="1" ht="37.5" x14ac:dyDescent="0.25">
      <c r="A25" s="865">
        <v>7</v>
      </c>
      <c r="B25" s="868" t="s">
        <v>219</v>
      </c>
      <c r="C25" s="868"/>
      <c r="D25" s="867">
        <f>SUM(D26:D32)</f>
        <v>8605.119999999999</v>
      </c>
      <c r="E25" s="858"/>
    </row>
    <row r="26" spans="1:5" x14ac:dyDescent="0.25">
      <c r="A26" s="869" t="s">
        <v>10</v>
      </c>
      <c r="B26" s="870"/>
      <c r="C26" s="870" t="s">
        <v>877</v>
      </c>
      <c r="D26" s="871">
        <v>1400</v>
      </c>
    </row>
    <row r="27" spans="1:5" ht="37.5" x14ac:dyDescent="0.25">
      <c r="A27" s="869" t="s">
        <v>10</v>
      </c>
      <c r="B27" s="870"/>
      <c r="C27" s="870" t="s">
        <v>1153</v>
      </c>
      <c r="D27" s="871">
        <v>2800</v>
      </c>
    </row>
    <row r="28" spans="1:5" ht="37.5" x14ac:dyDescent="0.3">
      <c r="A28" s="869" t="s">
        <v>10</v>
      </c>
      <c r="B28" s="870"/>
      <c r="C28" s="874" t="s">
        <v>882</v>
      </c>
      <c r="D28" s="871">
        <v>2423.12</v>
      </c>
    </row>
    <row r="29" spans="1:5" x14ac:dyDescent="0.25">
      <c r="A29" s="869" t="s">
        <v>10</v>
      </c>
      <c r="B29" s="870"/>
      <c r="C29" s="870" t="s">
        <v>1154</v>
      </c>
      <c r="D29" s="871">
        <v>200</v>
      </c>
    </row>
    <row r="30" spans="1:5" ht="93.75" x14ac:dyDescent="0.25">
      <c r="A30" s="869" t="s">
        <v>10</v>
      </c>
      <c r="B30" s="870"/>
      <c r="C30" s="875" t="s">
        <v>872</v>
      </c>
      <c r="D30" s="871">
        <v>204</v>
      </c>
    </row>
    <row r="31" spans="1:5" ht="37.5" x14ac:dyDescent="0.25">
      <c r="A31" s="869" t="s">
        <v>10</v>
      </c>
      <c r="B31" s="870"/>
      <c r="C31" s="875" t="s">
        <v>873</v>
      </c>
      <c r="D31" s="871">
        <v>731</v>
      </c>
    </row>
    <row r="32" spans="1:5" ht="56.25" x14ac:dyDescent="0.25">
      <c r="A32" s="869" t="s">
        <v>10</v>
      </c>
      <c r="B32" s="870"/>
      <c r="C32" s="875" t="s">
        <v>874</v>
      </c>
      <c r="D32" s="871">
        <v>847</v>
      </c>
    </row>
    <row r="33" spans="1:5" s="859" customFormat="1" ht="37.5" x14ac:dyDescent="0.25">
      <c r="A33" s="865">
        <v>8</v>
      </c>
      <c r="B33" s="868" t="s">
        <v>92</v>
      </c>
      <c r="C33" s="868"/>
      <c r="D33" s="867">
        <f>D34</f>
        <v>376.33199999999999</v>
      </c>
      <c r="E33" s="858"/>
    </row>
    <row r="34" spans="1:5" ht="37.5" x14ac:dyDescent="0.25">
      <c r="A34" s="869" t="s">
        <v>10</v>
      </c>
      <c r="B34" s="870"/>
      <c r="C34" s="870" t="s">
        <v>678</v>
      </c>
      <c r="D34" s="871">
        <v>376.33199999999999</v>
      </c>
    </row>
    <row r="35" spans="1:5" s="859" customFormat="1" ht="37.5" x14ac:dyDescent="0.25">
      <c r="A35" s="865">
        <v>9</v>
      </c>
      <c r="B35" s="868" t="s">
        <v>738</v>
      </c>
      <c r="C35" s="868"/>
      <c r="D35" s="867">
        <f t="shared" ref="D35" si="4">D36</f>
        <v>1850</v>
      </c>
      <c r="E35" s="858"/>
    </row>
    <row r="36" spans="1:5" x14ac:dyDescent="0.25">
      <c r="A36" s="869" t="s">
        <v>10</v>
      </c>
      <c r="B36" s="870"/>
      <c r="C36" s="870" t="s">
        <v>1155</v>
      </c>
      <c r="D36" s="871">
        <v>1850</v>
      </c>
    </row>
    <row r="37" spans="1:5" s="859" customFormat="1" x14ac:dyDescent="0.25">
      <c r="A37" s="865">
        <v>10</v>
      </c>
      <c r="B37" s="868" t="s">
        <v>680</v>
      </c>
      <c r="C37" s="868"/>
      <c r="D37" s="867">
        <f t="shared" ref="D37" si="5">D38</f>
        <v>2684.9119999999998</v>
      </c>
      <c r="E37" s="858"/>
    </row>
    <row r="38" spans="1:5" ht="37.5" x14ac:dyDescent="0.25">
      <c r="A38" s="869" t="s">
        <v>10</v>
      </c>
      <c r="B38" s="870"/>
      <c r="C38" s="870" t="s">
        <v>1156</v>
      </c>
      <c r="D38" s="871">
        <v>2684.9119999999998</v>
      </c>
    </row>
    <row r="39" spans="1:5" s="859" customFormat="1" ht="37.5" x14ac:dyDescent="0.25">
      <c r="A39" s="865">
        <v>11</v>
      </c>
      <c r="B39" s="868" t="s">
        <v>182</v>
      </c>
      <c r="C39" s="868"/>
      <c r="D39" s="867">
        <f t="shared" ref="D39" si="6">D40</f>
        <v>857</v>
      </c>
      <c r="E39" s="858"/>
    </row>
    <row r="40" spans="1:5" ht="37.5" x14ac:dyDescent="0.25">
      <c r="A40" s="869"/>
      <c r="B40" s="870"/>
      <c r="C40" s="870" t="s">
        <v>1157</v>
      </c>
      <c r="D40" s="871">
        <v>857</v>
      </c>
    </row>
    <row r="41" spans="1:5" s="859" customFormat="1" x14ac:dyDescent="0.25">
      <c r="A41" s="865" t="s">
        <v>31</v>
      </c>
      <c r="B41" s="868" t="s">
        <v>1158</v>
      </c>
      <c r="C41" s="868"/>
      <c r="D41" s="867">
        <f>SUM(D42+D45+D48+D61+D64+D66+D69+D71+D73+D76+D79+D81+D84+D86+D88+D91)</f>
        <v>43599.4</v>
      </c>
      <c r="E41" s="858"/>
    </row>
    <row r="42" spans="1:5" s="859" customFormat="1" x14ac:dyDescent="0.25">
      <c r="A42" s="865">
        <v>1</v>
      </c>
      <c r="B42" s="868" t="s">
        <v>143</v>
      </c>
      <c r="C42" s="868"/>
      <c r="D42" s="867">
        <f>SUM(D43,D44)</f>
        <v>1400</v>
      </c>
      <c r="E42" s="858"/>
    </row>
    <row r="43" spans="1:5" x14ac:dyDescent="0.25">
      <c r="A43" s="869" t="s">
        <v>10</v>
      </c>
      <c r="B43" s="876"/>
      <c r="C43" s="876" t="s">
        <v>623</v>
      </c>
      <c r="D43" s="877">
        <v>400</v>
      </c>
    </row>
    <row r="44" spans="1:5" x14ac:dyDescent="0.25">
      <c r="A44" s="869" t="s">
        <v>10</v>
      </c>
      <c r="B44" s="876"/>
      <c r="C44" s="876" t="s">
        <v>624</v>
      </c>
      <c r="D44" s="877">
        <v>1000</v>
      </c>
    </row>
    <row r="45" spans="1:5" s="859" customFormat="1" ht="35.25" customHeight="1" x14ac:dyDescent="0.25">
      <c r="A45" s="865">
        <v>2</v>
      </c>
      <c r="B45" s="878" t="s">
        <v>521</v>
      </c>
      <c r="C45" s="878"/>
      <c r="D45" s="867">
        <f>D46+D47</f>
        <v>4000</v>
      </c>
      <c r="E45" s="858"/>
    </row>
    <row r="46" spans="1:5" ht="49.5" x14ac:dyDescent="0.25">
      <c r="A46" s="869" t="s">
        <v>10</v>
      </c>
      <c r="B46" s="879"/>
      <c r="C46" s="879" t="s">
        <v>1159</v>
      </c>
      <c r="D46" s="877">
        <v>2000</v>
      </c>
    </row>
    <row r="47" spans="1:5" x14ac:dyDescent="0.25">
      <c r="A47" s="869" t="s">
        <v>10</v>
      </c>
      <c r="B47" s="879"/>
      <c r="C47" s="879" t="s">
        <v>1160</v>
      </c>
      <c r="D47" s="877">
        <v>2000</v>
      </c>
    </row>
    <row r="48" spans="1:5" s="859" customFormat="1" x14ac:dyDescent="0.25">
      <c r="A48" s="865">
        <v>3</v>
      </c>
      <c r="B48" s="880" t="s">
        <v>219</v>
      </c>
      <c r="C48" s="880"/>
      <c r="D48" s="867">
        <f>SUM(D49:D60)</f>
        <v>13329</v>
      </c>
      <c r="E48" s="858"/>
    </row>
    <row r="49" spans="1:5" x14ac:dyDescent="0.25">
      <c r="A49" s="869" t="s">
        <v>10</v>
      </c>
      <c r="B49" s="876"/>
      <c r="C49" s="876" t="s">
        <v>875</v>
      </c>
      <c r="D49" s="877">
        <v>2000</v>
      </c>
    </row>
    <row r="50" spans="1:5" ht="33" x14ac:dyDescent="0.25">
      <c r="A50" s="869" t="s">
        <v>10</v>
      </c>
      <c r="B50" s="876"/>
      <c r="C50" s="876" t="s">
        <v>880</v>
      </c>
      <c r="D50" s="877">
        <v>4000</v>
      </c>
    </row>
    <row r="51" spans="1:5" x14ac:dyDescent="0.25">
      <c r="A51" s="869" t="s">
        <v>10</v>
      </c>
      <c r="B51" s="876"/>
      <c r="C51" s="876" t="s">
        <v>1161</v>
      </c>
      <c r="D51" s="877">
        <v>1000</v>
      </c>
    </row>
    <row r="52" spans="1:5" x14ac:dyDescent="0.25">
      <c r="A52" s="869" t="s">
        <v>10</v>
      </c>
      <c r="B52" s="879"/>
      <c r="C52" s="879" t="s">
        <v>1162</v>
      </c>
      <c r="D52" s="877">
        <v>150</v>
      </c>
    </row>
    <row r="53" spans="1:5" x14ac:dyDescent="0.25">
      <c r="A53" s="869" t="s">
        <v>10</v>
      </c>
      <c r="B53" s="879"/>
      <c r="C53" s="879" t="s">
        <v>1163</v>
      </c>
      <c r="D53" s="877">
        <v>350</v>
      </c>
    </row>
    <row r="54" spans="1:5" ht="37.5" x14ac:dyDescent="0.25">
      <c r="A54" s="869" t="s">
        <v>10</v>
      </c>
      <c r="B54" s="870"/>
      <c r="C54" s="870" t="s">
        <v>1164</v>
      </c>
      <c r="D54" s="871">
        <v>1140</v>
      </c>
    </row>
    <row r="55" spans="1:5" ht="56.25" x14ac:dyDescent="0.25">
      <c r="A55" s="869" t="s">
        <v>10</v>
      </c>
      <c r="B55" s="870"/>
      <c r="C55" s="870" t="s">
        <v>1165</v>
      </c>
      <c r="D55" s="871">
        <v>600</v>
      </c>
    </row>
    <row r="56" spans="1:5" ht="37.5" x14ac:dyDescent="0.25">
      <c r="A56" s="869" t="s">
        <v>10</v>
      </c>
      <c r="B56" s="870"/>
      <c r="C56" s="870" t="s">
        <v>1166</v>
      </c>
      <c r="D56" s="871">
        <v>270</v>
      </c>
    </row>
    <row r="57" spans="1:5" ht="37.5" x14ac:dyDescent="0.25">
      <c r="A57" s="869" t="s">
        <v>10</v>
      </c>
      <c r="B57" s="870"/>
      <c r="C57" s="870" t="s">
        <v>1167</v>
      </c>
      <c r="D57" s="871">
        <v>78</v>
      </c>
    </row>
    <row r="58" spans="1:5" ht="66" x14ac:dyDescent="0.25">
      <c r="A58" s="869" t="s">
        <v>10</v>
      </c>
      <c r="B58" s="879"/>
      <c r="C58" s="879" t="s">
        <v>878</v>
      </c>
      <c r="D58" s="877">
        <v>801</v>
      </c>
    </row>
    <row r="59" spans="1:5" x14ac:dyDescent="0.25">
      <c r="A59" s="869" t="s">
        <v>10</v>
      </c>
      <c r="B59" s="879"/>
      <c r="C59" s="879" t="s">
        <v>1168</v>
      </c>
      <c r="D59" s="877">
        <v>1440</v>
      </c>
    </row>
    <row r="60" spans="1:5" ht="33" x14ac:dyDescent="0.25">
      <c r="A60" s="869" t="s">
        <v>10</v>
      </c>
      <c r="B60" s="879"/>
      <c r="C60" s="879" t="s">
        <v>1169</v>
      </c>
      <c r="D60" s="877">
        <v>1500</v>
      </c>
    </row>
    <row r="61" spans="1:5" s="859" customFormat="1" x14ac:dyDescent="0.25">
      <c r="A61" s="865">
        <v>4</v>
      </c>
      <c r="B61" s="880" t="s">
        <v>117</v>
      </c>
      <c r="C61" s="880"/>
      <c r="D61" s="867">
        <f>SUM(D62+D63)</f>
        <v>2200</v>
      </c>
      <c r="E61" s="858"/>
    </row>
    <row r="62" spans="1:5" ht="33" x14ac:dyDescent="0.25">
      <c r="A62" s="869" t="s">
        <v>10</v>
      </c>
      <c r="B62" s="876"/>
      <c r="C62" s="876" t="s">
        <v>1170</v>
      </c>
      <c r="D62" s="871">
        <v>1500</v>
      </c>
    </row>
    <row r="63" spans="1:5" x14ac:dyDescent="0.25">
      <c r="A63" s="869" t="s">
        <v>10</v>
      </c>
      <c r="B63" s="881"/>
      <c r="C63" s="876" t="s">
        <v>1171</v>
      </c>
      <c r="D63" s="882">
        <v>700</v>
      </c>
    </row>
    <row r="64" spans="1:5" s="859" customFormat="1" x14ac:dyDescent="0.25">
      <c r="A64" s="865">
        <v>5</v>
      </c>
      <c r="B64" s="878" t="s">
        <v>223</v>
      </c>
      <c r="C64" s="878"/>
      <c r="D64" s="883">
        <f>D65</f>
        <v>3000</v>
      </c>
      <c r="E64" s="858"/>
    </row>
    <row r="65" spans="1:5" ht="33" x14ac:dyDescent="0.25">
      <c r="A65" s="869" t="s">
        <v>10</v>
      </c>
      <c r="B65" s="879"/>
      <c r="C65" s="879" t="s">
        <v>586</v>
      </c>
      <c r="D65" s="871">
        <v>3000</v>
      </c>
    </row>
    <row r="66" spans="1:5" s="859" customFormat="1" x14ac:dyDescent="0.25">
      <c r="A66" s="865">
        <v>6</v>
      </c>
      <c r="B66" s="880" t="s">
        <v>221</v>
      </c>
      <c r="C66" s="880"/>
      <c r="D66" s="867">
        <f>SUM(D67:D68)</f>
        <v>1800</v>
      </c>
      <c r="E66" s="858"/>
    </row>
    <row r="67" spans="1:5" x14ac:dyDescent="0.25">
      <c r="A67" s="869" t="s">
        <v>10</v>
      </c>
      <c r="B67" s="879"/>
      <c r="C67" s="879" t="s">
        <v>860</v>
      </c>
      <c r="D67" s="884">
        <v>800</v>
      </c>
    </row>
    <row r="68" spans="1:5" x14ac:dyDescent="0.25">
      <c r="A68" s="869" t="s">
        <v>10</v>
      </c>
      <c r="B68" s="885"/>
      <c r="C68" s="885" t="s">
        <v>861</v>
      </c>
      <c r="D68" s="884">
        <v>1000</v>
      </c>
    </row>
    <row r="69" spans="1:5" s="859" customFormat="1" x14ac:dyDescent="0.25">
      <c r="A69" s="865">
        <v>7</v>
      </c>
      <c r="B69" s="880" t="s">
        <v>131</v>
      </c>
      <c r="C69" s="880"/>
      <c r="D69" s="886">
        <f>D70</f>
        <v>800</v>
      </c>
      <c r="E69" s="858"/>
    </row>
    <row r="70" spans="1:5" ht="33" x14ac:dyDescent="0.25">
      <c r="A70" s="869" t="s">
        <v>10</v>
      </c>
      <c r="B70" s="879"/>
      <c r="C70" s="879" t="s">
        <v>1172</v>
      </c>
      <c r="D70" s="871">
        <v>800</v>
      </c>
    </row>
    <row r="71" spans="1:5" s="859" customFormat="1" x14ac:dyDescent="0.25">
      <c r="A71" s="865">
        <v>8</v>
      </c>
      <c r="B71" s="880" t="s">
        <v>680</v>
      </c>
      <c r="C71" s="880"/>
      <c r="D71" s="867">
        <f>D72</f>
        <v>1400</v>
      </c>
      <c r="E71" s="858"/>
    </row>
    <row r="72" spans="1:5" ht="33" x14ac:dyDescent="0.25">
      <c r="A72" s="869" t="s">
        <v>10</v>
      </c>
      <c r="B72" s="879"/>
      <c r="C72" s="879" t="s">
        <v>1173</v>
      </c>
      <c r="D72" s="871">
        <v>1400</v>
      </c>
    </row>
    <row r="73" spans="1:5" s="859" customFormat="1" x14ac:dyDescent="0.25">
      <c r="A73" s="865">
        <v>11</v>
      </c>
      <c r="B73" s="887" t="s">
        <v>89</v>
      </c>
      <c r="C73" s="878"/>
      <c r="D73" s="867">
        <f>SUM(D74:D75)</f>
        <v>3500</v>
      </c>
      <c r="E73" s="858"/>
    </row>
    <row r="74" spans="1:5" ht="33" x14ac:dyDescent="0.25">
      <c r="A74" s="869" t="s">
        <v>10</v>
      </c>
      <c r="B74" s="885"/>
      <c r="C74" s="885" t="s">
        <v>1174</v>
      </c>
      <c r="D74" s="871">
        <v>1500</v>
      </c>
    </row>
    <row r="75" spans="1:5" x14ac:dyDescent="0.25">
      <c r="A75" s="869" t="s">
        <v>10</v>
      </c>
      <c r="B75" s="885"/>
      <c r="C75" s="885" t="s">
        <v>1175</v>
      </c>
      <c r="D75" s="871">
        <v>2000</v>
      </c>
    </row>
    <row r="76" spans="1:5" s="859" customFormat="1" x14ac:dyDescent="0.25">
      <c r="A76" s="865">
        <v>12</v>
      </c>
      <c r="B76" s="887" t="s">
        <v>738</v>
      </c>
      <c r="C76" s="887"/>
      <c r="D76" s="867">
        <f>D77+D78</f>
        <v>3830</v>
      </c>
      <c r="E76" s="858"/>
    </row>
    <row r="77" spans="1:5" x14ac:dyDescent="0.25">
      <c r="A77" s="869" t="s">
        <v>10</v>
      </c>
      <c r="B77" s="885"/>
      <c r="C77" s="885" t="s">
        <v>1176</v>
      </c>
      <c r="D77" s="871">
        <v>3800</v>
      </c>
    </row>
    <row r="78" spans="1:5" x14ac:dyDescent="0.25">
      <c r="A78" s="869"/>
      <c r="B78" s="885"/>
      <c r="C78" s="885" t="s">
        <v>1177</v>
      </c>
      <c r="D78" s="871">
        <v>30</v>
      </c>
    </row>
    <row r="79" spans="1:5" s="859" customFormat="1" ht="33" x14ac:dyDescent="0.25">
      <c r="A79" s="865">
        <v>13</v>
      </c>
      <c r="B79" s="887" t="s">
        <v>92</v>
      </c>
      <c r="C79" s="887"/>
      <c r="D79" s="867">
        <f>D80</f>
        <v>2000</v>
      </c>
      <c r="E79" s="858"/>
    </row>
    <row r="80" spans="1:5" ht="49.5" x14ac:dyDescent="0.25">
      <c r="A80" s="869" t="s">
        <v>10</v>
      </c>
      <c r="B80" s="879"/>
      <c r="C80" s="879" t="s">
        <v>1178</v>
      </c>
      <c r="D80" s="871">
        <v>2000</v>
      </c>
    </row>
    <row r="81" spans="1:5" s="859" customFormat="1" x14ac:dyDescent="0.25">
      <c r="A81" s="865">
        <v>14</v>
      </c>
      <c r="B81" s="880" t="s">
        <v>182</v>
      </c>
      <c r="C81" s="880"/>
      <c r="D81" s="867">
        <f>SUM(D82:D83)</f>
        <v>1600</v>
      </c>
      <c r="E81" s="858"/>
    </row>
    <row r="82" spans="1:5" x14ac:dyDescent="0.25">
      <c r="A82" s="869" t="s">
        <v>10</v>
      </c>
      <c r="B82" s="879"/>
      <c r="C82" s="879" t="s">
        <v>1179</v>
      </c>
      <c r="D82" s="871">
        <v>800</v>
      </c>
    </row>
    <row r="83" spans="1:5" x14ac:dyDescent="0.25">
      <c r="A83" s="869" t="s">
        <v>10</v>
      </c>
      <c r="B83" s="885"/>
      <c r="C83" s="885" t="s">
        <v>1180</v>
      </c>
      <c r="D83" s="871">
        <v>800</v>
      </c>
    </row>
    <row r="84" spans="1:5" s="859" customFormat="1" x14ac:dyDescent="0.25">
      <c r="A84" s="865">
        <v>15</v>
      </c>
      <c r="B84" s="887" t="s">
        <v>144</v>
      </c>
      <c r="C84" s="887"/>
      <c r="D84" s="867">
        <f>D85</f>
        <v>500</v>
      </c>
      <c r="E84" s="858"/>
    </row>
    <row r="85" spans="1:5" ht="33" x14ac:dyDescent="0.25">
      <c r="A85" s="869" t="s">
        <v>10</v>
      </c>
      <c r="B85" s="879"/>
      <c r="C85" s="879" t="s">
        <v>611</v>
      </c>
      <c r="D85" s="871">
        <v>500</v>
      </c>
    </row>
    <row r="86" spans="1:5" s="859" customFormat="1" ht="33" x14ac:dyDescent="0.25">
      <c r="A86" s="865">
        <v>16</v>
      </c>
      <c r="B86" s="880" t="s">
        <v>406</v>
      </c>
      <c r="C86" s="880"/>
      <c r="D86" s="867">
        <f>D87</f>
        <v>500</v>
      </c>
      <c r="E86" s="858"/>
    </row>
    <row r="87" spans="1:5" ht="33" x14ac:dyDescent="0.25">
      <c r="A87" s="869" t="s">
        <v>10</v>
      </c>
      <c r="B87" s="879"/>
      <c r="C87" s="879" t="s">
        <v>1181</v>
      </c>
      <c r="D87" s="871">
        <v>500</v>
      </c>
    </row>
    <row r="88" spans="1:5" s="859" customFormat="1" x14ac:dyDescent="0.25">
      <c r="A88" s="865">
        <v>17</v>
      </c>
      <c r="B88" s="880" t="s">
        <v>366</v>
      </c>
      <c r="C88" s="880"/>
      <c r="D88" s="867">
        <f>SUM(D89:D90)</f>
        <v>750</v>
      </c>
      <c r="E88" s="858"/>
    </row>
    <row r="89" spans="1:5" x14ac:dyDescent="0.25">
      <c r="A89" s="869" t="s">
        <v>10</v>
      </c>
      <c r="B89" s="885"/>
      <c r="C89" s="885" t="s">
        <v>1182</v>
      </c>
      <c r="D89" s="884">
        <v>400</v>
      </c>
    </row>
    <row r="90" spans="1:5" x14ac:dyDescent="0.25">
      <c r="A90" s="869" t="s">
        <v>10</v>
      </c>
      <c r="B90" s="876"/>
      <c r="C90" s="876" t="s">
        <v>1183</v>
      </c>
      <c r="D90" s="884">
        <v>350</v>
      </c>
    </row>
    <row r="91" spans="1:5" s="859" customFormat="1" ht="26.25" customHeight="1" x14ac:dyDescent="0.25">
      <c r="A91" s="865">
        <v>18</v>
      </c>
      <c r="B91" s="868" t="s">
        <v>1184</v>
      </c>
      <c r="C91" s="868"/>
      <c r="D91" s="868">
        <f>D92</f>
        <v>2990.4</v>
      </c>
      <c r="E91" s="858"/>
    </row>
    <row r="92" spans="1:5" ht="37.5" x14ac:dyDescent="0.25">
      <c r="A92" s="869"/>
      <c r="B92" s="870"/>
      <c r="C92" s="870" t="s">
        <v>1185</v>
      </c>
      <c r="D92" s="870">
        <v>2990.4</v>
      </c>
    </row>
  </sheetData>
  <mergeCells count="4">
    <mergeCell ref="A1:D1"/>
    <mergeCell ref="C4:D4"/>
    <mergeCell ref="E15:E18"/>
    <mergeCell ref="A2:D2"/>
  </mergeCells>
  <pageMargins left="0.78740157480314965" right="0.39370078740157483" top="0.78740157480314965" bottom="0.78740157480314965" header="0.31496062992125984" footer="0.31496062992125984"/>
  <pageSetup paperSize="9" scale="72" firstPageNumber="60" orientation="portrait" useFirstPageNumber="1" r:id="rId1"/>
  <headerFooter>
    <oddFooter>&amp;R&amp;P</oddFooter>
  </headerFooter>
  <colBreaks count="1" manualBreakCount="1">
    <brk id="4" max="9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5"/>
  <sheetViews>
    <sheetView view="pageLayout" zoomScale="55" zoomScaleNormal="100" zoomScalePageLayoutView="55" workbookViewId="0">
      <selection activeCell="A3" sqref="A3"/>
    </sheetView>
  </sheetViews>
  <sheetFormatPr defaultColWidth="35.375" defaultRowHeight="15.75" x14ac:dyDescent="0.25"/>
  <cols>
    <col min="1" max="1" width="6" style="563" customWidth="1"/>
    <col min="2" max="2" width="44.625" style="564" customWidth="1"/>
    <col min="3" max="3" width="9.625" style="477" customWidth="1"/>
    <col min="4" max="4" width="16.5" style="477" customWidth="1"/>
    <col min="5" max="6" width="9.125" style="477" customWidth="1"/>
    <col min="7" max="7" width="7.125" style="477" customWidth="1"/>
    <col min="8" max="8" width="9.375" style="565" customWidth="1"/>
    <col min="9" max="9" width="10.25" style="565" customWidth="1"/>
    <col min="10" max="10" width="9.875" style="565" customWidth="1"/>
    <col min="11" max="11" width="11.125" style="565" hidden="1" customWidth="1"/>
    <col min="12" max="12" width="9.5" style="565" hidden="1" customWidth="1"/>
    <col min="13" max="13" width="9.875" style="565" hidden="1" customWidth="1"/>
    <col min="14" max="16" width="9.875" style="565" customWidth="1"/>
    <col min="17" max="17" width="12.625" style="566" customWidth="1"/>
    <col min="18" max="19" width="9.875" style="565" customWidth="1"/>
    <col min="20" max="20" width="18.125" style="487" customWidth="1"/>
    <col min="21" max="21" width="13.5" style="567" hidden="1" customWidth="1"/>
    <col min="22" max="24" width="7.75" style="477" hidden="1" customWidth="1"/>
    <col min="25" max="246" width="7.75" style="477" customWidth="1"/>
    <col min="247" max="247" width="6" style="477" customWidth="1"/>
    <col min="248" max="248" width="24" style="477" customWidth="1"/>
    <col min="249" max="249" width="11.25" style="477" customWidth="1"/>
    <col min="250" max="250" width="0" style="477" hidden="1" customWidth="1"/>
    <col min="251" max="253" width="35.375" style="477" customWidth="1"/>
    <col min="257" max="257" width="6" customWidth="1"/>
    <col min="258" max="258" width="37.625" customWidth="1"/>
    <col min="259" max="259" width="9.625" customWidth="1"/>
    <col min="260" max="272" width="0" hidden="1" customWidth="1"/>
    <col min="273" max="275" width="9.875" customWidth="1"/>
    <col min="276" max="276" width="18.125" customWidth="1"/>
    <col min="277" max="277" width="13.5" customWidth="1"/>
    <col min="278" max="502" width="7.75" customWidth="1"/>
    <col min="503" max="503" width="6" customWidth="1"/>
    <col min="504" max="504" width="24" customWidth="1"/>
    <col min="505" max="505" width="11.25" customWidth="1"/>
    <col min="506" max="506" width="0" hidden="1" customWidth="1"/>
    <col min="507" max="509" width="35.375" customWidth="1"/>
    <col min="513" max="513" width="6" customWidth="1"/>
    <col min="514" max="514" width="37.625" customWidth="1"/>
    <col min="515" max="515" width="9.625" customWidth="1"/>
    <col min="516" max="528" width="0" hidden="1" customWidth="1"/>
    <col min="529" max="531" width="9.875" customWidth="1"/>
    <col min="532" max="532" width="18.125" customWidth="1"/>
    <col min="533" max="533" width="13.5" customWidth="1"/>
    <col min="534" max="758" width="7.75" customWidth="1"/>
    <col min="759" max="759" width="6" customWidth="1"/>
    <col min="760" max="760" width="24" customWidth="1"/>
    <col min="761" max="761" width="11.25" customWidth="1"/>
    <col min="762" max="762" width="0" hidden="1" customWidth="1"/>
    <col min="763" max="765" width="35.375" customWidth="1"/>
    <col min="769" max="769" width="6" customWidth="1"/>
    <col min="770" max="770" width="37.625" customWidth="1"/>
    <col min="771" max="771" width="9.625" customWidth="1"/>
    <col min="772" max="784" width="0" hidden="1" customWidth="1"/>
    <col min="785" max="787" width="9.875" customWidth="1"/>
    <col min="788" max="788" width="18.125" customWidth="1"/>
    <col min="789" max="789" width="13.5" customWidth="1"/>
    <col min="790" max="1014" width="7.75" customWidth="1"/>
    <col min="1015" max="1015" width="6" customWidth="1"/>
    <col min="1016" max="1016" width="24" customWidth="1"/>
    <col min="1017" max="1017" width="11.25" customWidth="1"/>
    <col min="1018" max="1018" width="0" hidden="1" customWidth="1"/>
    <col min="1019" max="1021" width="35.375" customWidth="1"/>
    <col min="1025" max="1025" width="6" customWidth="1"/>
    <col min="1026" max="1026" width="37.625" customWidth="1"/>
    <col min="1027" max="1027" width="9.625" customWidth="1"/>
    <col min="1028" max="1040" width="0" hidden="1" customWidth="1"/>
    <col min="1041" max="1043" width="9.875" customWidth="1"/>
    <col min="1044" max="1044" width="18.125" customWidth="1"/>
    <col min="1045" max="1045" width="13.5" customWidth="1"/>
    <col min="1046" max="1270" width="7.75" customWidth="1"/>
    <col min="1271" max="1271" width="6" customWidth="1"/>
    <col min="1272" max="1272" width="24" customWidth="1"/>
    <col min="1273" max="1273" width="11.25" customWidth="1"/>
    <col min="1274" max="1274" width="0" hidden="1" customWidth="1"/>
    <col min="1275" max="1277" width="35.375" customWidth="1"/>
    <col min="1281" max="1281" width="6" customWidth="1"/>
    <col min="1282" max="1282" width="37.625" customWidth="1"/>
    <col min="1283" max="1283" width="9.625" customWidth="1"/>
    <col min="1284" max="1296" width="0" hidden="1" customWidth="1"/>
    <col min="1297" max="1299" width="9.875" customWidth="1"/>
    <col min="1300" max="1300" width="18.125" customWidth="1"/>
    <col min="1301" max="1301" width="13.5" customWidth="1"/>
    <col min="1302" max="1526" width="7.75" customWidth="1"/>
    <col min="1527" max="1527" width="6" customWidth="1"/>
    <col min="1528" max="1528" width="24" customWidth="1"/>
    <col min="1529" max="1529" width="11.25" customWidth="1"/>
    <col min="1530" max="1530" width="0" hidden="1" customWidth="1"/>
    <col min="1531" max="1533" width="35.375" customWidth="1"/>
    <col min="1537" max="1537" width="6" customWidth="1"/>
    <col min="1538" max="1538" width="37.625" customWidth="1"/>
    <col min="1539" max="1539" width="9.625" customWidth="1"/>
    <col min="1540" max="1552" width="0" hidden="1" customWidth="1"/>
    <col min="1553" max="1555" width="9.875" customWidth="1"/>
    <col min="1556" max="1556" width="18.125" customWidth="1"/>
    <col min="1557" max="1557" width="13.5" customWidth="1"/>
    <col min="1558" max="1782" width="7.75" customWidth="1"/>
    <col min="1783" max="1783" width="6" customWidth="1"/>
    <col min="1784" max="1784" width="24" customWidth="1"/>
    <col min="1785" max="1785" width="11.25" customWidth="1"/>
    <col min="1786" max="1786" width="0" hidden="1" customWidth="1"/>
    <col min="1787" max="1789" width="35.375" customWidth="1"/>
    <col min="1793" max="1793" width="6" customWidth="1"/>
    <col min="1794" max="1794" width="37.625" customWidth="1"/>
    <col min="1795" max="1795" width="9.625" customWidth="1"/>
    <col min="1796" max="1808" width="0" hidden="1" customWidth="1"/>
    <col min="1809" max="1811" width="9.875" customWidth="1"/>
    <col min="1812" max="1812" width="18.125" customWidth="1"/>
    <col min="1813" max="1813" width="13.5" customWidth="1"/>
    <col min="1814" max="2038" width="7.75" customWidth="1"/>
    <col min="2039" max="2039" width="6" customWidth="1"/>
    <col min="2040" max="2040" width="24" customWidth="1"/>
    <col min="2041" max="2041" width="11.25" customWidth="1"/>
    <col min="2042" max="2042" width="0" hidden="1" customWidth="1"/>
    <col min="2043" max="2045" width="35.375" customWidth="1"/>
    <col min="2049" max="2049" width="6" customWidth="1"/>
    <col min="2050" max="2050" width="37.625" customWidth="1"/>
    <col min="2051" max="2051" width="9.625" customWidth="1"/>
    <col min="2052" max="2064" width="0" hidden="1" customWidth="1"/>
    <col min="2065" max="2067" width="9.875" customWidth="1"/>
    <col min="2068" max="2068" width="18.125" customWidth="1"/>
    <col min="2069" max="2069" width="13.5" customWidth="1"/>
    <col min="2070" max="2294" width="7.75" customWidth="1"/>
    <col min="2295" max="2295" width="6" customWidth="1"/>
    <col min="2296" max="2296" width="24" customWidth="1"/>
    <col min="2297" max="2297" width="11.25" customWidth="1"/>
    <col min="2298" max="2298" width="0" hidden="1" customWidth="1"/>
    <col min="2299" max="2301" width="35.375" customWidth="1"/>
    <col min="2305" max="2305" width="6" customWidth="1"/>
    <col min="2306" max="2306" width="37.625" customWidth="1"/>
    <col min="2307" max="2307" width="9.625" customWidth="1"/>
    <col min="2308" max="2320" width="0" hidden="1" customWidth="1"/>
    <col min="2321" max="2323" width="9.875" customWidth="1"/>
    <col min="2324" max="2324" width="18.125" customWidth="1"/>
    <col min="2325" max="2325" width="13.5" customWidth="1"/>
    <col min="2326" max="2550" width="7.75" customWidth="1"/>
    <col min="2551" max="2551" width="6" customWidth="1"/>
    <col min="2552" max="2552" width="24" customWidth="1"/>
    <col min="2553" max="2553" width="11.25" customWidth="1"/>
    <col min="2554" max="2554" width="0" hidden="1" customWidth="1"/>
    <col min="2555" max="2557" width="35.375" customWidth="1"/>
    <col min="2561" max="2561" width="6" customWidth="1"/>
    <col min="2562" max="2562" width="37.625" customWidth="1"/>
    <col min="2563" max="2563" width="9.625" customWidth="1"/>
    <col min="2564" max="2576" width="0" hidden="1" customWidth="1"/>
    <col min="2577" max="2579" width="9.875" customWidth="1"/>
    <col min="2580" max="2580" width="18.125" customWidth="1"/>
    <col min="2581" max="2581" width="13.5" customWidth="1"/>
    <col min="2582" max="2806" width="7.75" customWidth="1"/>
    <col min="2807" max="2807" width="6" customWidth="1"/>
    <col min="2808" max="2808" width="24" customWidth="1"/>
    <col min="2809" max="2809" width="11.25" customWidth="1"/>
    <col min="2810" max="2810" width="0" hidden="1" customWidth="1"/>
    <col min="2811" max="2813" width="35.375" customWidth="1"/>
    <col min="2817" max="2817" width="6" customWidth="1"/>
    <col min="2818" max="2818" width="37.625" customWidth="1"/>
    <col min="2819" max="2819" width="9.625" customWidth="1"/>
    <col min="2820" max="2832" width="0" hidden="1" customWidth="1"/>
    <col min="2833" max="2835" width="9.875" customWidth="1"/>
    <col min="2836" max="2836" width="18.125" customWidth="1"/>
    <col min="2837" max="2837" width="13.5" customWidth="1"/>
    <col min="2838" max="3062" width="7.75" customWidth="1"/>
    <col min="3063" max="3063" width="6" customWidth="1"/>
    <col min="3064" max="3064" width="24" customWidth="1"/>
    <col min="3065" max="3065" width="11.25" customWidth="1"/>
    <col min="3066" max="3066" width="0" hidden="1" customWidth="1"/>
    <col min="3067" max="3069" width="35.375" customWidth="1"/>
    <col min="3073" max="3073" width="6" customWidth="1"/>
    <col min="3074" max="3074" width="37.625" customWidth="1"/>
    <col min="3075" max="3075" width="9.625" customWidth="1"/>
    <col min="3076" max="3088" width="0" hidden="1" customWidth="1"/>
    <col min="3089" max="3091" width="9.875" customWidth="1"/>
    <col min="3092" max="3092" width="18.125" customWidth="1"/>
    <col min="3093" max="3093" width="13.5" customWidth="1"/>
    <col min="3094" max="3318" width="7.75" customWidth="1"/>
    <col min="3319" max="3319" width="6" customWidth="1"/>
    <col min="3320" max="3320" width="24" customWidth="1"/>
    <col min="3321" max="3321" width="11.25" customWidth="1"/>
    <col min="3322" max="3322" width="0" hidden="1" customWidth="1"/>
    <col min="3323" max="3325" width="35.375" customWidth="1"/>
    <col min="3329" max="3329" width="6" customWidth="1"/>
    <col min="3330" max="3330" width="37.625" customWidth="1"/>
    <col min="3331" max="3331" width="9.625" customWidth="1"/>
    <col min="3332" max="3344" width="0" hidden="1" customWidth="1"/>
    <col min="3345" max="3347" width="9.875" customWidth="1"/>
    <col min="3348" max="3348" width="18.125" customWidth="1"/>
    <col min="3349" max="3349" width="13.5" customWidth="1"/>
    <col min="3350" max="3574" width="7.75" customWidth="1"/>
    <col min="3575" max="3575" width="6" customWidth="1"/>
    <col min="3576" max="3576" width="24" customWidth="1"/>
    <col min="3577" max="3577" width="11.25" customWidth="1"/>
    <col min="3578" max="3578" width="0" hidden="1" customWidth="1"/>
    <col min="3579" max="3581" width="35.375" customWidth="1"/>
    <col min="3585" max="3585" width="6" customWidth="1"/>
    <col min="3586" max="3586" width="37.625" customWidth="1"/>
    <col min="3587" max="3587" width="9.625" customWidth="1"/>
    <col min="3588" max="3600" width="0" hidden="1" customWidth="1"/>
    <col min="3601" max="3603" width="9.875" customWidth="1"/>
    <col min="3604" max="3604" width="18.125" customWidth="1"/>
    <col min="3605" max="3605" width="13.5" customWidth="1"/>
    <col min="3606" max="3830" width="7.75" customWidth="1"/>
    <col min="3831" max="3831" width="6" customWidth="1"/>
    <col min="3832" max="3832" width="24" customWidth="1"/>
    <col min="3833" max="3833" width="11.25" customWidth="1"/>
    <col min="3834" max="3834" width="0" hidden="1" customWidth="1"/>
    <col min="3835" max="3837" width="35.375" customWidth="1"/>
    <col min="3841" max="3841" width="6" customWidth="1"/>
    <col min="3842" max="3842" width="37.625" customWidth="1"/>
    <col min="3843" max="3843" width="9.625" customWidth="1"/>
    <col min="3844" max="3856" width="0" hidden="1" customWidth="1"/>
    <col min="3857" max="3859" width="9.875" customWidth="1"/>
    <col min="3860" max="3860" width="18.125" customWidth="1"/>
    <col min="3861" max="3861" width="13.5" customWidth="1"/>
    <col min="3862" max="4086" width="7.75" customWidth="1"/>
    <col min="4087" max="4087" width="6" customWidth="1"/>
    <col min="4088" max="4088" width="24" customWidth="1"/>
    <col min="4089" max="4089" width="11.25" customWidth="1"/>
    <col min="4090" max="4090" width="0" hidden="1" customWidth="1"/>
    <col min="4091" max="4093" width="35.375" customWidth="1"/>
    <col min="4097" max="4097" width="6" customWidth="1"/>
    <col min="4098" max="4098" width="37.625" customWidth="1"/>
    <col min="4099" max="4099" width="9.625" customWidth="1"/>
    <col min="4100" max="4112" width="0" hidden="1" customWidth="1"/>
    <col min="4113" max="4115" width="9.875" customWidth="1"/>
    <col min="4116" max="4116" width="18.125" customWidth="1"/>
    <col min="4117" max="4117" width="13.5" customWidth="1"/>
    <col min="4118" max="4342" width="7.75" customWidth="1"/>
    <col min="4343" max="4343" width="6" customWidth="1"/>
    <col min="4344" max="4344" width="24" customWidth="1"/>
    <col min="4345" max="4345" width="11.25" customWidth="1"/>
    <col min="4346" max="4346" width="0" hidden="1" customWidth="1"/>
    <col min="4347" max="4349" width="35.375" customWidth="1"/>
    <col min="4353" max="4353" width="6" customWidth="1"/>
    <col min="4354" max="4354" width="37.625" customWidth="1"/>
    <col min="4355" max="4355" width="9.625" customWidth="1"/>
    <col min="4356" max="4368" width="0" hidden="1" customWidth="1"/>
    <col min="4369" max="4371" width="9.875" customWidth="1"/>
    <col min="4372" max="4372" width="18.125" customWidth="1"/>
    <col min="4373" max="4373" width="13.5" customWidth="1"/>
    <col min="4374" max="4598" width="7.75" customWidth="1"/>
    <col min="4599" max="4599" width="6" customWidth="1"/>
    <col min="4600" max="4600" width="24" customWidth="1"/>
    <col min="4601" max="4601" width="11.25" customWidth="1"/>
    <col min="4602" max="4602" width="0" hidden="1" customWidth="1"/>
    <col min="4603" max="4605" width="35.375" customWidth="1"/>
    <col min="4609" max="4609" width="6" customWidth="1"/>
    <col min="4610" max="4610" width="37.625" customWidth="1"/>
    <col min="4611" max="4611" width="9.625" customWidth="1"/>
    <col min="4612" max="4624" width="0" hidden="1" customWidth="1"/>
    <col min="4625" max="4627" width="9.875" customWidth="1"/>
    <col min="4628" max="4628" width="18.125" customWidth="1"/>
    <col min="4629" max="4629" width="13.5" customWidth="1"/>
    <col min="4630" max="4854" width="7.75" customWidth="1"/>
    <col min="4855" max="4855" width="6" customWidth="1"/>
    <col min="4856" max="4856" width="24" customWidth="1"/>
    <col min="4857" max="4857" width="11.25" customWidth="1"/>
    <col min="4858" max="4858" width="0" hidden="1" customWidth="1"/>
    <col min="4859" max="4861" width="35.375" customWidth="1"/>
    <col min="4865" max="4865" width="6" customWidth="1"/>
    <col min="4866" max="4866" width="37.625" customWidth="1"/>
    <col min="4867" max="4867" width="9.625" customWidth="1"/>
    <col min="4868" max="4880" width="0" hidden="1" customWidth="1"/>
    <col min="4881" max="4883" width="9.875" customWidth="1"/>
    <col min="4884" max="4884" width="18.125" customWidth="1"/>
    <col min="4885" max="4885" width="13.5" customWidth="1"/>
    <col min="4886" max="5110" width="7.75" customWidth="1"/>
    <col min="5111" max="5111" width="6" customWidth="1"/>
    <col min="5112" max="5112" width="24" customWidth="1"/>
    <col min="5113" max="5113" width="11.25" customWidth="1"/>
    <col min="5114" max="5114" width="0" hidden="1" customWidth="1"/>
    <col min="5115" max="5117" width="35.375" customWidth="1"/>
    <col min="5121" max="5121" width="6" customWidth="1"/>
    <col min="5122" max="5122" width="37.625" customWidth="1"/>
    <col min="5123" max="5123" width="9.625" customWidth="1"/>
    <col min="5124" max="5136" width="0" hidden="1" customWidth="1"/>
    <col min="5137" max="5139" width="9.875" customWidth="1"/>
    <col min="5140" max="5140" width="18.125" customWidth="1"/>
    <col min="5141" max="5141" width="13.5" customWidth="1"/>
    <col min="5142" max="5366" width="7.75" customWidth="1"/>
    <col min="5367" max="5367" width="6" customWidth="1"/>
    <col min="5368" max="5368" width="24" customWidth="1"/>
    <col min="5369" max="5369" width="11.25" customWidth="1"/>
    <col min="5370" max="5370" width="0" hidden="1" customWidth="1"/>
    <col min="5371" max="5373" width="35.375" customWidth="1"/>
    <col min="5377" max="5377" width="6" customWidth="1"/>
    <col min="5378" max="5378" width="37.625" customWidth="1"/>
    <col min="5379" max="5379" width="9.625" customWidth="1"/>
    <col min="5380" max="5392" width="0" hidden="1" customWidth="1"/>
    <col min="5393" max="5395" width="9.875" customWidth="1"/>
    <col min="5396" max="5396" width="18.125" customWidth="1"/>
    <col min="5397" max="5397" width="13.5" customWidth="1"/>
    <col min="5398" max="5622" width="7.75" customWidth="1"/>
    <col min="5623" max="5623" width="6" customWidth="1"/>
    <col min="5624" max="5624" width="24" customWidth="1"/>
    <col min="5625" max="5625" width="11.25" customWidth="1"/>
    <col min="5626" max="5626" width="0" hidden="1" customWidth="1"/>
    <col min="5627" max="5629" width="35.375" customWidth="1"/>
    <col min="5633" max="5633" width="6" customWidth="1"/>
    <col min="5634" max="5634" width="37.625" customWidth="1"/>
    <col min="5635" max="5635" width="9.625" customWidth="1"/>
    <col min="5636" max="5648" width="0" hidden="1" customWidth="1"/>
    <col min="5649" max="5651" width="9.875" customWidth="1"/>
    <col min="5652" max="5652" width="18.125" customWidth="1"/>
    <col min="5653" max="5653" width="13.5" customWidth="1"/>
    <col min="5654" max="5878" width="7.75" customWidth="1"/>
    <col min="5879" max="5879" width="6" customWidth="1"/>
    <col min="5880" max="5880" width="24" customWidth="1"/>
    <col min="5881" max="5881" width="11.25" customWidth="1"/>
    <col min="5882" max="5882" width="0" hidden="1" customWidth="1"/>
    <col min="5883" max="5885" width="35.375" customWidth="1"/>
    <col min="5889" max="5889" width="6" customWidth="1"/>
    <col min="5890" max="5890" width="37.625" customWidth="1"/>
    <col min="5891" max="5891" width="9.625" customWidth="1"/>
    <col min="5892" max="5904" width="0" hidden="1" customWidth="1"/>
    <col min="5905" max="5907" width="9.875" customWidth="1"/>
    <col min="5908" max="5908" width="18.125" customWidth="1"/>
    <col min="5909" max="5909" width="13.5" customWidth="1"/>
    <col min="5910" max="6134" width="7.75" customWidth="1"/>
    <col min="6135" max="6135" width="6" customWidth="1"/>
    <col min="6136" max="6136" width="24" customWidth="1"/>
    <col min="6137" max="6137" width="11.25" customWidth="1"/>
    <col min="6138" max="6138" width="0" hidden="1" customWidth="1"/>
    <col min="6139" max="6141" width="35.375" customWidth="1"/>
    <col min="6145" max="6145" width="6" customWidth="1"/>
    <col min="6146" max="6146" width="37.625" customWidth="1"/>
    <col min="6147" max="6147" width="9.625" customWidth="1"/>
    <col min="6148" max="6160" width="0" hidden="1" customWidth="1"/>
    <col min="6161" max="6163" width="9.875" customWidth="1"/>
    <col min="6164" max="6164" width="18.125" customWidth="1"/>
    <col min="6165" max="6165" width="13.5" customWidth="1"/>
    <col min="6166" max="6390" width="7.75" customWidth="1"/>
    <col min="6391" max="6391" width="6" customWidth="1"/>
    <col min="6392" max="6392" width="24" customWidth="1"/>
    <col min="6393" max="6393" width="11.25" customWidth="1"/>
    <col min="6394" max="6394" width="0" hidden="1" customWidth="1"/>
    <col min="6395" max="6397" width="35.375" customWidth="1"/>
    <col min="6401" max="6401" width="6" customWidth="1"/>
    <col min="6402" max="6402" width="37.625" customWidth="1"/>
    <col min="6403" max="6403" width="9.625" customWidth="1"/>
    <col min="6404" max="6416" width="0" hidden="1" customWidth="1"/>
    <col min="6417" max="6419" width="9.875" customWidth="1"/>
    <col min="6420" max="6420" width="18.125" customWidth="1"/>
    <col min="6421" max="6421" width="13.5" customWidth="1"/>
    <col min="6422" max="6646" width="7.75" customWidth="1"/>
    <col min="6647" max="6647" width="6" customWidth="1"/>
    <col min="6648" max="6648" width="24" customWidth="1"/>
    <col min="6649" max="6649" width="11.25" customWidth="1"/>
    <col min="6650" max="6650" width="0" hidden="1" customWidth="1"/>
    <col min="6651" max="6653" width="35.375" customWidth="1"/>
    <col min="6657" max="6657" width="6" customWidth="1"/>
    <col min="6658" max="6658" width="37.625" customWidth="1"/>
    <col min="6659" max="6659" width="9.625" customWidth="1"/>
    <col min="6660" max="6672" width="0" hidden="1" customWidth="1"/>
    <col min="6673" max="6675" width="9.875" customWidth="1"/>
    <col min="6676" max="6676" width="18.125" customWidth="1"/>
    <col min="6677" max="6677" width="13.5" customWidth="1"/>
    <col min="6678" max="6902" width="7.75" customWidth="1"/>
    <col min="6903" max="6903" width="6" customWidth="1"/>
    <col min="6904" max="6904" width="24" customWidth="1"/>
    <col min="6905" max="6905" width="11.25" customWidth="1"/>
    <col min="6906" max="6906" width="0" hidden="1" customWidth="1"/>
    <col min="6907" max="6909" width="35.375" customWidth="1"/>
    <col min="6913" max="6913" width="6" customWidth="1"/>
    <col min="6914" max="6914" width="37.625" customWidth="1"/>
    <col min="6915" max="6915" width="9.625" customWidth="1"/>
    <col min="6916" max="6928" width="0" hidden="1" customWidth="1"/>
    <col min="6929" max="6931" width="9.875" customWidth="1"/>
    <col min="6932" max="6932" width="18.125" customWidth="1"/>
    <col min="6933" max="6933" width="13.5" customWidth="1"/>
    <col min="6934" max="7158" width="7.75" customWidth="1"/>
    <col min="7159" max="7159" width="6" customWidth="1"/>
    <col min="7160" max="7160" width="24" customWidth="1"/>
    <col min="7161" max="7161" width="11.25" customWidth="1"/>
    <col min="7162" max="7162" width="0" hidden="1" customWidth="1"/>
    <col min="7163" max="7165" width="35.375" customWidth="1"/>
    <col min="7169" max="7169" width="6" customWidth="1"/>
    <col min="7170" max="7170" width="37.625" customWidth="1"/>
    <col min="7171" max="7171" width="9.625" customWidth="1"/>
    <col min="7172" max="7184" width="0" hidden="1" customWidth="1"/>
    <col min="7185" max="7187" width="9.875" customWidth="1"/>
    <col min="7188" max="7188" width="18.125" customWidth="1"/>
    <col min="7189" max="7189" width="13.5" customWidth="1"/>
    <col min="7190" max="7414" width="7.75" customWidth="1"/>
    <col min="7415" max="7415" width="6" customWidth="1"/>
    <col min="7416" max="7416" width="24" customWidth="1"/>
    <col min="7417" max="7417" width="11.25" customWidth="1"/>
    <col min="7418" max="7418" width="0" hidden="1" customWidth="1"/>
    <col min="7419" max="7421" width="35.375" customWidth="1"/>
    <col min="7425" max="7425" width="6" customWidth="1"/>
    <col min="7426" max="7426" width="37.625" customWidth="1"/>
    <col min="7427" max="7427" width="9.625" customWidth="1"/>
    <col min="7428" max="7440" width="0" hidden="1" customWidth="1"/>
    <col min="7441" max="7443" width="9.875" customWidth="1"/>
    <col min="7444" max="7444" width="18.125" customWidth="1"/>
    <col min="7445" max="7445" width="13.5" customWidth="1"/>
    <col min="7446" max="7670" width="7.75" customWidth="1"/>
    <col min="7671" max="7671" width="6" customWidth="1"/>
    <col min="7672" max="7672" width="24" customWidth="1"/>
    <col min="7673" max="7673" width="11.25" customWidth="1"/>
    <col min="7674" max="7674" width="0" hidden="1" customWidth="1"/>
    <col min="7675" max="7677" width="35.375" customWidth="1"/>
    <col min="7681" max="7681" width="6" customWidth="1"/>
    <col min="7682" max="7682" width="37.625" customWidth="1"/>
    <col min="7683" max="7683" width="9.625" customWidth="1"/>
    <col min="7684" max="7696" width="0" hidden="1" customWidth="1"/>
    <col min="7697" max="7699" width="9.875" customWidth="1"/>
    <col min="7700" max="7700" width="18.125" customWidth="1"/>
    <col min="7701" max="7701" width="13.5" customWidth="1"/>
    <col min="7702" max="7926" width="7.75" customWidth="1"/>
    <col min="7927" max="7927" width="6" customWidth="1"/>
    <col min="7928" max="7928" width="24" customWidth="1"/>
    <col min="7929" max="7929" width="11.25" customWidth="1"/>
    <col min="7930" max="7930" width="0" hidden="1" customWidth="1"/>
    <col min="7931" max="7933" width="35.375" customWidth="1"/>
    <col min="7937" max="7937" width="6" customWidth="1"/>
    <col min="7938" max="7938" width="37.625" customWidth="1"/>
    <col min="7939" max="7939" width="9.625" customWidth="1"/>
    <col min="7940" max="7952" width="0" hidden="1" customWidth="1"/>
    <col min="7953" max="7955" width="9.875" customWidth="1"/>
    <col min="7956" max="7956" width="18.125" customWidth="1"/>
    <col min="7957" max="7957" width="13.5" customWidth="1"/>
    <col min="7958" max="8182" width="7.75" customWidth="1"/>
    <col min="8183" max="8183" width="6" customWidth="1"/>
    <col min="8184" max="8184" width="24" customWidth="1"/>
    <col min="8185" max="8185" width="11.25" customWidth="1"/>
    <col min="8186" max="8186" width="0" hidden="1" customWidth="1"/>
    <col min="8187" max="8189" width="35.375" customWidth="1"/>
    <col min="8193" max="8193" width="6" customWidth="1"/>
    <col min="8194" max="8194" width="37.625" customWidth="1"/>
    <col min="8195" max="8195" width="9.625" customWidth="1"/>
    <col min="8196" max="8208" width="0" hidden="1" customWidth="1"/>
    <col min="8209" max="8211" width="9.875" customWidth="1"/>
    <col min="8212" max="8212" width="18.125" customWidth="1"/>
    <col min="8213" max="8213" width="13.5" customWidth="1"/>
    <col min="8214" max="8438" width="7.75" customWidth="1"/>
    <col min="8439" max="8439" width="6" customWidth="1"/>
    <col min="8440" max="8440" width="24" customWidth="1"/>
    <col min="8441" max="8441" width="11.25" customWidth="1"/>
    <col min="8442" max="8442" width="0" hidden="1" customWidth="1"/>
    <col min="8443" max="8445" width="35.375" customWidth="1"/>
    <col min="8449" max="8449" width="6" customWidth="1"/>
    <col min="8450" max="8450" width="37.625" customWidth="1"/>
    <col min="8451" max="8451" width="9.625" customWidth="1"/>
    <col min="8452" max="8464" width="0" hidden="1" customWidth="1"/>
    <col min="8465" max="8467" width="9.875" customWidth="1"/>
    <col min="8468" max="8468" width="18.125" customWidth="1"/>
    <col min="8469" max="8469" width="13.5" customWidth="1"/>
    <col min="8470" max="8694" width="7.75" customWidth="1"/>
    <col min="8695" max="8695" width="6" customWidth="1"/>
    <col min="8696" max="8696" width="24" customWidth="1"/>
    <col min="8697" max="8697" width="11.25" customWidth="1"/>
    <col min="8698" max="8698" width="0" hidden="1" customWidth="1"/>
    <col min="8699" max="8701" width="35.375" customWidth="1"/>
    <col min="8705" max="8705" width="6" customWidth="1"/>
    <col min="8706" max="8706" width="37.625" customWidth="1"/>
    <col min="8707" max="8707" width="9.625" customWidth="1"/>
    <col min="8708" max="8720" width="0" hidden="1" customWidth="1"/>
    <col min="8721" max="8723" width="9.875" customWidth="1"/>
    <col min="8724" max="8724" width="18.125" customWidth="1"/>
    <col min="8725" max="8725" width="13.5" customWidth="1"/>
    <col min="8726" max="8950" width="7.75" customWidth="1"/>
    <col min="8951" max="8951" width="6" customWidth="1"/>
    <col min="8952" max="8952" width="24" customWidth="1"/>
    <col min="8953" max="8953" width="11.25" customWidth="1"/>
    <col min="8954" max="8954" width="0" hidden="1" customWidth="1"/>
    <col min="8955" max="8957" width="35.375" customWidth="1"/>
    <col min="8961" max="8961" width="6" customWidth="1"/>
    <col min="8962" max="8962" width="37.625" customWidth="1"/>
    <col min="8963" max="8963" width="9.625" customWidth="1"/>
    <col min="8964" max="8976" width="0" hidden="1" customWidth="1"/>
    <col min="8977" max="8979" width="9.875" customWidth="1"/>
    <col min="8980" max="8980" width="18.125" customWidth="1"/>
    <col min="8981" max="8981" width="13.5" customWidth="1"/>
    <col min="8982" max="9206" width="7.75" customWidth="1"/>
    <col min="9207" max="9207" width="6" customWidth="1"/>
    <col min="9208" max="9208" width="24" customWidth="1"/>
    <col min="9209" max="9209" width="11.25" customWidth="1"/>
    <col min="9210" max="9210" width="0" hidden="1" customWidth="1"/>
    <col min="9211" max="9213" width="35.375" customWidth="1"/>
    <col min="9217" max="9217" width="6" customWidth="1"/>
    <col min="9218" max="9218" width="37.625" customWidth="1"/>
    <col min="9219" max="9219" width="9.625" customWidth="1"/>
    <col min="9220" max="9232" width="0" hidden="1" customWidth="1"/>
    <col min="9233" max="9235" width="9.875" customWidth="1"/>
    <col min="9236" max="9236" width="18.125" customWidth="1"/>
    <col min="9237" max="9237" width="13.5" customWidth="1"/>
    <col min="9238" max="9462" width="7.75" customWidth="1"/>
    <col min="9463" max="9463" width="6" customWidth="1"/>
    <col min="9464" max="9464" width="24" customWidth="1"/>
    <col min="9465" max="9465" width="11.25" customWidth="1"/>
    <col min="9466" max="9466" width="0" hidden="1" customWidth="1"/>
    <col min="9467" max="9469" width="35.375" customWidth="1"/>
    <col min="9473" max="9473" width="6" customWidth="1"/>
    <col min="9474" max="9474" width="37.625" customWidth="1"/>
    <col min="9475" max="9475" width="9.625" customWidth="1"/>
    <col min="9476" max="9488" width="0" hidden="1" customWidth="1"/>
    <col min="9489" max="9491" width="9.875" customWidth="1"/>
    <col min="9492" max="9492" width="18.125" customWidth="1"/>
    <col min="9493" max="9493" width="13.5" customWidth="1"/>
    <col min="9494" max="9718" width="7.75" customWidth="1"/>
    <col min="9719" max="9719" width="6" customWidth="1"/>
    <col min="9720" max="9720" width="24" customWidth="1"/>
    <col min="9721" max="9721" width="11.25" customWidth="1"/>
    <col min="9722" max="9722" width="0" hidden="1" customWidth="1"/>
    <col min="9723" max="9725" width="35.375" customWidth="1"/>
    <col min="9729" max="9729" width="6" customWidth="1"/>
    <col min="9730" max="9730" width="37.625" customWidth="1"/>
    <col min="9731" max="9731" width="9.625" customWidth="1"/>
    <col min="9732" max="9744" width="0" hidden="1" customWidth="1"/>
    <col min="9745" max="9747" width="9.875" customWidth="1"/>
    <col min="9748" max="9748" width="18.125" customWidth="1"/>
    <col min="9749" max="9749" width="13.5" customWidth="1"/>
    <col min="9750" max="9974" width="7.75" customWidth="1"/>
    <col min="9975" max="9975" width="6" customWidth="1"/>
    <col min="9976" max="9976" width="24" customWidth="1"/>
    <col min="9977" max="9977" width="11.25" customWidth="1"/>
    <col min="9978" max="9978" width="0" hidden="1" customWidth="1"/>
    <col min="9979" max="9981" width="35.375" customWidth="1"/>
    <col min="9985" max="9985" width="6" customWidth="1"/>
    <col min="9986" max="9986" width="37.625" customWidth="1"/>
    <col min="9987" max="9987" width="9.625" customWidth="1"/>
    <col min="9988" max="10000" width="0" hidden="1" customWidth="1"/>
    <col min="10001" max="10003" width="9.875" customWidth="1"/>
    <col min="10004" max="10004" width="18.125" customWidth="1"/>
    <col min="10005" max="10005" width="13.5" customWidth="1"/>
    <col min="10006" max="10230" width="7.75" customWidth="1"/>
    <col min="10231" max="10231" width="6" customWidth="1"/>
    <col min="10232" max="10232" width="24" customWidth="1"/>
    <col min="10233" max="10233" width="11.25" customWidth="1"/>
    <col min="10234" max="10234" width="0" hidden="1" customWidth="1"/>
    <col min="10235" max="10237" width="35.375" customWidth="1"/>
    <col min="10241" max="10241" width="6" customWidth="1"/>
    <col min="10242" max="10242" width="37.625" customWidth="1"/>
    <col min="10243" max="10243" width="9.625" customWidth="1"/>
    <col min="10244" max="10256" width="0" hidden="1" customWidth="1"/>
    <col min="10257" max="10259" width="9.875" customWidth="1"/>
    <col min="10260" max="10260" width="18.125" customWidth="1"/>
    <col min="10261" max="10261" width="13.5" customWidth="1"/>
    <col min="10262" max="10486" width="7.75" customWidth="1"/>
    <col min="10487" max="10487" width="6" customWidth="1"/>
    <col min="10488" max="10488" width="24" customWidth="1"/>
    <col min="10489" max="10489" width="11.25" customWidth="1"/>
    <col min="10490" max="10490" width="0" hidden="1" customWidth="1"/>
    <col min="10491" max="10493" width="35.375" customWidth="1"/>
    <col min="10497" max="10497" width="6" customWidth="1"/>
    <col min="10498" max="10498" width="37.625" customWidth="1"/>
    <col min="10499" max="10499" width="9.625" customWidth="1"/>
    <col min="10500" max="10512" width="0" hidden="1" customWidth="1"/>
    <col min="10513" max="10515" width="9.875" customWidth="1"/>
    <col min="10516" max="10516" width="18.125" customWidth="1"/>
    <col min="10517" max="10517" width="13.5" customWidth="1"/>
    <col min="10518" max="10742" width="7.75" customWidth="1"/>
    <col min="10743" max="10743" width="6" customWidth="1"/>
    <col min="10744" max="10744" width="24" customWidth="1"/>
    <col min="10745" max="10745" width="11.25" customWidth="1"/>
    <col min="10746" max="10746" width="0" hidden="1" customWidth="1"/>
    <col min="10747" max="10749" width="35.375" customWidth="1"/>
    <col min="10753" max="10753" width="6" customWidth="1"/>
    <col min="10754" max="10754" width="37.625" customWidth="1"/>
    <col min="10755" max="10755" width="9.625" customWidth="1"/>
    <col min="10756" max="10768" width="0" hidden="1" customWidth="1"/>
    <col min="10769" max="10771" width="9.875" customWidth="1"/>
    <col min="10772" max="10772" width="18.125" customWidth="1"/>
    <col min="10773" max="10773" width="13.5" customWidth="1"/>
    <col min="10774" max="10998" width="7.75" customWidth="1"/>
    <col min="10999" max="10999" width="6" customWidth="1"/>
    <col min="11000" max="11000" width="24" customWidth="1"/>
    <col min="11001" max="11001" width="11.25" customWidth="1"/>
    <col min="11002" max="11002" width="0" hidden="1" customWidth="1"/>
    <col min="11003" max="11005" width="35.375" customWidth="1"/>
    <col min="11009" max="11009" width="6" customWidth="1"/>
    <col min="11010" max="11010" width="37.625" customWidth="1"/>
    <col min="11011" max="11011" width="9.625" customWidth="1"/>
    <col min="11012" max="11024" width="0" hidden="1" customWidth="1"/>
    <col min="11025" max="11027" width="9.875" customWidth="1"/>
    <col min="11028" max="11028" width="18.125" customWidth="1"/>
    <col min="11029" max="11029" width="13.5" customWidth="1"/>
    <col min="11030" max="11254" width="7.75" customWidth="1"/>
    <col min="11255" max="11255" width="6" customWidth="1"/>
    <col min="11256" max="11256" width="24" customWidth="1"/>
    <col min="11257" max="11257" width="11.25" customWidth="1"/>
    <col min="11258" max="11258" width="0" hidden="1" customWidth="1"/>
    <col min="11259" max="11261" width="35.375" customWidth="1"/>
    <col min="11265" max="11265" width="6" customWidth="1"/>
    <col min="11266" max="11266" width="37.625" customWidth="1"/>
    <col min="11267" max="11267" width="9.625" customWidth="1"/>
    <col min="11268" max="11280" width="0" hidden="1" customWidth="1"/>
    <col min="11281" max="11283" width="9.875" customWidth="1"/>
    <col min="11284" max="11284" width="18.125" customWidth="1"/>
    <col min="11285" max="11285" width="13.5" customWidth="1"/>
    <col min="11286" max="11510" width="7.75" customWidth="1"/>
    <col min="11511" max="11511" width="6" customWidth="1"/>
    <col min="11512" max="11512" width="24" customWidth="1"/>
    <col min="11513" max="11513" width="11.25" customWidth="1"/>
    <col min="11514" max="11514" width="0" hidden="1" customWidth="1"/>
    <col min="11515" max="11517" width="35.375" customWidth="1"/>
    <col min="11521" max="11521" width="6" customWidth="1"/>
    <col min="11522" max="11522" width="37.625" customWidth="1"/>
    <col min="11523" max="11523" width="9.625" customWidth="1"/>
    <col min="11524" max="11536" width="0" hidden="1" customWidth="1"/>
    <col min="11537" max="11539" width="9.875" customWidth="1"/>
    <col min="11540" max="11540" width="18.125" customWidth="1"/>
    <col min="11541" max="11541" width="13.5" customWidth="1"/>
    <col min="11542" max="11766" width="7.75" customWidth="1"/>
    <col min="11767" max="11767" width="6" customWidth="1"/>
    <col min="11768" max="11768" width="24" customWidth="1"/>
    <col min="11769" max="11769" width="11.25" customWidth="1"/>
    <col min="11770" max="11770" width="0" hidden="1" customWidth="1"/>
    <col min="11771" max="11773" width="35.375" customWidth="1"/>
    <col min="11777" max="11777" width="6" customWidth="1"/>
    <col min="11778" max="11778" width="37.625" customWidth="1"/>
    <col min="11779" max="11779" width="9.625" customWidth="1"/>
    <col min="11780" max="11792" width="0" hidden="1" customWidth="1"/>
    <col min="11793" max="11795" width="9.875" customWidth="1"/>
    <col min="11796" max="11796" width="18.125" customWidth="1"/>
    <col min="11797" max="11797" width="13.5" customWidth="1"/>
    <col min="11798" max="12022" width="7.75" customWidth="1"/>
    <col min="12023" max="12023" width="6" customWidth="1"/>
    <col min="12024" max="12024" width="24" customWidth="1"/>
    <col min="12025" max="12025" width="11.25" customWidth="1"/>
    <col min="12026" max="12026" width="0" hidden="1" customWidth="1"/>
    <col min="12027" max="12029" width="35.375" customWidth="1"/>
    <col min="12033" max="12033" width="6" customWidth="1"/>
    <col min="12034" max="12034" width="37.625" customWidth="1"/>
    <col min="12035" max="12035" width="9.625" customWidth="1"/>
    <col min="12036" max="12048" width="0" hidden="1" customWidth="1"/>
    <col min="12049" max="12051" width="9.875" customWidth="1"/>
    <col min="12052" max="12052" width="18.125" customWidth="1"/>
    <col min="12053" max="12053" width="13.5" customWidth="1"/>
    <col min="12054" max="12278" width="7.75" customWidth="1"/>
    <col min="12279" max="12279" width="6" customWidth="1"/>
    <col min="12280" max="12280" width="24" customWidth="1"/>
    <col min="12281" max="12281" width="11.25" customWidth="1"/>
    <col min="12282" max="12282" width="0" hidden="1" customWidth="1"/>
    <col min="12283" max="12285" width="35.375" customWidth="1"/>
    <col min="12289" max="12289" width="6" customWidth="1"/>
    <col min="12290" max="12290" width="37.625" customWidth="1"/>
    <col min="12291" max="12291" width="9.625" customWidth="1"/>
    <col min="12292" max="12304" width="0" hidden="1" customWidth="1"/>
    <col min="12305" max="12307" width="9.875" customWidth="1"/>
    <col min="12308" max="12308" width="18.125" customWidth="1"/>
    <col min="12309" max="12309" width="13.5" customWidth="1"/>
    <col min="12310" max="12534" width="7.75" customWidth="1"/>
    <col min="12535" max="12535" width="6" customWidth="1"/>
    <col min="12536" max="12536" width="24" customWidth="1"/>
    <col min="12537" max="12537" width="11.25" customWidth="1"/>
    <col min="12538" max="12538" width="0" hidden="1" customWidth="1"/>
    <col min="12539" max="12541" width="35.375" customWidth="1"/>
    <col min="12545" max="12545" width="6" customWidth="1"/>
    <col min="12546" max="12546" width="37.625" customWidth="1"/>
    <col min="12547" max="12547" width="9.625" customWidth="1"/>
    <col min="12548" max="12560" width="0" hidden="1" customWidth="1"/>
    <col min="12561" max="12563" width="9.875" customWidth="1"/>
    <col min="12564" max="12564" width="18.125" customWidth="1"/>
    <col min="12565" max="12565" width="13.5" customWidth="1"/>
    <col min="12566" max="12790" width="7.75" customWidth="1"/>
    <col min="12791" max="12791" width="6" customWidth="1"/>
    <col min="12792" max="12792" width="24" customWidth="1"/>
    <col min="12793" max="12793" width="11.25" customWidth="1"/>
    <col min="12794" max="12794" width="0" hidden="1" customWidth="1"/>
    <col min="12795" max="12797" width="35.375" customWidth="1"/>
    <col min="12801" max="12801" width="6" customWidth="1"/>
    <col min="12802" max="12802" width="37.625" customWidth="1"/>
    <col min="12803" max="12803" width="9.625" customWidth="1"/>
    <col min="12804" max="12816" width="0" hidden="1" customWidth="1"/>
    <col min="12817" max="12819" width="9.875" customWidth="1"/>
    <col min="12820" max="12820" width="18.125" customWidth="1"/>
    <col min="12821" max="12821" width="13.5" customWidth="1"/>
    <col min="12822" max="13046" width="7.75" customWidth="1"/>
    <col min="13047" max="13047" width="6" customWidth="1"/>
    <col min="13048" max="13048" width="24" customWidth="1"/>
    <col min="13049" max="13049" width="11.25" customWidth="1"/>
    <col min="13050" max="13050" width="0" hidden="1" customWidth="1"/>
    <col min="13051" max="13053" width="35.375" customWidth="1"/>
    <col min="13057" max="13057" width="6" customWidth="1"/>
    <col min="13058" max="13058" width="37.625" customWidth="1"/>
    <col min="13059" max="13059" width="9.625" customWidth="1"/>
    <col min="13060" max="13072" width="0" hidden="1" customWidth="1"/>
    <col min="13073" max="13075" width="9.875" customWidth="1"/>
    <col min="13076" max="13076" width="18.125" customWidth="1"/>
    <col min="13077" max="13077" width="13.5" customWidth="1"/>
    <col min="13078" max="13302" width="7.75" customWidth="1"/>
    <col min="13303" max="13303" width="6" customWidth="1"/>
    <col min="13304" max="13304" width="24" customWidth="1"/>
    <col min="13305" max="13305" width="11.25" customWidth="1"/>
    <col min="13306" max="13306" width="0" hidden="1" customWidth="1"/>
    <col min="13307" max="13309" width="35.375" customWidth="1"/>
    <col min="13313" max="13313" width="6" customWidth="1"/>
    <col min="13314" max="13314" width="37.625" customWidth="1"/>
    <col min="13315" max="13315" width="9.625" customWidth="1"/>
    <col min="13316" max="13328" width="0" hidden="1" customWidth="1"/>
    <col min="13329" max="13331" width="9.875" customWidth="1"/>
    <col min="13332" max="13332" width="18.125" customWidth="1"/>
    <col min="13333" max="13333" width="13.5" customWidth="1"/>
    <col min="13334" max="13558" width="7.75" customWidth="1"/>
    <col min="13559" max="13559" width="6" customWidth="1"/>
    <col min="13560" max="13560" width="24" customWidth="1"/>
    <col min="13561" max="13561" width="11.25" customWidth="1"/>
    <col min="13562" max="13562" width="0" hidden="1" customWidth="1"/>
    <col min="13563" max="13565" width="35.375" customWidth="1"/>
    <col min="13569" max="13569" width="6" customWidth="1"/>
    <col min="13570" max="13570" width="37.625" customWidth="1"/>
    <col min="13571" max="13571" width="9.625" customWidth="1"/>
    <col min="13572" max="13584" width="0" hidden="1" customWidth="1"/>
    <col min="13585" max="13587" width="9.875" customWidth="1"/>
    <col min="13588" max="13588" width="18.125" customWidth="1"/>
    <col min="13589" max="13589" width="13.5" customWidth="1"/>
    <col min="13590" max="13814" width="7.75" customWidth="1"/>
    <col min="13815" max="13815" width="6" customWidth="1"/>
    <col min="13816" max="13816" width="24" customWidth="1"/>
    <col min="13817" max="13817" width="11.25" customWidth="1"/>
    <col min="13818" max="13818" width="0" hidden="1" customWidth="1"/>
    <col min="13819" max="13821" width="35.375" customWidth="1"/>
    <col min="13825" max="13825" width="6" customWidth="1"/>
    <col min="13826" max="13826" width="37.625" customWidth="1"/>
    <col min="13827" max="13827" width="9.625" customWidth="1"/>
    <col min="13828" max="13840" width="0" hidden="1" customWidth="1"/>
    <col min="13841" max="13843" width="9.875" customWidth="1"/>
    <col min="13844" max="13844" width="18.125" customWidth="1"/>
    <col min="13845" max="13845" width="13.5" customWidth="1"/>
    <col min="13846" max="14070" width="7.75" customWidth="1"/>
    <col min="14071" max="14071" width="6" customWidth="1"/>
    <col min="14072" max="14072" width="24" customWidth="1"/>
    <col min="14073" max="14073" width="11.25" customWidth="1"/>
    <col min="14074" max="14074" width="0" hidden="1" customWidth="1"/>
    <col min="14075" max="14077" width="35.375" customWidth="1"/>
    <col min="14081" max="14081" width="6" customWidth="1"/>
    <col min="14082" max="14082" width="37.625" customWidth="1"/>
    <col min="14083" max="14083" width="9.625" customWidth="1"/>
    <col min="14084" max="14096" width="0" hidden="1" customWidth="1"/>
    <col min="14097" max="14099" width="9.875" customWidth="1"/>
    <col min="14100" max="14100" width="18.125" customWidth="1"/>
    <col min="14101" max="14101" width="13.5" customWidth="1"/>
    <col min="14102" max="14326" width="7.75" customWidth="1"/>
    <col min="14327" max="14327" width="6" customWidth="1"/>
    <col min="14328" max="14328" width="24" customWidth="1"/>
    <col min="14329" max="14329" width="11.25" customWidth="1"/>
    <col min="14330" max="14330" width="0" hidden="1" customWidth="1"/>
    <col min="14331" max="14333" width="35.375" customWidth="1"/>
    <col min="14337" max="14337" width="6" customWidth="1"/>
    <col min="14338" max="14338" width="37.625" customWidth="1"/>
    <col min="14339" max="14339" width="9.625" customWidth="1"/>
    <col min="14340" max="14352" width="0" hidden="1" customWidth="1"/>
    <col min="14353" max="14355" width="9.875" customWidth="1"/>
    <col min="14356" max="14356" width="18.125" customWidth="1"/>
    <col min="14357" max="14357" width="13.5" customWidth="1"/>
    <col min="14358" max="14582" width="7.75" customWidth="1"/>
    <col min="14583" max="14583" width="6" customWidth="1"/>
    <col min="14584" max="14584" width="24" customWidth="1"/>
    <col min="14585" max="14585" width="11.25" customWidth="1"/>
    <col min="14586" max="14586" width="0" hidden="1" customWidth="1"/>
    <col min="14587" max="14589" width="35.375" customWidth="1"/>
    <col min="14593" max="14593" width="6" customWidth="1"/>
    <col min="14594" max="14594" width="37.625" customWidth="1"/>
    <col min="14595" max="14595" width="9.625" customWidth="1"/>
    <col min="14596" max="14608" width="0" hidden="1" customWidth="1"/>
    <col min="14609" max="14611" width="9.875" customWidth="1"/>
    <col min="14612" max="14612" width="18.125" customWidth="1"/>
    <col min="14613" max="14613" width="13.5" customWidth="1"/>
    <col min="14614" max="14838" width="7.75" customWidth="1"/>
    <col min="14839" max="14839" width="6" customWidth="1"/>
    <col min="14840" max="14840" width="24" customWidth="1"/>
    <col min="14841" max="14841" width="11.25" customWidth="1"/>
    <col min="14842" max="14842" width="0" hidden="1" customWidth="1"/>
    <col min="14843" max="14845" width="35.375" customWidth="1"/>
    <col min="14849" max="14849" width="6" customWidth="1"/>
    <col min="14850" max="14850" width="37.625" customWidth="1"/>
    <col min="14851" max="14851" width="9.625" customWidth="1"/>
    <col min="14852" max="14864" width="0" hidden="1" customWidth="1"/>
    <col min="14865" max="14867" width="9.875" customWidth="1"/>
    <col min="14868" max="14868" width="18.125" customWidth="1"/>
    <col min="14869" max="14869" width="13.5" customWidth="1"/>
    <col min="14870" max="15094" width="7.75" customWidth="1"/>
    <col min="15095" max="15095" width="6" customWidth="1"/>
    <col min="15096" max="15096" width="24" customWidth="1"/>
    <col min="15097" max="15097" width="11.25" customWidth="1"/>
    <col min="15098" max="15098" width="0" hidden="1" customWidth="1"/>
    <col min="15099" max="15101" width="35.375" customWidth="1"/>
    <col min="15105" max="15105" width="6" customWidth="1"/>
    <col min="15106" max="15106" width="37.625" customWidth="1"/>
    <col min="15107" max="15107" width="9.625" customWidth="1"/>
    <col min="15108" max="15120" width="0" hidden="1" customWidth="1"/>
    <col min="15121" max="15123" width="9.875" customWidth="1"/>
    <col min="15124" max="15124" width="18.125" customWidth="1"/>
    <col min="15125" max="15125" width="13.5" customWidth="1"/>
    <col min="15126" max="15350" width="7.75" customWidth="1"/>
    <col min="15351" max="15351" width="6" customWidth="1"/>
    <col min="15352" max="15352" width="24" customWidth="1"/>
    <col min="15353" max="15353" width="11.25" customWidth="1"/>
    <col min="15354" max="15354" width="0" hidden="1" customWidth="1"/>
    <col min="15355" max="15357" width="35.375" customWidth="1"/>
    <col min="15361" max="15361" width="6" customWidth="1"/>
    <col min="15362" max="15362" width="37.625" customWidth="1"/>
    <col min="15363" max="15363" width="9.625" customWidth="1"/>
    <col min="15364" max="15376" width="0" hidden="1" customWidth="1"/>
    <col min="15377" max="15379" width="9.875" customWidth="1"/>
    <col min="15380" max="15380" width="18.125" customWidth="1"/>
    <col min="15381" max="15381" width="13.5" customWidth="1"/>
    <col min="15382" max="15606" width="7.75" customWidth="1"/>
    <col min="15607" max="15607" width="6" customWidth="1"/>
    <col min="15608" max="15608" width="24" customWidth="1"/>
    <col min="15609" max="15609" width="11.25" customWidth="1"/>
    <col min="15610" max="15610" width="0" hidden="1" customWidth="1"/>
    <col min="15611" max="15613" width="35.375" customWidth="1"/>
    <col min="15617" max="15617" width="6" customWidth="1"/>
    <col min="15618" max="15618" width="37.625" customWidth="1"/>
    <col min="15619" max="15619" width="9.625" customWidth="1"/>
    <col min="15620" max="15632" width="0" hidden="1" customWidth="1"/>
    <col min="15633" max="15635" width="9.875" customWidth="1"/>
    <col min="15636" max="15636" width="18.125" customWidth="1"/>
    <col min="15637" max="15637" width="13.5" customWidth="1"/>
    <col min="15638" max="15862" width="7.75" customWidth="1"/>
    <col min="15863" max="15863" width="6" customWidth="1"/>
    <col min="15864" max="15864" width="24" customWidth="1"/>
    <col min="15865" max="15865" width="11.25" customWidth="1"/>
    <col min="15866" max="15866" width="0" hidden="1" customWidth="1"/>
    <col min="15867" max="15869" width="35.375" customWidth="1"/>
    <col min="15873" max="15873" width="6" customWidth="1"/>
    <col min="15874" max="15874" width="37.625" customWidth="1"/>
    <col min="15875" max="15875" width="9.625" customWidth="1"/>
    <col min="15876" max="15888" width="0" hidden="1" customWidth="1"/>
    <col min="15889" max="15891" width="9.875" customWidth="1"/>
    <col min="15892" max="15892" width="18.125" customWidth="1"/>
    <col min="15893" max="15893" width="13.5" customWidth="1"/>
    <col min="15894" max="16118" width="7.75" customWidth="1"/>
    <col min="16119" max="16119" width="6" customWidth="1"/>
    <col min="16120" max="16120" width="24" customWidth="1"/>
    <col min="16121" max="16121" width="11.25" customWidth="1"/>
    <col min="16122" max="16122" width="0" hidden="1" customWidth="1"/>
    <col min="16123" max="16125" width="35.375" customWidth="1"/>
    <col min="16129" max="16129" width="6" customWidth="1"/>
    <col min="16130" max="16130" width="37.625" customWidth="1"/>
    <col min="16131" max="16131" width="9.625" customWidth="1"/>
    <col min="16132" max="16144" width="0" hidden="1" customWidth="1"/>
    <col min="16145" max="16147" width="9.875" customWidth="1"/>
    <col min="16148" max="16148" width="18.125" customWidth="1"/>
    <col min="16149" max="16149" width="13.5" customWidth="1"/>
    <col min="16150" max="16374" width="7.75" customWidth="1"/>
    <col min="16375" max="16375" width="6" customWidth="1"/>
    <col min="16376" max="16376" width="24" customWidth="1"/>
    <col min="16377" max="16377" width="11.25" customWidth="1"/>
    <col min="16378" max="16378" width="0" hidden="1" customWidth="1"/>
    <col min="16379" max="16381" width="35.375" customWidth="1"/>
  </cols>
  <sheetData>
    <row r="1" spans="1:253" ht="29.45" customHeight="1" x14ac:dyDescent="0.25">
      <c r="A1" s="1032" t="s">
        <v>369</v>
      </c>
      <c r="B1" s="1032"/>
      <c r="C1" s="1032"/>
      <c r="D1" s="1032"/>
      <c r="E1" s="1032"/>
      <c r="F1" s="1032"/>
      <c r="G1" s="1032"/>
      <c r="H1" s="1032"/>
      <c r="I1" s="1032"/>
      <c r="J1" s="1032"/>
      <c r="K1" s="1032"/>
      <c r="L1" s="1032"/>
      <c r="M1" s="1032"/>
      <c r="N1" s="1032"/>
      <c r="O1" s="1032"/>
      <c r="P1" s="1032"/>
      <c r="Q1" s="1032"/>
      <c r="R1" s="1032"/>
      <c r="S1" s="1032"/>
      <c r="T1" s="1032"/>
      <c r="U1" s="1032"/>
    </row>
    <row r="2" spans="1:253" ht="28.15" customHeight="1" x14ac:dyDescent="0.25">
      <c r="A2" s="1033" t="str">
        <f>'PL 6'!A2:D2</f>
        <v>(Kèm theo Nghị quyết số            /NQ-HĐND ngày           tháng 12 năm 2022 của HĐND tỉnh Bắc Kạn)</v>
      </c>
      <c r="B2" s="1034"/>
      <c r="C2" s="1034"/>
      <c r="D2" s="1034"/>
      <c r="E2" s="1034"/>
      <c r="F2" s="1034"/>
      <c r="G2" s="1034"/>
      <c r="H2" s="1034"/>
      <c r="I2" s="1034"/>
      <c r="J2" s="1034"/>
      <c r="K2" s="1034"/>
      <c r="L2" s="1034"/>
      <c r="M2" s="1034"/>
      <c r="N2" s="1034"/>
      <c r="O2" s="1034"/>
      <c r="P2" s="1034"/>
      <c r="Q2" s="1034"/>
      <c r="R2" s="1034"/>
      <c r="S2" s="1034"/>
      <c r="T2" s="1034"/>
      <c r="U2" s="1034"/>
    </row>
    <row r="3" spans="1:253" x14ac:dyDescent="0.25">
      <c r="A3" s="478"/>
      <c r="B3" s="479"/>
      <c r="C3" s="478"/>
      <c r="D3" s="478"/>
      <c r="E3" s="478"/>
      <c r="F3" s="478"/>
      <c r="G3" s="478"/>
      <c r="H3" s="480"/>
      <c r="I3" s="480"/>
      <c r="J3" s="478"/>
      <c r="K3" s="478"/>
      <c r="L3" s="478"/>
      <c r="M3" s="478"/>
      <c r="N3" s="478"/>
      <c r="O3" s="478"/>
      <c r="P3" s="478"/>
      <c r="Q3" s="481"/>
      <c r="R3" s="478"/>
      <c r="S3" s="478"/>
      <c r="T3" s="1111" t="s">
        <v>327</v>
      </c>
      <c r="U3" s="1111"/>
    </row>
    <row r="4" spans="1:253" ht="36" customHeight="1" x14ac:dyDescent="0.25">
      <c r="A4" s="1112" t="s">
        <v>370</v>
      </c>
      <c r="B4" s="1112" t="s">
        <v>371</v>
      </c>
      <c r="C4" s="1112" t="s">
        <v>372</v>
      </c>
      <c r="D4" s="1113" t="s">
        <v>373</v>
      </c>
      <c r="E4" s="1114"/>
      <c r="F4" s="1114"/>
      <c r="G4" s="1115"/>
      <c r="H4" s="1112" t="s">
        <v>374</v>
      </c>
      <c r="I4" s="1112"/>
      <c r="J4" s="1112"/>
      <c r="K4" s="1112" t="s">
        <v>375</v>
      </c>
      <c r="L4" s="1112"/>
      <c r="M4" s="1112"/>
      <c r="N4" s="1112" t="s">
        <v>376</v>
      </c>
      <c r="O4" s="1112"/>
      <c r="P4" s="1112"/>
      <c r="Q4" s="1112" t="s">
        <v>377</v>
      </c>
      <c r="R4" s="1112"/>
      <c r="S4" s="1112"/>
      <c r="T4" s="1116" t="s">
        <v>378</v>
      </c>
      <c r="U4" s="1112" t="s">
        <v>3</v>
      </c>
    </row>
    <row r="5" spans="1:253" ht="14.45" customHeight="1" x14ac:dyDescent="0.25">
      <c r="A5" s="1112"/>
      <c r="B5" s="1112"/>
      <c r="C5" s="1112"/>
      <c r="D5" s="1112" t="s">
        <v>379</v>
      </c>
      <c r="E5" s="1112" t="s">
        <v>380</v>
      </c>
      <c r="F5" s="1112"/>
      <c r="G5" s="1112"/>
      <c r="H5" s="1117" t="s">
        <v>33</v>
      </c>
      <c r="I5" s="1113" t="s">
        <v>350</v>
      </c>
      <c r="J5" s="1115"/>
      <c r="K5" s="1117" t="s">
        <v>33</v>
      </c>
      <c r="L5" s="1113" t="s">
        <v>350</v>
      </c>
      <c r="M5" s="1115"/>
      <c r="N5" s="1117" t="s">
        <v>33</v>
      </c>
      <c r="O5" s="1113" t="s">
        <v>350</v>
      </c>
      <c r="P5" s="1115"/>
      <c r="Q5" s="1119" t="s">
        <v>33</v>
      </c>
      <c r="R5" s="1113" t="s">
        <v>350</v>
      </c>
      <c r="S5" s="1115"/>
      <c r="T5" s="1116"/>
      <c r="U5" s="1112"/>
    </row>
    <row r="6" spans="1:253" ht="42.75" x14ac:dyDescent="0.25">
      <c r="A6" s="1112"/>
      <c r="B6" s="1112"/>
      <c r="C6" s="1112"/>
      <c r="D6" s="1112"/>
      <c r="E6" s="482" t="s">
        <v>37</v>
      </c>
      <c r="F6" s="482" t="s">
        <v>218</v>
      </c>
      <c r="G6" s="482" t="s">
        <v>359</v>
      </c>
      <c r="H6" s="1118"/>
      <c r="I6" s="482" t="s">
        <v>381</v>
      </c>
      <c r="J6" s="482" t="s">
        <v>382</v>
      </c>
      <c r="K6" s="1118"/>
      <c r="L6" s="482" t="s">
        <v>381</v>
      </c>
      <c r="M6" s="482" t="s">
        <v>382</v>
      </c>
      <c r="N6" s="1118"/>
      <c r="O6" s="482" t="s">
        <v>381</v>
      </c>
      <c r="P6" s="482" t="s">
        <v>382</v>
      </c>
      <c r="Q6" s="1120"/>
      <c r="R6" s="482" t="s">
        <v>381</v>
      </c>
      <c r="S6" s="482" t="s">
        <v>382</v>
      </c>
      <c r="T6" s="1116"/>
      <c r="U6" s="1112"/>
    </row>
    <row r="7" spans="1:253" s="488" customFormat="1" x14ac:dyDescent="0.25">
      <c r="A7" s="483">
        <v>1</v>
      </c>
      <c r="B7" s="483">
        <v>2</v>
      </c>
      <c r="C7" s="483">
        <v>3</v>
      </c>
      <c r="D7" s="483">
        <v>4</v>
      </c>
      <c r="E7" s="483">
        <v>5</v>
      </c>
      <c r="F7" s="483">
        <v>6</v>
      </c>
      <c r="G7" s="483">
        <v>7</v>
      </c>
      <c r="H7" s="484">
        <v>8</v>
      </c>
      <c r="I7" s="483">
        <v>9</v>
      </c>
      <c r="J7" s="483">
        <v>10</v>
      </c>
      <c r="K7" s="484"/>
      <c r="L7" s="483"/>
      <c r="M7" s="483"/>
      <c r="N7" s="484">
        <v>11</v>
      </c>
      <c r="O7" s="483">
        <v>12</v>
      </c>
      <c r="P7" s="483">
        <v>13</v>
      </c>
      <c r="Q7" s="485">
        <v>14</v>
      </c>
      <c r="R7" s="483">
        <v>15</v>
      </c>
      <c r="S7" s="483">
        <v>16</v>
      </c>
      <c r="T7" s="486">
        <v>17</v>
      </c>
      <c r="U7" s="483">
        <v>18</v>
      </c>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7"/>
      <c r="CH7" s="487"/>
      <c r="CI7" s="487"/>
      <c r="CJ7" s="487"/>
      <c r="CK7" s="487"/>
      <c r="CL7" s="487"/>
      <c r="CM7" s="487"/>
      <c r="CN7" s="487"/>
      <c r="CO7" s="487"/>
      <c r="CP7" s="487"/>
      <c r="CQ7" s="487"/>
      <c r="CR7" s="487"/>
      <c r="CS7" s="487"/>
      <c r="CT7" s="487"/>
      <c r="CU7" s="487"/>
      <c r="CV7" s="487"/>
      <c r="CW7" s="487"/>
      <c r="CX7" s="487"/>
      <c r="CY7" s="487"/>
      <c r="CZ7" s="487"/>
      <c r="DA7" s="487"/>
      <c r="DB7" s="487"/>
      <c r="DC7" s="487"/>
      <c r="DD7" s="487"/>
      <c r="DE7" s="487"/>
      <c r="DF7" s="487"/>
      <c r="DG7" s="487"/>
      <c r="DH7" s="487"/>
      <c r="DI7" s="487"/>
      <c r="DJ7" s="487"/>
      <c r="DK7" s="487"/>
      <c r="DL7" s="487"/>
      <c r="DM7" s="487"/>
      <c r="DN7" s="487"/>
      <c r="DO7" s="487"/>
      <c r="DP7" s="487"/>
      <c r="DQ7" s="487"/>
      <c r="DR7" s="487"/>
      <c r="DS7" s="487"/>
      <c r="DT7" s="487"/>
      <c r="DU7" s="487"/>
      <c r="DV7" s="487"/>
      <c r="DW7" s="487"/>
      <c r="DX7" s="487"/>
      <c r="DY7" s="487"/>
      <c r="DZ7" s="487"/>
      <c r="EA7" s="487"/>
      <c r="EB7" s="487"/>
      <c r="EC7" s="487"/>
      <c r="ED7" s="487"/>
      <c r="EE7" s="487"/>
      <c r="EF7" s="487"/>
      <c r="EG7" s="487"/>
      <c r="EH7" s="487"/>
      <c r="EI7" s="487"/>
      <c r="EJ7" s="487"/>
      <c r="EK7" s="487"/>
      <c r="EL7" s="487"/>
      <c r="EM7" s="487"/>
      <c r="EN7" s="487"/>
      <c r="EO7" s="487"/>
      <c r="EP7" s="487"/>
      <c r="EQ7" s="487"/>
      <c r="ER7" s="487"/>
      <c r="ES7" s="487"/>
      <c r="ET7" s="487"/>
      <c r="EU7" s="487"/>
      <c r="EV7" s="487"/>
      <c r="EW7" s="487"/>
      <c r="EX7" s="487"/>
      <c r="EY7" s="487"/>
      <c r="EZ7" s="487"/>
      <c r="FA7" s="487"/>
      <c r="FB7" s="487"/>
      <c r="FC7" s="487"/>
      <c r="FD7" s="487"/>
      <c r="FE7" s="487"/>
      <c r="FF7" s="487"/>
      <c r="FG7" s="487"/>
      <c r="FH7" s="487"/>
      <c r="FI7" s="487"/>
      <c r="FJ7" s="487"/>
      <c r="FK7" s="487"/>
      <c r="FL7" s="487"/>
      <c r="FM7" s="487"/>
      <c r="FN7" s="487"/>
      <c r="FO7" s="487"/>
      <c r="FP7" s="487"/>
      <c r="FQ7" s="487"/>
      <c r="FR7" s="487"/>
      <c r="FS7" s="487"/>
      <c r="FT7" s="487"/>
      <c r="FU7" s="487"/>
      <c r="FV7" s="487"/>
      <c r="FW7" s="487"/>
      <c r="FX7" s="487"/>
      <c r="FY7" s="487"/>
      <c r="FZ7" s="487"/>
      <c r="GA7" s="487"/>
      <c r="GB7" s="487"/>
      <c r="GC7" s="487"/>
      <c r="GD7" s="487"/>
      <c r="GE7" s="487"/>
      <c r="GF7" s="487"/>
      <c r="GG7" s="487"/>
      <c r="GH7" s="487"/>
      <c r="GI7" s="487"/>
      <c r="GJ7" s="487"/>
      <c r="GK7" s="487"/>
      <c r="GL7" s="487"/>
      <c r="GM7" s="487"/>
      <c r="GN7" s="487"/>
      <c r="GO7" s="487"/>
      <c r="GP7" s="487"/>
      <c r="GQ7" s="487"/>
      <c r="GR7" s="487"/>
      <c r="GS7" s="487"/>
      <c r="GT7" s="487"/>
      <c r="GU7" s="487"/>
      <c r="GV7" s="487"/>
      <c r="GW7" s="487"/>
      <c r="GX7" s="487"/>
      <c r="GY7" s="487"/>
      <c r="GZ7" s="487"/>
      <c r="HA7" s="487"/>
      <c r="HB7" s="487"/>
      <c r="HC7" s="487"/>
      <c r="HD7" s="487"/>
      <c r="HE7" s="487"/>
      <c r="HF7" s="487"/>
      <c r="HG7" s="487"/>
      <c r="HH7" s="487"/>
      <c r="HI7" s="487"/>
      <c r="HJ7" s="487"/>
      <c r="HK7" s="487"/>
      <c r="HL7" s="487"/>
      <c r="HM7" s="487"/>
      <c r="HN7" s="487"/>
      <c r="HO7" s="487"/>
      <c r="HP7" s="487"/>
      <c r="HQ7" s="487"/>
      <c r="HR7" s="487"/>
      <c r="HS7" s="487"/>
      <c r="HT7" s="487"/>
      <c r="HU7" s="487"/>
      <c r="HV7" s="487"/>
      <c r="HW7" s="487"/>
      <c r="HX7" s="487"/>
      <c r="HY7" s="487"/>
      <c r="HZ7" s="487"/>
      <c r="IA7" s="487"/>
      <c r="IB7" s="487"/>
      <c r="IC7" s="487"/>
      <c r="ID7" s="487"/>
      <c r="IE7" s="487"/>
      <c r="IF7" s="487"/>
      <c r="IG7" s="487"/>
      <c r="IH7" s="487"/>
      <c r="II7" s="487"/>
      <c r="IJ7" s="487"/>
      <c r="IK7" s="487"/>
      <c r="IL7" s="487"/>
      <c r="IM7" s="487"/>
      <c r="IN7" s="487"/>
      <c r="IO7" s="487"/>
      <c r="IP7" s="487"/>
      <c r="IQ7" s="487"/>
      <c r="IR7" s="487"/>
      <c r="IS7" s="487"/>
    </row>
    <row r="8" spans="1:253" x14ac:dyDescent="0.25">
      <c r="A8" s="489"/>
      <c r="B8" s="482" t="s">
        <v>34</v>
      </c>
      <c r="C8" s="489"/>
      <c r="D8" s="489"/>
      <c r="E8" s="489"/>
      <c r="F8" s="489"/>
      <c r="G8" s="489"/>
      <c r="H8" s="490">
        <f t="shared" ref="H8:S8" si="0">H9+H68</f>
        <v>1650024</v>
      </c>
      <c r="I8" s="490">
        <f t="shared" si="0"/>
        <v>1560785</v>
      </c>
      <c r="J8" s="490">
        <f t="shared" si="0"/>
        <v>89239</v>
      </c>
      <c r="K8" s="490">
        <f t="shared" si="0"/>
        <v>317252</v>
      </c>
      <c r="L8" s="490">
        <f t="shared" si="0"/>
        <v>300876</v>
      </c>
      <c r="M8" s="490">
        <f t="shared" si="0"/>
        <v>16376</v>
      </c>
      <c r="N8" s="490">
        <f t="shared" si="0"/>
        <v>1329509</v>
      </c>
      <c r="O8" s="490">
        <f t="shared" si="0"/>
        <v>1257597</v>
      </c>
      <c r="P8" s="490">
        <f t="shared" si="0"/>
        <v>71912</v>
      </c>
      <c r="Q8" s="491">
        <f t="shared" si="0"/>
        <v>416471.5</v>
      </c>
      <c r="R8" s="492">
        <f t="shared" si="0"/>
        <v>395135</v>
      </c>
      <c r="S8" s="492">
        <f t="shared" si="0"/>
        <v>21337</v>
      </c>
      <c r="T8" s="493"/>
      <c r="U8" s="489"/>
    </row>
    <row r="9" spans="1:253" x14ac:dyDescent="0.25">
      <c r="A9" s="482" t="s">
        <v>4</v>
      </c>
      <c r="B9" s="482" t="s">
        <v>383</v>
      </c>
      <c r="C9" s="489"/>
      <c r="D9" s="489"/>
      <c r="E9" s="489"/>
      <c r="F9" s="489"/>
      <c r="G9" s="489"/>
      <c r="H9" s="490">
        <f t="shared" ref="H9:S9" si="1">H10+H15+H23+H26+H55+H59+H66+H64</f>
        <v>778477</v>
      </c>
      <c r="I9" s="490">
        <f t="shared" si="1"/>
        <v>732520</v>
      </c>
      <c r="J9" s="490">
        <f t="shared" si="1"/>
        <v>45957</v>
      </c>
      <c r="K9" s="490">
        <f t="shared" si="1"/>
        <v>165534</v>
      </c>
      <c r="L9" s="490">
        <f t="shared" si="1"/>
        <v>156543</v>
      </c>
      <c r="M9" s="490">
        <f t="shared" si="1"/>
        <v>8991</v>
      </c>
      <c r="N9" s="490">
        <f t="shared" si="1"/>
        <v>609680</v>
      </c>
      <c r="O9" s="490">
        <f t="shared" si="1"/>
        <v>573665</v>
      </c>
      <c r="P9" s="490">
        <f t="shared" si="1"/>
        <v>36015</v>
      </c>
      <c r="Q9" s="491">
        <f t="shared" si="1"/>
        <v>196511</v>
      </c>
      <c r="R9" s="492">
        <f t="shared" si="1"/>
        <v>187027.5</v>
      </c>
      <c r="S9" s="492">
        <f t="shared" si="1"/>
        <v>9484</v>
      </c>
      <c r="T9" s="493"/>
      <c r="U9" s="489"/>
    </row>
    <row r="10" spans="1:253" ht="42.75" x14ac:dyDescent="0.25">
      <c r="A10" s="482" t="s">
        <v>46</v>
      </c>
      <c r="B10" s="638" t="s">
        <v>384</v>
      </c>
      <c r="C10" s="494"/>
      <c r="D10" s="494"/>
      <c r="E10" s="494"/>
      <c r="F10" s="494"/>
      <c r="G10" s="494"/>
      <c r="H10" s="495">
        <f>H11</f>
        <v>126092</v>
      </c>
      <c r="I10" s="495">
        <f t="shared" ref="I10:S10" si="2">I11</f>
        <v>121865</v>
      </c>
      <c r="J10" s="495">
        <f t="shared" si="2"/>
        <v>4227</v>
      </c>
      <c r="K10" s="495">
        <f t="shared" si="2"/>
        <v>43284</v>
      </c>
      <c r="L10" s="495">
        <f t="shared" si="2"/>
        <v>40730</v>
      </c>
      <c r="M10" s="495">
        <f t="shared" si="2"/>
        <v>2554</v>
      </c>
      <c r="N10" s="495">
        <f t="shared" si="2"/>
        <v>82808</v>
      </c>
      <c r="O10" s="495">
        <f t="shared" si="2"/>
        <v>81135</v>
      </c>
      <c r="P10" s="495">
        <f t="shared" si="2"/>
        <v>1673</v>
      </c>
      <c r="Q10" s="491">
        <f t="shared" si="2"/>
        <v>39369</v>
      </c>
      <c r="R10" s="496">
        <f t="shared" si="2"/>
        <v>37936.5</v>
      </c>
      <c r="S10" s="496">
        <f t="shared" si="2"/>
        <v>1433</v>
      </c>
      <c r="T10" s="497"/>
      <c r="U10" s="494"/>
    </row>
    <row r="11" spans="1:253" ht="29.25" customHeight="1" x14ac:dyDescent="0.25">
      <c r="A11" s="498"/>
      <c r="B11" s="639" t="s">
        <v>385</v>
      </c>
      <c r="C11" s="498"/>
      <c r="D11" s="498"/>
      <c r="E11" s="498"/>
      <c r="F11" s="498"/>
      <c r="G11" s="498"/>
      <c r="H11" s="500">
        <f t="shared" ref="H11:H22" si="3">I11+J11</f>
        <v>126092</v>
      </c>
      <c r="I11" s="500">
        <f t="shared" ref="I11:S11" si="4">SUM(I12:I14)</f>
        <v>121865</v>
      </c>
      <c r="J11" s="500">
        <f t="shared" si="4"/>
        <v>4227</v>
      </c>
      <c r="K11" s="500">
        <f t="shared" si="4"/>
        <v>43284</v>
      </c>
      <c r="L11" s="500">
        <f t="shared" si="4"/>
        <v>40730</v>
      </c>
      <c r="M11" s="500">
        <f t="shared" si="4"/>
        <v>2554</v>
      </c>
      <c r="N11" s="500">
        <f t="shared" si="4"/>
        <v>82808</v>
      </c>
      <c r="O11" s="500">
        <f t="shared" si="4"/>
        <v>81135</v>
      </c>
      <c r="P11" s="500">
        <f t="shared" si="4"/>
        <v>1673</v>
      </c>
      <c r="Q11" s="501">
        <f t="shared" si="4"/>
        <v>39369</v>
      </c>
      <c r="R11" s="502">
        <f t="shared" si="4"/>
        <v>37936.5</v>
      </c>
      <c r="S11" s="502">
        <f t="shared" si="4"/>
        <v>1433</v>
      </c>
      <c r="T11" s="493"/>
      <c r="U11" s="498"/>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c r="HF11" s="503"/>
      <c r="HG11" s="503"/>
      <c r="HH11" s="503"/>
      <c r="HI11" s="503"/>
      <c r="HJ11" s="503"/>
      <c r="HK11" s="503"/>
      <c r="HL11" s="503"/>
      <c r="HM11" s="503"/>
      <c r="HN11" s="503"/>
      <c r="HO11" s="503"/>
      <c r="HP11" s="503"/>
      <c r="HQ11" s="503"/>
      <c r="HR11" s="503"/>
      <c r="HS11" s="503"/>
      <c r="HT11" s="503"/>
      <c r="HU11" s="503"/>
      <c r="HV11" s="503"/>
      <c r="HW11" s="503"/>
      <c r="HX11" s="503"/>
      <c r="HY11" s="503"/>
      <c r="HZ11" s="503"/>
      <c r="IA11" s="503"/>
      <c r="IB11" s="503"/>
      <c r="IC11" s="503"/>
      <c r="ID11" s="503"/>
      <c r="IE11" s="503"/>
      <c r="IF11" s="503"/>
      <c r="IG11" s="503"/>
      <c r="IH11" s="503"/>
      <c r="II11" s="503"/>
      <c r="IJ11" s="503"/>
      <c r="IK11" s="503"/>
      <c r="IL11" s="503"/>
      <c r="IM11" s="503"/>
      <c r="IN11" s="503"/>
      <c r="IO11" s="503"/>
      <c r="IP11" s="503"/>
      <c r="IQ11" s="503"/>
      <c r="IR11" s="503"/>
      <c r="IS11" s="503"/>
    </row>
    <row r="12" spans="1:253" ht="75" x14ac:dyDescent="0.25">
      <c r="A12" s="504">
        <v>1</v>
      </c>
      <c r="B12" s="549" t="s">
        <v>386</v>
      </c>
      <c r="C12" s="483" t="s">
        <v>387</v>
      </c>
      <c r="D12" s="483" t="s">
        <v>388</v>
      </c>
      <c r="E12" s="505">
        <v>83711</v>
      </c>
      <c r="F12" s="505">
        <v>79958</v>
      </c>
      <c r="G12" s="505">
        <v>3753</v>
      </c>
      <c r="H12" s="505">
        <f t="shared" si="3"/>
        <v>83711</v>
      </c>
      <c r="I12" s="505">
        <v>79958</v>
      </c>
      <c r="J12" s="505">
        <v>3753</v>
      </c>
      <c r="K12" s="505">
        <v>42834</v>
      </c>
      <c r="L12" s="505">
        <v>40280</v>
      </c>
      <c r="M12" s="505">
        <v>2554</v>
      </c>
      <c r="N12" s="505">
        <f>H12-K12</f>
        <v>40877</v>
      </c>
      <c r="O12" s="505">
        <f>I12-L12</f>
        <v>39678</v>
      </c>
      <c r="P12" s="505">
        <f>J12-M12</f>
        <v>1199</v>
      </c>
      <c r="Q12" s="506">
        <f>R12+S12</f>
        <v>12441</v>
      </c>
      <c r="R12" s="505">
        <v>12000</v>
      </c>
      <c r="S12" s="505">
        <v>441</v>
      </c>
      <c r="T12" s="483" t="s">
        <v>389</v>
      </c>
      <c r="U12" s="489"/>
    </row>
    <row r="13" spans="1:253" ht="27" customHeight="1" x14ac:dyDescent="0.25">
      <c r="A13" s="507"/>
      <c r="B13" s="640" t="s">
        <v>390</v>
      </c>
      <c r="C13" s="489"/>
      <c r="D13" s="489"/>
      <c r="E13" s="508"/>
      <c r="F13" s="508"/>
      <c r="G13" s="508"/>
      <c r="H13" s="508"/>
      <c r="I13" s="508"/>
      <c r="J13" s="508"/>
      <c r="K13" s="508"/>
      <c r="L13" s="508"/>
      <c r="M13" s="508"/>
      <c r="N13" s="508"/>
      <c r="O13" s="508"/>
      <c r="P13" s="508"/>
      <c r="Q13" s="509"/>
      <c r="R13" s="508"/>
      <c r="S13" s="508"/>
      <c r="T13" s="489"/>
      <c r="U13" s="489"/>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510"/>
      <c r="CD13" s="510"/>
      <c r="CE13" s="510"/>
      <c r="CF13" s="510"/>
      <c r="CG13" s="510"/>
      <c r="CH13" s="510"/>
      <c r="CI13" s="510"/>
      <c r="CJ13" s="510"/>
      <c r="CK13" s="510"/>
      <c r="CL13" s="510"/>
      <c r="CM13" s="510"/>
      <c r="CN13" s="510"/>
      <c r="CO13" s="510"/>
      <c r="CP13" s="510"/>
      <c r="CQ13" s="510"/>
      <c r="CR13" s="510"/>
      <c r="CS13" s="510"/>
      <c r="CT13" s="510"/>
      <c r="CU13" s="510"/>
      <c r="CV13" s="510"/>
      <c r="CW13" s="510"/>
      <c r="CX13" s="510"/>
      <c r="CY13" s="510"/>
      <c r="CZ13" s="510"/>
      <c r="DA13" s="510"/>
      <c r="DB13" s="510"/>
      <c r="DC13" s="510"/>
      <c r="DD13" s="510"/>
      <c r="DE13" s="510"/>
      <c r="DF13" s="510"/>
      <c r="DG13" s="510"/>
      <c r="DH13" s="510"/>
      <c r="DI13" s="510"/>
      <c r="DJ13" s="510"/>
      <c r="DK13" s="510"/>
      <c r="DL13" s="510"/>
      <c r="DM13" s="510"/>
      <c r="DN13" s="510"/>
      <c r="DO13" s="510"/>
      <c r="DP13" s="510"/>
      <c r="DQ13" s="510"/>
      <c r="DR13" s="510"/>
      <c r="DS13" s="510"/>
      <c r="DT13" s="510"/>
      <c r="DU13" s="510"/>
      <c r="DV13" s="510"/>
      <c r="DW13" s="510"/>
      <c r="DX13" s="510"/>
      <c r="DY13" s="510"/>
      <c r="DZ13" s="510"/>
      <c r="EA13" s="510"/>
      <c r="EB13" s="510"/>
      <c r="EC13" s="510"/>
      <c r="ED13" s="510"/>
      <c r="EE13" s="510"/>
      <c r="EF13" s="510"/>
      <c r="EG13" s="510"/>
      <c r="EH13" s="510"/>
      <c r="EI13" s="510"/>
      <c r="EJ13" s="510"/>
      <c r="EK13" s="510"/>
      <c r="EL13" s="510"/>
      <c r="EM13" s="510"/>
      <c r="EN13" s="510"/>
      <c r="EO13" s="510"/>
      <c r="EP13" s="510"/>
      <c r="EQ13" s="510"/>
      <c r="ER13" s="510"/>
      <c r="ES13" s="510"/>
      <c r="ET13" s="510"/>
      <c r="EU13" s="510"/>
      <c r="EV13" s="510"/>
      <c r="EW13" s="510"/>
      <c r="EX13" s="510"/>
      <c r="EY13" s="510"/>
      <c r="EZ13" s="510"/>
      <c r="FA13" s="510"/>
      <c r="FB13" s="510"/>
      <c r="FC13" s="510"/>
      <c r="FD13" s="510"/>
      <c r="FE13" s="510"/>
      <c r="FF13" s="510"/>
      <c r="FG13" s="510"/>
      <c r="FH13" s="510"/>
      <c r="FI13" s="510"/>
      <c r="FJ13" s="510"/>
      <c r="FK13" s="510"/>
      <c r="FL13" s="510"/>
      <c r="FM13" s="510"/>
      <c r="FN13" s="510"/>
      <c r="FO13" s="510"/>
      <c r="FP13" s="510"/>
      <c r="FQ13" s="510"/>
      <c r="FR13" s="510"/>
      <c r="FS13" s="510"/>
      <c r="FT13" s="510"/>
      <c r="FU13" s="510"/>
      <c r="FV13" s="510"/>
      <c r="FW13" s="510"/>
      <c r="FX13" s="510"/>
      <c r="FY13" s="510"/>
      <c r="FZ13" s="510"/>
      <c r="GA13" s="510"/>
      <c r="GB13" s="510"/>
      <c r="GC13" s="510"/>
      <c r="GD13" s="510"/>
      <c r="GE13" s="510"/>
      <c r="GF13" s="510"/>
      <c r="GG13" s="510"/>
      <c r="GH13" s="510"/>
      <c r="GI13" s="510"/>
      <c r="GJ13" s="510"/>
      <c r="GK13" s="510"/>
      <c r="GL13" s="510"/>
      <c r="GM13" s="510"/>
      <c r="GN13" s="510"/>
      <c r="GO13" s="510"/>
      <c r="GP13" s="510"/>
      <c r="GQ13" s="510"/>
      <c r="GR13" s="510"/>
      <c r="GS13" s="510"/>
      <c r="GT13" s="510"/>
      <c r="GU13" s="510"/>
      <c r="GV13" s="510"/>
      <c r="GW13" s="510"/>
      <c r="GX13" s="510"/>
      <c r="GY13" s="510"/>
      <c r="GZ13" s="510"/>
      <c r="HA13" s="510"/>
      <c r="HB13" s="510"/>
      <c r="HC13" s="510"/>
      <c r="HD13" s="510"/>
      <c r="HE13" s="510"/>
      <c r="HF13" s="510"/>
      <c r="HG13" s="510"/>
      <c r="HH13" s="510"/>
      <c r="HI13" s="510"/>
      <c r="HJ13" s="510"/>
      <c r="HK13" s="510"/>
      <c r="HL13" s="510"/>
      <c r="HM13" s="510"/>
      <c r="HN13" s="510"/>
      <c r="HO13" s="510"/>
      <c r="HP13" s="510"/>
      <c r="HQ13" s="510"/>
      <c r="HR13" s="510"/>
      <c r="HS13" s="510"/>
      <c r="HT13" s="510"/>
      <c r="HU13" s="510"/>
      <c r="HV13" s="510"/>
      <c r="HW13" s="510"/>
      <c r="HX13" s="510"/>
      <c r="HY13" s="510"/>
      <c r="HZ13" s="510"/>
      <c r="IA13" s="510"/>
      <c r="IB13" s="510"/>
      <c r="IC13" s="510"/>
      <c r="ID13" s="510"/>
      <c r="IE13" s="510"/>
      <c r="IF13" s="510"/>
      <c r="IG13" s="510"/>
      <c r="IH13" s="510"/>
      <c r="II13" s="510"/>
      <c r="IJ13" s="510"/>
      <c r="IK13" s="510"/>
      <c r="IL13" s="510"/>
      <c r="IM13" s="510"/>
      <c r="IN13" s="510"/>
      <c r="IO13" s="510"/>
      <c r="IP13" s="510"/>
      <c r="IQ13" s="510"/>
      <c r="IR13" s="510"/>
    </row>
    <row r="14" spans="1:253" ht="58.5" customHeight="1" x14ac:dyDescent="0.25">
      <c r="A14" s="504">
        <v>2</v>
      </c>
      <c r="B14" s="549" t="s">
        <v>391</v>
      </c>
      <c r="C14" s="483" t="s">
        <v>392</v>
      </c>
      <c r="D14" s="483"/>
      <c r="E14" s="483"/>
      <c r="F14" s="483"/>
      <c r="G14" s="483"/>
      <c r="H14" s="505">
        <f t="shared" si="3"/>
        <v>42381</v>
      </c>
      <c r="I14" s="505">
        <v>41907</v>
      </c>
      <c r="J14" s="505">
        <v>474</v>
      </c>
      <c r="K14" s="505">
        <v>450</v>
      </c>
      <c r="L14" s="505">
        <v>450</v>
      </c>
      <c r="M14" s="505"/>
      <c r="N14" s="505">
        <f>H14-K14</f>
        <v>41931</v>
      </c>
      <c r="O14" s="505">
        <f>I14-L14</f>
        <v>41457</v>
      </c>
      <c r="P14" s="505">
        <f>J14-M14</f>
        <v>474</v>
      </c>
      <c r="Q14" s="506">
        <v>26928</v>
      </c>
      <c r="R14" s="505">
        <v>25936.5</v>
      </c>
      <c r="S14" s="505">
        <v>992</v>
      </c>
      <c r="T14" s="483" t="s">
        <v>389</v>
      </c>
      <c r="U14" s="489" t="s">
        <v>393</v>
      </c>
    </row>
    <row r="15" spans="1:253" ht="38.25" customHeight="1" x14ac:dyDescent="0.25">
      <c r="A15" s="482" t="s">
        <v>31</v>
      </c>
      <c r="B15" s="638" t="s">
        <v>394</v>
      </c>
      <c r="C15" s="489"/>
      <c r="D15" s="489"/>
      <c r="E15" s="489"/>
      <c r="F15" s="489"/>
      <c r="G15" s="489"/>
      <c r="H15" s="490">
        <f>SUM(H16:H22)</f>
        <v>174098</v>
      </c>
      <c r="I15" s="490">
        <f>SUM(I16:I22)</f>
        <v>165808</v>
      </c>
      <c r="J15" s="490">
        <f t="shared" ref="J15:S15" si="5">SUM(J16:J22)</f>
        <v>8290</v>
      </c>
      <c r="K15" s="490">
        <f t="shared" si="5"/>
        <v>29007</v>
      </c>
      <c r="L15" s="490">
        <f t="shared" si="5"/>
        <v>28240</v>
      </c>
      <c r="M15" s="490">
        <f t="shared" si="5"/>
        <v>767</v>
      </c>
      <c r="N15" s="490">
        <f t="shared" si="5"/>
        <v>145091</v>
      </c>
      <c r="O15" s="490">
        <f t="shared" si="5"/>
        <v>137568</v>
      </c>
      <c r="P15" s="490">
        <f t="shared" si="5"/>
        <v>7523</v>
      </c>
      <c r="Q15" s="491">
        <f t="shared" si="5"/>
        <v>42169</v>
      </c>
      <c r="R15" s="490">
        <f t="shared" si="5"/>
        <v>40009</v>
      </c>
      <c r="S15" s="490">
        <f t="shared" si="5"/>
        <v>2160</v>
      </c>
      <c r="T15" s="493"/>
      <c r="U15" s="489"/>
    </row>
    <row r="16" spans="1:253" ht="61.5" customHeight="1" x14ac:dyDescent="0.25">
      <c r="A16" s="504">
        <v>1</v>
      </c>
      <c r="B16" s="549" t="s">
        <v>395</v>
      </c>
      <c r="C16" s="483" t="s">
        <v>387</v>
      </c>
      <c r="D16" s="483" t="s">
        <v>396</v>
      </c>
      <c r="E16" s="483">
        <v>16000</v>
      </c>
      <c r="F16" s="483">
        <v>15200</v>
      </c>
      <c r="G16" s="483">
        <v>800</v>
      </c>
      <c r="H16" s="505">
        <f t="shared" si="3"/>
        <v>16000</v>
      </c>
      <c r="I16" s="505">
        <v>15200</v>
      </c>
      <c r="J16" s="505">
        <v>800</v>
      </c>
      <c r="K16" s="505">
        <v>6500</v>
      </c>
      <c r="L16" s="505">
        <v>6000</v>
      </c>
      <c r="M16" s="505">
        <v>500</v>
      </c>
      <c r="N16" s="505">
        <f t="shared" ref="N16:P22" si="6">H16-K16</f>
        <v>9500</v>
      </c>
      <c r="O16" s="505">
        <f t="shared" si="6"/>
        <v>9200</v>
      </c>
      <c r="P16" s="505">
        <f t="shared" si="6"/>
        <v>300</v>
      </c>
      <c r="Q16" s="506">
        <f>R16+S16</f>
        <v>3000</v>
      </c>
      <c r="R16" s="505">
        <v>3000</v>
      </c>
      <c r="S16" s="505"/>
      <c r="T16" s="483" t="s">
        <v>389</v>
      </c>
      <c r="U16" s="489"/>
    </row>
    <row r="17" spans="1:253" ht="57.75" customHeight="1" x14ac:dyDescent="0.25">
      <c r="A17" s="504">
        <v>2</v>
      </c>
      <c r="B17" s="549" t="s">
        <v>397</v>
      </c>
      <c r="C17" s="483" t="s">
        <v>387</v>
      </c>
      <c r="D17" s="483"/>
      <c r="E17" s="483"/>
      <c r="F17" s="483"/>
      <c r="G17" s="483"/>
      <c r="H17" s="505">
        <f t="shared" si="3"/>
        <v>18000</v>
      </c>
      <c r="I17" s="505">
        <v>17100</v>
      </c>
      <c r="J17" s="505">
        <v>900</v>
      </c>
      <c r="K17" s="505">
        <v>132</v>
      </c>
      <c r="L17" s="505">
        <v>0</v>
      </c>
      <c r="M17" s="505">
        <v>132</v>
      </c>
      <c r="N17" s="505">
        <f t="shared" si="6"/>
        <v>17868</v>
      </c>
      <c r="O17" s="505">
        <f t="shared" si="6"/>
        <v>17100</v>
      </c>
      <c r="P17" s="505">
        <f t="shared" si="6"/>
        <v>768</v>
      </c>
      <c r="Q17" s="506">
        <f t="shared" ref="Q17:Q22" si="7">R17+S17</f>
        <v>2368</v>
      </c>
      <c r="R17" s="505">
        <v>2000</v>
      </c>
      <c r="S17" s="505">
        <v>368</v>
      </c>
      <c r="T17" s="483" t="s">
        <v>389</v>
      </c>
      <c r="U17" s="489" t="s">
        <v>393</v>
      </c>
    </row>
    <row r="18" spans="1:253" ht="50.25" customHeight="1" x14ac:dyDescent="0.25">
      <c r="A18" s="504">
        <v>3</v>
      </c>
      <c r="B18" s="549" t="s">
        <v>398</v>
      </c>
      <c r="C18" s="483" t="s">
        <v>387</v>
      </c>
      <c r="D18" s="483"/>
      <c r="E18" s="483"/>
      <c r="F18" s="483"/>
      <c r="G18" s="483"/>
      <c r="H18" s="505">
        <f t="shared" si="3"/>
        <v>27000</v>
      </c>
      <c r="I18" s="505">
        <v>25650</v>
      </c>
      <c r="J18" s="505">
        <v>1350</v>
      </c>
      <c r="K18" s="505">
        <v>135</v>
      </c>
      <c r="L18" s="505">
        <v>0</v>
      </c>
      <c r="M18" s="505">
        <v>135</v>
      </c>
      <c r="N18" s="505">
        <f t="shared" si="6"/>
        <v>26865</v>
      </c>
      <c r="O18" s="505">
        <f t="shared" si="6"/>
        <v>25650</v>
      </c>
      <c r="P18" s="505">
        <f t="shared" si="6"/>
        <v>1215</v>
      </c>
      <c r="Q18" s="506">
        <f t="shared" si="7"/>
        <v>7401</v>
      </c>
      <c r="R18" s="505">
        <v>7009</v>
      </c>
      <c r="S18" s="505">
        <v>392</v>
      </c>
      <c r="T18" s="483" t="s">
        <v>389</v>
      </c>
      <c r="U18" s="489" t="s">
        <v>393</v>
      </c>
    </row>
    <row r="19" spans="1:253" ht="37.5" customHeight="1" x14ac:dyDescent="0.25">
      <c r="A19" s="504">
        <v>4</v>
      </c>
      <c r="B19" s="549" t="s">
        <v>399</v>
      </c>
      <c r="C19" s="483" t="s">
        <v>392</v>
      </c>
      <c r="D19" s="483" t="s">
        <v>400</v>
      </c>
      <c r="E19" s="505">
        <v>50000</v>
      </c>
      <c r="F19" s="505">
        <v>47665</v>
      </c>
      <c r="G19" s="505">
        <v>2335</v>
      </c>
      <c r="H19" s="505">
        <f t="shared" si="3"/>
        <v>50000</v>
      </c>
      <c r="I19" s="505">
        <v>47665</v>
      </c>
      <c r="J19" s="505">
        <v>2335</v>
      </c>
      <c r="K19" s="505">
        <v>22240</v>
      </c>
      <c r="L19" s="505">
        <v>22240</v>
      </c>
      <c r="M19" s="505">
        <v>0</v>
      </c>
      <c r="N19" s="505">
        <f t="shared" si="6"/>
        <v>27760</v>
      </c>
      <c r="O19" s="505">
        <f t="shared" si="6"/>
        <v>25425</v>
      </c>
      <c r="P19" s="505">
        <f t="shared" si="6"/>
        <v>2335</v>
      </c>
      <c r="Q19" s="506">
        <f t="shared" si="7"/>
        <v>23000</v>
      </c>
      <c r="R19" s="505">
        <v>22000</v>
      </c>
      <c r="S19" s="505">
        <v>1000</v>
      </c>
      <c r="T19" s="483" t="s">
        <v>389</v>
      </c>
      <c r="U19" s="489"/>
    </row>
    <row r="20" spans="1:253" ht="24" customHeight="1" x14ac:dyDescent="0.25">
      <c r="A20" s="507"/>
      <c r="B20" s="640" t="s">
        <v>390</v>
      </c>
      <c r="C20" s="489"/>
      <c r="D20" s="489"/>
      <c r="E20" s="508"/>
      <c r="F20" s="508"/>
      <c r="G20" s="508"/>
      <c r="H20" s="508"/>
      <c r="I20" s="508"/>
      <c r="J20" s="508"/>
      <c r="K20" s="508"/>
      <c r="L20" s="508"/>
      <c r="M20" s="508"/>
      <c r="N20" s="508"/>
      <c r="O20" s="508"/>
      <c r="P20" s="508"/>
      <c r="Q20" s="509">
        <f t="shared" si="7"/>
        <v>6400</v>
      </c>
      <c r="R20" s="508">
        <v>6000</v>
      </c>
      <c r="S20" s="508">
        <v>400</v>
      </c>
      <c r="T20" s="489"/>
      <c r="U20" s="489"/>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c r="CU20" s="510"/>
      <c r="CV20" s="510"/>
      <c r="CW20" s="510"/>
      <c r="CX20" s="510"/>
      <c r="CY20" s="510"/>
      <c r="CZ20" s="510"/>
      <c r="DA20" s="510"/>
      <c r="DB20" s="510"/>
      <c r="DC20" s="510"/>
      <c r="DD20" s="510"/>
      <c r="DE20" s="510"/>
      <c r="DF20" s="510"/>
      <c r="DG20" s="510"/>
      <c r="DH20" s="510"/>
      <c r="DI20" s="510"/>
      <c r="DJ20" s="510"/>
      <c r="DK20" s="510"/>
      <c r="DL20" s="510"/>
      <c r="DM20" s="510"/>
      <c r="DN20" s="510"/>
      <c r="DO20" s="510"/>
      <c r="DP20" s="510"/>
      <c r="DQ20" s="510"/>
      <c r="DR20" s="510"/>
      <c r="DS20" s="510"/>
      <c r="DT20" s="510"/>
      <c r="DU20" s="510"/>
      <c r="DV20" s="510"/>
      <c r="DW20" s="510"/>
      <c r="DX20" s="510"/>
      <c r="DY20" s="510"/>
      <c r="DZ20" s="510"/>
      <c r="EA20" s="510"/>
      <c r="EB20" s="510"/>
      <c r="EC20" s="510"/>
      <c r="ED20" s="510"/>
      <c r="EE20" s="510"/>
      <c r="EF20" s="510"/>
      <c r="EG20" s="510"/>
      <c r="EH20" s="510"/>
      <c r="EI20" s="510"/>
      <c r="EJ20" s="510"/>
      <c r="EK20" s="510"/>
      <c r="EL20" s="510"/>
      <c r="EM20" s="510"/>
      <c r="EN20" s="510"/>
      <c r="EO20" s="510"/>
      <c r="EP20" s="510"/>
      <c r="EQ20" s="510"/>
      <c r="ER20" s="510"/>
      <c r="ES20" s="510"/>
      <c r="ET20" s="510"/>
      <c r="EU20" s="510"/>
      <c r="EV20" s="510"/>
      <c r="EW20" s="510"/>
      <c r="EX20" s="510"/>
      <c r="EY20" s="510"/>
      <c r="EZ20" s="510"/>
      <c r="FA20" s="510"/>
      <c r="FB20" s="510"/>
      <c r="FC20" s="510"/>
      <c r="FD20" s="510"/>
      <c r="FE20" s="510"/>
      <c r="FF20" s="510"/>
      <c r="FG20" s="510"/>
      <c r="FH20" s="510"/>
      <c r="FI20" s="510"/>
      <c r="FJ20" s="510"/>
      <c r="FK20" s="510"/>
      <c r="FL20" s="510"/>
      <c r="FM20" s="510"/>
      <c r="FN20" s="510"/>
      <c r="FO20" s="510"/>
      <c r="FP20" s="510"/>
      <c r="FQ20" s="510"/>
      <c r="FR20" s="510"/>
      <c r="FS20" s="510"/>
      <c r="FT20" s="510"/>
      <c r="FU20" s="510"/>
      <c r="FV20" s="510"/>
      <c r="FW20" s="510"/>
      <c r="FX20" s="510"/>
      <c r="FY20" s="510"/>
      <c r="FZ20" s="510"/>
      <c r="GA20" s="510"/>
      <c r="GB20" s="510"/>
      <c r="GC20" s="510"/>
      <c r="GD20" s="510"/>
      <c r="GE20" s="510"/>
      <c r="GF20" s="510"/>
      <c r="GG20" s="510"/>
      <c r="GH20" s="510"/>
      <c r="GI20" s="510"/>
      <c r="GJ20" s="510"/>
      <c r="GK20" s="510"/>
      <c r="GL20" s="510"/>
      <c r="GM20" s="510"/>
      <c r="GN20" s="510"/>
      <c r="GO20" s="510"/>
      <c r="GP20" s="510"/>
      <c r="GQ20" s="510"/>
      <c r="GR20" s="510"/>
      <c r="GS20" s="510"/>
      <c r="GT20" s="510"/>
      <c r="GU20" s="510"/>
      <c r="GV20" s="510"/>
      <c r="GW20" s="510"/>
      <c r="GX20" s="510"/>
      <c r="GY20" s="510"/>
      <c r="GZ20" s="510"/>
      <c r="HA20" s="510"/>
      <c r="HB20" s="510"/>
      <c r="HC20" s="510"/>
      <c r="HD20" s="510"/>
      <c r="HE20" s="510"/>
      <c r="HF20" s="510"/>
      <c r="HG20" s="510"/>
      <c r="HH20" s="510"/>
      <c r="HI20" s="510"/>
      <c r="HJ20" s="510"/>
      <c r="HK20" s="510"/>
      <c r="HL20" s="510"/>
      <c r="HM20" s="510"/>
      <c r="HN20" s="510"/>
      <c r="HO20" s="510"/>
      <c r="HP20" s="510"/>
      <c r="HQ20" s="510"/>
      <c r="HR20" s="510"/>
      <c r="HS20" s="510"/>
      <c r="HT20" s="510"/>
      <c r="HU20" s="510"/>
      <c r="HV20" s="510"/>
      <c r="HW20" s="510"/>
      <c r="HX20" s="510"/>
      <c r="HY20" s="510"/>
      <c r="HZ20" s="510"/>
      <c r="IA20" s="510"/>
      <c r="IB20" s="510"/>
      <c r="IC20" s="510"/>
      <c r="ID20" s="510"/>
      <c r="IE20" s="510"/>
      <c r="IF20" s="510"/>
      <c r="IG20" s="510"/>
      <c r="IH20" s="510"/>
      <c r="II20" s="510"/>
      <c r="IJ20" s="510"/>
      <c r="IK20" s="510"/>
      <c r="IL20" s="510"/>
      <c r="IM20" s="510"/>
      <c r="IN20" s="510"/>
      <c r="IO20" s="510"/>
      <c r="IP20" s="510"/>
      <c r="IQ20" s="510"/>
    </row>
    <row r="21" spans="1:253" ht="39.75" customHeight="1" x14ac:dyDescent="0.25">
      <c r="A21" s="504">
        <v>5</v>
      </c>
      <c r="B21" s="549" t="s">
        <v>401</v>
      </c>
      <c r="C21" s="483" t="s">
        <v>392</v>
      </c>
      <c r="D21" s="483"/>
      <c r="E21" s="483"/>
      <c r="F21" s="483"/>
      <c r="G21" s="483"/>
      <c r="H21" s="505">
        <f t="shared" si="3"/>
        <v>45000</v>
      </c>
      <c r="I21" s="505">
        <v>43000</v>
      </c>
      <c r="J21" s="505">
        <v>2000</v>
      </c>
      <c r="K21" s="505">
        <v>0</v>
      </c>
      <c r="L21" s="505">
        <v>0</v>
      </c>
      <c r="M21" s="505">
        <v>0</v>
      </c>
      <c r="N21" s="505">
        <f t="shared" si="6"/>
        <v>45000</v>
      </c>
      <c r="O21" s="505">
        <f t="shared" si="6"/>
        <v>43000</v>
      </c>
      <c r="P21" s="505">
        <f t="shared" si="6"/>
        <v>2000</v>
      </c>
      <c r="Q21" s="506">
        <f t="shared" si="7"/>
        <v>0</v>
      </c>
      <c r="R21" s="505"/>
      <c r="S21" s="505"/>
      <c r="T21" s="483" t="s">
        <v>389</v>
      </c>
      <c r="U21" s="1121" t="s">
        <v>402</v>
      </c>
    </row>
    <row r="22" spans="1:253" ht="37.5" customHeight="1" x14ac:dyDescent="0.25">
      <c r="A22" s="504">
        <v>6</v>
      </c>
      <c r="B22" s="549" t="s">
        <v>403</v>
      </c>
      <c r="C22" s="483" t="s">
        <v>392</v>
      </c>
      <c r="D22" s="483"/>
      <c r="E22" s="483"/>
      <c r="F22" s="483"/>
      <c r="G22" s="483"/>
      <c r="H22" s="505">
        <f t="shared" si="3"/>
        <v>18098</v>
      </c>
      <c r="I22" s="505">
        <v>17193</v>
      </c>
      <c r="J22" s="505">
        <v>905</v>
      </c>
      <c r="K22" s="505">
        <v>0</v>
      </c>
      <c r="L22" s="505">
        <v>0</v>
      </c>
      <c r="M22" s="505">
        <v>0</v>
      </c>
      <c r="N22" s="505">
        <f t="shared" si="6"/>
        <v>18098</v>
      </c>
      <c r="O22" s="505">
        <f t="shared" si="6"/>
        <v>17193</v>
      </c>
      <c r="P22" s="505">
        <f t="shared" si="6"/>
        <v>905</v>
      </c>
      <c r="Q22" s="506">
        <f t="shared" si="7"/>
        <v>0</v>
      </c>
      <c r="R22" s="505"/>
      <c r="S22" s="505"/>
      <c r="T22" s="483" t="s">
        <v>389</v>
      </c>
      <c r="U22" s="1122"/>
    </row>
    <row r="23" spans="1:253" ht="68.25" customHeight="1" x14ac:dyDescent="0.25">
      <c r="A23" s="511" t="s">
        <v>54</v>
      </c>
      <c r="B23" s="638" t="s">
        <v>404</v>
      </c>
      <c r="C23" s="482"/>
      <c r="D23" s="482"/>
      <c r="E23" s="482"/>
      <c r="F23" s="482"/>
      <c r="G23" s="482"/>
      <c r="H23" s="490">
        <f t="shared" ref="H23:S23" si="8">H25</f>
        <v>30170</v>
      </c>
      <c r="I23" s="490">
        <f t="shared" si="8"/>
        <v>28733</v>
      </c>
      <c r="J23" s="490">
        <f t="shared" si="8"/>
        <v>1437</v>
      </c>
      <c r="K23" s="490">
        <f t="shared" si="8"/>
        <v>6490</v>
      </c>
      <c r="L23" s="490">
        <f t="shared" si="8"/>
        <v>6181</v>
      </c>
      <c r="M23" s="490">
        <f t="shared" si="8"/>
        <v>309</v>
      </c>
      <c r="N23" s="490">
        <f t="shared" si="8"/>
        <v>23680</v>
      </c>
      <c r="O23" s="490">
        <f t="shared" si="8"/>
        <v>22552</v>
      </c>
      <c r="P23" s="490">
        <f t="shared" si="8"/>
        <v>1128</v>
      </c>
      <c r="Q23" s="491">
        <f t="shared" si="8"/>
        <v>8733</v>
      </c>
      <c r="R23" s="490">
        <f t="shared" si="8"/>
        <v>8286</v>
      </c>
      <c r="S23" s="490">
        <f t="shared" si="8"/>
        <v>447</v>
      </c>
      <c r="T23" s="493"/>
      <c r="U23" s="498"/>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3"/>
      <c r="BH23" s="503"/>
      <c r="BI23" s="503"/>
      <c r="BJ23" s="503"/>
      <c r="BK23" s="503"/>
      <c r="BL23" s="503"/>
      <c r="BM23" s="503"/>
      <c r="BN23" s="503"/>
      <c r="BO23" s="503"/>
      <c r="BP23" s="503"/>
      <c r="BQ23" s="503"/>
      <c r="BR23" s="503"/>
      <c r="BS23" s="503"/>
      <c r="BT23" s="503"/>
      <c r="BU23" s="503"/>
      <c r="BV23" s="503"/>
      <c r="BW23" s="503"/>
      <c r="BX23" s="503"/>
      <c r="BY23" s="503"/>
      <c r="BZ23" s="503"/>
      <c r="CA23" s="503"/>
      <c r="CB23" s="503"/>
      <c r="CC23" s="503"/>
      <c r="CD23" s="503"/>
      <c r="CE23" s="503"/>
      <c r="CF23" s="503"/>
      <c r="CG23" s="503"/>
      <c r="CH23" s="503"/>
      <c r="CI23" s="503"/>
      <c r="CJ23" s="503"/>
      <c r="CK23" s="503"/>
      <c r="CL23" s="503"/>
      <c r="CM23" s="503"/>
      <c r="CN23" s="503"/>
      <c r="CO23" s="503"/>
      <c r="CP23" s="503"/>
      <c r="CQ23" s="503"/>
      <c r="CR23" s="503"/>
      <c r="CS23" s="503"/>
      <c r="CT23" s="503"/>
      <c r="CU23" s="503"/>
      <c r="CV23" s="503"/>
      <c r="CW23" s="503"/>
      <c r="CX23" s="503"/>
      <c r="CY23" s="503"/>
      <c r="CZ23" s="503"/>
      <c r="DA23" s="503"/>
      <c r="DB23" s="503"/>
      <c r="DC23" s="503"/>
      <c r="DD23" s="503"/>
      <c r="DE23" s="503"/>
      <c r="DF23" s="503"/>
      <c r="DG23" s="503"/>
      <c r="DH23" s="503"/>
      <c r="DI23" s="503"/>
      <c r="DJ23" s="503"/>
      <c r="DK23" s="503"/>
      <c r="DL23" s="503"/>
      <c r="DM23" s="503"/>
      <c r="DN23" s="503"/>
      <c r="DO23" s="503"/>
      <c r="DP23" s="503"/>
      <c r="DQ23" s="503"/>
      <c r="DR23" s="503"/>
      <c r="DS23" s="503"/>
      <c r="DT23" s="503"/>
      <c r="DU23" s="503"/>
      <c r="DV23" s="503"/>
      <c r="DW23" s="503"/>
      <c r="DX23" s="503"/>
      <c r="DY23" s="503"/>
      <c r="DZ23" s="503"/>
      <c r="EA23" s="503"/>
      <c r="EB23" s="503"/>
      <c r="EC23" s="503"/>
      <c r="ED23" s="503"/>
      <c r="EE23" s="503"/>
      <c r="EF23" s="503"/>
      <c r="EG23" s="503"/>
      <c r="EH23" s="503"/>
      <c r="EI23" s="503"/>
      <c r="EJ23" s="503"/>
      <c r="EK23" s="503"/>
      <c r="EL23" s="503"/>
      <c r="EM23" s="503"/>
      <c r="EN23" s="503"/>
      <c r="EO23" s="503"/>
      <c r="EP23" s="503"/>
      <c r="EQ23" s="503"/>
      <c r="ER23" s="503"/>
      <c r="ES23" s="503"/>
      <c r="ET23" s="503"/>
      <c r="EU23" s="503"/>
      <c r="EV23" s="503"/>
      <c r="EW23" s="503"/>
      <c r="EX23" s="503"/>
      <c r="EY23" s="503"/>
      <c r="EZ23" s="503"/>
      <c r="FA23" s="503"/>
      <c r="FB23" s="503"/>
      <c r="FC23" s="503"/>
      <c r="FD23" s="503"/>
      <c r="FE23" s="503"/>
      <c r="FF23" s="503"/>
      <c r="FG23" s="503"/>
      <c r="FH23" s="503"/>
      <c r="FI23" s="503"/>
      <c r="FJ23" s="503"/>
      <c r="FK23" s="503"/>
      <c r="FL23" s="503"/>
      <c r="FM23" s="503"/>
      <c r="FN23" s="503"/>
      <c r="FO23" s="503"/>
      <c r="FP23" s="503"/>
      <c r="FQ23" s="503"/>
      <c r="FR23" s="503"/>
      <c r="FS23" s="503"/>
      <c r="FT23" s="503"/>
      <c r="FU23" s="503"/>
      <c r="FV23" s="503"/>
      <c r="FW23" s="503"/>
      <c r="FX23" s="503"/>
      <c r="FY23" s="503"/>
      <c r="FZ23" s="503"/>
      <c r="GA23" s="503"/>
      <c r="GB23" s="503"/>
      <c r="GC23" s="503"/>
      <c r="GD23" s="503"/>
      <c r="GE23" s="503"/>
      <c r="GF23" s="503"/>
      <c r="GG23" s="503"/>
      <c r="GH23" s="503"/>
      <c r="GI23" s="503"/>
      <c r="GJ23" s="503"/>
      <c r="GK23" s="503"/>
      <c r="GL23" s="503"/>
      <c r="GM23" s="503"/>
      <c r="GN23" s="503"/>
      <c r="GO23" s="503"/>
      <c r="GP23" s="503"/>
      <c r="GQ23" s="503"/>
      <c r="GR23" s="503"/>
      <c r="GS23" s="503"/>
      <c r="GT23" s="503"/>
      <c r="GU23" s="503"/>
      <c r="GV23" s="503"/>
      <c r="GW23" s="503"/>
      <c r="GX23" s="503"/>
      <c r="GY23" s="503"/>
      <c r="GZ23" s="503"/>
      <c r="HA23" s="503"/>
      <c r="HB23" s="503"/>
      <c r="HC23" s="503"/>
      <c r="HD23" s="503"/>
      <c r="HE23" s="503"/>
      <c r="HF23" s="503"/>
      <c r="HG23" s="503"/>
      <c r="HH23" s="503"/>
      <c r="HI23" s="503"/>
      <c r="HJ23" s="503"/>
      <c r="HK23" s="503"/>
      <c r="HL23" s="503"/>
      <c r="HM23" s="503"/>
      <c r="HN23" s="503"/>
      <c r="HO23" s="503"/>
      <c r="HP23" s="503"/>
      <c r="HQ23" s="503"/>
      <c r="HR23" s="503"/>
      <c r="HS23" s="503"/>
      <c r="HT23" s="503"/>
      <c r="HU23" s="503"/>
      <c r="HV23" s="503"/>
      <c r="HW23" s="503"/>
      <c r="HX23" s="503"/>
      <c r="HY23" s="503"/>
      <c r="HZ23" s="503"/>
      <c r="IA23" s="503"/>
      <c r="IB23" s="503"/>
      <c r="IC23" s="503"/>
      <c r="ID23" s="503"/>
      <c r="IE23" s="503"/>
      <c r="IF23" s="503"/>
      <c r="IG23" s="503"/>
      <c r="IH23" s="503"/>
      <c r="II23" s="503"/>
      <c r="IJ23" s="503"/>
      <c r="IK23" s="503"/>
      <c r="IL23" s="503"/>
      <c r="IM23" s="503"/>
      <c r="IN23" s="503"/>
      <c r="IO23" s="503"/>
      <c r="IP23" s="503"/>
      <c r="IQ23" s="503"/>
      <c r="IR23" s="503"/>
      <c r="IS23" s="503"/>
    </row>
    <row r="24" spans="1:253" x14ac:dyDescent="0.25">
      <c r="A24" s="507"/>
      <c r="B24" s="640" t="s">
        <v>390</v>
      </c>
      <c r="C24" s="489"/>
      <c r="D24" s="489"/>
      <c r="E24" s="508"/>
      <c r="F24" s="508"/>
      <c r="G24" s="508"/>
      <c r="H24" s="508"/>
      <c r="I24" s="508"/>
      <c r="J24" s="508"/>
      <c r="K24" s="508"/>
      <c r="L24" s="508"/>
      <c r="M24" s="508"/>
      <c r="N24" s="508"/>
      <c r="O24" s="508"/>
      <c r="P24" s="508"/>
      <c r="Q24" s="509"/>
      <c r="R24" s="508"/>
      <c r="S24" s="508"/>
      <c r="T24" s="489"/>
      <c r="U24" s="489"/>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0"/>
      <c r="AZ24" s="510"/>
      <c r="BA24" s="510"/>
      <c r="BB24" s="510"/>
      <c r="BC24" s="510"/>
      <c r="BD24" s="510"/>
      <c r="BE24" s="510"/>
      <c r="BF24" s="510"/>
      <c r="BG24" s="510"/>
      <c r="BH24" s="510"/>
      <c r="BI24" s="510"/>
      <c r="BJ24" s="510"/>
      <c r="BK24" s="510"/>
      <c r="BL24" s="510"/>
      <c r="BM24" s="510"/>
      <c r="BN24" s="510"/>
      <c r="BO24" s="510"/>
      <c r="BP24" s="510"/>
      <c r="BQ24" s="510"/>
      <c r="BR24" s="510"/>
      <c r="BS24" s="510"/>
      <c r="BT24" s="510"/>
      <c r="BU24" s="510"/>
      <c r="BV24" s="510"/>
      <c r="BW24" s="510"/>
      <c r="BX24" s="510"/>
      <c r="BY24" s="510"/>
      <c r="BZ24" s="510"/>
      <c r="CA24" s="510"/>
      <c r="CB24" s="510"/>
      <c r="CC24" s="510"/>
      <c r="CD24" s="510"/>
      <c r="CE24" s="510"/>
      <c r="CF24" s="510"/>
      <c r="CG24" s="510"/>
      <c r="CH24" s="510"/>
      <c r="CI24" s="510"/>
      <c r="CJ24" s="510"/>
      <c r="CK24" s="510"/>
      <c r="CL24" s="510"/>
      <c r="CM24" s="510"/>
      <c r="CN24" s="510"/>
      <c r="CO24" s="510"/>
      <c r="CP24" s="510"/>
      <c r="CQ24" s="510"/>
      <c r="CR24" s="510"/>
      <c r="CS24" s="510"/>
      <c r="CT24" s="510"/>
      <c r="CU24" s="510"/>
      <c r="CV24" s="510"/>
      <c r="CW24" s="510"/>
      <c r="CX24" s="510"/>
      <c r="CY24" s="510"/>
      <c r="CZ24" s="510"/>
      <c r="DA24" s="510"/>
      <c r="DB24" s="510"/>
      <c r="DC24" s="510"/>
      <c r="DD24" s="510"/>
      <c r="DE24" s="510"/>
      <c r="DF24" s="510"/>
      <c r="DG24" s="510"/>
      <c r="DH24" s="510"/>
      <c r="DI24" s="510"/>
      <c r="DJ24" s="510"/>
      <c r="DK24" s="510"/>
      <c r="DL24" s="510"/>
      <c r="DM24" s="510"/>
      <c r="DN24" s="510"/>
      <c r="DO24" s="510"/>
      <c r="DP24" s="510"/>
      <c r="DQ24" s="510"/>
      <c r="DR24" s="510"/>
      <c r="DS24" s="510"/>
      <c r="DT24" s="510"/>
      <c r="DU24" s="510"/>
      <c r="DV24" s="510"/>
      <c r="DW24" s="510"/>
      <c r="DX24" s="510"/>
      <c r="DY24" s="510"/>
      <c r="DZ24" s="510"/>
      <c r="EA24" s="510"/>
      <c r="EB24" s="510"/>
      <c r="EC24" s="510"/>
      <c r="ED24" s="510"/>
      <c r="EE24" s="510"/>
      <c r="EF24" s="510"/>
      <c r="EG24" s="510"/>
      <c r="EH24" s="510"/>
      <c r="EI24" s="510"/>
      <c r="EJ24" s="510"/>
      <c r="EK24" s="510"/>
      <c r="EL24" s="510"/>
      <c r="EM24" s="510"/>
      <c r="EN24" s="510"/>
      <c r="EO24" s="510"/>
      <c r="EP24" s="510"/>
      <c r="EQ24" s="510"/>
      <c r="ER24" s="510"/>
      <c r="ES24" s="510"/>
      <c r="ET24" s="510"/>
      <c r="EU24" s="510"/>
      <c r="EV24" s="510"/>
      <c r="EW24" s="510"/>
      <c r="EX24" s="510"/>
      <c r="EY24" s="510"/>
      <c r="EZ24" s="510"/>
      <c r="FA24" s="510"/>
      <c r="FB24" s="510"/>
      <c r="FC24" s="510"/>
      <c r="FD24" s="510"/>
      <c r="FE24" s="510"/>
      <c r="FF24" s="510"/>
      <c r="FG24" s="510"/>
      <c r="FH24" s="510"/>
      <c r="FI24" s="510"/>
      <c r="FJ24" s="510"/>
      <c r="FK24" s="510"/>
      <c r="FL24" s="510"/>
      <c r="FM24" s="510"/>
      <c r="FN24" s="510"/>
      <c r="FO24" s="510"/>
      <c r="FP24" s="510"/>
      <c r="FQ24" s="510"/>
      <c r="FR24" s="510"/>
      <c r="FS24" s="510"/>
      <c r="FT24" s="510"/>
      <c r="FU24" s="510"/>
      <c r="FV24" s="510"/>
      <c r="FW24" s="510"/>
      <c r="FX24" s="510"/>
      <c r="FY24" s="510"/>
      <c r="FZ24" s="510"/>
      <c r="GA24" s="510"/>
      <c r="GB24" s="510"/>
      <c r="GC24" s="510"/>
      <c r="GD24" s="510"/>
      <c r="GE24" s="510"/>
      <c r="GF24" s="510"/>
      <c r="GG24" s="510"/>
      <c r="GH24" s="510"/>
      <c r="GI24" s="510"/>
      <c r="GJ24" s="510"/>
      <c r="GK24" s="510"/>
      <c r="GL24" s="510"/>
      <c r="GM24" s="510"/>
      <c r="GN24" s="510"/>
      <c r="GO24" s="510"/>
      <c r="GP24" s="510"/>
      <c r="GQ24" s="510"/>
      <c r="GR24" s="510"/>
      <c r="GS24" s="510"/>
      <c r="GT24" s="510"/>
      <c r="GU24" s="510"/>
      <c r="GV24" s="510"/>
      <c r="GW24" s="510"/>
      <c r="GX24" s="510"/>
      <c r="GY24" s="510"/>
      <c r="GZ24" s="510"/>
      <c r="HA24" s="510"/>
      <c r="HB24" s="510"/>
      <c r="HC24" s="510"/>
      <c r="HD24" s="510"/>
      <c r="HE24" s="510"/>
      <c r="HF24" s="510"/>
      <c r="HG24" s="510"/>
      <c r="HH24" s="510"/>
      <c r="HI24" s="510"/>
      <c r="HJ24" s="510"/>
      <c r="HK24" s="510"/>
      <c r="HL24" s="510"/>
      <c r="HM24" s="510"/>
      <c r="HN24" s="510"/>
      <c r="HO24" s="510"/>
      <c r="HP24" s="510"/>
      <c r="HQ24" s="510"/>
      <c r="HR24" s="510"/>
      <c r="HS24" s="510"/>
      <c r="HT24" s="510"/>
      <c r="HU24" s="510"/>
      <c r="HV24" s="510"/>
      <c r="HW24" s="510"/>
      <c r="HX24" s="510"/>
      <c r="HY24" s="510"/>
      <c r="HZ24" s="510"/>
      <c r="IA24" s="510"/>
      <c r="IB24" s="510"/>
      <c r="IC24" s="510"/>
      <c r="ID24" s="510"/>
      <c r="IE24" s="510"/>
      <c r="IF24" s="510"/>
      <c r="IG24" s="510"/>
      <c r="IH24" s="510"/>
      <c r="II24" s="510"/>
      <c r="IJ24" s="510"/>
      <c r="IK24" s="510"/>
      <c r="IL24" s="510"/>
      <c r="IM24" s="510"/>
      <c r="IN24" s="510"/>
      <c r="IO24" s="510"/>
      <c r="IP24" s="510"/>
      <c r="IQ24" s="510"/>
      <c r="IR24" s="503"/>
      <c r="IS24" s="503"/>
    </row>
    <row r="25" spans="1:253" ht="45" x14ac:dyDescent="0.25">
      <c r="A25" s="504">
        <v>1</v>
      </c>
      <c r="B25" s="549" t="s">
        <v>405</v>
      </c>
      <c r="C25" s="483" t="s">
        <v>387</v>
      </c>
      <c r="D25" s="483"/>
      <c r="E25" s="483"/>
      <c r="F25" s="483"/>
      <c r="G25" s="483"/>
      <c r="H25" s="505">
        <f>I25+J25</f>
        <v>30170</v>
      </c>
      <c r="I25" s="505">
        <v>28733</v>
      </c>
      <c r="J25" s="505">
        <v>1437</v>
      </c>
      <c r="K25" s="505">
        <v>6490</v>
      </c>
      <c r="L25" s="505">
        <v>6181</v>
      </c>
      <c r="M25" s="505">
        <v>309</v>
      </c>
      <c r="N25" s="505">
        <f>H25-K25</f>
        <v>23680</v>
      </c>
      <c r="O25" s="505">
        <f>I25-L25</f>
        <v>22552</v>
      </c>
      <c r="P25" s="505">
        <f>J25-M25</f>
        <v>1128</v>
      </c>
      <c r="Q25" s="506">
        <f>R25+S25</f>
        <v>8733</v>
      </c>
      <c r="R25" s="505">
        <v>8286</v>
      </c>
      <c r="S25" s="505">
        <v>447</v>
      </c>
      <c r="T25" s="483" t="s">
        <v>406</v>
      </c>
      <c r="U25" s="489" t="s">
        <v>393</v>
      </c>
    </row>
    <row r="26" spans="1:253" ht="42.75" x14ac:dyDescent="0.25">
      <c r="A26" s="482" t="s">
        <v>56</v>
      </c>
      <c r="B26" s="638" t="s">
        <v>407</v>
      </c>
      <c r="C26" s="494"/>
      <c r="D26" s="494"/>
      <c r="E26" s="494"/>
      <c r="F26" s="494"/>
      <c r="G26" s="494"/>
      <c r="H26" s="495">
        <f t="shared" ref="H26:S26" si="9">H27+H32+H35</f>
        <v>176061</v>
      </c>
      <c r="I26" s="495">
        <f t="shared" si="9"/>
        <v>157013</v>
      </c>
      <c r="J26" s="495">
        <f t="shared" si="9"/>
        <v>19048</v>
      </c>
      <c r="K26" s="495">
        <f t="shared" si="9"/>
        <v>49111</v>
      </c>
      <c r="L26" s="495">
        <f t="shared" si="9"/>
        <v>46084</v>
      </c>
      <c r="M26" s="495">
        <f t="shared" si="9"/>
        <v>3027</v>
      </c>
      <c r="N26" s="495">
        <f t="shared" si="9"/>
        <v>123687</v>
      </c>
      <c r="O26" s="495">
        <f t="shared" si="9"/>
        <v>108617</v>
      </c>
      <c r="P26" s="495">
        <f t="shared" si="9"/>
        <v>15070.000000000002</v>
      </c>
      <c r="Q26" s="491">
        <f t="shared" si="9"/>
        <v>39934</v>
      </c>
      <c r="R26" s="495">
        <f t="shared" si="9"/>
        <v>37886</v>
      </c>
      <c r="S26" s="495">
        <f t="shared" si="9"/>
        <v>2048</v>
      </c>
      <c r="T26" s="497"/>
      <c r="U26" s="494"/>
      <c r="V26" s="513"/>
    </row>
    <row r="27" spans="1:253" ht="45" x14ac:dyDescent="0.25">
      <c r="A27" s="514" t="s">
        <v>408</v>
      </c>
      <c r="B27" s="639" t="s">
        <v>409</v>
      </c>
      <c r="C27" s="515"/>
      <c r="D27" s="515"/>
      <c r="E27" s="515"/>
      <c r="F27" s="515"/>
      <c r="G27" s="515"/>
      <c r="H27" s="516">
        <f>H28+H30+H31</f>
        <v>33294</v>
      </c>
      <c r="I27" s="516">
        <f t="shared" ref="I27:S27" si="10">I28+I30+I31</f>
        <v>31708</v>
      </c>
      <c r="J27" s="516">
        <f t="shared" si="10"/>
        <v>1586.0000000000011</v>
      </c>
      <c r="K27" s="516">
        <f t="shared" si="10"/>
        <v>8114</v>
      </c>
      <c r="L27" s="516">
        <f t="shared" si="10"/>
        <v>7745</v>
      </c>
      <c r="M27" s="516">
        <f t="shared" si="10"/>
        <v>369</v>
      </c>
      <c r="N27" s="516">
        <f t="shared" si="10"/>
        <v>25180</v>
      </c>
      <c r="O27" s="516">
        <f t="shared" si="10"/>
        <v>23963</v>
      </c>
      <c r="P27" s="516">
        <f t="shared" si="10"/>
        <v>1217.0000000000011</v>
      </c>
      <c r="Q27" s="517">
        <f t="shared" si="10"/>
        <v>8064</v>
      </c>
      <c r="R27" s="516">
        <f t="shared" si="10"/>
        <v>7651</v>
      </c>
      <c r="S27" s="516">
        <f t="shared" si="10"/>
        <v>413</v>
      </c>
      <c r="T27" s="518"/>
      <c r="U27" s="519"/>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0"/>
      <c r="BH27" s="520"/>
      <c r="BI27" s="520"/>
      <c r="BJ27" s="520"/>
      <c r="BK27" s="520"/>
      <c r="BL27" s="520"/>
      <c r="BM27" s="520"/>
      <c r="BN27" s="520"/>
      <c r="BO27" s="520"/>
      <c r="BP27" s="520"/>
      <c r="BQ27" s="520"/>
      <c r="BR27" s="520"/>
      <c r="BS27" s="520"/>
      <c r="BT27" s="520"/>
      <c r="BU27" s="520"/>
      <c r="BV27" s="520"/>
      <c r="BW27" s="520"/>
      <c r="BX27" s="520"/>
      <c r="BY27" s="520"/>
      <c r="BZ27" s="520"/>
      <c r="CA27" s="520"/>
      <c r="CB27" s="520"/>
      <c r="CC27" s="520"/>
      <c r="CD27" s="520"/>
      <c r="CE27" s="520"/>
      <c r="CF27" s="520"/>
      <c r="CG27" s="520"/>
      <c r="CH27" s="520"/>
      <c r="CI27" s="520"/>
      <c r="CJ27" s="520"/>
      <c r="CK27" s="520"/>
      <c r="CL27" s="520"/>
      <c r="CM27" s="520"/>
      <c r="CN27" s="520"/>
      <c r="CO27" s="520"/>
      <c r="CP27" s="520"/>
      <c r="CQ27" s="520"/>
      <c r="CR27" s="520"/>
      <c r="CS27" s="520"/>
      <c r="CT27" s="520"/>
      <c r="CU27" s="520"/>
      <c r="CV27" s="520"/>
      <c r="CW27" s="520"/>
      <c r="CX27" s="520"/>
      <c r="CY27" s="520"/>
      <c r="CZ27" s="520"/>
      <c r="DA27" s="520"/>
      <c r="DB27" s="520"/>
      <c r="DC27" s="520"/>
      <c r="DD27" s="520"/>
      <c r="DE27" s="520"/>
      <c r="DF27" s="520"/>
      <c r="DG27" s="520"/>
      <c r="DH27" s="520"/>
      <c r="DI27" s="520"/>
      <c r="DJ27" s="520"/>
      <c r="DK27" s="520"/>
      <c r="DL27" s="520"/>
      <c r="DM27" s="520"/>
      <c r="DN27" s="520"/>
      <c r="DO27" s="520"/>
      <c r="DP27" s="520"/>
      <c r="DQ27" s="520"/>
      <c r="DR27" s="520"/>
      <c r="DS27" s="520"/>
      <c r="DT27" s="520"/>
      <c r="DU27" s="520"/>
      <c r="DV27" s="520"/>
      <c r="DW27" s="520"/>
      <c r="DX27" s="520"/>
      <c r="DY27" s="520"/>
      <c r="DZ27" s="520"/>
      <c r="EA27" s="520"/>
      <c r="EB27" s="520"/>
      <c r="EC27" s="520"/>
      <c r="ED27" s="520"/>
      <c r="EE27" s="520"/>
      <c r="EF27" s="520"/>
      <c r="EG27" s="520"/>
      <c r="EH27" s="520"/>
      <c r="EI27" s="520"/>
      <c r="EJ27" s="520"/>
      <c r="EK27" s="520"/>
      <c r="EL27" s="520"/>
      <c r="EM27" s="520"/>
      <c r="EN27" s="520"/>
      <c r="EO27" s="520"/>
      <c r="EP27" s="520"/>
      <c r="EQ27" s="520"/>
      <c r="ER27" s="520"/>
      <c r="ES27" s="520"/>
      <c r="ET27" s="520"/>
      <c r="EU27" s="520"/>
      <c r="EV27" s="520"/>
      <c r="EW27" s="520"/>
      <c r="EX27" s="520"/>
      <c r="EY27" s="520"/>
      <c r="EZ27" s="520"/>
      <c r="FA27" s="520"/>
      <c r="FB27" s="520"/>
      <c r="FC27" s="520"/>
      <c r="FD27" s="520"/>
      <c r="FE27" s="520"/>
      <c r="FF27" s="520"/>
      <c r="FG27" s="520"/>
      <c r="FH27" s="520"/>
      <c r="FI27" s="520"/>
      <c r="FJ27" s="520"/>
      <c r="FK27" s="520"/>
      <c r="FL27" s="520"/>
      <c r="FM27" s="520"/>
      <c r="FN27" s="520"/>
      <c r="FO27" s="520"/>
      <c r="FP27" s="520"/>
      <c r="FQ27" s="520"/>
      <c r="FR27" s="520"/>
      <c r="FS27" s="520"/>
      <c r="FT27" s="520"/>
      <c r="FU27" s="520"/>
      <c r="FV27" s="520"/>
      <c r="FW27" s="520"/>
      <c r="FX27" s="520"/>
      <c r="FY27" s="520"/>
      <c r="FZ27" s="520"/>
      <c r="GA27" s="520"/>
      <c r="GB27" s="520"/>
      <c r="GC27" s="520"/>
      <c r="GD27" s="520"/>
      <c r="GE27" s="520"/>
      <c r="GF27" s="520"/>
      <c r="GG27" s="520"/>
      <c r="GH27" s="520"/>
      <c r="GI27" s="520"/>
      <c r="GJ27" s="520"/>
      <c r="GK27" s="520"/>
      <c r="GL27" s="520"/>
      <c r="GM27" s="520"/>
      <c r="GN27" s="520"/>
      <c r="GO27" s="520"/>
      <c r="GP27" s="520"/>
      <c r="GQ27" s="520"/>
      <c r="GR27" s="520"/>
      <c r="GS27" s="520"/>
      <c r="GT27" s="520"/>
      <c r="GU27" s="520"/>
      <c r="GV27" s="520"/>
      <c r="GW27" s="520"/>
      <c r="GX27" s="520"/>
      <c r="GY27" s="520"/>
      <c r="GZ27" s="520"/>
      <c r="HA27" s="520"/>
      <c r="HB27" s="520"/>
      <c r="HC27" s="520"/>
      <c r="HD27" s="520"/>
      <c r="HE27" s="520"/>
      <c r="HF27" s="520"/>
      <c r="HG27" s="520"/>
      <c r="HH27" s="520"/>
      <c r="HI27" s="520"/>
      <c r="HJ27" s="520"/>
      <c r="HK27" s="520"/>
      <c r="HL27" s="520"/>
      <c r="HM27" s="520"/>
      <c r="HN27" s="520"/>
      <c r="HO27" s="520"/>
      <c r="HP27" s="520"/>
      <c r="HQ27" s="520"/>
      <c r="HR27" s="520"/>
      <c r="HS27" s="520"/>
      <c r="HT27" s="520"/>
      <c r="HU27" s="520"/>
      <c r="HV27" s="520"/>
      <c r="HW27" s="520"/>
      <c r="HX27" s="520"/>
      <c r="HY27" s="520"/>
      <c r="HZ27" s="520"/>
      <c r="IA27" s="520"/>
      <c r="IB27" s="520"/>
      <c r="IC27" s="520"/>
      <c r="ID27" s="520"/>
      <c r="IE27" s="520"/>
      <c r="IF27" s="520"/>
      <c r="IG27" s="520"/>
      <c r="IH27" s="520"/>
      <c r="II27" s="520"/>
      <c r="IJ27" s="520"/>
      <c r="IK27" s="520"/>
      <c r="IL27" s="520"/>
      <c r="IM27" s="520"/>
      <c r="IN27" s="520"/>
      <c r="IO27" s="520"/>
      <c r="IP27" s="520"/>
      <c r="IQ27" s="520"/>
      <c r="IR27" s="520"/>
      <c r="IS27" s="520"/>
    </row>
    <row r="28" spans="1:253" ht="75" x14ac:dyDescent="0.25">
      <c r="A28" s="521">
        <v>1</v>
      </c>
      <c r="B28" s="549" t="s">
        <v>410</v>
      </c>
      <c r="C28" s="522" t="s">
        <v>387</v>
      </c>
      <c r="D28" s="522" t="s">
        <v>411</v>
      </c>
      <c r="E28" s="522">
        <v>10370</v>
      </c>
      <c r="F28" s="522">
        <v>9852</v>
      </c>
      <c r="G28" s="522">
        <v>518</v>
      </c>
      <c r="H28" s="523">
        <f>I28+J28</f>
        <v>11231.857099999999</v>
      </c>
      <c r="I28" s="523">
        <v>10670.264244999998</v>
      </c>
      <c r="J28" s="523">
        <v>561.59285500000078</v>
      </c>
      <c r="K28" s="523">
        <v>7764</v>
      </c>
      <c r="L28" s="523">
        <v>7395</v>
      </c>
      <c r="M28" s="523">
        <v>369</v>
      </c>
      <c r="N28" s="505">
        <f>H28-K28</f>
        <v>3467.8570999999993</v>
      </c>
      <c r="O28" s="505">
        <f>I28-L28</f>
        <v>3275.2642449999985</v>
      </c>
      <c r="P28" s="505">
        <f>J28-M28</f>
        <v>192.59285500000078</v>
      </c>
      <c r="Q28" s="506">
        <f>R28+S28</f>
        <v>2100</v>
      </c>
      <c r="R28" s="523">
        <v>2000</v>
      </c>
      <c r="S28" s="523">
        <v>100</v>
      </c>
      <c r="T28" s="522" t="s">
        <v>412</v>
      </c>
      <c r="U28" s="489"/>
    </row>
    <row r="29" spans="1:253" ht="21" customHeight="1" x14ac:dyDescent="0.25">
      <c r="A29" s="521"/>
      <c r="B29" s="640" t="s">
        <v>390</v>
      </c>
      <c r="C29" s="522"/>
      <c r="D29" s="522"/>
      <c r="E29" s="522"/>
      <c r="F29" s="522"/>
      <c r="G29" s="522"/>
      <c r="H29" s="523"/>
      <c r="I29" s="523"/>
      <c r="J29" s="523"/>
      <c r="K29" s="523"/>
      <c r="L29" s="523"/>
      <c r="M29" s="523"/>
      <c r="N29" s="505"/>
      <c r="O29" s="505"/>
      <c r="P29" s="505"/>
      <c r="Q29" s="506"/>
      <c r="R29" s="523"/>
      <c r="S29" s="523"/>
      <c r="T29" s="522"/>
      <c r="U29" s="489"/>
    </row>
    <row r="30" spans="1:253" ht="67.5" customHeight="1" x14ac:dyDescent="0.25">
      <c r="A30" s="521">
        <v>2</v>
      </c>
      <c r="B30" s="549" t="s">
        <v>413</v>
      </c>
      <c r="C30" s="522" t="s">
        <v>392</v>
      </c>
      <c r="D30" s="522"/>
      <c r="E30" s="522"/>
      <c r="F30" s="522"/>
      <c r="G30" s="522"/>
      <c r="H30" s="523">
        <f>I30+J30</f>
        <v>8824.8572000000004</v>
      </c>
      <c r="I30" s="523">
        <v>8383.6143400000001</v>
      </c>
      <c r="J30" s="523">
        <v>441.24286000000029</v>
      </c>
      <c r="K30" s="523">
        <v>350</v>
      </c>
      <c r="L30" s="523">
        <v>350</v>
      </c>
      <c r="M30" s="524">
        <v>0</v>
      </c>
      <c r="N30" s="505">
        <f t="shared" ref="N30:P31" si="11">H30-K30</f>
        <v>8474.8572000000004</v>
      </c>
      <c r="O30" s="505">
        <f t="shared" si="11"/>
        <v>8033.6143400000001</v>
      </c>
      <c r="P30" s="505">
        <f t="shared" si="11"/>
        <v>441.24286000000029</v>
      </c>
      <c r="Q30" s="506">
        <f>R30+S30</f>
        <v>5864</v>
      </c>
      <c r="R30" s="523">
        <v>5551</v>
      </c>
      <c r="S30" s="523">
        <v>313</v>
      </c>
      <c r="T30" s="522" t="s">
        <v>412</v>
      </c>
      <c r="U30" s="489" t="s">
        <v>393</v>
      </c>
    </row>
    <row r="31" spans="1:253" ht="67.5" customHeight="1" x14ac:dyDescent="0.25">
      <c r="A31" s="521">
        <v>3</v>
      </c>
      <c r="B31" s="549" t="s">
        <v>414</v>
      </c>
      <c r="C31" s="522" t="s">
        <v>392</v>
      </c>
      <c r="D31" s="522"/>
      <c r="E31" s="522"/>
      <c r="F31" s="525"/>
      <c r="G31" s="525"/>
      <c r="H31" s="523">
        <f>I31+J31</f>
        <v>13237.2857</v>
      </c>
      <c r="I31" s="523">
        <f>11833.121415+821</f>
        <v>12654.121415</v>
      </c>
      <c r="J31" s="523">
        <f>1404.164285-821</f>
        <v>583.16428500000006</v>
      </c>
      <c r="K31" s="524">
        <v>0</v>
      </c>
      <c r="L31" s="524">
        <v>0</v>
      </c>
      <c r="M31" s="524">
        <v>0</v>
      </c>
      <c r="N31" s="505">
        <f t="shared" si="11"/>
        <v>13237.2857</v>
      </c>
      <c r="O31" s="505">
        <f t="shared" si="11"/>
        <v>12654.121415</v>
      </c>
      <c r="P31" s="505">
        <f t="shared" si="11"/>
        <v>583.16428500000006</v>
      </c>
      <c r="Q31" s="506">
        <f>R31+S31</f>
        <v>100</v>
      </c>
      <c r="R31" s="523">
        <v>100</v>
      </c>
      <c r="S31" s="524"/>
      <c r="T31" s="522" t="s">
        <v>412</v>
      </c>
      <c r="U31" s="489" t="s">
        <v>393</v>
      </c>
    </row>
    <row r="32" spans="1:253" ht="45" x14ac:dyDescent="0.25">
      <c r="A32" s="526" t="s">
        <v>415</v>
      </c>
      <c r="B32" s="639" t="s">
        <v>416</v>
      </c>
      <c r="C32" s="498"/>
      <c r="D32" s="498"/>
      <c r="E32" s="498"/>
      <c r="F32" s="527"/>
      <c r="G32" s="527"/>
      <c r="H32" s="528">
        <f>H34</f>
        <v>3209</v>
      </c>
      <c r="I32" s="528">
        <f t="shared" ref="I32:S32" si="12">I34</f>
        <v>3056</v>
      </c>
      <c r="J32" s="528">
        <f t="shared" si="12"/>
        <v>153</v>
      </c>
      <c r="K32" s="528">
        <f t="shared" si="12"/>
        <v>0</v>
      </c>
      <c r="L32" s="528">
        <f t="shared" si="12"/>
        <v>0</v>
      </c>
      <c r="M32" s="528">
        <f t="shared" si="12"/>
        <v>0</v>
      </c>
      <c r="N32" s="528">
        <f t="shared" si="12"/>
        <v>3209</v>
      </c>
      <c r="O32" s="528">
        <f t="shared" si="12"/>
        <v>3056</v>
      </c>
      <c r="P32" s="528">
        <f t="shared" si="12"/>
        <v>153</v>
      </c>
      <c r="Q32" s="517">
        <f t="shared" si="12"/>
        <v>777</v>
      </c>
      <c r="R32" s="528">
        <f t="shared" si="12"/>
        <v>737</v>
      </c>
      <c r="S32" s="528">
        <f t="shared" si="12"/>
        <v>40</v>
      </c>
      <c r="T32" s="529"/>
      <c r="U32" s="502"/>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0"/>
      <c r="BZ32" s="520"/>
      <c r="CA32" s="520"/>
      <c r="CB32" s="520"/>
      <c r="CC32" s="520"/>
      <c r="CD32" s="520"/>
      <c r="CE32" s="520"/>
      <c r="CF32" s="520"/>
      <c r="CG32" s="520"/>
      <c r="CH32" s="520"/>
      <c r="CI32" s="520"/>
      <c r="CJ32" s="520"/>
      <c r="CK32" s="520"/>
      <c r="CL32" s="520"/>
      <c r="CM32" s="520"/>
      <c r="CN32" s="520"/>
      <c r="CO32" s="520"/>
      <c r="CP32" s="520"/>
      <c r="CQ32" s="520"/>
      <c r="CR32" s="520"/>
      <c r="CS32" s="520"/>
      <c r="CT32" s="520"/>
      <c r="CU32" s="520"/>
      <c r="CV32" s="520"/>
      <c r="CW32" s="520"/>
      <c r="CX32" s="520"/>
      <c r="CY32" s="520"/>
      <c r="CZ32" s="520"/>
      <c r="DA32" s="520"/>
      <c r="DB32" s="520"/>
      <c r="DC32" s="520"/>
      <c r="DD32" s="520"/>
      <c r="DE32" s="520"/>
      <c r="DF32" s="520"/>
      <c r="DG32" s="520"/>
      <c r="DH32" s="520"/>
      <c r="DI32" s="520"/>
      <c r="DJ32" s="520"/>
      <c r="DK32" s="520"/>
      <c r="DL32" s="520"/>
      <c r="DM32" s="520"/>
      <c r="DN32" s="520"/>
      <c r="DO32" s="520"/>
      <c r="DP32" s="520"/>
      <c r="DQ32" s="520"/>
      <c r="DR32" s="520"/>
      <c r="DS32" s="520"/>
      <c r="DT32" s="520"/>
      <c r="DU32" s="520"/>
      <c r="DV32" s="520"/>
      <c r="DW32" s="520"/>
      <c r="DX32" s="520"/>
      <c r="DY32" s="520"/>
      <c r="DZ32" s="520"/>
      <c r="EA32" s="520"/>
      <c r="EB32" s="520"/>
      <c r="EC32" s="520"/>
      <c r="ED32" s="520"/>
      <c r="EE32" s="520"/>
      <c r="EF32" s="520"/>
      <c r="EG32" s="520"/>
      <c r="EH32" s="520"/>
      <c r="EI32" s="520"/>
      <c r="EJ32" s="520"/>
      <c r="EK32" s="520"/>
      <c r="EL32" s="520"/>
      <c r="EM32" s="520"/>
      <c r="EN32" s="520"/>
      <c r="EO32" s="520"/>
      <c r="EP32" s="520"/>
      <c r="EQ32" s="520"/>
      <c r="ER32" s="520"/>
      <c r="ES32" s="520"/>
      <c r="ET32" s="520"/>
      <c r="EU32" s="520"/>
      <c r="EV32" s="520"/>
      <c r="EW32" s="520"/>
      <c r="EX32" s="520"/>
      <c r="EY32" s="520"/>
      <c r="EZ32" s="520"/>
      <c r="FA32" s="520"/>
      <c r="FB32" s="520"/>
      <c r="FC32" s="520"/>
      <c r="FD32" s="520"/>
      <c r="FE32" s="520"/>
      <c r="FF32" s="520"/>
      <c r="FG32" s="520"/>
      <c r="FH32" s="520"/>
      <c r="FI32" s="520"/>
      <c r="FJ32" s="520"/>
      <c r="FK32" s="520"/>
      <c r="FL32" s="520"/>
      <c r="FM32" s="520"/>
      <c r="FN32" s="520"/>
      <c r="FO32" s="520"/>
      <c r="FP32" s="520"/>
      <c r="FQ32" s="520"/>
      <c r="FR32" s="520"/>
      <c r="FS32" s="520"/>
      <c r="FT32" s="520"/>
      <c r="FU32" s="520"/>
      <c r="FV32" s="520"/>
      <c r="FW32" s="520"/>
      <c r="FX32" s="520"/>
      <c r="FY32" s="520"/>
      <c r="FZ32" s="520"/>
      <c r="GA32" s="520"/>
      <c r="GB32" s="520"/>
      <c r="GC32" s="520"/>
      <c r="GD32" s="520"/>
      <c r="GE32" s="520"/>
      <c r="GF32" s="520"/>
      <c r="GG32" s="520"/>
      <c r="GH32" s="520"/>
      <c r="GI32" s="520"/>
      <c r="GJ32" s="520"/>
      <c r="GK32" s="520"/>
      <c r="GL32" s="520"/>
      <c r="GM32" s="520"/>
      <c r="GN32" s="520"/>
      <c r="GO32" s="520"/>
      <c r="GP32" s="520"/>
      <c r="GQ32" s="520"/>
      <c r="GR32" s="520"/>
      <c r="GS32" s="520"/>
      <c r="GT32" s="520"/>
      <c r="GU32" s="520"/>
      <c r="GV32" s="520"/>
      <c r="GW32" s="520"/>
      <c r="GX32" s="520"/>
      <c r="GY32" s="520"/>
      <c r="GZ32" s="520"/>
      <c r="HA32" s="520"/>
      <c r="HB32" s="520"/>
      <c r="HC32" s="520"/>
      <c r="HD32" s="520"/>
      <c r="HE32" s="520"/>
      <c r="HF32" s="520"/>
      <c r="HG32" s="520"/>
      <c r="HH32" s="520"/>
      <c r="HI32" s="520"/>
      <c r="HJ32" s="520"/>
      <c r="HK32" s="520"/>
      <c r="HL32" s="520"/>
      <c r="HM32" s="520"/>
      <c r="HN32" s="520"/>
      <c r="HO32" s="520"/>
      <c r="HP32" s="520"/>
      <c r="HQ32" s="520"/>
      <c r="HR32" s="520"/>
      <c r="HS32" s="520"/>
      <c r="HT32" s="520"/>
      <c r="HU32" s="520"/>
      <c r="HV32" s="520"/>
      <c r="HW32" s="520"/>
      <c r="HX32" s="520"/>
      <c r="HY32" s="520"/>
      <c r="HZ32" s="520"/>
      <c r="IA32" s="520"/>
      <c r="IB32" s="520"/>
      <c r="IC32" s="520"/>
      <c r="ID32" s="520"/>
      <c r="IE32" s="520"/>
      <c r="IF32" s="520"/>
      <c r="IG32" s="520"/>
      <c r="IH32" s="520"/>
      <c r="II32" s="520"/>
      <c r="IJ32" s="520"/>
      <c r="IK32" s="520"/>
      <c r="IL32" s="520"/>
      <c r="IM32" s="520"/>
      <c r="IN32" s="520"/>
      <c r="IO32" s="520"/>
      <c r="IP32" s="520"/>
      <c r="IQ32" s="520"/>
      <c r="IR32" s="520"/>
      <c r="IS32" s="520"/>
    </row>
    <row r="33" spans="1:253" x14ac:dyDescent="0.25">
      <c r="A33" s="526"/>
      <c r="B33" s="640" t="s">
        <v>390</v>
      </c>
      <c r="C33" s="498"/>
      <c r="D33" s="498"/>
      <c r="E33" s="498"/>
      <c r="F33" s="527"/>
      <c r="G33" s="527"/>
      <c r="H33" s="528"/>
      <c r="I33" s="528"/>
      <c r="J33" s="528"/>
      <c r="K33" s="528"/>
      <c r="L33" s="528"/>
      <c r="M33" s="528"/>
      <c r="N33" s="528"/>
      <c r="O33" s="528"/>
      <c r="P33" s="528"/>
      <c r="Q33" s="517"/>
      <c r="R33" s="528"/>
      <c r="S33" s="528"/>
      <c r="T33" s="529"/>
      <c r="U33" s="502"/>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520"/>
      <c r="BG33" s="520"/>
      <c r="BH33" s="520"/>
      <c r="BI33" s="520"/>
      <c r="BJ33" s="520"/>
      <c r="BK33" s="520"/>
      <c r="BL33" s="520"/>
      <c r="BM33" s="520"/>
      <c r="BN33" s="520"/>
      <c r="BO33" s="520"/>
      <c r="BP33" s="520"/>
      <c r="BQ33" s="520"/>
      <c r="BR33" s="520"/>
      <c r="BS33" s="520"/>
      <c r="BT33" s="520"/>
      <c r="BU33" s="520"/>
      <c r="BV33" s="520"/>
      <c r="BW33" s="520"/>
      <c r="BX33" s="520"/>
      <c r="BY33" s="520"/>
      <c r="BZ33" s="520"/>
      <c r="CA33" s="520"/>
      <c r="CB33" s="520"/>
      <c r="CC33" s="520"/>
      <c r="CD33" s="520"/>
      <c r="CE33" s="520"/>
      <c r="CF33" s="520"/>
      <c r="CG33" s="520"/>
      <c r="CH33" s="520"/>
      <c r="CI33" s="520"/>
      <c r="CJ33" s="520"/>
      <c r="CK33" s="520"/>
      <c r="CL33" s="520"/>
      <c r="CM33" s="520"/>
      <c r="CN33" s="520"/>
      <c r="CO33" s="520"/>
      <c r="CP33" s="520"/>
      <c r="CQ33" s="520"/>
      <c r="CR33" s="520"/>
      <c r="CS33" s="520"/>
      <c r="CT33" s="520"/>
      <c r="CU33" s="520"/>
      <c r="CV33" s="520"/>
      <c r="CW33" s="520"/>
      <c r="CX33" s="520"/>
      <c r="CY33" s="520"/>
      <c r="CZ33" s="520"/>
      <c r="DA33" s="520"/>
      <c r="DB33" s="520"/>
      <c r="DC33" s="520"/>
      <c r="DD33" s="520"/>
      <c r="DE33" s="520"/>
      <c r="DF33" s="520"/>
      <c r="DG33" s="520"/>
      <c r="DH33" s="520"/>
      <c r="DI33" s="520"/>
      <c r="DJ33" s="520"/>
      <c r="DK33" s="520"/>
      <c r="DL33" s="520"/>
      <c r="DM33" s="520"/>
      <c r="DN33" s="520"/>
      <c r="DO33" s="520"/>
      <c r="DP33" s="520"/>
      <c r="DQ33" s="520"/>
      <c r="DR33" s="520"/>
      <c r="DS33" s="520"/>
      <c r="DT33" s="520"/>
      <c r="DU33" s="520"/>
      <c r="DV33" s="520"/>
      <c r="DW33" s="520"/>
      <c r="DX33" s="520"/>
      <c r="DY33" s="520"/>
      <c r="DZ33" s="520"/>
      <c r="EA33" s="520"/>
      <c r="EB33" s="520"/>
      <c r="EC33" s="520"/>
      <c r="ED33" s="520"/>
      <c r="EE33" s="520"/>
      <c r="EF33" s="520"/>
      <c r="EG33" s="520"/>
      <c r="EH33" s="520"/>
      <c r="EI33" s="520"/>
      <c r="EJ33" s="520"/>
      <c r="EK33" s="520"/>
      <c r="EL33" s="520"/>
      <c r="EM33" s="520"/>
      <c r="EN33" s="520"/>
      <c r="EO33" s="520"/>
      <c r="EP33" s="520"/>
      <c r="EQ33" s="520"/>
      <c r="ER33" s="520"/>
      <c r="ES33" s="520"/>
      <c r="ET33" s="520"/>
      <c r="EU33" s="520"/>
      <c r="EV33" s="520"/>
      <c r="EW33" s="520"/>
      <c r="EX33" s="520"/>
      <c r="EY33" s="520"/>
      <c r="EZ33" s="520"/>
      <c r="FA33" s="520"/>
      <c r="FB33" s="520"/>
      <c r="FC33" s="520"/>
      <c r="FD33" s="520"/>
      <c r="FE33" s="520"/>
      <c r="FF33" s="520"/>
      <c r="FG33" s="520"/>
      <c r="FH33" s="520"/>
      <c r="FI33" s="520"/>
      <c r="FJ33" s="520"/>
      <c r="FK33" s="520"/>
      <c r="FL33" s="520"/>
      <c r="FM33" s="520"/>
      <c r="FN33" s="520"/>
      <c r="FO33" s="520"/>
      <c r="FP33" s="520"/>
      <c r="FQ33" s="520"/>
      <c r="FR33" s="520"/>
      <c r="FS33" s="520"/>
      <c r="FT33" s="520"/>
      <c r="FU33" s="520"/>
      <c r="FV33" s="520"/>
      <c r="FW33" s="520"/>
      <c r="FX33" s="520"/>
      <c r="FY33" s="520"/>
      <c r="FZ33" s="520"/>
      <c r="GA33" s="520"/>
      <c r="GB33" s="520"/>
      <c r="GC33" s="520"/>
      <c r="GD33" s="520"/>
      <c r="GE33" s="520"/>
      <c r="GF33" s="520"/>
      <c r="GG33" s="520"/>
      <c r="GH33" s="520"/>
      <c r="GI33" s="520"/>
      <c r="GJ33" s="520"/>
      <c r="GK33" s="520"/>
      <c r="GL33" s="520"/>
      <c r="GM33" s="520"/>
      <c r="GN33" s="520"/>
      <c r="GO33" s="520"/>
      <c r="GP33" s="520"/>
      <c r="GQ33" s="520"/>
      <c r="GR33" s="520"/>
      <c r="GS33" s="520"/>
      <c r="GT33" s="520"/>
      <c r="GU33" s="520"/>
      <c r="GV33" s="520"/>
      <c r="GW33" s="520"/>
      <c r="GX33" s="520"/>
      <c r="GY33" s="520"/>
      <c r="GZ33" s="520"/>
      <c r="HA33" s="520"/>
      <c r="HB33" s="520"/>
      <c r="HC33" s="520"/>
      <c r="HD33" s="520"/>
      <c r="HE33" s="520"/>
      <c r="HF33" s="520"/>
      <c r="HG33" s="520"/>
      <c r="HH33" s="520"/>
      <c r="HI33" s="520"/>
      <c r="HJ33" s="520"/>
      <c r="HK33" s="520"/>
      <c r="HL33" s="520"/>
      <c r="HM33" s="520"/>
      <c r="HN33" s="520"/>
      <c r="HO33" s="520"/>
      <c r="HP33" s="520"/>
      <c r="HQ33" s="520"/>
      <c r="HR33" s="520"/>
      <c r="HS33" s="520"/>
      <c r="HT33" s="520"/>
      <c r="HU33" s="520"/>
      <c r="HV33" s="520"/>
      <c r="HW33" s="520"/>
      <c r="HX33" s="520"/>
      <c r="HY33" s="520"/>
      <c r="HZ33" s="520"/>
      <c r="IA33" s="520"/>
      <c r="IB33" s="520"/>
      <c r="IC33" s="520"/>
      <c r="ID33" s="520"/>
      <c r="IE33" s="520"/>
      <c r="IF33" s="520"/>
      <c r="IG33" s="520"/>
      <c r="IH33" s="520"/>
      <c r="II33" s="520"/>
      <c r="IJ33" s="520"/>
      <c r="IK33" s="520"/>
      <c r="IL33" s="520"/>
      <c r="IM33" s="520"/>
      <c r="IN33" s="520"/>
      <c r="IO33" s="520"/>
      <c r="IP33" s="520"/>
      <c r="IQ33" s="520"/>
      <c r="IR33" s="520"/>
      <c r="IS33" s="520"/>
    </row>
    <row r="34" spans="1:253" ht="45" x14ac:dyDescent="0.25">
      <c r="A34" s="530">
        <v>1</v>
      </c>
      <c r="B34" s="549" t="s">
        <v>417</v>
      </c>
      <c r="C34" s="483" t="s">
        <v>392</v>
      </c>
      <c r="D34" s="483"/>
      <c r="E34" s="483"/>
      <c r="F34" s="531">
        <f>I35-F35</f>
        <v>38801</v>
      </c>
      <c r="G34" s="531">
        <f>J35-G35</f>
        <v>5907</v>
      </c>
      <c r="H34" s="505">
        <f>I34+J34</f>
        <v>3209</v>
      </c>
      <c r="I34" s="505">
        <v>3056</v>
      </c>
      <c r="J34" s="505">
        <v>153</v>
      </c>
      <c r="K34" s="505">
        <v>0</v>
      </c>
      <c r="L34" s="532">
        <v>0</v>
      </c>
      <c r="M34" s="532">
        <v>0</v>
      </c>
      <c r="N34" s="505">
        <f>H34-K34</f>
        <v>3209</v>
      </c>
      <c r="O34" s="505">
        <f>I34-L34</f>
        <v>3056</v>
      </c>
      <c r="P34" s="505">
        <f>J34-M34</f>
        <v>153</v>
      </c>
      <c r="Q34" s="506">
        <f>R34+S34</f>
        <v>777</v>
      </c>
      <c r="R34" s="532">
        <v>737</v>
      </c>
      <c r="S34" s="532">
        <v>40</v>
      </c>
      <c r="T34" s="522" t="s">
        <v>412</v>
      </c>
      <c r="U34" s="489" t="s">
        <v>393</v>
      </c>
    </row>
    <row r="35" spans="1:253" ht="60" x14ac:dyDescent="0.25">
      <c r="A35" s="514" t="s">
        <v>418</v>
      </c>
      <c r="B35" s="639" t="s">
        <v>419</v>
      </c>
      <c r="C35" s="533"/>
      <c r="D35" s="533"/>
      <c r="E35" s="500">
        <f>SUM(E36:E53)</f>
        <v>94850</v>
      </c>
      <c r="F35" s="500">
        <f>SUM(F36:F53)</f>
        <v>83448</v>
      </c>
      <c r="G35" s="500">
        <f>SUM(G36:G53)</f>
        <v>11402</v>
      </c>
      <c r="H35" s="500">
        <f>SUM(H36:H54)</f>
        <v>139558</v>
      </c>
      <c r="I35" s="500">
        <f>SUM(I36:I54)</f>
        <v>122249</v>
      </c>
      <c r="J35" s="500">
        <f>SUM(J36:J54)</f>
        <v>17309</v>
      </c>
      <c r="K35" s="500">
        <f t="shared" ref="K35:S35" si="13">SUM(K36:K53)</f>
        <v>40997</v>
      </c>
      <c r="L35" s="500">
        <f t="shared" si="13"/>
        <v>38339</v>
      </c>
      <c r="M35" s="500">
        <f t="shared" si="13"/>
        <v>2658</v>
      </c>
      <c r="N35" s="500">
        <f t="shared" si="13"/>
        <v>95298</v>
      </c>
      <c r="O35" s="500">
        <f t="shared" si="13"/>
        <v>81598</v>
      </c>
      <c r="P35" s="500">
        <f t="shared" si="13"/>
        <v>13700</v>
      </c>
      <c r="Q35" s="501">
        <f t="shared" si="13"/>
        <v>31093</v>
      </c>
      <c r="R35" s="500">
        <f t="shared" si="13"/>
        <v>29498</v>
      </c>
      <c r="S35" s="500">
        <f t="shared" si="13"/>
        <v>1595</v>
      </c>
      <c r="T35" s="493"/>
      <c r="U35" s="534"/>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0"/>
      <c r="BG35" s="520"/>
      <c r="BH35" s="520"/>
      <c r="BI35" s="520"/>
      <c r="BJ35" s="520"/>
      <c r="BK35" s="520"/>
      <c r="BL35" s="520"/>
      <c r="BM35" s="520"/>
      <c r="BN35" s="520"/>
      <c r="BO35" s="520"/>
      <c r="BP35" s="520"/>
      <c r="BQ35" s="520"/>
      <c r="BR35" s="520"/>
      <c r="BS35" s="520"/>
      <c r="BT35" s="520"/>
      <c r="BU35" s="520"/>
      <c r="BV35" s="520"/>
      <c r="BW35" s="520"/>
      <c r="BX35" s="520"/>
      <c r="BY35" s="520"/>
      <c r="BZ35" s="520"/>
      <c r="CA35" s="520"/>
      <c r="CB35" s="520"/>
      <c r="CC35" s="520"/>
      <c r="CD35" s="520"/>
      <c r="CE35" s="520"/>
      <c r="CF35" s="520"/>
      <c r="CG35" s="520"/>
      <c r="CH35" s="520"/>
      <c r="CI35" s="520"/>
      <c r="CJ35" s="520"/>
      <c r="CK35" s="520"/>
      <c r="CL35" s="520"/>
      <c r="CM35" s="520"/>
      <c r="CN35" s="520"/>
      <c r="CO35" s="520"/>
      <c r="CP35" s="520"/>
      <c r="CQ35" s="520"/>
      <c r="CR35" s="520"/>
      <c r="CS35" s="520"/>
      <c r="CT35" s="520"/>
      <c r="CU35" s="520"/>
      <c r="CV35" s="520"/>
      <c r="CW35" s="520"/>
      <c r="CX35" s="520"/>
      <c r="CY35" s="520"/>
      <c r="CZ35" s="520"/>
      <c r="DA35" s="520"/>
      <c r="DB35" s="520"/>
      <c r="DC35" s="520"/>
      <c r="DD35" s="520"/>
      <c r="DE35" s="520"/>
      <c r="DF35" s="520"/>
      <c r="DG35" s="520"/>
      <c r="DH35" s="520"/>
      <c r="DI35" s="520"/>
      <c r="DJ35" s="520"/>
      <c r="DK35" s="520"/>
      <c r="DL35" s="520"/>
      <c r="DM35" s="520"/>
      <c r="DN35" s="520"/>
      <c r="DO35" s="520"/>
      <c r="DP35" s="520"/>
      <c r="DQ35" s="520"/>
      <c r="DR35" s="520"/>
      <c r="DS35" s="520"/>
      <c r="DT35" s="520"/>
      <c r="DU35" s="520"/>
      <c r="DV35" s="520"/>
      <c r="DW35" s="520"/>
      <c r="DX35" s="520"/>
      <c r="DY35" s="520"/>
      <c r="DZ35" s="520"/>
      <c r="EA35" s="520"/>
      <c r="EB35" s="520"/>
      <c r="EC35" s="520"/>
      <c r="ED35" s="520"/>
      <c r="EE35" s="520"/>
      <c r="EF35" s="520"/>
      <c r="EG35" s="520"/>
      <c r="EH35" s="520"/>
      <c r="EI35" s="520"/>
      <c r="EJ35" s="520"/>
      <c r="EK35" s="520"/>
      <c r="EL35" s="520"/>
      <c r="EM35" s="520"/>
      <c r="EN35" s="520"/>
      <c r="EO35" s="520"/>
      <c r="EP35" s="520"/>
      <c r="EQ35" s="520"/>
      <c r="ER35" s="520"/>
      <c r="ES35" s="520"/>
      <c r="ET35" s="520"/>
      <c r="EU35" s="520"/>
      <c r="EV35" s="520"/>
      <c r="EW35" s="520"/>
      <c r="EX35" s="520"/>
      <c r="EY35" s="520"/>
      <c r="EZ35" s="520"/>
      <c r="FA35" s="520"/>
      <c r="FB35" s="520"/>
      <c r="FC35" s="520"/>
      <c r="FD35" s="520"/>
      <c r="FE35" s="520"/>
      <c r="FF35" s="520"/>
      <c r="FG35" s="520"/>
      <c r="FH35" s="520"/>
      <c r="FI35" s="520"/>
      <c r="FJ35" s="520"/>
      <c r="FK35" s="520"/>
      <c r="FL35" s="520"/>
      <c r="FM35" s="520"/>
      <c r="FN35" s="520"/>
      <c r="FO35" s="520"/>
      <c r="FP35" s="520"/>
      <c r="FQ35" s="520"/>
      <c r="FR35" s="520"/>
      <c r="FS35" s="520"/>
      <c r="FT35" s="520"/>
      <c r="FU35" s="520"/>
      <c r="FV35" s="520"/>
      <c r="FW35" s="520"/>
      <c r="FX35" s="520"/>
      <c r="FY35" s="520"/>
      <c r="FZ35" s="520"/>
      <c r="GA35" s="520"/>
      <c r="GB35" s="520"/>
      <c r="GC35" s="520"/>
      <c r="GD35" s="520"/>
      <c r="GE35" s="520"/>
      <c r="GF35" s="520"/>
      <c r="GG35" s="520"/>
      <c r="GH35" s="520"/>
      <c r="GI35" s="520"/>
      <c r="GJ35" s="520"/>
      <c r="GK35" s="520"/>
      <c r="GL35" s="520"/>
      <c r="GM35" s="520"/>
      <c r="GN35" s="520"/>
      <c r="GO35" s="520"/>
      <c r="GP35" s="520"/>
      <c r="GQ35" s="520"/>
      <c r="GR35" s="520"/>
      <c r="GS35" s="520"/>
      <c r="GT35" s="520"/>
      <c r="GU35" s="520"/>
      <c r="GV35" s="520"/>
      <c r="GW35" s="520"/>
      <c r="GX35" s="520"/>
      <c r="GY35" s="520"/>
      <c r="GZ35" s="520"/>
      <c r="HA35" s="520"/>
      <c r="HB35" s="520"/>
      <c r="HC35" s="520"/>
      <c r="HD35" s="520"/>
      <c r="HE35" s="520"/>
      <c r="HF35" s="520"/>
      <c r="HG35" s="520"/>
      <c r="HH35" s="520"/>
      <c r="HI35" s="520"/>
      <c r="HJ35" s="520"/>
      <c r="HK35" s="520"/>
      <c r="HL35" s="520"/>
      <c r="HM35" s="520"/>
      <c r="HN35" s="520"/>
      <c r="HO35" s="520"/>
      <c r="HP35" s="520"/>
      <c r="HQ35" s="520"/>
      <c r="HR35" s="520"/>
      <c r="HS35" s="520"/>
      <c r="HT35" s="520"/>
      <c r="HU35" s="520"/>
      <c r="HV35" s="520"/>
      <c r="HW35" s="520"/>
      <c r="HX35" s="520"/>
      <c r="HY35" s="520"/>
      <c r="HZ35" s="520"/>
      <c r="IA35" s="520"/>
      <c r="IB35" s="520"/>
      <c r="IC35" s="520"/>
      <c r="ID35" s="520"/>
      <c r="IE35" s="520"/>
      <c r="IF35" s="520"/>
      <c r="IG35" s="520"/>
      <c r="IH35" s="520"/>
      <c r="II35" s="520"/>
      <c r="IJ35" s="520"/>
      <c r="IK35" s="520"/>
      <c r="IL35" s="520"/>
      <c r="IM35" s="520"/>
      <c r="IN35" s="520"/>
      <c r="IO35" s="520"/>
      <c r="IP35" s="520"/>
      <c r="IQ35" s="520"/>
      <c r="IR35" s="520"/>
      <c r="IS35" s="520"/>
    </row>
    <row r="36" spans="1:253" x14ac:dyDescent="0.25">
      <c r="A36" s="535"/>
      <c r="B36" s="641" t="s">
        <v>420</v>
      </c>
      <c r="C36" s="533"/>
      <c r="D36" s="533"/>
      <c r="E36" s="533"/>
      <c r="F36" s="533"/>
      <c r="G36" s="533"/>
      <c r="H36" s="516"/>
      <c r="I36" s="516"/>
      <c r="J36" s="516"/>
      <c r="K36" s="500"/>
      <c r="L36" s="516">
        <v>0</v>
      </c>
      <c r="M36" s="516">
        <v>0</v>
      </c>
      <c r="N36" s="516"/>
      <c r="O36" s="516"/>
      <c r="P36" s="516"/>
      <c r="Q36" s="517"/>
      <c r="R36" s="516"/>
      <c r="S36" s="516"/>
      <c r="T36" s="514"/>
      <c r="U36" s="534"/>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520"/>
      <c r="BL36" s="520"/>
      <c r="BM36" s="520"/>
      <c r="BN36" s="520"/>
      <c r="BO36" s="520"/>
      <c r="BP36" s="520"/>
      <c r="BQ36" s="520"/>
      <c r="BR36" s="520"/>
      <c r="BS36" s="520"/>
      <c r="BT36" s="520"/>
      <c r="BU36" s="520"/>
      <c r="BV36" s="520"/>
      <c r="BW36" s="520"/>
      <c r="BX36" s="520"/>
      <c r="BY36" s="520"/>
      <c r="BZ36" s="520"/>
      <c r="CA36" s="520"/>
      <c r="CB36" s="520"/>
      <c r="CC36" s="520"/>
      <c r="CD36" s="520"/>
      <c r="CE36" s="520"/>
      <c r="CF36" s="520"/>
      <c r="CG36" s="520"/>
      <c r="CH36" s="520"/>
      <c r="CI36" s="520"/>
      <c r="CJ36" s="520"/>
      <c r="CK36" s="520"/>
      <c r="CL36" s="520"/>
      <c r="CM36" s="520"/>
      <c r="CN36" s="520"/>
      <c r="CO36" s="520"/>
      <c r="CP36" s="520"/>
      <c r="CQ36" s="520"/>
      <c r="CR36" s="520"/>
      <c r="CS36" s="520"/>
      <c r="CT36" s="520"/>
      <c r="CU36" s="520"/>
      <c r="CV36" s="520"/>
      <c r="CW36" s="520"/>
      <c r="CX36" s="520"/>
      <c r="CY36" s="520"/>
      <c r="CZ36" s="520"/>
      <c r="DA36" s="520"/>
      <c r="DB36" s="520"/>
      <c r="DC36" s="520"/>
      <c r="DD36" s="520"/>
      <c r="DE36" s="520"/>
      <c r="DF36" s="520"/>
      <c r="DG36" s="520"/>
      <c r="DH36" s="520"/>
      <c r="DI36" s="520"/>
      <c r="DJ36" s="520"/>
      <c r="DK36" s="520"/>
      <c r="DL36" s="520"/>
      <c r="DM36" s="520"/>
      <c r="DN36" s="520"/>
      <c r="DO36" s="520"/>
      <c r="DP36" s="520"/>
      <c r="DQ36" s="520"/>
      <c r="DR36" s="520"/>
      <c r="DS36" s="520"/>
      <c r="DT36" s="520"/>
      <c r="DU36" s="520"/>
      <c r="DV36" s="520"/>
      <c r="DW36" s="520"/>
      <c r="DX36" s="520"/>
      <c r="DY36" s="520"/>
      <c r="DZ36" s="520"/>
      <c r="EA36" s="520"/>
      <c r="EB36" s="520"/>
      <c r="EC36" s="520"/>
      <c r="ED36" s="520"/>
      <c r="EE36" s="520"/>
      <c r="EF36" s="520"/>
      <c r="EG36" s="520"/>
      <c r="EH36" s="520"/>
      <c r="EI36" s="520"/>
      <c r="EJ36" s="520"/>
      <c r="EK36" s="520"/>
      <c r="EL36" s="520"/>
      <c r="EM36" s="520"/>
      <c r="EN36" s="520"/>
      <c r="EO36" s="520"/>
      <c r="EP36" s="520"/>
      <c r="EQ36" s="520"/>
      <c r="ER36" s="520"/>
      <c r="ES36" s="520"/>
      <c r="ET36" s="520"/>
      <c r="EU36" s="520"/>
      <c r="EV36" s="520"/>
      <c r="EW36" s="520"/>
      <c r="EX36" s="520"/>
      <c r="EY36" s="520"/>
      <c r="EZ36" s="520"/>
      <c r="FA36" s="520"/>
      <c r="FB36" s="520"/>
      <c r="FC36" s="520"/>
      <c r="FD36" s="520"/>
      <c r="FE36" s="520"/>
      <c r="FF36" s="520"/>
      <c r="FG36" s="520"/>
      <c r="FH36" s="520"/>
      <c r="FI36" s="520"/>
      <c r="FJ36" s="520"/>
      <c r="FK36" s="520"/>
      <c r="FL36" s="520"/>
      <c r="FM36" s="520"/>
      <c r="FN36" s="520"/>
      <c r="FO36" s="520"/>
      <c r="FP36" s="520"/>
      <c r="FQ36" s="520"/>
      <c r="FR36" s="520"/>
      <c r="FS36" s="520"/>
      <c r="FT36" s="520"/>
      <c r="FU36" s="520"/>
      <c r="FV36" s="520"/>
      <c r="FW36" s="520"/>
      <c r="FX36" s="520"/>
      <c r="FY36" s="520"/>
      <c r="FZ36" s="520"/>
      <c r="GA36" s="520"/>
      <c r="GB36" s="520"/>
      <c r="GC36" s="520"/>
      <c r="GD36" s="520"/>
      <c r="GE36" s="520"/>
      <c r="GF36" s="520"/>
      <c r="GG36" s="520"/>
      <c r="GH36" s="520"/>
      <c r="GI36" s="520"/>
      <c r="GJ36" s="520"/>
      <c r="GK36" s="520"/>
      <c r="GL36" s="520"/>
      <c r="GM36" s="520"/>
      <c r="GN36" s="520"/>
      <c r="GO36" s="520"/>
      <c r="GP36" s="520"/>
      <c r="GQ36" s="520"/>
      <c r="GR36" s="520"/>
      <c r="GS36" s="520"/>
      <c r="GT36" s="520"/>
      <c r="GU36" s="520"/>
      <c r="GV36" s="520"/>
      <c r="GW36" s="520"/>
      <c r="GX36" s="520"/>
      <c r="GY36" s="520"/>
      <c r="GZ36" s="520"/>
      <c r="HA36" s="520"/>
      <c r="HB36" s="520"/>
      <c r="HC36" s="520"/>
      <c r="HD36" s="520"/>
      <c r="HE36" s="520"/>
      <c r="HF36" s="520"/>
      <c r="HG36" s="520"/>
      <c r="HH36" s="520"/>
      <c r="HI36" s="520"/>
      <c r="HJ36" s="520"/>
      <c r="HK36" s="520"/>
      <c r="HL36" s="520"/>
      <c r="HM36" s="520"/>
      <c r="HN36" s="520"/>
      <c r="HO36" s="520"/>
      <c r="HP36" s="520"/>
      <c r="HQ36" s="520"/>
      <c r="HR36" s="520"/>
      <c r="HS36" s="520"/>
      <c r="HT36" s="520"/>
      <c r="HU36" s="520"/>
      <c r="HV36" s="520"/>
      <c r="HW36" s="520"/>
      <c r="HX36" s="520"/>
      <c r="HY36" s="520"/>
      <c r="HZ36" s="520"/>
      <c r="IA36" s="520"/>
      <c r="IB36" s="520"/>
      <c r="IC36" s="520"/>
      <c r="ID36" s="520"/>
      <c r="IE36" s="520"/>
      <c r="IF36" s="520"/>
      <c r="IG36" s="520"/>
      <c r="IH36" s="520"/>
      <c r="II36" s="520"/>
      <c r="IJ36" s="520"/>
      <c r="IK36" s="520"/>
      <c r="IL36" s="520"/>
      <c r="IM36" s="520"/>
      <c r="IN36" s="520"/>
      <c r="IO36" s="520"/>
      <c r="IP36" s="520"/>
      <c r="IQ36" s="520"/>
      <c r="IR36" s="520"/>
      <c r="IS36" s="520"/>
    </row>
    <row r="37" spans="1:253" ht="30" x14ac:dyDescent="0.25">
      <c r="A37" s="521">
        <v>1</v>
      </c>
      <c r="B37" s="549" t="s">
        <v>421</v>
      </c>
      <c r="C37" s="522" t="s">
        <v>422</v>
      </c>
      <c r="D37" s="522" t="s">
        <v>423</v>
      </c>
      <c r="E37" s="536">
        <v>14686</v>
      </c>
      <c r="F37" s="536">
        <v>12771</v>
      </c>
      <c r="G37" s="536">
        <v>1915</v>
      </c>
      <c r="H37" s="536">
        <v>14686</v>
      </c>
      <c r="I37" s="523">
        <v>12771</v>
      </c>
      <c r="J37" s="523">
        <v>1915</v>
      </c>
      <c r="K37" s="505">
        <v>7096</v>
      </c>
      <c r="L37" s="523">
        <v>6613</v>
      </c>
      <c r="M37" s="523">
        <v>483</v>
      </c>
      <c r="N37" s="505">
        <f t="shared" ref="N37:P53" si="14">H37-K37</f>
        <v>7590</v>
      </c>
      <c r="O37" s="505">
        <f t="shared" si="14"/>
        <v>6158</v>
      </c>
      <c r="P37" s="505">
        <f t="shared" si="14"/>
        <v>1432</v>
      </c>
      <c r="Q37" s="506">
        <f t="shared" ref="Q37:Q53" si="15">R37+S37</f>
        <v>3050</v>
      </c>
      <c r="R37" s="523">
        <v>2900</v>
      </c>
      <c r="S37" s="523">
        <v>150</v>
      </c>
      <c r="T37" s="522" t="s">
        <v>424</v>
      </c>
      <c r="U37" s="522"/>
    </row>
    <row r="38" spans="1:253" x14ac:dyDescent="0.25">
      <c r="A38" s="526"/>
      <c r="B38" s="640" t="s">
        <v>390</v>
      </c>
      <c r="C38" s="498"/>
      <c r="D38" s="498"/>
      <c r="E38" s="498"/>
      <c r="F38" s="527"/>
      <c r="G38" s="527"/>
      <c r="H38" s="528"/>
      <c r="I38" s="528"/>
      <c r="J38" s="528"/>
      <c r="K38" s="528"/>
      <c r="L38" s="528"/>
      <c r="M38" s="528"/>
      <c r="N38" s="528"/>
      <c r="O38" s="528"/>
      <c r="P38" s="528"/>
      <c r="Q38" s="517"/>
      <c r="R38" s="528"/>
      <c r="S38" s="528"/>
      <c r="T38" s="529"/>
      <c r="U38" s="502"/>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20"/>
      <c r="BN38" s="520"/>
      <c r="BO38" s="520"/>
      <c r="BP38" s="520"/>
      <c r="BQ38" s="520"/>
      <c r="BR38" s="520"/>
      <c r="BS38" s="520"/>
      <c r="BT38" s="520"/>
      <c r="BU38" s="520"/>
      <c r="BV38" s="520"/>
      <c r="BW38" s="520"/>
      <c r="BX38" s="520"/>
      <c r="BY38" s="520"/>
      <c r="BZ38" s="520"/>
      <c r="CA38" s="520"/>
      <c r="CB38" s="520"/>
      <c r="CC38" s="520"/>
      <c r="CD38" s="520"/>
      <c r="CE38" s="520"/>
      <c r="CF38" s="520"/>
      <c r="CG38" s="520"/>
      <c r="CH38" s="520"/>
      <c r="CI38" s="520"/>
      <c r="CJ38" s="520"/>
      <c r="CK38" s="520"/>
      <c r="CL38" s="520"/>
      <c r="CM38" s="520"/>
      <c r="CN38" s="520"/>
      <c r="CO38" s="520"/>
      <c r="CP38" s="520"/>
      <c r="CQ38" s="520"/>
      <c r="CR38" s="520"/>
      <c r="CS38" s="520"/>
      <c r="CT38" s="520"/>
      <c r="CU38" s="520"/>
      <c r="CV38" s="520"/>
      <c r="CW38" s="520"/>
      <c r="CX38" s="520"/>
      <c r="CY38" s="520"/>
      <c r="CZ38" s="520"/>
      <c r="DA38" s="520"/>
      <c r="DB38" s="520"/>
      <c r="DC38" s="520"/>
      <c r="DD38" s="520"/>
      <c r="DE38" s="520"/>
      <c r="DF38" s="520"/>
      <c r="DG38" s="520"/>
      <c r="DH38" s="520"/>
      <c r="DI38" s="520"/>
      <c r="DJ38" s="520"/>
      <c r="DK38" s="520"/>
      <c r="DL38" s="520"/>
      <c r="DM38" s="520"/>
      <c r="DN38" s="520"/>
      <c r="DO38" s="520"/>
      <c r="DP38" s="520"/>
      <c r="DQ38" s="520"/>
      <c r="DR38" s="520"/>
      <c r="DS38" s="520"/>
      <c r="DT38" s="520"/>
      <c r="DU38" s="520"/>
      <c r="DV38" s="520"/>
      <c r="DW38" s="520"/>
      <c r="DX38" s="520"/>
      <c r="DY38" s="520"/>
      <c r="DZ38" s="520"/>
      <c r="EA38" s="520"/>
      <c r="EB38" s="520"/>
      <c r="EC38" s="520"/>
      <c r="ED38" s="520"/>
      <c r="EE38" s="520"/>
      <c r="EF38" s="520"/>
      <c r="EG38" s="520"/>
      <c r="EH38" s="520"/>
      <c r="EI38" s="520"/>
      <c r="EJ38" s="520"/>
      <c r="EK38" s="520"/>
      <c r="EL38" s="520"/>
      <c r="EM38" s="520"/>
      <c r="EN38" s="520"/>
      <c r="EO38" s="520"/>
      <c r="EP38" s="520"/>
      <c r="EQ38" s="520"/>
      <c r="ER38" s="520"/>
      <c r="ES38" s="520"/>
      <c r="ET38" s="520"/>
      <c r="EU38" s="520"/>
      <c r="EV38" s="520"/>
      <c r="EW38" s="520"/>
      <c r="EX38" s="520"/>
      <c r="EY38" s="520"/>
      <c r="EZ38" s="520"/>
      <c r="FA38" s="520"/>
      <c r="FB38" s="520"/>
      <c r="FC38" s="520"/>
      <c r="FD38" s="520"/>
      <c r="FE38" s="520"/>
      <c r="FF38" s="520"/>
      <c r="FG38" s="520"/>
      <c r="FH38" s="520"/>
      <c r="FI38" s="520"/>
      <c r="FJ38" s="520"/>
      <c r="FK38" s="520"/>
      <c r="FL38" s="520"/>
      <c r="FM38" s="520"/>
      <c r="FN38" s="520"/>
      <c r="FO38" s="520"/>
      <c r="FP38" s="520"/>
      <c r="FQ38" s="520"/>
      <c r="FR38" s="520"/>
      <c r="FS38" s="520"/>
      <c r="FT38" s="520"/>
      <c r="FU38" s="520"/>
      <c r="FV38" s="520"/>
      <c r="FW38" s="520"/>
      <c r="FX38" s="520"/>
      <c r="FY38" s="520"/>
      <c r="FZ38" s="520"/>
      <c r="GA38" s="520"/>
      <c r="GB38" s="520"/>
      <c r="GC38" s="520"/>
      <c r="GD38" s="520"/>
      <c r="GE38" s="520"/>
      <c r="GF38" s="520"/>
      <c r="GG38" s="520"/>
      <c r="GH38" s="520"/>
      <c r="GI38" s="520"/>
      <c r="GJ38" s="520"/>
      <c r="GK38" s="520"/>
      <c r="GL38" s="520"/>
      <c r="GM38" s="520"/>
      <c r="GN38" s="520"/>
      <c r="GO38" s="520"/>
      <c r="GP38" s="520"/>
      <c r="GQ38" s="520"/>
      <c r="GR38" s="520"/>
      <c r="GS38" s="520"/>
      <c r="GT38" s="520"/>
      <c r="GU38" s="520"/>
      <c r="GV38" s="520"/>
      <c r="GW38" s="520"/>
      <c r="GX38" s="520"/>
      <c r="GY38" s="520"/>
      <c r="GZ38" s="520"/>
      <c r="HA38" s="520"/>
      <c r="HB38" s="520"/>
      <c r="HC38" s="520"/>
      <c r="HD38" s="520"/>
      <c r="HE38" s="520"/>
      <c r="HF38" s="520"/>
      <c r="HG38" s="520"/>
      <c r="HH38" s="520"/>
      <c r="HI38" s="520"/>
      <c r="HJ38" s="520"/>
      <c r="HK38" s="520"/>
      <c r="HL38" s="520"/>
      <c r="HM38" s="520"/>
      <c r="HN38" s="520"/>
      <c r="HO38" s="520"/>
      <c r="HP38" s="520"/>
      <c r="HQ38" s="520"/>
      <c r="HR38" s="520"/>
      <c r="HS38" s="520"/>
      <c r="HT38" s="520"/>
      <c r="HU38" s="520"/>
      <c r="HV38" s="520"/>
      <c r="HW38" s="520"/>
      <c r="HX38" s="520"/>
      <c r="HY38" s="520"/>
      <c r="HZ38" s="520"/>
      <c r="IA38" s="520"/>
      <c r="IB38" s="520"/>
      <c r="IC38" s="520"/>
      <c r="ID38" s="520"/>
      <c r="IE38" s="520"/>
      <c r="IF38" s="520"/>
      <c r="IG38" s="520"/>
      <c r="IH38" s="520"/>
      <c r="II38" s="520"/>
      <c r="IJ38" s="520"/>
      <c r="IK38" s="520"/>
      <c r="IL38" s="520"/>
      <c r="IM38" s="520"/>
      <c r="IN38" s="520"/>
      <c r="IO38" s="520"/>
      <c r="IP38" s="520"/>
      <c r="IQ38" s="520"/>
    </row>
    <row r="39" spans="1:253" ht="45" x14ac:dyDescent="0.25">
      <c r="A39" s="521">
        <v>2</v>
      </c>
      <c r="B39" s="549" t="s">
        <v>425</v>
      </c>
      <c r="C39" s="522" t="s">
        <v>392</v>
      </c>
      <c r="D39" s="522"/>
      <c r="E39" s="522"/>
      <c r="F39" s="522"/>
      <c r="G39" s="523"/>
      <c r="H39" s="536">
        <v>26496</v>
      </c>
      <c r="I39" s="523">
        <v>23040</v>
      </c>
      <c r="J39" s="523">
        <v>3456</v>
      </c>
      <c r="K39" s="505">
        <v>0</v>
      </c>
      <c r="L39" s="523">
        <v>0</v>
      </c>
      <c r="M39" s="523">
        <v>0</v>
      </c>
      <c r="N39" s="505">
        <f t="shared" si="14"/>
        <v>26496</v>
      </c>
      <c r="O39" s="505">
        <f t="shared" si="14"/>
        <v>23040</v>
      </c>
      <c r="P39" s="505">
        <f t="shared" si="14"/>
        <v>3456</v>
      </c>
      <c r="Q39" s="506">
        <f t="shared" si="15"/>
        <v>4518</v>
      </c>
      <c r="R39" s="523">
        <f>5000-702</f>
        <v>4298</v>
      </c>
      <c r="S39" s="523">
        <v>220</v>
      </c>
      <c r="T39" s="522" t="s">
        <v>424</v>
      </c>
      <c r="U39" s="489" t="s">
        <v>393</v>
      </c>
    </row>
    <row r="40" spans="1:253" x14ac:dyDescent="0.25">
      <c r="A40" s="535"/>
      <c r="B40" s="641" t="s">
        <v>211</v>
      </c>
      <c r="C40" s="533"/>
      <c r="D40" s="533"/>
      <c r="E40" s="533"/>
      <c r="F40" s="533"/>
      <c r="G40" s="523"/>
      <c r="H40" s="516"/>
      <c r="I40" s="516"/>
      <c r="J40" s="516"/>
      <c r="K40" s="500">
        <v>0</v>
      </c>
      <c r="L40" s="516">
        <v>0</v>
      </c>
      <c r="M40" s="516">
        <v>0</v>
      </c>
      <c r="N40" s="505">
        <f t="shared" si="14"/>
        <v>0</v>
      </c>
      <c r="O40" s="505">
        <f t="shared" si="14"/>
        <v>0</v>
      </c>
      <c r="P40" s="505">
        <f t="shared" si="14"/>
        <v>0</v>
      </c>
      <c r="Q40" s="506">
        <f t="shared" si="15"/>
        <v>0</v>
      </c>
      <c r="R40" s="516"/>
      <c r="S40" s="516"/>
      <c r="T40" s="514"/>
      <c r="U40" s="534"/>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c r="BO40" s="520"/>
      <c r="BP40" s="520"/>
      <c r="BQ40" s="520"/>
      <c r="BR40" s="520"/>
      <c r="BS40" s="520"/>
      <c r="BT40" s="520"/>
      <c r="BU40" s="520"/>
      <c r="BV40" s="520"/>
      <c r="BW40" s="520"/>
      <c r="BX40" s="520"/>
      <c r="BY40" s="520"/>
      <c r="BZ40" s="520"/>
      <c r="CA40" s="520"/>
      <c r="CB40" s="520"/>
      <c r="CC40" s="520"/>
      <c r="CD40" s="520"/>
      <c r="CE40" s="520"/>
      <c r="CF40" s="520"/>
      <c r="CG40" s="520"/>
      <c r="CH40" s="520"/>
      <c r="CI40" s="520"/>
      <c r="CJ40" s="520"/>
      <c r="CK40" s="520"/>
      <c r="CL40" s="520"/>
      <c r="CM40" s="520"/>
      <c r="CN40" s="520"/>
      <c r="CO40" s="520"/>
      <c r="CP40" s="520"/>
      <c r="CQ40" s="520"/>
      <c r="CR40" s="520"/>
      <c r="CS40" s="520"/>
      <c r="CT40" s="520"/>
      <c r="CU40" s="520"/>
      <c r="CV40" s="520"/>
      <c r="CW40" s="520"/>
      <c r="CX40" s="520"/>
      <c r="CY40" s="520"/>
      <c r="CZ40" s="520"/>
      <c r="DA40" s="520"/>
      <c r="DB40" s="520"/>
      <c r="DC40" s="520"/>
      <c r="DD40" s="520"/>
      <c r="DE40" s="520"/>
      <c r="DF40" s="520"/>
      <c r="DG40" s="520"/>
      <c r="DH40" s="520"/>
      <c r="DI40" s="520"/>
      <c r="DJ40" s="520"/>
      <c r="DK40" s="520"/>
      <c r="DL40" s="520"/>
      <c r="DM40" s="520"/>
      <c r="DN40" s="520"/>
      <c r="DO40" s="520"/>
      <c r="DP40" s="520"/>
      <c r="DQ40" s="520"/>
      <c r="DR40" s="520"/>
      <c r="DS40" s="520"/>
      <c r="DT40" s="520"/>
      <c r="DU40" s="520"/>
      <c r="DV40" s="520"/>
      <c r="DW40" s="520"/>
      <c r="DX40" s="520"/>
      <c r="DY40" s="520"/>
      <c r="DZ40" s="520"/>
      <c r="EA40" s="520"/>
      <c r="EB40" s="520"/>
      <c r="EC40" s="520"/>
      <c r="ED40" s="520"/>
      <c r="EE40" s="520"/>
      <c r="EF40" s="520"/>
      <c r="EG40" s="520"/>
      <c r="EH40" s="520"/>
      <c r="EI40" s="520"/>
      <c r="EJ40" s="520"/>
      <c r="EK40" s="520"/>
      <c r="EL40" s="520"/>
      <c r="EM40" s="520"/>
      <c r="EN40" s="520"/>
      <c r="EO40" s="520"/>
      <c r="EP40" s="520"/>
      <c r="EQ40" s="520"/>
      <c r="ER40" s="520"/>
      <c r="ES40" s="520"/>
      <c r="ET40" s="520"/>
      <c r="EU40" s="520"/>
      <c r="EV40" s="520"/>
      <c r="EW40" s="520"/>
      <c r="EX40" s="520"/>
      <c r="EY40" s="520"/>
      <c r="EZ40" s="520"/>
      <c r="FA40" s="520"/>
      <c r="FB40" s="520"/>
      <c r="FC40" s="520"/>
      <c r="FD40" s="520"/>
      <c r="FE40" s="520"/>
      <c r="FF40" s="520"/>
      <c r="FG40" s="520"/>
      <c r="FH40" s="520"/>
      <c r="FI40" s="520"/>
      <c r="FJ40" s="520"/>
      <c r="FK40" s="520"/>
      <c r="FL40" s="520"/>
      <c r="FM40" s="520"/>
      <c r="FN40" s="520"/>
      <c r="FO40" s="520"/>
      <c r="FP40" s="520"/>
      <c r="FQ40" s="520"/>
      <c r="FR40" s="520"/>
      <c r="FS40" s="520"/>
      <c r="FT40" s="520"/>
      <c r="FU40" s="520"/>
      <c r="FV40" s="520"/>
      <c r="FW40" s="520"/>
      <c r="FX40" s="520"/>
      <c r="FY40" s="520"/>
      <c r="FZ40" s="520"/>
      <c r="GA40" s="520"/>
      <c r="GB40" s="520"/>
      <c r="GC40" s="520"/>
      <c r="GD40" s="520"/>
      <c r="GE40" s="520"/>
      <c r="GF40" s="520"/>
      <c r="GG40" s="520"/>
      <c r="GH40" s="520"/>
      <c r="GI40" s="520"/>
      <c r="GJ40" s="520"/>
      <c r="GK40" s="520"/>
      <c r="GL40" s="520"/>
      <c r="GM40" s="520"/>
      <c r="GN40" s="520"/>
      <c r="GO40" s="520"/>
      <c r="GP40" s="520"/>
      <c r="GQ40" s="520"/>
      <c r="GR40" s="520"/>
      <c r="GS40" s="520"/>
      <c r="GT40" s="520"/>
      <c r="GU40" s="520"/>
      <c r="GV40" s="520"/>
      <c r="GW40" s="520"/>
      <c r="GX40" s="520"/>
      <c r="GY40" s="520"/>
      <c r="GZ40" s="520"/>
      <c r="HA40" s="520"/>
      <c r="HB40" s="520"/>
      <c r="HC40" s="520"/>
      <c r="HD40" s="520"/>
      <c r="HE40" s="520"/>
      <c r="HF40" s="520"/>
      <c r="HG40" s="520"/>
      <c r="HH40" s="520"/>
      <c r="HI40" s="520"/>
      <c r="HJ40" s="520"/>
      <c r="HK40" s="520"/>
      <c r="HL40" s="520"/>
      <c r="HM40" s="520"/>
      <c r="HN40" s="520"/>
      <c r="HO40" s="520"/>
      <c r="HP40" s="520"/>
      <c r="HQ40" s="520"/>
      <c r="HR40" s="520"/>
      <c r="HS40" s="520"/>
      <c r="HT40" s="520"/>
      <c r="HU40" s="520"/>
      <c r="HV40" s="520"/>
      <c r="HW40" s="520"/>
      <c r="HX40" s="520"/>
      <c r="HY40" s="520"/>
      <c r="HZ40" s="520"/>
      <c r="IA40" s="520"/>
      <c r="IB40" s="520"/>
      <c r="IC40" s="520"/>
      <c r="ID40" s="520"/>
      <c r="IE40" s="520"/>
      <c r="IF40" s="520"/>
      <c r="IG40" s="520"/>
      <c r="IH40" s="520"/>
      <c r="II40" s="520"/>
      <c r="IJ40" s="520"/>
      <c r="IK40" s="520"/>
      <c r="IL40" s="520"/>
      <c r="IM40" s="520"/>
      <c r="IN40" s="520"/>
      <c r="IO40" s="520"/>
      <c r="IP40" s="520"/>
      <c r="IQ40" s="520"/>
      <c r="IR40" s="520"/>
      <c r="IS40" s="520"/>
    </row>
    <row r="41" spans="1:253" ht="30" x14ac:dyDescent="0.25">
      <c r="A41" s="521">
        <v>1</v>
      </c>
      <c r="B41" s="642" t="s">
        <v>426</v>
      </c>
      <c r="C41" s="522" t="s">
        <v>422</v>
      </c>
      <c r="D41" s="522" t="s">
        <v>427</v>
      </c>
      <c r="E41" s="536">
        <v>23878</v>
      </c>
      <c r="F41" s="536">
        <v>21416</v>
      </c>
      <c r="G41" s="536">
        <v>2462</v>
      </c>
      <c r="H41" s="536">
        <v>23878</v>
      </c>
      <c r="I41" s="523">
        <v>21416</v>
      </c>
      <c r="J41" s="523">
        <v>2462</v>
      </c>
      <c r="K41" s="505">
        <v>11162</v>
      </c>
      <c r="L41" s="523">
        <v>10816</v>
      </c>
      <c r="M41" s="523">
        <v>346</v>
      </c>
      <c r="N41" s="505">
        <f t="shared" si="14"/>
        <v>12716</v>
      </c>
      <c r="O41" s="505">
        <f t="shared" si="14"/>
        <v>10600</v>
      </c>
      <c r="P41" s="505">
        <f t="shared" si="14"/>
        <v>2116</v>
      </c>
      <c r="Q41" s="506">
        <f t="shared" si="15"/>
        <v>5475</v>
      </c>
      <c r="R41" s="523">
        <v>5200</v>
      </c>
      <c r="S41" s="523">
        <v>275</v>
      </c>
      <c r="T41" s="522" t="s">
        <v>424</v>
      </c>
      <c r="U41" s="522"/>
    </row>
    <row r="42" spans="1:253" x14ac:dyDescent="0.25">
      <c r="A42" s="526"/>
      <c r="B42" s="640" t="s">
        <v>390</v>
      </c>
      <c r="C42" s="498"/>
      <c r="D42" s="498"/>
      <c r="E42" s="498"/>
      <c r="F42" s="527"/>
      <c r="G42" s="527"/>
      <c r="H42" s="528"/>
      <c r="I42" s="528"/>
      <c r="J42" s="528"/>
      <c r="K42" s="528"/>
      <c r="L42" s="528"/>
      <c r="M42" s="528"/>
      <c r="N42" s="528"/>
      <c r="O42" s="528"/>
      <c r="P42" s="528"/>
      <c r="Q42" s="517"/>
      <c r="R42" s="528"/>
      <c r="S42" s="528"/>
      <c r="T42" s="529"/>
      <c r="U42" s="502"/>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0"/>
      <c r="BZ42" s="520"/>
      <c r="CA42" s="520"/>
      <c r="CB42" s="520"/>
      <c r="CC42" s="520"/>
      <c r="CD42" s="520"/>
      <c r="CE42" s="520"/>
      <c r="CF42" s="520"/>
      <c r="CG42" s="520"/>
      <c r="CH42" s="520"/>
      <c r="CI42" s="520"/>
      <c r="CJ42" s="520"/>
      <c r="CK42" s="520"/>
      <c r="CL42" s="520"/>
      <c r="CM42" s="520"/>
      <c r="CN42" s="520"/>
      <c r="CO42" s="520"/>
      <c r="CP42" s="520"/>
      <c r="CQ42" s="520"/>
      <c r="CR42" s="520"/>
      <c r="CS42" s="520"/>
      <c r="CT42" s="520"/>
      <c r="CU42" s="520"/>
      <c r="CV42" s="520"/>
      <c r="CW42" s="520"/>
      <c r="CX42" s="520"/>
      <c r="CY42" s="520"/>
      <c r="CZ42" s="520"/>
      <c r="DA42" s="520"/>
      <c r="DB42" s="520"/>
      <c r="DC42" s="520"/>
      <c r="DD42" s="520"/>
      <c r="DE42" s="520"/>
      <c r="DF42" s="520"/>
      <c r="DG42" s="520"/>
      <c r="DH42" s="520"/>
      <c r="DI42" s="520"/>
      <c r="DJ42" s="520"/>
      <c r="DK42" s="520"/>
      <c r="DL42" s="520"/>
      <c r="DM42" s="520"/>
      <c r="DN42" s="520"/>
      <c r="DO42" s="520"/>
      <c r="DP42" s="520"/>
      <c r="DQ42" s="520"/>
      <c r="DR42" s="520"/>
      <c r="DS42" s="520"/>
      <c r="DT42" s="520"/>
      <c r="DU42" s="520"/>
      <c r="DV42" s="520"/>
      <c r="DW42" s="520"/>
      <c r="DX42" s="520"/>
      <c r="DY42" s="520"/>
      <c r="DZ42" s="520"/>
      <c r="EA42" s="520"/>
      <c r="EB42" s="520"/>
      <c r="EC42" s="520"/>
      <c r="ED42" s="520"/>
      <c r="EE42" s="520"/>
      <c r="EF42" s="520"/>
      <c r="EG42" s="520"/>
      <c r="EH42" s="520"/>
      <c r="EI42" s="520"/>
      <c r="EJ42" s="520"/>
      <c r="EK42" s="520"/>
      <c r="EL42" s="520"/>
      <c r="EM42" s="520"/>
      <c r="EN42" s="520"/>
      <c r="EO42" s="520"/>
      <c r="EP42" s="520"/>
      <c r="EQ42" s="520"/>
      <c r="ER42" s="520"/>
      <c r="ES42" s="520"/>
      <c r="ET42" s="520"/>
      <c r="EU42" s="520"/>
      <c r="EV42" s="520"/>
      <c r="EW42" s="520"/>
      <c r="EX42" s="520"/>
      <c r="EY42" s="520"/>
      <c r="EZ42" s="520"/>
      <c r="FA42" s="520"/>
      <c r="FB42" s="520"/>
      <c r="FC42" s="520"/>
      <c r="FD42" s="520"/>
      <c r="FE42" s="520"/>
      <c r="FF42" s="520"/>
      <c r="FG42" s="520"/>
      <c r="FH42" s="520"/>
      <c r="FI42" s="520"/>
      <c r="FJ42" s="520"/>
      <c r="FK42" s="520"/>
      <c r="FL42" s="520"/>
      <c r="FM42" s="520"/>
      <c r="FN42" s="520"/>
      <c r="FO42" s="520"/>
      <c r="FP42" s="520"/>
      <c r="FQ42" s="520"/>
      <c r="FR42" s="520"/>
      <c r="FS42" s="520"/>
      <c r="FT42" s="520"/>
      <c r="FU42" s="520"/>
      <c r="FV42" s="520"/>
      <c r="FW42" s="520"/>
      <c r="FX42" s="520"/>
      <c r="FY42" s="520"/>
      <c r="FZ42" s="520"/>
      <c r="GA42" s="520"/>
      <c r="GB42" s="520"/>
      <c r="GC42" s="520"/>
      <c r="GD42" s="520"/>
      <c r="GE42" s="520"/>
      <c r="GF42" s="520"/>
      <c r="GG42" s="520"/>
      <c r="GH42" s="520"/>
      <c r="GI42" s="520"/>
      <c r="GJ42" s="520"/>
      <c r="GK42" s="520"/>
      <c r="GL42" s="520"/>
      <c r="GM42" s="520"/>
      <c r="GN42" s="520"/>
      <c r="GO42" s="520"/>
      <c r="GP42" s="520"/>
      <c r="GQ42" s="520"/>
      <c r="GR42" s="520"/>
      <c r="GS42" s="520"/>
      <c r="GT42" s="520"/>
      <c r="GU42" s="520"/>
      <c r="GV42" s="520"/>
      <c r="GW42" s="520"/>
      <c r="GX42" s="520"/>
      <c r="GY42" s="520"/>
      <c r="GZ42" s="520"/>
      <c r="HA42" s="520"/>
      <c r="HB42" s="520"/>
      <c r="HC42" s="520"/>
      <c r="HD42" s="520"/>
      <c r="HE42" s="520"/>
      <c r="HF42" s="520"/>
      <c r="HG42" s="520"/>
      <c r="HH42" s="520"/>
      <c r="HI42" s="520"/>
      <c r="HJ42" s="520"/>
      <c r="HK42" s="520"/>
      <c r="HL42" s="520"/>
      <c r="HM42" s="520"/>
      <c r="HN42" s="520"/>
      <c r="HO42" s="520"/>
      <c r="HP42" s="520"/>
      <c r="HQ42" s="520"/>
      <c r="HR42" s="520"/>
      <c r="HS42" s="520"/>
      <c r="HT42" s="520"/>
      <c r="HU42" s="520"/>
      <c r="HV42" s="520"/>
      <c r="HW42" s="520"/>
      <c r="HX42" s="520"/>
      <c r="HY42" s="520"/>
      <c r="HZ42" s="520"/>
      <c r="IA42" s="520"/>
      <c r="IB42" s="520"/>
      <c r="IC42" s="520"/>
      <c r="ID42" s="520"/>
      <c r="IE42" s="520"/>
      <c r="IF42" s="520"/>
      <c r="IG42" s="520"/>
      <c r="IH42" s="520"/>
      <c r="II42" s="520"/>
      <c r="IJ42" s="520"/>
      <c r="IK42" s="520"/>
      <c r="IL42" s="520"/>
      <c r="IM42" s="520"/>
      <c r="IN42" s="520"/>
      <c r="IO42" s="520"/>
      <c r="IP42" s="520"/>
      <c r="IQ42" s="520"/>
    </row>
    <row r="43" spans="1:253" ht="45" x14ac:dyDescent="0.25">
      <c r="A43" s="521">
        <v>2</v>
      </c>
      <c r="B43" s="642" t="s">
        <v>428</v>
      </c>
      <c r="C43" s="522" t="s">
        <v>392</v>
      </c>
      <c r="D43" s="522"/>
      <c r="E43" s="522"/>
      <c r="F43" s="522"/>
      <c r="G43" s="522"/>
      <c r="H43" s="536">
        <v>14949</v>
      </c>
      <c r="I43" s="523">
        <v>13449</v>
      </c>
      <c r="J43" s="523">
        <v>1500</v>
      </c>
      <c r="K43" s="505">
        <v>0</v>
      </c>
      <c r="L43" s="523">
        <v>0</v>
      </c>
      <c r="M43" s="523">
        <v>0</v>
      </c>
      <c r="N43" s="505">
        <f t="shared" si="14"/>
        <v>14949</v>
      </c>
      <c r="O43" s="505">
        <f t="shared" si="14"/>
        <v>13449</v>
      </c>
      <c r="P43" s="505">
        <f t="shared" si="14"/>
        <v>1500</v>
      </c>
      <c r="Q43" s="506">
        <f t="shared" si="15"/>
        <v>3210</v>
      </c>
      <c r="R43" s="523">
        <v>3000</v>
      </c>
      <c r="S43" s="523">
        <v>210</v>
      </c>
      <c r="T43" s="522" t="s">
        <v>424</v>
      </c>
      <c r="U43" s="489" t="s">
        <v>393</v>
      </c>
    </row>
    <row r="44" spans="1:253" x14ac:dyDescent="0.25">
      <c r="A44" s="535"/>
      <c r="B44" s="641" t="s">
        <v>209</v>
      </c>
      <c r="C44" s="533"/>
      <c r="D44" s="533"/>
      <c r="E44" s="533"/>
      <c r="F44" s="533"/>
      <c r="G44" s="533"/>
      <c r="H44" s="516"/>
      <c r="I44" s="516"/>
      <c r="J44" s="516"/>
      <c r="K44" s="500">
        <v>0</v>
      </c>
      <c r="L44" s="516">
        <v>0</v>
      </c>
      <c r="M44" s="516">
        <v>0</v>
      </c>
      <c r="N44" s="505">
        <f t="shared" si="14"/>
        <v>0</v>
      </c>
      <c r="O44" s="505">
        <f t="shared" si="14"/>
        <v>0</v>
      </c>
      <c r="P44" s="505">
        <f t="shared" si="14"/>
        <v>0</v>
      </c>
      <c r="Q44" s="506">
        <f t="shared" si="15"/>
        <v>0</v>
      </c>
      <c r="R44" s="516"/>
      <c r="S44" s="516"/>
      <c r="T44" s="514"/>
      <c r="U44" s="534"/>
      <c r="V44" s="520"/>
      <c r="W44" s="520"/>
      <c r="X44" s="520"/>
      <c r="Y44" s="520"/>
      <c r="Z44" s="520"/>
      <c r="AA44" s="520"/>
      <c r="AB44" s="520"/>
      <c r="AC44" s="520"/>
      <c r="AD44" s="520"/>
      <c r="AE44" s="520"/>
      <c r="AF44" s="520"/>
      <c r="AG44" s="520"/>
      <c r="AH44" s="520"/>
      <c r="AI44" s="520"/>
      <c r="AJ44" s="520"/>
      <c r="AK44" s="520"/>
      <c r="AL44" s="520"/>
      <c r="AM44" s="520"/>
      <c r="AN44" s="520"/>
      <c r="AO44" s="520"/>
      <c r="AP44" s="520"/>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0"/>
      <c r="BZ44" s="520"/>
      <c r="CA44" s="520"/>
      <c r="CB44" s="520"/>
      <c r="CC44" s="520"/>
      <c r="CD44" s="520"/>
      <c r="CE44" s="520"/>
      <c r="CF44" s="520"/>
      <c r="CG44" s="520"/>
      <c r="CH44" s="520"/>
      <c r="CI44" s="520"/>
      <c r="CJ44" s="520"/>
      <c r="CK44" s="520"/>
      <c r="CL44" s="520"/>
      <c r="CM44" s="520"/>
      <c r="CN44" s="520"/>
      <c r="CO44" s="520"/>
      <c r="CP44" s="520"/>
      <c r="CQ44" s="520"/>
      <c r="CR44" s="520"/>
      <c r="CS44" s="520"/>
      <c r="CT44" s="520"/>
      <c r="CU44" s="520"/>
      <c r="CV44" s="520"/>
      <c r="CW44" s="520"/>
      <c r="CX44" s="520"/>
      <c r="CY44" s="520"/>
      <c r="CZ44" s="520"/>
      <c r="DA44" s="520"/>
      <c r="DB44" s="520"/>
      <c r="DC44" s="520"/>
      <c r="DD44" s="520"/>
      <c r="DE44" s="520"/>
      <c r="DF44" s="520"/>
      <c r="DG44" s="520"/>
      <c r="DH44" s="520"/>
      <c r="DI44" s="520"/>
      <c r="DJ44" s="520"/>
      <c r="DK44" s="520"/>
      <c r="DL44" s="520"/>
      <c r="DM44" s="520"/>
      <c r="DN44" s="520"/>
      <c r="DO44" s="520"/>
      <c r="DP44" s="520"/>
      <c r="DQ44" s="520"/>
      <c r="DR44" s="520"/>
      <c r="DS44" s="520"/>
      <c r="DT44" s="520"/>
      <c r="DU44" s="520"/>
      <c r="DV44" s="520"/>
      <c r="DW44" s="520"/>
      <c r="DX44" s="520"/>
      <c r="DY44" s="520"/>
      <c r="DZ44" s="520"/>
      <c r="EA44" s="520"/>
      <c r="EB44" s="520"/>
      <c r="EC44" s="520"/>
      <c r="ED44" s="520"/>
      <c r="EE44" s="520"/>
      <c r="EF44" s="520"/>
      <c r="EG44" s="520"/>
      <c r="EH44" s="520"/>
      <c r="EI44" s="520"/>
      <c r="EJ44" s="520"/>
      <c r="EK44" s="520"/>
      <c r="EL44" s="520"/>
      <c r="EM44" s="520"/>
      <c r="EN44" s="520"/>
      <c r="EO44" s="520"/>
      <c r="EP44" s="520"/>
      <c r="EQ44" s="520"/>
      <c r="ER44" s="520"/>
      <c r="ES44" s="520"/>
      <c r="ET44" s="520"/>
      <c r="EU44" s="520"/>
      <c r="EV44" s="520"/>
      <c r="EW44" s="520"/>
      <c r="EX44" s="520"/>
      <c r="EY44" s="520"/>
      <c r="EZ44" s="520"/>
      <c r="FA44" s="520"/>
      <c r="FB44" s="520"/>
      <c r="FC44" s="520"/>
      <c r="FD44" s="520"/>
      <c r="FE44" s="520"/>
      <c r="FF44" s="520"/>
      <c r="FG44" s="520"/>
      <c r="FH44" s="520"/>
      <c r="FI44" s="520"/>
      <c r="FJ44" s="520"/>
      <c r="FK44" s="520"/>
      <c r="FL44" s="520"/>
      <c r="FM44" s="520"/>
      <c r="FN44" s="520"/>
      <c r="FO44" s="520"/>
      <c r="FP44" s="520"/>
      <c r="FQ44" s="520"/>
      <c r="FR44" s="520"/>
      <c r="FS44" s="520"/>
      <c r="FT44" s="520"/>
      <c r="FU44" s="520"/>
      <c r="FV44" s="520"/>
      <c r="FW44" s="520"/>
      <c r="FX44" s="520"/>
      <c r="FY44" s="520"/>
      <c r="FZ44" s="520"/>
      <c r="GA44" s="520"/>
      <c r="GB44" s="520"/>
      <c r="GC44" s="520"/>
      <c r="GD44" s="520"/>
      <c r="GE44" s="520"/>
      <c r="GF44" s="520"/>
      <c r="GG44" s="520"/>
      <c r="GH44" s="520"/>
      <c r="GI44" s="520"/>
      <c r="GJ44" s="520"/>
      <c r="GK44" s="520"/>
      <c r="GL44" s="520"/>
      <c r="GM44" s="520"/>
      <c r="GN44" s="520"/>
      <c r="GO44" s="520"/>
      <c r="GP44" s="520"/>
      <c r="GQ44" s="520"/>
      <c r="GR44" s="520"/>
      <c r="GS44" s="520"/>
      <c r="GT44" s="520"/>
      <c r="GU44" s="520"/>
      <c r="GV44" s="520"/>
      <c r="GW44" s="520"/>
      <c r="GX44" s="520"/>
      <c r="GY44" s="520"/>
      <c r="GZ44" s="520"/>
      <c r="HA44" s="520"/>
      <c r="HB44" s="520"/>
      <c r="HC44" s="520"/>
      <c r="HD44" s="520"/>
      <c r="HE44" s="520"/>
      <c r="HF44" s="520"/>
      <c r="HG44" s="520"/>
      <c r="HH44" s="520"/>
      <c r="HI44" s="520"/>
      <c r="HJ44" s="520"/>
      <c r="HK44" s="520"/>
      <c r="HL44" s="520"/>
      <c r="HM44" s="520"/>
      <c r="HN44" s="520"/>
      <c r="HO44" s="520"/>
      <c r="HP44" s="520"/>
      <c r="HQ44" s="520"/>
      <c r="HR44" s="520"/>
      <c r="HS44" s="520"/>
      <c r="HT44" s="520"/>
      <c r="HU44" s="520"/>
      <c r="HV44" s="520"/>
      <c r="HW44" s="520"/>
      <c r="HX44" s="520"/>
      <c r="HY44" s="520"/>
      <c r="HZ44" s="520"/>
      <c r="IA44" s="520"/>
      <c r="IB44" s="520"/>
      <c r="IC44" s="520"/>
      <c r="ID44" s="520"/>
      <c r="IE44" s="520"/>
      <c r="IF44" s="520"/>
      <c r="IG44" s="520"/>
      <c r="IH44" s="520"/>
      <c r="II44" s="520"/>
      <c r="IJ44" s="520"/>
      <c r="IK44" s="520"/>
      <c r="IL44" s="520"/>
      <c r="IM44" s="520"/>
      <c r="IN44" s="520"/>
      <c r="IO44" s="520"/>
      <c r="IP44" s="520"/>
      <c r="IQ44" s="520"/>
      <c r="IR44" s="520"/>
      <c r="IS44" s="520"/>
    </row>
    <row r="45" spans="1:253" ht="75" x14ac:dyDescent="0.25">
      <c r="A45" s="521">
        <v>1</v>
      </c>
      <c r="B45" s="642" t="s">
        <v>429</v>
      </c>
      <c r="C45" s="522" t="s">
        <v>422</v>
      </c>
      <c r="D45" s="522" t="s">
        <v>430</v>
      </c>
      <c r="E45" s="523">
        <v>10506</v>
      </c>
      <c r="F45" s="523">
        <v>9136</v>
      </c>
      <c r="G45" s="523">
        <v>1370</v>
      </c>
      <c r="H45" s="536">
        <v>10506</v>
      </c>
      <c r="I45" s="523">
        <v>9136</v>
      </c>
      <c r="J45" s="523">
        <v>1370</v>
      </c>
      <c r="K45" s="505">
        <v>5022</v>
      </c>
      <c r="L45" s="523">
        <v>4588</v>
      </c>
      <c r="M45" s="523">
        <v>434</v>
      </c>
      <c r="N45" s="505">
        <f t="shared" si="14"/>
        <v>5484</v>
      </c>
      <c r="O45" s="505">
        <f t="shared" si="14"/>
        <v>4548</v>
      </c>
      <c r="P45" s="505">
        <f t="shared" si="14"/>
        <v>936</v>
      </c>
      <c r="Q45" s="506">
        <f t="shared" si="15"/>
        <v>2310</v>
      </c>
      <c r="R45" s="523">
        <v>2200</v>
      </c>
      <c r="S45" s="523">
        <v>110</v>
      </c>
      <c r="T45" s="522" t="s">
        <v>424</v>
      </c>
      <c r="U45" s="537"/>
    </row>
    <row r="46" spans="1:253" x14ac:dyDescent="0.25">
      <c r="A46" s="535"/>
      <c r="B46" s="641" t="s">
        <v>431</v>
      </c>
      <c r="C46" s="533"/>
      <c r="D46" s="533"/>
      <c r="E46" s="523"/>
      <c r="F46" s="523"/>
      <c r="G46" s="523"/>
      <c r="H46" s="516"/>
      <c r="I46" s="516"/>
      <c r="J46" s="516"/>
      <c r="K46" s="500">
        <v>0</v>
      </c>
      <c r="L46" s="516">
        <v>0</v>
      </c>
      <c r="M46" s="516">
        <v>0</v>
      </c>
      <c r="N46" s="505">
        <f t="shared" si="14"/>
        <v>0</v>
      </c>
      <c r="O46" s="505">
        <f t="shared" si="14"/>
        <v>0</v>
      </c>
      <c r="P46" s="505">
        <f t="shared" si="14"/>
        <v>0</v>
      </c>
      <c r="Q46" s="506">
        <f t="shared" si="15"/>
        <v>0</v>
      </c>
      <c r="R46" s="516"/>
      <c r="S46" s="516"/>
      <c r="T46" s="514"/>
      <c r="U46" s="534"/>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0"/>
      <c r="AY46" s="520"/>
      <c r="AZ46" s="520"/>
      <c r="BA46" s="520"/>
      <c r="BB46" s="520"/>
      <c r="BC46" s="520"/>
      <c r="BD46" s="520"/>
      <c r="BE46" s="520"/>
      <c r="BF46" s="520"/>
      <c r="BG46" s="520"/>
      <c r="BH46" s="520"/>
      <c r="BI46" s="520"/>
      <c r="BJ46" s="520"/>
      <c r="BK46" s="520"/>
      <c r="BL46" s="520"/>
      <c r="BM46" s="520"/>
      <c r="BN46" s="520"/>
      <c r="BO46" s="520"/>
      <c r="BP46" s="520"/>
      <c r="BQ46" s="520"/>
      <c r="BR46" s="520"/>
      <c r="BS46" s="520"/>
      <c r="BT46" s="520"/>
      <c r="BU46" s="520"/>
      <c r="BV46" s="520"/>
      <c r="BW46" s="520"/>
      <c r="BX46" s="520"/>
      <c r="BY46" s="520"/>
      <c r="BZ46" s="520"/>
      <c r="CA46" s="520"/>
      <c r="CB46" s="520"/>
      <c r="CC46" s="520"/>
      <c r="CD46" s="520"/>
      <c r="CE46" s="520"/>
      <c r="CF46" s="520"/>
      <c r="CG46" s="520"/>
      <c r="CH46" s="520"/>
      <c r="CI46" s="520"/>
      <c r="CJ46" s="520"/>
      <c r="CK46" s="520"/>
      <c r="CL46" s="520"/>
      <c r="CM46" s="520"/>
      <c r="CN46" s="520"/>
      <c r="CO46" s="520"/>
      <c r="CP46" s="520"/>
      <c r="CQ46" s="520"/>
      <c r="CR46" s="520"/>
      <c r="CS46" s="520"/>
      <c r="CT46" s="520"/>
      <c r="CU46" s="520"/>
      <c r="CV46" s="520"/>
      <c r="CW46" s="520"/>
      <c r="CX46" s="520"/>
      <c r="CY46" s="520"/>
      <c r="CZ46" s="520"/>
      <c r="DA46" s="520"/>
      <c r="DB46" s="520"/>
      <c r="DC46" s="520"/>
      <c r="DD46" s="520"/>
      <c r="DE46" s="520"/>
      <c r="DF46" s="520"/>
      <c r="DG46" s="520"/>
      <c r="DH46" s="520"/>
      <c r="DI46" s="520"/>
      <c r="DJ46" s="520"/>
      <c r="DK46" s="520"/>
      <c r="DL46" s="520"/>
      <c r="DM46" s="520"/>
      <c r="DN46" s="520"/>
      <c r="DO46" s="520"/>
      <c r="DP46" s="520"/>
      <c r="DQ46" s="520"/>
      <c r="DR46" s="520"/>
      <c r="DS46" s="520"/>
      <c r="DT46" s="520"/>
      <c r="DU46" s="520"/>
      <c r="DV46" s="520"/>
      <c r="DW46" s="520"/>
      <c r="DX46" s="520"/>
      <c r="DY46" s="520"/>
      <c r="DZ46" s="520"/>
      <c r="EA46" s="520"/>
      <c r="EB46" s="520"/>
      <c r="EC46" s="520"/>
      <c r="ED46" s="520"/>
      <c r="EE46" s="520"/>
      <c r="EF46" s="520"/>
      <c r="EG46" s="520"/>
      <c r="EH46" s="520"/>
      <c r="EI46" s="520"/>
      <c r="EJ46" s="520"/>
      <c r="EK46" s="520"/>
      <c r="EL46" s="520"/>
      <c r="EM46" s="520"/>
      <c r="EN46" s="520"/>
      <c r="EO46" s="520"/>
      <c r="EP46" s="520"/>
      <c r="EQ46" s="520"/>
      <c r="ER46" s="520"/>
      <c r="ES46" s="520"/>
      <c r="ET46" s="520"/>
      <c r="EU46" s="520"/>
      <c r="EV46" s="520"/>
      <c r="EW46" s="520"/>
      <c r="EX46" s="520"/>
      <c r="EY46" s="520"/>
      <c r="EZ46" s="520"/>
      <c r="FA46" s="520"/>
      <c r="FB46" s="520"/>
      <c r="FC46" s="520"/>
      <c r="FD46" s="520"/>
      <c r="FE46" s="520"/>
      <c r="FF46" s="520"/>
      <c r="FG46" s="520"/>
      <c r="FH46" s="520"/>
      <c r="FI46" s="520"/>
      <c r="FJ46" s="520"/>
      <c r="FK46" s="520"/>
      <c r="FL46" s="520"/>
      <c r="FM46" s="520"/>
      <c r="FN46" s="520"/>
      <c r="FO46" s="520"/>
      <c r="FP46" s="520"/>
      <c r="FQ46" s="520"/>
      <c r="FR46" s="520"/>
      <c r="FS46" s="520"/>
      <c r="FT46" s="520"/>
      <c r="FU46" s="520"/>
      <c r="FV46" s="520"/>
      <c r="FW46" s="520"/>
      <c r="FX46" s="520"/>
      <c r="FY46" s="520"/>
      <c r="FZ46" s="520"/>
      <c r="GA46" s="520"/>
      <c r="GB46" s="520"/>
      <c r="GC46" s="520"/>
      <c r="GD46" s="520"/>
      <c r="GE46" s="520"/>
      <c r="GF46" s="520"/>
      <c r="GG46" s="520"/>
      <c r="GH46" s="520"/>
      <c r="GI46" s="520"/>
      <c r="GJ46" s="520"/>
      <c r="GK46" s="520"/>
      <c r="GL46" s="520"/>
      <c r="GM46" s="520"/>
      <c r="GN46" s="520"/>
      <c r="GO46" s="520"/>
      <c r="GP46" s="520"/>
      <c r="GQ46" s="520"/>
      <c r="GR46" s="520"/>
      <c r="GS46" s="520"/>
      <c r="GT46" s="520"/>
      <c r="GU46" s="520"/>
      <c r="GV46" s="520"/>
      <c r="GW46" s="520"/>
      <c r="GX46" s="520"/>
      <c r="GY46" s="520"/>
      <c r="GZ46" s="520"/>
      <c r="HA46" s="520"/>
      <c r="HB46" s="520"/>
      <c r="HC46" s="520"/>
      <c r="HD46" s="520"/>
      <c r="HE46" s="520"/>
      <c r="HF46" s="520"/>
      <c r="HG46" s="520"/>
      <c r="HH46" s="520"/>
      <c r="HI46" s="520"/>
      <c r="HJ46" s="520"/>
      <c r="HK46" s="520"/>
      <c r="HL46" s="520"/>
      <c r="HM46" s="520"/>
      <c r="HN46" s="520"/>
      <c r="HO46" s="520"/>
      <c r="HP46" s="520"/>
      <c r="HQ46" s="520"/>
      <c r="HR46" s="520"/>
      <c r="HS46" s="520"/>
      <c r="HT46" s="520"/>
      <c r="HU46" s="520"/>
      <c r="HV46" s="520"/>
      <c r="HW46" s="520"/>
      <c r="HX46" s="520"/>
      <c r="HY46" s="520"/>
      <c r="HZ46" s="520"/>
      <c r="IA46" s="520"/>
      <c r="IB46" s="520"/>
      <c r="IC46" s="520"/>
      <c r="ID46" s="520"/>
      <c r="IE46" s="520"/>
      <c r="IF46" s="520"/>
      <c r="IG46" s="520"/>
      <c r="IH46" s="520"/>
      <c r="II46" s="520"/>
      <c r="IJ46" s="520"/>
      <c r="IK46" s="520"/>
      <c r="IL46" s="520"/>
      <c r="IM46" s="520"/>
      <c r="IN46" s="520"/>
      <c r="IO46" s="520"/>
      <c r="IP46" s="520"/>
      <c r="IQ46" s="520"/>
      <c r="IR46" s="520"/>
      <c r="IS46" s="520"/>
    </row>
    <row r="47" spans="1:253" ht="30" x14ac:dyDescent="0.25">
      <c r="A47" s="521">
        <v>1</v>
      </c>
      <c r="B47" s="549" t="s">
        <v>432</v>
      </c>
      <c r="C47" s="522" t="s">
        <v>422</v>
      </c>
      <c r="D47" s="522" t="s">
        <v>433</v>
      </c>
      <c r="E47" s="523">
        <v>25466</v>
      </c>
      <c r="F47" s="523">
        <v>22400</v>
      </c>
      <c r="G47" s="523">
        <f>25466-22400</f>
        <v>3066</v>
      </c>
      <c r="H47" s="536">
        <v>25466</v>
      </c>
      <c r="I47" s="523">
        <v>22400</v>
      </c>
      <c r="J47" s="523">
        <v>3066</v>
      </c>
      <c r="K47" s="505">
        <v>8128</v>
      </c>
      <c r="L47" s="523">
        <v>7728</v>
      </c>
      <c r="M47" s="523">
        <v>400</v>
      </c>
      <c r="N47" s="505">
        <f t="shared" si="14"/>
        <v>17338</v>
      </c>
      <c r="O47" s="505">
        <f t="shared" si="14"/>
        <v>14672</v>
      </c>
      <c r="P47" s="505">
        <f t="shared" si="14"/>
        <v>2666</v>
      </c>
      <c r="Q47" s="506">
        <f t="shared" si="15"/>
        <v>7370</v>
      </c>
      <c r="R47" s="523">
        <v>7000</v>
      </c>
      <c r="S47" s="523">
        <v>370</v>
      </c>
      <c r="T47" s="522" t="s">
        <v>434</v>
      </c>
      <c r="U47" s="537"/>
    </row>
    <row r="48" spans="1:253" x14ac:dyDescent="0.25">
      <c r="A48" s="535"/>
      <c r="B48" s="641" t="s">
        <v>210</v>
      </c>
      <c r="C48" s="533"/>
      <c r="D48" s="533"/>
      <c r="E48" s="523"/>
      <c r="F48" s="523"/>
      <c r="G48" s="523"/>
      <c r="H48" s="516"/>
      <c r="I48" s="516"/>
      <c r="J48" s="516"/>
      <c r="K48" s="500">
        <v>0</v>
      </c>
      <c r="L48" s="516">
        <v>0</v>
      </c>
      <c r="M48" s="516">
        <v>0</v>
      </c>
      <c r="N48" s="505">
        <f t="shared" si="14"/>
        <v>0</v>
      </c>
      <c r="O48" s="505">
        <f t="shared" si="14"/>
        <v>0</v>
      </c>
      <c r="P48" s="505">
        <f t="shared" si="14"/>
        <v>0</v>
      </c>
      <c r="Q48" s="506">
        <f t="shared" si="15"/>
        <v>0</v>
      </c>
      <c r="R48" s="516"/>
      <c r="S48" s="516"/>
      <c r="T48" s="514"/>
      <c r="U48" s="534"/>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c r="BJ48" s="520"/>
      <c r="BK48" s="520"/>
      <c r="BL48" s="520"/>
      <c r="BM48" s="520"/>
      <c r="BN48" s="520"/>
      <c r="BO48" s="520"/>
      <c r="BP48" s="520"/>
      <c r="BQ48" s="520"/>
      <c r="BR48" s="520"/>
      <c r="BS48" s="520"/>
      <c r="BT48" s="520"/>
      <c r="BU48" s="520"/>
      <c r="BV48" s="520"/>
      <c r="BW48" s="520"/>
      <c r="BX48" s="520"/>
      <c r="BY48" s="520"/>
      <c r="BZ48" s="520"/>
      <c r="CA48" s="520"/>
      <c r="CB48" s="520"/>
      <c r="CC48" s="520"/>
      <c r="CD48" s="520"/>
      <c r="CE48" s="520"/>
      <c r="CF48" s="520"/>
      <c r="CG48" s="520"/>
      <c r="CH48" s="520"/>
      <c r="CI48" s="520"/>
      <c r="CJ48" s="520"/>
      <c r="CK48" s="520"/>
      <c r="CL48" s="520"/>
      <c r="CM48" s="520"/>
      <c r="CN48" s="520"/>
      <c r="CO48" s="520"/>
      <c r="CP48" s="520"/>
      <c r="CQ48" s="520"/>
      <c r="CR48" s="520"/>
      <c r="CS48" s="520"/>
      <c r="CT48" s="520"/>
      <c r="CU48" s="520"/>
      <c r="CV48" s="520"/>
      <c r="CW48" s="520"/>
      <c r="CX48" s="520"/>
      <c r="CY48" s="520"/>
      <c r="CZ48" s="520"/>
      <c r="DA48" s="520"/>
      <c r="DB48" s="520"/>
      <c r="DC48" s="520"/>
      <c r="DD48" s="520"/>
      <c r="DE48" s="520"/>
      <c r="DF48" s="520"/>
      <c r="DG48" s="520"/>
      <c r="DH48" s="520"/>
      <c r="DI48" s="520"/>
      <c r="DJ48" s="520"/>
      <c r="DK48" s="520"/>
      <c r="DL48" s="520"/>
      <c r="DM48" s="520"/>
      <c r="DN48" s="520"/>
      <c r="DO48" s="520"/>
      <c r="DP48" s="520"/>
      <c r="DQ48" s="520"/>
      <c r="DR48" s="520"/>
      <c r="DS48" s="520"/>
      <c r="DT48" s="520"/>
      <c r="DU48" s="520"/>
      <c r="DV48" s="520"/>
      <c r="DW48" s="520"/>
      <c r="DX48" s="520"/>
      <c r="DY48" s="520"/>
      <c r="DZ48" s="520"/>
      <c r="EA48" s="520"/>
      <c r="EB48" s="520"/>
      <c r="EC48" s="520"/>
      <c r="ED48" s="520"/>
      <c r="EE48" s="520"/>
      <c r="EF48" s="520"/>
      <c r="EG48" s="520"/>
      <c r="EH48" s="520"/>
      <c r="EI48" s="520"/>
      <c r="EJ48" s="520"/>
      <c r="EK48" s="520"/>
      <c r="EL48" s="520"/>
      <c r="EM48" s="520"/>
      <c r="EN48" s="520"/>
      <c r="EO48" s="520"/>
      <c r="EP48" s="520"/>
      <c r="EQ48" s="520"/>
      <c r="ER48" s="520"/>
      <c r="ES48" s="520"/>
      <c r="ET48" s="520"/>
      <c r="EU48" s="520"/>
      <c r="EV48" s="520"/>
      <c r="EW48" s="520"/>
      <c r="EX48" s="520"/>
      <c r="EY48" s="520"/>
      <c r="EZ48" s="520"/>
      <c r="FA48" s="520"/>
      <c r="FB48" s="520"/>
      <c r="FC48" s="520"/>
      <c r="FD48" s="520"/>
      <c r="FE48" s="520"/>
      <c r="FF48" s="520"/>
      <c r="FG48" s="520"/>
      <c r="FH48" s="520"/>
      <c r="FI48" s="520"/>
      <c r="FJ48" s="520"/>
      <c r="FK48" s="520"/>
      <c r="FL48" s="520"/>
      <c r="FM48" s="520"/>
      <c r="FN48" s="520"/>
      <c r="FO48" s="520"/>
      <c r="FP48" s="520"/>
      <c r="FQ48" s="520"/>
      <c r="FR48" s="520"/>
      <c r="FS48" s="520"/>
      <c r="FT48" s="520"/>
      <c r="FU48" s="520"/>
      <c r="FV48" s="520"/>
      <c r="FW48" s="520"/>
      <c r="FX48" s="520"/>
      <c r="FY48" s="520"/>
      <c r="FZ48" s="520"/>
      <c r="GA48" s="520"/>
      <c r="GB48" s="520"/>
      <c r="GC48" s="520"/>
      <c r="GD48" s="520"/>
      <c r="GE48" s="520"/>
      <c r="GF48" s="520"/>
      <c r="GG48" s="520"/>
      <c r="GH48" s="520"/>
      <c r="GI48" s="520"/>
      <c r="GJ48" s="520"/>
      <c r="GK48" s="520"/>
      <c r="GL48" s="520"/>
      <c r="GM48" s="520"/>
      <c r="GN48" s="520"/>
      <c r="GO48" s="520"/>
      <c r="GP48" s="520"/>
      <c r="GQ48" s="520"/>
      <c r="GR48" s="520"/>
      <c r="GS48" s="520"/>
      <c r="GT48" s="520"/>
      <c r="GU48" s="520"/>
      <c r="GV48" s="520"/>
      <c r="GW48" s="520"/>
      <c r="GX48" s="520"/>
      <c r="GY48" s="520"/>
      <c r="GZ48" s="520"/>
      <c r="HA48" s="520"/>
      <c r="HB48" s="520"/>
      <c r="HC48" s="520"/>
      <c r="HD48" s="520"/>
      <c r="HE48" s="520"/>
      <c r="HF48" s="520"/>
      <c r="HG48" s="520"/>
      <c r="HH48" s="520"/>
      <c r="HI48" s="520"/>
      <c r="HJ48" s="520"/>
      <c r="HK48" s="520"/>
      <c r="HL48" s="520"/>
      <c r="HM48" s="520"/>
      <c r="HN48" s="520"/>
      <c r="HO48" s="520"/>
      <c r="HP48" s="520"/>
      <c r="HQ48" s="520"/>
      <c r="HR48" s="520"/>
      <c r="HS48" s="520"/>
      <c r="HT48" s="520"/>
      <c r="HU48" s="520"/>
      <c r="HV48" s="520"/>
      <c r="HW48" s="520"/>
      <c r="HX48" s="520"/>
      <c r="HY48" s="520"/>
      <c r="HZ48" s="520"/>
      <c r="IA48" s="520"/>
      <c r="IB48" s="520"/>
      <c r="IC48" s="520"/>
      <c r="ID48" s="520"/>
      <c r="IE48" s="520"/>
      <c r="IF48" s="520"/>
      <c r="IG48" s="520"/>
      <c r="IH48" s="520"/>
      <c r="II48" s="520"/>
      <c r="IJ48" s="520"/>
      <c r="IK48" s="520"/>
      <c r="IL48" s="520"/>
      <c r="IM48" s="520"/>
      <c r="IN48" s="520"/>
      <c r="IO48" s="520"/>
      <c r="IP48" s="520"/>
      <c r="IQ48" s="520"/>
      <c r="IR48" s="520"/>
      <c r="IS48" s="520"/>
    </row>
    <row r="49" spans="1:253" ht="30" x14ac:dyDescent="0.25">
      <c r="A49" s="521">
        <v>1</v>
      </c>
      <c r="B49" s="642" t="s">
        <v>435</v>
      </c>
      <c r="C49" s="522" t="s">
        <v>422</v>
      </c>
      <c r="D49" s="522" t="s">
        <v>436</v>
      </c>
      <c r="E49" s="523">
        <v>7025</v>
      </c>
      <c r="F49" s="523">
        <v>6109</v>
      </c>
      <c r="G49" s="523">
        <v>916</v>
      </c>
      <c r="H49" s="536">
        <v>7025</v>
      </c>
      <c r="I49" s="523">
        <v>6109</v>
      </c>
      <c r="J49" s="523">
        <v>916</v>
      </c>
      <c r="K49" s="505">
        <v>3234</v>
      </c>
      <c r="L49" s="523">
        <v>2849</v>
      </c>
      <c r="M49" s="523">
        <v>385</v>
      </c>
      <c r="N49" s="505">
        <f t="shared" si="14"/>
        <v>3791</v>
      </c>
      <c r="O49" s="505">
        <f t="shared" si="14"/>
        <v>3260</v>
      </c>
      <c r="P49" s="505">
        <f t="shared" si="14"/>
        <v>531</v>
      </c>
      <c r="Q49" s="506">
        <f t="shared" si="15"/>
        <v>1895</v>
      </c>
      <c r="R49" s="523">
        <v>1800</v>
      </c>
      <c r="S49" s="523">
        <v>95</v>
      </c>
      <c r="T49" s="522" t="s">
        <v>424</v>
      </c>
      <c r="U49" s="537"/>
    </row>
    <row r="50" spans="1:253" x14ac:dyDescent="0.25">
      <c r="A50" s="535"/>
      <c r="B50" s="641" t="s">
        <v>214</v>
      </c>
      <c r="C50" s="533"/>
      <c r="D50" s="533"/>
      <c r="E50" s="533"/>
      <c r="F50" s="533"/>
      <c r="G50" s="533"/>
      <c r="H50" s="516"/>
      <c r="I50" s="516"/>
      <c r="J50" s="516"/>
      <c r="K50" s="500">
        <v>0</v>
      </c>
      <c r="L50" s="516">
        <v>0</v>
      </c>
      <c r="M50" s="516">
        <v>0</v>
      </c>
      <c r="N50" s="505">
        <f t="shared" si="14"/>
        <v>0</v>
      </c>
      <c r="O50" s="505">
        <f t="shared" si="14"/>
        <v>0</v>
      </c>
      <c r="P50" s="505">
        <f t="shared" si="14"/>
        <v>0</v>
      </c>
      <c r="Q50" s="506">
        <f t="shared" si="15"/>
        <v>0</v>
      </c>
      <c r="R50" s="516"/>
      <c r="S50" s="516"/>
      <c r="T50" s="514"/>
      <c r="U50" s="534"/>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0"/>
      <c r="CE50" s="520"/>
      <c r="CF50" s="520"/>
      <c r="CG50" s="520"/>
      <c r="CH50" s="520"/>
      <c r="CI50" s="520"/>
      <c r="CJ50" s="520"/>
      <c r="CK50" s="520"/>
      <c r="CL50" s="520"/>
      <c r="CM50" s="520"/>
      <c r="CN50" s="520"/>
      <c r="CO50" s="520"/>
      <c r="CP50" s="520"/>
      <c r="CQ50" s="520"/>
      <c r="CR50" s="520"/>
      <c r="CS50" s="520"/>
      <c r="CT50" s="520"/>
      <c r="CU50" s="520"/>
      <c r="CV50" s="520"/>
      <c r="CW50" s="520"/>
      <c r="CX50" s="520"/>
      <c r="CY50" s="520"/>
      <c r="CZ50" s="520"/>
      <c r="DA50" s="520"/>
      <c r="DB50" s="520"/>
      <c r="DC50" s="520"/>
      <c r="DD50" s="520"/>
      <c r="DE50" s="520"/>
      <c r="DF50" s="520"/>
      <c r="DG50" s="520"/>
      <c r="DH50" s="520"/>
      <c r="DI50" s="520"/>
      <c r="DJ50" s="520"/>
      <c r="DK50" s="520"/>
      <c r="DL50" s="520"/>
      <c r="DM50" s="520"/>
      <c r="DN50" s="520"/>
      <c r="DO50" s="520"/>
      <c r="DP50" s="520"/>
      <c r="DQ50" s="520"/>
      <c r="DR50" s="520"/>
      <c r="DS50" s="520"/>
      <c r="DT50" s="520"/>
      <c r="DU50" s="520"/>
      <c r="DV50" s="520"/>
      <c r="DW50" s="520"/>
      <c r="DX50" s="520"/>
      <c r="DY50" s="520"/>
      <c r="DZ50" s="520"/>
      <c r="EA50" s="520"/>
      <c r="EB50" s="520"/>
      <c r="EC50" s="520"/>
      <c r="ED50" s="520"/>
      <c r="EE50" s="520"/>
      <c r="EF50" s="520"/>
      <c r="EG50" s="520"/>
      <c r="EH50" s="520"/>
      <c r="EI50" s="520"/>
      <c r="EJ50" s="520"/>
      <c r="EK50" s="520"/>
      <c r="EL50" s="520"/>
      <c r="EM50" s="520"/>
      <c r="EN50" s="520"/>
      <c r="EO50" s="520"/>
      <c r="EP50" s="520"/>
      <c r="EQ50" s="520"/>
      <c r="ER50" s="520"/>
      <c r="ES50" s="520"/>
      <c r="ET50" s="520"/>
      <c r="EU50" s="520"/>
      <c r="EV50" s="520"/>
      <c r="EW50" s="520"/>
      <c r="EX50" s="520"/>
      <c r="EY50" s="520"/>
      <c r="EZ50" s="520"/>
      <c r="FA50" s="520"/>
      <c r="FB50" s="520"/>
      <c r="FC50" s="520"/>
      <c r="FD50" s="520"/>
      <c r="FE50" s="520"/>
      <c r="FF50" s="520"/>
      <c r="FG50" s="520"/>
      <c r="FH50" s="520"/>
      <c r="FI50" s="520"/>
      <c r="FJ50" s="520"/>
      <c r="FK50" s="520"/>
      <c r="FL50" s="520"/>
      <c r="FM50" s="520"/>
      <c r="FN50" s="520"/>
      <c r="FO50" s="520"/>
      <c r="FP50" s="520"/>
      <c r="FQ50" s="520"/>
      <c r="FR50" s="520"/>
      <c r="FS50" s="520"/>
      <c r="FT50" s="520"/>
      <c r="FU50" s="520"/>
      <c r="FV50" s="520"/>
      <c r="FW50" s="520"/>
      <c r="FX50" s="520"/>
      <c r="FY50" s="520"/>
      <c r="FZ50" s="520"/>
      <c r="GA50" s="520"/>
      <c r="GB50" s="520"/>
      <c r="GC50" s="520"/>
      <c r="GD50" s="520"/>
      <c r="GE50" s="520"/>
      <c r="GF50" s="520"/>
      <c r="GG50" s="520"/>
      <c r="GH50" s="520"/>
      <c r="GI50" s="520"/>
      <c r="GJ50" s="520"/>
      <c r="GK50" s="520"/>
      <c r="GL50" s="520"/>
      <c r="GM50" s="520"/>
      <c r="GN50" s="520"/>
      <c r="GO50" s="520"/>
      <c r="GP50" s="520"/>
      <c r="GQ50" s="520"/>
      <c r="GR50" s="520"/>
      <c r="GS50" s="520"/>
      <c r="GT50" s="520"/>
      <c r="GU50" s="520"/>
      <c r="GV50" s="520"/>
      <c r="GW50" s="520"/>
      <c r="GX50" s="520"/>
      <c r="GY50" s="520"/>
      <c r="GZ50" s="520"/>
      <c r="HA50" s="520"/>
      <c r="HB50" s="520"/>
      <c r="HC50" s="520"/>
      <c r="HD50" s="520"/>
      <c r="HE50" s="520"/>
      <c r="HF50" s="520"/>
      <c r="HG50" s="520"/>
      <c r="HH50" s="520"/>
      <c r="HI50" s="520"/>
      <c r="HJ50" s="520"/>
      <c r="HK50" s="520"/>
      <c r="HL50" s="520"/>
      <c r="HM50" s="520"/>
      <c r="HN50" s="520"/>
      <c r="HO50" s="520"/>
      <c r="HP50" s="520"/>
      <c r="HQ50" s="520"/>
      <c r="HR50" s="520"/>
      <c r="HS50" s="520"/>
      <c r="HT50" s="520"/>
      <c r="HU50" s="520"/>
      <c r="HV50" s="520"/>
      <c r="HW50" s="520"/>
      <c r="HX50" s="520"/>
      <c r="HY50" s="520"/>
      <c r="HZ50" s="520"/>
      <c r="IA50" s="520"/>
      <c r="IB50" s="520"/>
      <c r="IC50" s="520"/>
      <c r="ID50" s="520"/>
      <c r="IE50" s="520"/>
      <c r="IF50" s="520"/>
      <c r="IG50" s="520"/>
      <c r="IH50" s="520"/>
      <c r="II50" s="520"/>
      <c r="IJ50" s="520"/>
      <c r="IK50" s="520"/>
      <c r="IL50" s="520"/>
      <c r="IM50" s="520"/>
      <c r="IN50" s="520"/>
      <c r="IO50" s="520"/>
      <c r="IP50" s="520"/>
      <c r="IQ50" s="520"/>
      <c r="IR50" s="520"/>
      <c r="IS50" s="520"/>
    </row>
    <row r="51" spans="1:253" ht="30" x14ac:dyDescent="0.25">
      <c r="A51" s="521">
        <v>1</v>
      </c>
      <c r="B51" s="549" t="s">
        <v>437</v>
      </c>
      <c r="C51" s="522" t="s">
        <v>422</v>
      </c>
      <c r="D51" s="522" t="s">
        <v>438</v>
      </c>
      <c r="E51" s="536">
        <v>5193</v>
      </c>
      <c r="F51" s="536">
        <v>4576</v>
      </c>
      <c r="G51" s="536">
        <v>617</v>
      </c>
      <c r="H51" s="536">
        <v>5193</v>
      </c>
      <c r="I51" s="523">
        <v>4576</v>
      </c>
      <c r="J51" s="523">
        <v>617</v>
      </c>
      <c r="K51" s="505">
        <v>2551</v>
      </c>
      <c r="L51" s="523">
        <v>2318</v>
      </c>
      <c r="M51" s="523">
        <v>233</v>
      </c>
      <c r="N51" s="505">
        <f t="shared" si="14"/>
        <v>2642</v>
      </c>
      <c r="O51" s="505">
        <f t="shared" si="14"/>
        <v>2258</v>
      </c>
      <c r="P51" s="505">
        <f t="shared" si="14"/>
        <v>384</v>
      </c>
      <c r="Q51" s="506">
        <f t="shared" si="15"/>
        <v>1265</v>
      </c>
      <c r="R51" s="523">
        <v>1200</v>
      </c>
      <c r="S51" s="523">
        <v>65</v>
      </c>
      <c r="T51" s="522" t="s">
        <v>424</v>
      </c>
      <c r="U51" s="537"/>
    </row>
    <row r="52" spans="1:253" x14ac:dyDescent="0.25">
      <c r="A52" s="535"/>
      <c r="B52" s="641" t="s">
        <v>213</v>
      </c>
      <c r="C52" s="533"/>
      <c r="D52" s="533"/>
      <c r="E52" s="536"/>
      <c r="F52" s="536"/>
      <c r="G52" s="536"/>
      <c r="H52" s="516"/>
      <c r="I52" s="516"/>
      <c r="J52" s="516"/>
      <c r="K52" s="500">
        <v>0</v>
      </c>
      <c r="L52" s="516">
        <v>0</v>
      </c>
      <c r="M52" s="516">
        <v>0</v>
      </c>
      <c r="N52" s="505">
        <f t="shared" si="14"/>
        <v>0</v>
      </c>
      <c r="O52" s="505">
        <f t="shared" si="14"/>
        <v>0</v>
      </c>
      <c r="P52" s="505">
        <f t="shared" si="14"/>
        <v>0</v>
      </c>
      <c r="Q52" s="506">
        <f t="shared" si="15"/>
        <v>0</v>
      </c>
      <c r="R52" s="516"/>
      <c r="S52" s="516"/>
      <c r="T52" s="514"/>
      <c r="U52" s="534"/>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0"/>
      <c r="BZ52" s="520"/>
      <c r="CA52" s="520"/>
      <c r="CB52" s="520"/>
      <c r="CC52" s="520"/>
      <c r="CD52" s="520"/>
      <c r="CE52" s="520"/>
      <c r="CF52" s="520"/>
      <c r="CG52" s="520"/>
      <c r="CH52" s="520"/>
      <c r="CI52" s="520"/>
      <c r="CJ52" s="520"/>
      <c r="CK52" s="520"/>
      <c r="CL52" s="520"/>
      <c r="CM52" s="520"/>
      <c r="CN52" s="520"/>
      <c r="CO52" s="520"/>
      <c r="CP52" s="520"/>
      <c r="CQ52" s="520"/>
      <c r="CR52" s="520"/>
      <c r="CS52" s="520"/>
      <c r="CT52" s="520"/>
      <c r="CU52" s="520"/>
      <c r="CV52" s="520"/>
      <c r="CW52" s="520"/>
      <c r="CX52" s="520"/>
      <c r="CY52" s="520"/>
      <c r="CZ52" s="520"/>
      <c r="DA52" s="520"/>
      <c r="DB52" s="520"/>
      <c r="DC52" s="520"/>
      <c r="DD52" s="520"/>
      <c r="DE52" s="520"/>
      <c r="DF52" s="520"/>
      <c r="DG52" s="520"/>
      <c r="DH52" s="520"/>
      <c r="DI52" s="520"/>
      <c r="DJ52" s="520"/>
      <c r="DK52" s="520"/>
      <c r="DL52" s="520"/>
      <c r="DM52" s="520"/>
      <c r="DN52" s="520"/>
      <c r="DO52" s="520"/>
      <c r="DP52" s="520"/>
      <c r="DQ52" s="520"/>
      <c r="DR52" s="520"/>
      <c r="DS52" s="520"/>
      <c r="DT52" s="520"/>
      <c r="DU52" s="520"/>
      <c r="DV52" s="520"/>
      <c r="DW52" s="520"/>
      <c r="DX52" s="520"/>
      <c r="DY52" s="520"/>
      <c r="DZ52" s="520"/>
      <c r="EA52" s="520"/>
      <c r="EB52" s="520"/>
      <c r="EC52" s="520"/>
      <c r="ED52" s="520"/>
      <c r="EE52" s="520"/>
      <c r="EF52" s="520"/>
      <c r="EG52" s="520"/>
      <c r="EH52" s="520"/>
      <c r="EI52" s="520"/>
      <c r="EJ52" s="520"/>
      <c r="EK52" s="520"/>
      <c r="EL52" s="520"/>
      <c r="EM52" s="520"/>
      <c r="EN52" s="520"/>
      <c r="EO52" s="520"/>
      <c r="EP52" s="520"/>
      <c r="EQ52" s="520"/>
      <c r="ER52" s="520"/>
      <c r="ES52" s="520"/>
      <c r="ET52" s="520"/>
      <c r="EU52" s="520"/>
      <c r="EV52" s="520"/>
      <c r="EW52" s="520"/>
      <c r="EX52" s="520"/>
      <c r="EY52" s="520"/>
      <c r="EZ52" s="520"/>
      <c r="FA52" s="520"/>
      <c r="FB52" s="520"/>
      <c r="FC52" s="520"/>
      <c r="FD52" s="520"/>
      <c r="FE52" s="520"/>
      <c r="FF52" s="520"/>
      <c r="FG52" s="520"/>
      <c r="FH52" s="520"/>
      <c r="FI52" s="520"/>
      <c r="FJ52" s="520"/>
      <c r="FK52" s="520"/>
      <c r="FL52" s="520"/>
      <c r="FM52" s="520"/>
      <c r="FN52" s="520"/>
      <c r="FO52" s="520"/>
      <c r="FP52" s="520"/>
      <c r="FQ52" s="520"/>
      <c r="FR52" s="520"/>
      <c r="FS52" s="520"/>
      <c r="FT52" s="520"/>
      <c r="FU52" s="520"/>
      <c r="FV52" s="520"/>
      <c r="FW52" s="520"/>
      <c r="FX52" s="520"/>
      <c r="FY52" s="520"/>
      <c r="FZ52" s="520"/>
      <c r="GA52" s="520"/>
      <c r="GB52" s="520"/>
      <c r="GC52" s="520"/>
      <c r="GD52" s="520"/>
      <c r="GE52" s="520"/>
      <c r="GF52" s="520"/>
      <c r="GG52" s="520"/>
      <c r="GH52" s="520"/>
      <c r="GI52" s="520"/>
      <c r="GJ52" s="520"/>
      <c r="GK52" s="520"/>
      <c r="GL52" s="520"/>
      <c r="GM52" s="520"/>
      <c r="GN52" s="520"/>
      <c r="GO52" s="520"/>
      <c r="GP52" s="520"/>
      <c r="GQ52" s="520"/>
      <c r="GR52" s="520"/>
      <c r="GS52" s="520"/>
      <c r="GT52" s="520"/>
      <c r="GU52" s="520"/>
      <c r="GV52" s="520"/>
      <c r="GW52" s="520"/>
      <c r="GX52" s="520"/>
      <c r="GY52" s="520"/>
      <c r="GZ52" s="520"/>
      <c r="HA52" s="520"/>
      <c r="HB52" s="520"/>
      <c r="HC52" s="520"/>
      <c r="HD52" s="520"/>
      <c r="HE52" s="520"/>
      <c r="HF52" s="520"/>
      <c r="HG52" s="520"/>
      <c r="HH52" s="520"/>
      <c r="HI52" s="520"/>
      <c r="HJ52" s="520"/>
      <c r="HK52" s="520"/>
      <c r="HL52" s="520"/>
      <c r="HM52" s="520"/>
      <c r="HN52" s="520"/>
      <c r="HO52" s="520"/>
      <c r="HP52" s="520"/>
      <c r="HQ52" s="520"/>
      <c r="HR52" s="520"/>
      <c r="HS52" s="520"/>
      <c r="HT52" s="520"/>
      <c r="HU52" s="520"/>
      <c r="HV52" s="520"/>
      <c r="HW52" s="520"/>
      <c r="HX52" s="520"/>
      <c r="HY52" s="520"/>
      <c r="HZ52" s="520"/>
      <c r="IA52" s="520"/>
      <c r="IB52" s="520"/>
      <c r="IC52" s="520"/>
      <c r="ID52" s="520"/>
      <c r="IE52" s="520"/>
      <c r="IF52" s="520"/>
      <c r="IG52" s="520"/>
      <c r="IH52" s="520"/>
      <c r="II52" s="520"/>
      <c r="IJ52" s="520"/>
      <c r="IK52" s="520"/>
      <c r="IL52" s="520"/>
      <c r="IM52" s="520"/>
      <c r="IN52" s="520"/>
      <c r="IO52" s="520"/>
      <c r="IP52" s="520"/>
      <c r="IQ52" s="520"/>
      <c r="IR52" s="520"/>
      <c r="IS52" s="520"/>
    </row>
    <row r="53" spans="1:253" ht="30" x14ac:dyDescent="0.25">
      <c r="A53" s="521">
        <v>1</v>
      </c>
      <c r="B53" s="643" t="s">
        <v>439</v>
      </c>
      <c r="C53" s="522" t="s">
        <v>422</v>
      </c>
      <c r="D53" s="522" t="s">
        <v>440</v>
      </c>
      <c r="E53" s="536">
        <v>8096</v>
      </c>
      <c r="F53" s="536">
        <v>7040</v>
      </c>
      <c r="G53" s="536">
        <v>1056</v>
      </c>
      <c r="H53" s="536">
        <v>8096</v>
      </c>
      <c r="I53" s="523">
        <v>7040</v>
      </c>
      <c r="J53" s="523">
        <v>1056</v>
      </c>
      <c r="K53" s="505">
        <v>3804</v>
      </c>
      <c r="L53" s="523">
        <v>3427</v>
      </c>
      <c r="M53" s="523">
        <v>377</v>
      </c>
      <c r="N53" s="505">
        <f t="shared" si="14"/>
        <v>4292</v>
      </c>
      <c r="O53" s="505">
        <f t="shared" si="14"/>
        <v>3613</v>
      </c>
      <c r="P53" s="505">
        <f t="shared" si="14"/>
        <v>679</v>
      </c>
      <c r="Q53" s="506">
        <f t="shared" si="15"/>
        <v>2000</v>
      </c>
      <c r="R53" s="523">
        <v>1900</v>
      </c>
      <c r="S53" s="523">
        <v>100</v>
      </c>
      <c r="T53" s="522" t="s">
        <v>424</v>
      </c>
      <c r="U53" s="537"/>
    </row>
    <row r="54" spans="1:253" x14ac:dyDescent="0.25">
      <c r="A54" s="507"/>
      <c r="B54" s="640" t="s">
        <v>390</v>
      </c>
      <c r="C54" s="489"/>
      <c r="D54" s="489"/>
      <c r="E54" s="508"/>
      <c r="F54" s="508"/>
      <c r="G54" s="508"/>
      <c r="H54" s="508">
        <v>3263</v>
      </c>
      <c r="I54" s="508">
        <v>2312</v>
      </c>
      <c r="J54" s="508">
        <v>951</v>
      </c>
      <c r="K54" s="508"/>
      <c r="L54" s="508"/>
      <c r="M54" s="508"/>
      <c r="N54" s="508">
        <f>H54-K54</f>
        <v>3263</v>
      </c>
      <c r="O54" s="508">
        <f>I54-L54</f>
        <v>2312</v>
      </c>
      <c r="P54" s="508">
        <f>J54-M54</f>
        <v>951</v>
      </c>
      <c r="Q54" s="509"/>
      <c r="R54" s="508"/>
      <c r="S54" s="508"/>
      <c r="T54" s="489"/>
      <c r="U54" s="489"/>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0"/>
      <c r="CF54" s="510"/>
      <c r="CG54" s="510"/>
      <c r="CH54" s="510"/>
      <c r="CI54" s="510"/>
      <c r="CJ54" s="510"/>
      <c r="CK54" s="510"/>
      <c r="CL54" s="510"/>
      <c r="CM54" s="510"/>
      <c r="CN54" s="510"/>
      <c r="CO54" s="510"/>
      <c r="CP54" s="510"/>
      <c r="CQ54" s="510"/>
      <c r="CR54" s="510"/>
      <c r="CS54" s="510"/>
      <c r="CT54" s="510"/>
      <c r="CU54" s="510"/>
      <c r="CV54" s="510"/>
      <c r="CW54" s="510"/>
      <c r="CX54" s="510"/>
      <c r="CY54" s="510"/>
      <c r="CZ54" s="510"/>
      <c r="DA54" s="510"/>
      <c r="DB54" s="510"/>
      <c r="DC54" s="510"/>
      <c r="DD54" s="510"/>
      <c r="DE54" s="510"/>
      <c r="DF54" s="510"/>
      <c r="DG54" s="510"/>
      <c r="DH54" s="510"/>
      <c r="DI54" s="510"/>
      <c r="DJ54" s="510"/>
      <c r="DK54" s="510"/>
      <c r="DL54" s="510"/>
      <c r="DM54" s="510"/>
      <c r="DN54" s="510"/>
      <c r="DO54" s="510"/>
      <c r="DP54" s="510"/>
      <c r="DQ54" s="510"/>
      <c r="DR54" s="510"/>
      <c r="DS54" s="510"/>
      <c r="DT54" s="510"/>
      <c r="DU54" s="510"/>
      <c r="DV54" s="510"/>
      <c r="DW54" s="510"/>
      <c r="DX54" s="510"/>
      <c r="DY54" s="510"/>
      <c r="DZ54" s="510"/>
      <c r="EA54" s="510"/>
      <c r="EB54" s="510"/>
      <c r="EC54" s="510"/>
      <c r="ED54" s="510"/>
      <c r="EE54" s="510"/>
      <c r="EF54" s="510"/>
      <c r="EG54" s="510"/>
      <c r="EH54" s="510"/>
      <c r="EI54" s="510"/>
      <c r="EJ54" s="510"/>
      <c r="EK54" s="510"/>
      <c r="EL54" s="510"/>
      <c r="EM54" s="510"/>
      <c r="EN54" s="510"/>
      <c r="EO54" s="510"/>
      <c r="EP54" s="510"/>
      <c r="EQ54" s="510"/>
      <c r="ER54" s="510"/>
      <c r="ES54" s="510"/>
      <c r="ET54" s="510"/>
      <c r="EU54" s="510"/>
      <c r="EV54" s="510"/>
      <c r="EW54" s="510"/>
      <c r="EX54" s="510"/>
      <c r="EY54" s="510"/>
      <c r="EZ54" s="510"/>
      <c r="FA54" s="510"/>
      <c r="FB54" s="510"/>
      <c r="FC54" s="510"/>
      <c r="FD54" s="510"/>
      <c r="FE54" s="510"/>
      <c r="FF54" s="510"/>
      <c r="FG54" s="510"/>
      <c r="FH54" s="510"/>
      <c r="FI54" s="510"/>
      <c r="FJ54" s="510"/>
      <c r="FK54" s="510"/>
      <c r="FL54" s="510"/>
      <c r="FM54" s="510"/>
      <c r="FN54" s="510"/>
      <c r="FO54" s="510"/>
      <c r="FP54" s="510"/>
      <c r="FQ54" s="510"/>
      <c r="FR54" s="510"/>
      <c r="FS54" s="510"/>
      <c r="FT54" s="510"/>
      <c r="FU54" s="510"/>
      <c r="FV54" s="510"/>
      <c r="FW54" s="510"/>
      <c r="FX54" s="510"/>
      <c r="FY54" s="510"/>
      <c r="FZ54" s="510"/>
      <c r="GA54" s="510"/>
      <c r="GB54" s="510"/>
      <c r="GC54" s="510"/>
      <c r="GD54" s="510"/>
      <c r="GE54" s="510"/>
      <c r="GF54" s="510"/>
      <c r="GG54" s="510"/>
      <c r="GH54" s="510"/>
      <c r="GI54" s="510"/>
      <c r="GJ54" s="510"/>
      <c r="GK54" s="510"/>
      <c r="GL54" s="510"/>
      <c r="GM54" s="510"/>
      <c r="GN54" s="510"/>
      <c r="GO54" s="510"/>
      <c r="GP54" s="510"/>
      <c r="GQ54" s="510"/>
      <c r="GR54" s="510"/>
      <c r="GS54" s="510"/>
      <c r="GT54" s="510"/>
      <c r="GU54" s="510"/>
      <c r="GV54" s="510"/>
      <c r="GW54" s="510"/>
      <c r="GX54" s="510"/>
      <c r="GY54" s="510"/>
      <c r="GZ54" s="510"/>
      <c r="HA54" s="510"/>
      <c r="HB54" s="510"/>
      <c r="HC54" s="510"/>
      <c r="HD54" s="510"/>
      <c r="HE54" s="510"/>
      <c r="HF54" s="510"/>
      <c r="HG54" s="510"/>
      <c r="HH54" s="510"/>
      <c r="HI54" s="510"/>
      <c r="HJ54" s="510"/>
      <c r="HK54" s="510"/>
      <c r="HL54" s="510"/>
      <c r="HM54" s="510"/>
      <c r="HN54" s="510"/>
      <c r="HO54" s="510"/>
      <c r="HP54" s="510"/>
      <c r="HQ54" s="510"/>
      <c r="HR54" s="510"/>
      <c r="HS54" s="510"/>
      <c r="HT54" s="510"/>
      <c r="HU54" s="510"/>
      <c r="HV54" s="510"/>
      <c r="HW54" s="510"/>
      <c r="HX54" s="510"/>
      <c r="HY54" s="510"/>
      <c r="HZ54" s="510"/>
      <c r="IA54" s="510"/>
      <c r="IB54" s="510"/>
      <c r="IC54" s="510"/>
      <c r="ID54" s="510"/>
      <c r="IE54" s="510"/>
      <c r="IF54" s="510"/>
      <c r="IG54" s="510"/>
      <c r="IH54" s="510"/>
      <c r="II54" s="510"/>
      <c r="IJ54" s="510"/>
      <c r="IK54" s="510"/>
      <c r="IL54" s="510"/>
      <c r="IM54" s="510"/>
      <c r="IN54" s="510"/>
      <c r="IO54" s="510"/>
      <c r="IP54" s="510"/>
      <c r="IQ54" s="510"/>
    </row>
    <row r="55" spans="1:253" ht="28.5" x14ac:dyDescent="0.25">
      <c r="A55" s="538" t="s">
        <v>57</v>
      </c>
      <c r="B55" s="638" t="s">
        <v>441</v>
      </c>
      <c r="C55" s="539"/>
      <c r="D55" s="522"/>
      <c r="E55" s="536"/>
      <c r="F55" s="536"/>
      <c r="G55" s="536"/>
      <c r="H55" s="540">
        <f>H56+H58</f>
        <v>158200</v>
      </c>
      <c r="I55" s="540">
        <f t="shared" ref="I55:S55" si="16">I56+I58</f>
        <v>150667</v>
      </c>
      <c r="J55" s="540">
        <f t="shared" si="16"/>
        <v>7533</v>
      </c>
      <c r="K55" s="540">
        <f t="shared" si="16"/>
        <v>19500</v>
      </c>
      <c r="L55" s="540">
        <f t="shared" si="16"/>
        <v>18144</v>
      </c>
      <c r="M55" s="540">
        <f t="shared" si="16"/>
        <v>1356</v>
      </c>
      <c r="N55" s="540">
        <f t="shared" si="16"/>
        <v>138700</v>
      </c>
      <c r="O55" s="540">
        <f t="shared" si="16"/>
        <v>132523</v>
      </c>
      <c r="P55" s="540">
        <f t="shared" si="16"/>
        <v>6177</v>
      </c>
      <c r="Q55" s="541">
        <f t="shared" si="16"/>
        <v>38318</v>
      </c>
      <c r="R55" s="540">
        <f t="shared" si="16"/>
        <v>36355</v>
      </c>
      <c r="S55" s="540">
        <f t="shared" si="16"/>
        <v>1963</v>
      </c>
      <c r="T55" s="542"/>
      <c r="U55" s="54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3"/>
      <c r="BZ55" s="503"/>
      <c r="CA55" s="503"/>
      <c r="CB55" s="503"/>
      <c r="CC55" s="503"/>
      <c r="CD55" s="503"/>
      <c r="CE55" s="503"/>
      <c r="CF55" s="503"/>
      <c r="CG55" s="503"/>
      <c r="CH55" s="503"/>
      <c r="CI55" s="503"/>
      <c r="CJ55" s="503"/>
      <c r="CK55" s="503"/>
      <c r="CL55" s="503"/>
      <c r="CM55" s="503"/>
      <c r="CN55" s="503"/>
      <c r="CO55" s="503"/>
      <c r="CP55" s="503"/>
      <c r="CQ55" s="503"/>
      <c r="CR55" s="503"/>
      <c r="CS55" s="503"/>
      <c r="CT55" s="503"/>
      <c r="CU55" s="503"/>
      <c r="CV55" s="503"/>
      <c r="CW55" s="503"/>
      <c r="CX55" s="503"/>
      <c r="CY55" s="503"/>
      <c r="CZ55" s="503"/>
      <c r="DA55" s="503"/>
      <c r="DB55" s="503"/>
      <c r="DC55" s="503"/>
      <c r="DD55" s="503"/>
      <c r="DE55" s="503"/>
      <c r="DF55" s="503"/>
      <c r="DG55" s="503"/>
      <c r="DH55" s="503"/>
      <c r="DI55" s="503"/>
      <c r="DJ55" s="503"/>
      <c r="DK55" s="503"/>
      <c r="DL55" s="503"/>
      <c r="DM55" s="503"/>
      <c r="DN55" s="503"/>
      <c r="DO55" s="503"/>
      <c r="DP55" s="503"/>
      <c r="DQ55" s="503"/>
      <c r="DR55" s="503"/>
      <c r="DS55" s="503"/>
      <c r="DT55" s="503"/>
      <c r="DU55" s="503"/>
      <c r="DV55" s="503"/>
      <c r="DW55" s="503"/>
      <c r="DX55" s="503"/>
      <c r="DY55" s="503"/>
      <c r="DZ55" s="503"/>
      <c r="EA55" s="503"/>
      <c r="EB55" s="503"/>
      <c r="EC55" s="503"/>
      <c r="ED55" s="503"/>
      <c r="EE55" s="503"/>
      <c r="EF55" s="503"/>
      <c r="EG55" s="503"/>
      <c r="EH55" s="503"/>
      <c r="EI55" s="503"/>
      <c r="EJ55" s="503"/>
      <c r="EK55" s="503"/>
      <c r="EL55" s="503"/>
      <c r="EM55" s="503"/>
      <c r="EN55" s="503"/>
      <c r="EO55" s="503"/>
      <c r="EP55" s="503"/>
      <c r="EQ55" s="503"/>
      <c r="ER55" s="503"/>
      <c r="ES55" s="503"/>
      <c r="ET55" s="503"/>
      <c r="EU55" s="503"/>
      <c r="EV55" s="503"/>
      <c r="EW55" s="503"/>
      <c r="EX55" s="503"/>
      <c r="EY55" s="503"/>
      <c r="EZ55" s="503"/>
      <c r="FA55" s="503"/>
      <c r="FB55" s="503"/>
      <c r="FC55" s="503"/>
      <c r="FD55" s="503"/>
      <c r="FE55" s="503"/>
      <c r="FF55" s="503"/>
      <c r="FG55" s="503"/>
      <c r="FH55" s="503"/>
      <c r="FI55" s="503"/>
      <c r="FJ55" s="503"/>
      <c r="FK55" s="503"/>
      <c r="FL55" s="503"/>
      <c r="FM55" s="503"/>
      <c r="FN55" s="503"/>
      <c r="FO55" s="503"/>
      <c r="FP55" s="503"/>
      <c r="FQ55" s="503"/>
      <c r="FR55" s="503"/>
      <c r="FS55" s="503"/>
      <c r="FT55" s="503"/>
      <c r="FU55" s="503"/>
      <c r="FV55" s="503"/>
      <c r="FW55" s="503"/>
      <c r="FX55" s="503"/>
      <c r="FY55" s="503"/>
      <c r="FZ55" s="503"/>
      <c r="GA55" s="503"/>
      <c r="GB55" s="503"/>
      <c r="GC55" s="503"/>
      <c r="GD55" s="503"/>
      <c r="GE55" s="503"/>
      <c r="GF55" s="503"/>
      <c r="GG55" s="503"/>
      <c r="GH55" s="503"/>
      <c r="GI55" s="503"/>
      <c r="GJ55" s="503"/>
      <c r="GK55" s="503"/>
      <c r="GL55" s="503"/>
      <c r="GM55" s="503"/>
      <c r="GN55" s="503"/>
      <c r="GO55" s="503"/>
      <c r="GP55" s="503"/>
      <c r="GQ55" s="503"/>
      <c r="GR55" s="503"/>
      <c r="GS55" s="503"/>
      <c r="GT55" s="503"/>
      <c r="GU55" s="503"/>
      <c r="GV55" s="503"/>
      <c r="GW55" s="503"/>
      <c r="GX55" s="503"/>
      <c r="GY55" s="503"/>
      <c r="GZ55" s="503"/>
      <c r="HA55" s="503"/>
      <c r="HB55" s="503"/>
      <c r="HC55" s="503"/>
      <c r="HD55" s="503"/>
      <c r="HE55" s="503"/>
      <c r="HF55" s="503"/>
      <c r="HG55" s="503"/>
      <c r="HH55" s="503"/>
      <c r="HI55" s="503"/>
      <c r="HJ55" s="503"/>
      <c r="HK55" s="503"/>
      <c r="HL55" s="503"/>
      <c r="HM55" s="503"/>
      <c r="HN55" s="503"/>
      <c r="HO55" s="503"/>
      <c r="HP55" s="503"/>
      <c r="HQ55" s="503"/>
      <c r="HR55" s="503"/>
      <c r="HS55" s="503"/>
      <c r="HT55" s="503"/>
      <c r="HU55" s="503"/>
      <c r="HV55" s="503"/>
      <c r="HW55" s="503"/>
      <c r="HX55" s="503"/>
      <c r="HY55" s="503"/>
      <c r="HZ55" s="503"/>
      <c r="IA55" s="503"/>
      <c r="IB55" s="503"/>
      <c r="IC55" s="503"/>
      <c r="ID55" s="503"/>
      <c r="IE55" s="503"/>
      <c r="IF55" s="503"/>
      <c r="IG55" s="503"/>
      <c r="IH55" s="503"/>
      <c r="II55" s="503"/>
      <c r="IJ55" s="503"/>
      <c r="IK55" s="503"/>
      <c r="IL55" s="503"/>
      <c r="IM55" s="503"/>
      <c r="IN55" s="503"/>
      <c r="IO55" s="503"/>
      <c r="IP55" s="503"/>
      <c r="IQ55" s="503"/>
      <c r="IR55" s="503"/>
      <c r="IS55" s="503"/>
    </row>
    <row r="56" spans="1:253" ht="105" customHeight="1" x14ac:dyDescent="0.25">
      <c r="A56" s="521">
        <v>1</v>
      </c>
      <c r="B56" s="549" t="s">
        <v>442</v>
      </c>
      <c r="C56" s="522" t="s">
        <v>422</v>
      </c>
      <c r="D56" s="544" t="s">
        <v>443</v>
      </c>
      <c r="E56" s="545">
        <v>52171</v>
      </c>
      <c r="F56" s="545">
        <v>49667</v>
      </c>
      <c r="G56" s="545">
        <v>2504</v>
      </c>
      <c r="H56" s="523">
        <f>I56+J56</f>
        <v>60629</v>
      </c>
      <c r="I56" s="523">
        <v>57742</v>
      </c>
      <c r="J56" s="546">
        <v>2887</v>
      </c>
      <c r="K56" s="523">
        <v>19000</v>
      </c>
      <c r="L56" s="523">
        <v>17644</v>
      </c>
      <c r="M56" s="523">
        <v>1356</v>
      </c>
      <c r="N56" s="505">
        <f>H56-K56</f>
        <v>41629</v>
      </c>
      <c r="O56" s="505">
        <f>I56-L56</f>
        <v>40098</v>
      </c>
      <c r="P56" s="505">
        <f>J56-M56</f>
        <v>1531</v>
      </c>
      <c r="Q56" s="506">
        <f>R56+S56</f>
        <v>20000</v>
      </c>
      <c r="R56" s="523">
        <v>19048</v>
      </c>
      <c r="S56" s="523">
        <v>952</v>
      </c>
      <c r="T56" s="522" t="s">
        <v>412</v>
      </c>
      <c r="U56" s="489"/>
    </row>
    <row r="57" spans="1:253" x14ac:dyDescent="0.25">
      <c r="A57" s="521"/>
      <c r="B57" s="640" t="s">
        <v>390</v>
      </c>
      <c r="C57" s="522"/>
      <c r="D57" s="544"/>
      <c r="E57" s="545"/>
      <c r="F57" s="545"/>
      <c r="G57" s="545"/>
      <c r="H57" s="523"/>
      <c r="I57" s="523"/>
      <c r="J57" s="546"/>
      <c r="K57" s="523"/>
      <c r="L57" s="523"/>
      <c r="M57" s="523"/>
      <c r="N57" s="505"/>
      <c r="O57" s="505"/>
      <c r="P57" s="505"/>
      <c r="Q57" s="506"/>
      <c r="R57" s="523"/>
      <c r="S57" s="523"/>
      <c r="T57" s="522"/>
      <c r="U57" s="489"/>
    </row>
    <row r="58" spans="1:253" ht="114" customHeight="1" x14ac:dyDescent="0.25">
      <c r="A58" s="521">
        <v>2</v>
      </c>
      <c r="B58" s="549" t="s">
        <v>444</v>
      </c>
      <c r="C58" s="522" t="s">
        <v>392</v>
      </c>
      <c r="D58" s="544"/>
      <c r="E58" s="545"/>
      <c r="F58" s="545"/>
      <c r="G58" s="545"/>
      <c r="H58" s="523">
        <f t="shared" ref="H58:H63" si="17">I58+J58</f>
        <v>97571</v>
      </c>
      <c r="I58" s="523">
        <v>92925</v>
      </c>
      <c r="J58" s="546">
        <v>4646</v>
      </c>
      <c r="K58" s="523">
        <v>500</v>
      </c>
      <c r="L58" s="523">
        <v>500</v>
      </c>
      <c r="M58" s="523">
        <v>0</v>
      </c>
      <c r="N58" s="505">
        <f>H58-K58</f>
        <v>97071</v>
      </c>
      <c r="O58" s="505">
        <f>I58-L58</f>
        <v>92425</v>
      </c>
      <c r="P58" s="505">
        <f>J58-M58</f>
        <v>4646</v>
      </c>
      <c r="Q58" s="506">
        <f>R58+S58</f>
        <v>18318</v>
      </c>
      <c r="R58" s="523">
        <v>17307</v>
      </c>
      <c r="S58" s="523">
        <v>1011</v>
      </c>
      <c r="T58" s="522" t="s">
        <v>412</v>
      </c>
      <c r="U58" s="489" t="s">
        <v>393</v>
      </c>
    </row>
    <row r="59" spans="1:253" ht="57" x14ac:dyDescent="0.25">
      <c r="A59" s="538" t="s">
        <v>445</v>
      </c>
      <c r="B59" s="638" t="s">
        <v>446</v>
      </c>
      <c r="C59" s="547"/>
      <c r="D59" s="547"/>
      <c r="E59" s="547"/>
      <c r="F59" s="547"/>
      <c r="G59" s="547"/>
      <c r="H59" s="540">
        <f t="shared" si="17"/>
        <v>45908</v>
      </c>
      <c r="I59" s="540">
        <f>I60+I61+I62+I63</f>
        <v>43722</v>
      </c>
      <c r="J59" s="540">
        <f>J60+J61+J62+J63</f>
        <v>2186</v>
      </c>
      <c r="K59" s="540">
        <f t="shared" ref="K59:S59" si="18">K60+K61+K62+K63</f>
        <v>8285</v>
      </c>
      <c r="L59" s="540">
        <f t="shared" si="18"/>
        <v>7890</v>
      </c>
      <c r="M59" s="540">
        <f t="shared" si="18"/>
        <v>395</v>
      </c>
      <c r="N59" s="540">
        <f t="shared" si="18"/>
        <v>37623</v>
      </c>
      <c r="O59" s="540">
        <f t="shared" si="18"/>
        <v>35832</v>
      </c>
      <c r="P59" s="540">
        <f t="shared" si="18"/>
        <v>1791</v>
      </c>
      <c r="Q59" s="541">
        <f t="shared" si="18"/>
        <v>11148</v>
      </c>
      <c r="R59" s="540">
        <f t="shared" si="18"/>
        <v>10577</v>
      </c>
      <c r="S59" s="540">
        <f t="shared" si="18"/>
        <v>571</v>
      </c>
      <c r="T59" s="542"/>
      <c r="U59" s="548"/>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03"/>
      <c r="AT59" s="503"/>
      <c r="AU59" s="503"/>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503"/>
      <c r="BZ59" s="503"/>
      <c r="CA59" s="503"/>
      <c r="CB59" s="503"/>
      <c r="CC59" s="503"/>
      <c r="CD59" s="503"/>
      <c r="CE59" s="503"/>
      <c r="CF59" s="503"/>
      <c r="CG59" s="503"/>
      <c r="CH59" s="503"/>
      <c r="CI59" s="503"/>
      <c r="CJ59" s="503"/>
      <c r="CK59" s="503"/>
      <c r="CL59" s="503"/>
      <c r="CM59" s="503"/>
      <c r="CN59" s="503"/>
      <c r="CO59" s="503"/>
      <c r="CP59" s="503"/>
      <c r="CQ59" s="503"/>
      <c r="CR59" s="503"/>
      <c r="CS59" s="503"/>
      <c r="CT59" s="503"/>
      <c r="CU59" s="503"/>
      <c r="CV59" s="503"/>
      <c r="CW59" s="503"/>
      <c r="CX59" s="503"/>
      <c r="CY59" s="503"/>
      <c r="CZ59" s="503"/>
      <c r="DA59" s="503"/>
      <c r="DB59" s="503"/>
      <c r="DC59" s="503"/>
      <c r="DD59" s="503"/>
      <c r="DE59" s="503"/>
      <c r="DF59" s="503"/>
      <c r="DG59" s="503"/>
      <c r="DH59" s="503"/>
      <c r="DI59" s="503"/>
      <c r="DJ59" s="503"/>
      <c r="DK59" s="503"/>
      <c r="DL59" s="503"/>
      <c r="DM59" s="503"/>
      <c r="DN59" s="503"/>
      <c r="DO59" s="503"/>
      <c r="DP59" s="503"/>
      <c r="DQ59" s="503"/>
      <c r="DR59" s="503"/>
      <c r="DS59" s="503"/>
      <c r="DT59" s="503"/>
      <c r="DU59" s="503"/>
      <c r="DV59" s="503"/>
      <c r="DW59" s="503"/>
      <c r="DX59" s="503"/>
      <c r="DY59" s="503"/>
      <c r="DZ59" s="503"/>
      <c r="EA59" s="503"/>
      <c r="EB59" s="503"/>
      <c r="EC59" s="503"/>
      <c r="ED59" s="503"/>
      <c r="EE59" s="503"/>
      <c r="EF59" s="503"/>
      <c r="EG59" s="503"/>
      <c r="EH59" s="503"/>
      <c r="EI59" s="503"/>
      <c r="EJ59" s="503"/>
      <c r="EK59" s="503"/>
      <c r="EL59" s="503"/>
      <c r="EM59" s="503"/>
      <c r="EN59" s="503"/>
      <c r="EO59" s="503"/>
      <c r="EP59" s="503"/>
      <c r="EQ59" s="503"/>
      <c r="ER59" s="503"/>
      <c r="ES59" s="503"/>
      <c r="ET59" s="503"/>
      <c r="EU59" s="503"/>
      <c r="EV59" s="503"/>
      <c r="EW59" s="503"/>
      <c r="EX59" s="503"/>
      <c r="EY59" s="503"/>
      <c r="EZ59" s="503"/>
      <c r="FA59" s="503"/>
      <c r="FB59" s="503"/>
      <c r="FC59" s="503"/>
      <c r="FD59" s="503"/>
      <c r="FE59" s="503"/>
      <c r="FF59" s="503"/>
      <c r="FG59" s="503"/>
      <c r="FH59" s="503"/>
      <c r="FI59" s="503"/>
      <c r="FJ59" s="503"/>
      <c r="FK59" s="503"/>
      <c r="FL59" s="503"/>
      <c r="FM59" s="503"/>
      <c r="FN59" s="503"/>
      <c r="FO59" s="503"/>
      <c r="FP59" s="503"/>
      <c r="FQ59" s="503"/>
      <c r="FR59" s="503"/>
      <c r="FS59" s="503"/>
      <c r="FT59" s="503"/>
      <c r="FU59" s="503"/>
      <c r="FV59" s="503"/>
      <c r="FW59" s="503"/>
      <c r="FX59" s="503"/>
      <c r="FY59" s="503"/>
      <c r="FZ59" s="503"/>
      <c r="GA59" s="503"/>
      <c r="GB59" s="503"/>
      <c r="GC59" s="503"/>
      <c r="GD59" s="503"/>
      <c r="GE59" s="503"/>
      <c r="GF59" s="503"/>
      <c r="GG59" s="503"/>
      <c r="GH59" s="503"/>
      <c r="GI59" s="503"/>
      <c r="GJ59" s="503"/>
      <c r="GK59" s="503"/>
      <c r="GL59" s="503"/>
      <c r="GM59" s="503"/>
      <c r="GN59" s="503"/>
      <c r="GO59" s="503"/>
      <c r="GP59" s="503"/>
      <c r="GQ59" s="503"/>
      <c r="GR59" s="503"/>
      <c r="GS59" s="503"/>
      <c r="GT59" s="503"/>
      <c r="GU59" s="503"/>
      <c r="GV59" s="503"/>
      <c r="GW59" s="503"/>
      <c r="GX59" s="503"/>
      <c r="GY59" s="503"/>
      <c r="GZ59" s="503"/>
      <c r="HA59" s="503"/>
      <c r="HB59" s="503"/>
      <c r="HC59" s="503"/>
      <c r="HD59" s="503"/>
      <c r="HE59" s="503"/>
      <c r="HF59" s="503"/>
      <c r="HG59" s="503"/>
      <c r="HH59" s="503"/>
      <c r="HI59" s="503"/>
      <c r="HJ59" s="503"/>
      <c r="HK59" s="503"/>
      <c r="HL59" s="503"/>
      <c r="HM59" s="503"/>
      <c r="HN59" s="503"/>
      <c r="HO59" s="503"/>
      <c r="HP59" s="503"/>
      <c r="HQ59" s="503"/>
      <c r="HR59" s="503"/>
      <c r="HS59" s="503"/>
      <c r="HT59" s="503"/>
      <c r="HU59" s="503"/>
      <c r="HV59" s="503"/>
      <c r="HW59" s="503"/>
      <c r="HX59" s="503"/>
      <c r="HY59" s="503"/>
      <c r="HZ59" s="503"/>
      <c r="IA59" s="503"/>
      <c r="IB59" s="503"/>
      <c r="IC59" s="503"/>
      <c r="ID59" s="503"/>
      <c r="IE59" s="503"/>
      <c r="IF59" s="503"/>
      <c r="IG59" s="503"/>
      <c r="IH59" s="503"/>
      <c r="II59" s="503"/>
      <c r="IJ59" s="503"/>
      <c r="IK59" s="503"/>
      <c r="IL59" s="503"/>
      <c r="IM59" s="503"/>
      <c r="IN59" s="503"/>
      <c r="IO59" s="503"/>
      <c r="IP59" s="503"/>
      <c r="IQ59" s="503"/>
      <c r="IR59" s="503"/>
      <c r="IS59" s="503"/>
    </row>
    <row r="60" spans="1:253" ht="45" x14ac:dyDescent="0.25">
      <c r="A60" s="521">
        <v>1</v>
      </c>
      <c r="B60" s="549" t="s">
        <v>447</v>
      </c>
      <c r="C60" s="522" t="s">
        <v>422</v>
      </c>
      <c r="D60" s="522"/>
      <c r="E60" s="522"/>
      <c r="F60" s="522"/>
      <c r="G60" s="522"/>
      <c r="H60" s="523">
        <f t="shared" si="17"/>
        <v>8386</v>
      </c>
      <c r="I60" s="523">
        <v>7987</v>
      </c>
      <c r="J60" s="523">
        <v>399</v>
      </c>
      <c r="K60" s="523">
        <v>1439</v>
      </c>
      <c r="L60" s="523">
        <v>1370</v>
      </c>
      <c r="M60" s="523">
        <v>69</v>
      </c>
      <c r="N60" s="505">
        <f t="shared" ref="N60:P63" si="19">H60-K60</f>
        <v>6947</v>
      </c>
      <c r="O60" s="505">
        <f t="shared" si="19"/>
        <v>6617</v>
      </c>
      <c r="P60" s="505">
        <f t="shared" si="19"/>
        <v>330</v>
      </c>
      <c r="Q60" s="506">
        <f>R60+S60</f>
        <v>3160</v>
      </c>
      <c r="R60" s="523">
        <v>3000</v>
      </c>
      <c r="S60" s="523">
        <v>160</v>
      </c>
      <c r="T60" s="550" t="s">
        <v>182</v>
      </c>
      <c r="U60" s="489" t="s">
        <v>393</v>
      </c>
    </row>
    <row r="61" spans="1:253" ht="45" x14ac:dyDescent="0.25">
      <c r="A61" s="521">
        <v>2</v>
      </c>
      <c r="B61" s="549" t="s">
        <v>448</v>
      </c>
      <c r="C61" s="522" t="s">
        <v>392</v>
      </c>
      <c r="D61" s="522"/>
      <c r="E61" s="522"/>
      <c r="F61" s="522"/>
      <c r="G61" s="522"/>
      <c r="H61" s="523">
        <f t="shared" si="17"/>
        <v>20407</v>
      </c>
      <c r="I61" s="536">
        <v>19435</v>
      </c>
      <c r="J61" s="536">
        <v>972</v>
      </c>
      <c r="K61" s="523">
        <v>0</v>
      </c>
      <c r="L61" s="524">
        <v>0</v>
      </c>
      <c r="M61" s="524">
        <v>0</v>
      </c>
      <c r="N61" s="505">
        <f t="shared" si="19"/>
        <v>20407</v>
      </c>
      <c r="O61" s="505">
        <f t="shared" si="19"/>
        <v>19435</v>
      </c>
      <c r="P61" s="505">
        <f t="shared" si="19"/>
        <v>972</v>
      </c>
      <c r="Q61" s="506">
        <f>R61+S61</f>
        <v>4020</v>
      </c>
      <c r="R61" s="523">
        <v>3800</v>
      </c>
      <c r="S61" s="523">
        <v>220</v>
      </c>
      <c r="T61" s="550" t="s">
        <v>182</v>
      </c>
      <c r="U61" s="489" t="s">
        <v>393</v>
      </c>
    </row>
    <row r="62" spans="1:253" ht="45" x14ac:dyDescent="0.25">
      <c r="A62" s="521">
        <v>3</v>
      </c>
      <c r="B62" s="549" t="s">
        <v>449</v>
      </c>
      <c r="C62" s="522" t="s">
        <v>392</v>
      </c>
      <c r="D62" s="522"/>
      <c r="E62" s="522"/>
      <c r="F62" s="522"/>
      <c r="G62" s="522"/>
      <c r="H62" s="523">
        <f t="shared" si="17"/>
        <v>10269</v>
      </c>
      <c r="I62" s="536">
        <v>9780</v>
      </c>
      <c r="J62" s="536">
        <v>489</v>
      </c>
      <c r="K62" s="523">
        <v>0</v>
      </c>
      <c r="L62" s="524">
        <v>0</v>
      </c>
      <c r="M62" s="524">
        <v>0</v>
      </c>
      <c r="N62" s="505">
        <f t="shared" si="19"/>
        <v>10269</v>
      </c>
      <c r="O62" s="505">
        <f t="shared" si="19"/>
        <v>9780</v>
      </c>
      <c r="P62" s="505">
        <f t="shared" si="19"/>
        <v>489</v>
      </c>
      <c r="Q62" s="506">
        <f>R62+S62</f>
        <v>3968</v>
      </c>
      <c r="R62" s="523">
        <v>3777</v>
      </c>
      <c r="S62" s="523">
        <v>191</v>
      </c>
      <c r="T62" s="550" t="s">
        <v>182</v>
      </c>
      <c r="U62" s="489" t="s">
        <v>393</v>
      </c>
    </row>
    <row r="63" spans="1:253" ht="30" x14ac:dyDescent="0.25">
      <c r="A63" s="521">
        <v>4</v>
      </c>
      <c r="B63" s="549" t="s">
        <v>450</v>
      </c>
      <c r="C63" s="522" t="s">
        <v>451</v>
      </c>
      <c r="D63" s="522"/>
      <c r="E63" s="522"/>
      <c r="F63" s="522"/>
      <c r="G63" s="522"/>
      <c r="H63" s="523">
        <f t="shared" si="17"/>
        <v>6846</v>
      </c>
      <c r="I63" s="536">
        <v>6520</v>
      </c>
      <c r="J63" s="536">
        <v>326</v>
      </c>
      <c r="K63" s="523">
        <v>6846</v>
      </c>
      <c r="L63" s="536">
        <v>6520</v>
      </c>
      <c r="M63" s="536">
        <v>326</v>
      </c>
      <c r="N63" s="505">
        <f t="shared" si="19"/>
        <v>0</v>
      </c>
      <c r="O63" s="505">
        <f t="shared" si="19"/>
        <v>0</v>
      </c>
      <c r="P63" s="505">
        <f t="shared" si="19"/>
        <v>0</v>
      </c>
      <c r="Q63" s="506">
        <f>R63+S63</f>
        <v>0</v>
      </c>
      <c r="R63" s="536"/>
      <c r="S63" s="536"/>
      <c r="T63" s="550" t="s">
        <v>452</v>
      </c>
      <c r="U63" s="550"/>
    </row>
    <row r="64" spans="1:253" ht="66.75" customHeight="1" x14ac:dyDescent="0.25">
      <c r="A64" s="538" t="s">
        <v>453</v>
      </c>
      <c r="B64" s="638" t="s">
        <v>454</v>
      </c>
      <c r="C64" s="494"/>
      <c r="D64" s="494"/>
      <c r="E64" s="494"/>
      <c r="F64" s="494"/>
      <c r="G64" s="494"/>
      <c r="H64" s="495">
        <f t="shared" ref="H64:S64" si="20">H65</f>
        <v>62969</v>
      </c>
      <c r="I64" s="495">
        <f t="shared" si="20"/>
        <v>59970</v>
      </c>
      <c r="J64" s="495">
        <f t="shared" si="20"/>
        <v>2999</v>
      </c>
      <c r="K64" s="495">
        <f t="shared" si="20"/>
        <v>8961</v>
      </c>
      <c r="L64" s="495">
        <f t="shared" si="20"/>
        <v>8421</v>
      </c>
      <c r="M64" s="495">
        <f t="shared" si="20"/>
        <v>540</v>
      </c>
      <c r="N64" s="495">
        <f t="shared" si="20"/>
        <v>54008</v>
      </c>
      <c r="O64" s="495">
        <f t="shared" si="20"/>
        <v>51549</v>
      </c>
      <c r="P64" s="495">
        <f t="shared" si="20"/>
        <v>2459</v>
      </c>
      <c r="Q64" s="491">
        <f t="shared" si="20"/>
        <v>15251</v>
      </c>
      <c r="R64" s="495">
        <f t="shared" si="20"/>
        <v>14470</v>
      </c>
      <c r="S64" s="495">
        <f t="shared" si="20"/>
        <v>781</v>
      </c>
      <c r="T64" s="551"/>
      <c r="U64" s="494"/>
    </row>
    <row r="65" spans="1:253" ht="99" customHeight="1" x14ac:dyDescent="0.25">
      <c r="A65" s="521">
        <v>1</v>
      </c>
      <c r="B65" s="549" t="s">
        <v>455</v>
      </c>
      <c r="C65" s="522" t="s">
        <v>451</v>
      </c>
      <c r="D65" s="522" t="s">
        <v>456</v>
      </c>
      <c r="E65" s="536">
        <f>F65+G65</f>
        <v>62969</v>
      </c>
      <c r="F65" s="536">
        <v>59970</v>
      </c>
      <c r="G65" s="536">
        <v>2999</v>
      </c>
      <c r="H65" s="536">
        <f>I65+J65</f>
        <v>62969</v>
      </c>
      <c r="I65" s="536">
        <v>59970</v>
      </c>
      <c r="J65" s="536">
        <v>2999</v>
      </c>
      <c r="K65" s="523">
        <f>L65+M65</f>
        <v>8961</v>
      </c>
      <c r="L65" s="523">
        <f>2460+5961</f>
        <v>8421</v>
      </c>
      <c r="M65" s="523">
        <v>540</v>
      </c>
      <c r="N65" s="505">
        <f>H65-K65</f>
        <v>54008</v>
      </c>
      <c r="O65" s="505">
        <f>I65-L65</f>
        <v>51549</v>
      </c>
      <c r="P65" s="505">
        <f>J65-M65</f>
        <v>2459</v>
      </c>
      <c r="Q65" s="506">
        <f>R65+S65</f>
        <v>15251</v>
      </c>
      <c r="R65" s="523">
        <v>14470</v>
      </c>
      <c r="S65" s="523">
        <v>781</v>
      </c>
      <c r="T65" s="522" t="s">
        <v>412</v>
      </c>
      <c r="U65" s="552"/>
    </row>
    <row r="66" spans="1:253" s="665" customFormat="1" ht="71.25" x14ac:dyDescent="0.25">
      <c r="A66" s="657" t="s">
        <v>457</v>
      </c>
      <c r="B66" s="658" t="s">
        <v>458</v>
      </c>
      <c r="C66" s="659"/>
      <c r="D66" s="659"/>
      <c r="E66" s="659"/>
      <c r="F66" s="659"/>
      <c r="G66" s="659"/>
      <c r="H66" s="660">
        <f>H67</f>
        <v>4979</v>
      </c>
      <c r="I66" s="660">
        <f t="shared" ref="I66:S66" si="21">I67</f>
        <v>4742</v>
      </c>
      <c r="J66" s="660">
        <f t="shared" si="21"/>
        <v>237</v>
      </c>
      <c r="K66" s="660">
        <f t="shared" si="21"/>
        <v>896</v>
      </c>
      <c r="L66" s="660">
        <f t="shared" si="21"/>
        <v>853</v>
      </c>
      <c r="M66" s="660">
        <f t="shared" si="21"/>
        <v>43</v>
      </c>
      <c r="N66" s="660">
        <f t="shared" si="21"/>
        <v>4083</v>
      </c>
      <c r="O66" s="660">
        <f t="shared" si="21"/>
        <v>3889</v>
      </c>
      <c r="P66" s="660">
        <f t="shared" si="21"/>
        <v>194</v>
      </c>
      <c r="Q66" s="661">
        <f t="shared" si="21"/>
        <v>1589</v>
      </c>
      <c r="R66" s="660">
        <f t="shared" si="21"/>
        <v>1508</v>
      </c>
      <c r="S66" s="660">
        <f t="shared" si="21"/>
        <v>81</v>
      </c>
      <c r="T66" s="662"/>
      <c r="U66" s="663"/>
      <c r="V66" s="664"/>
      <c r="W66" s="664"/>
      <c r="X66" s="664"/>
      <c r="Y66" s="664"/>
      <c r="Z66" s="664"/>
      <c r="AA66" s="664"/>
      <c r="AB66" s="664"/>
      <c r="AC66" s="664"/>
      <c r="AD66" s="664"/>
      <c r="AE66" s="664"/>
      <c r="AF66" s="664"/>
      <c r="AG66" s="664"/>
      <c r="AH66" s="664"/>
      <c r="AI66" s="664"/>
      <c r="AJ66" s="664"/>
      <c r="AK66" s="664"/>
      <c r="AL66" s="664"/>
      <c r="AM66" s="664"/>
      <c r="AN66" s="664"/>
      <c r="AO66" s="664"/>
      <c r="AP66" s="664"/>
      <c r="AQ66" s="664"/>
      <c r="AR66" s="664"/>
      <c r="AS66" s="664"/>
      <c r="AT66" s="664"/>
      <c r="AU66" s="664"/>
      <c r="AV66" s="664"/>
      <c r="AW66" s="664"/>
      <c r="AX66" s="664"/>
      <c r="AY66" s="664"/>
      <c r="AZ66" s="664"/>
      <c r="BA66" s="664"/>
      <c r="BB66" s="664"/>
      <c r="BC66" s="664"/>
      <c r="BD66" s="664"/>
      <c r="BE66" s="664"/>
      <c r="BF66" s="664"/>
      <c r="BG66" s="664"/>
      <c r="BH66" s="664"/>
      <c r="BI66" s="664"/>
      <c r="BJ66" s="664"/>
      <c r="BK66" s="664"/>
      <c r="BL66" s="664"/>
      <c r="BM66" s="664"/>
      <c r="BN66" s="664"/>
      <c r="BO66" s="664"/>
      <c r="BP66" s="664"/>
      <c r="BQ66" s="664"/>
      <c r="BR66" s="664"/>
      <c r="BS66" s="664"/>
      <c r="BT66" s="664"/>
      <c r="BU66" s="664"/>
      <c r="BV66" s="664"/>
      <c r="BW66" s="664"/>
      <c r="BX66" s="664"/>
      <c r="BY66" s="664"/>
      <c r="BZ66" s="664"/>
      <c r="CA66" s="664"/>
      <c r="CB66" s="664"/>
      <c r="CC66" s="664"/>
      <c r="CD66" s="664"/>
      <c r="CE66" s="664"/>
      <c r="CF66" s="664"/>
      <c r="CG66" s="664"/>
      <c r="CH66" s="664"/>
      <c r="CI66" s="664"/>
      <c r="CJ66" s="664"/>
      <c r="CK66" s="664"/>
      <c r="CL66" s="664"/>
      <c r="CM66" s="664"/>
      <c r="CN66" s="664"/>
      <c r="CO66" s="664"/>
      <c r="CP66" s="664"/>
      <c r="CQ66" s="664"/>
      <c r="CR66" s="664"/>
      <c r="CS66" s="664"/>
      <c r="CT66" s="664"/>
      <c r="CU66" s="664"/>
      <c r="CV66" s="664"/>
      <c r="CW66" s="664"/>
      <c r="CX66" s="664"/>
      <c r="CY66" s="664"/>
      <c r="CZ66" s="664"/>
      <c r="DA66" s="664"/>
      <c r="DB66" s="664"/>
      <c r="DC66" s="664"/>
      <c r="DD66" s="664"/>
      <c r="DE66" s="664"/>
      <c r="DF66" s="664"/>
      <c r="DG66" s="664"/>
      <c r="DH66" s="664"/>
      <c r="DI66" s="664"/>
      <c r="DJ66" s="664"/>
      <c r="DK66" s="664"/>
      <c r="DL66" s="664"/>
      <c r="DM66" s="664"/>
      <c r="DN66" s="664"/>
      <c r="DO66" s="664"/>
      <c r="DP66" s="664"/>
      <c r="DQ66" s="664"/>
      <c r="DR66" s="664"/>
      <c r="DS66" s="664"/>
      <c r="DT66" s="664"/>
      <c r="DU66" s="664"/>
      <c r="DV66" s="664"/>
      <c r="DW66" s="664"/>
      <c r="DX66" s="664"/>
      <c r="DY66" s="664"/>
      <c r="DZ66" s="664"/>
      <c r="EA66" s="664"/>
      <c r="EB66" s="664"/>
      <c r="EC66" s="664"/>
      <c r="ED66" s="664"/>
      <c r="EE66" s="664"/>
      <c r="EF66" s="664"/>
      <c r="EG66" s="664"/>
      <c r="EH66" s="664"/>
      <c r="EI66" s="664"/>
      <c r="EJ66" s="664"/>
      <c r="EK66" s="664"/>
      <c r="EL66" s="664"/>
      <c r="EM66" s="664"/>
      <c r="EN66" s="664"/>
      <c r="EO66" s="664"/>
      <c r="EP66" s="664"/>
      <c r="EQ66" s="664"/>
      <c r="ER66" s="664"/>
      <c r="ES66" s="664"/>
      <c r="ET66" s="664"/>
      <c r="EU66" s="664"/>
      <c r="EV66" s="664"/>
      <c r="EW66" s="664"/>
      <c r="EX66" s="664"/>
      <c r="EY66" s="664"/>
      <c r="EZ66" s="664"/>
      <c r="FA66" s="664"/>
      <c r="FB66" s="664"/>
      <c r="FC66" s="664"/>
      <c r="FD66" s="664"/>
      <c r="FE66" s="664"/>
      <c r="FF66" s="664"/>
      <c r="FG66" s="664"/>
      <c r="FH66" s="664"/>
      <c r="FI66" s="664"/>
      <c r="FJ66" s="664"/>
      <c r="FK66" s="664"/>
      <c r="FL66" s="664"/>
      <c r="FM66" s="664"/>
      <c r="FN66" s="664"/>
      <c r="FO66" s="664"/>
      <c r="FP66" s="664"/>
      <c r="FQ66" s="664"/>
      <c r="FR66" s="664"/>
      <c r="FS66" s="664"/>
      <c r="FT66" s="664"/>
      <c r="FU66" s="664"/>
      <c r="FV66" s="664"/>
      <c r="FW66" s="664"/>
      <c r="FX66" s="664"/>
      <c r="FY66" s="664"/>
      <c r="FZ66" s="664"/>
      <c r="GA66" s="664"/>
      <c r="GB66" s="664"/>
      <c r="GC66" s="664"/>
      <c r="GD66" s="664"/>
      <c r="GE66" s="664"/>
      <c r="GF66" s="664"/>
      <c r="GG66" s="664"/>
      <c r="GH66" s="664"/>
      <c r="GI66" s="664"/>
      <c r="GJ66" s="664"/>
      <c r="GK66" s="664"/>
      <c r="GL66" s="664"/>
      <c r="GM66" s="664"/>
      <c r="GN66" s="664"/>
      <c r="GO66" s="664"/>
      <c r="GP66" s="664"/>
      <c r="GQ66" s="664"/>
      <c r="GR66" s="664"/>
      <c r="GS66" s="664"/>
      <c r="GT66" s="664"/>
      <c r="GU66" s="664"/>
      <c r="GV66" s="664"/>
      <c r="GW66" s="664"/>
      <c r="GX66" s="664"/>
      <c r="GY66" s="664"/>
      <c r="GZ66" s="664"/>
      <c r="HA66" s="664"/>
      <c r="HB66" s="664"/>
      <c r="HC66" s="664"/>
      <c r="HD66" s="664"/>
      <c r="HE66" s="664"/>
      <c r="HF66" s="664"/>
      <c r="HG66" s="664"/>
      <c r="HH66" s="664"/>
      <c r="HI66" s="664"/>
      <c r="HJ66" s="664"/>
      <c r="HK66" s="664"/>
      <c r="HL66" s="664"/>
      <c r="HM66" s="664"/>
      <c r="HN66" s="664"/>
      <c r="HO66" s="664"/>
      <c r="HP66" s="664"/>
      <c r="HQ66" s="664"/>
      <c r="HR66" s="664"/>
      <c r="HS66" s="664"/>
      <c r="HT66" s="664"/>
      <c r="HU66" s="664"/>
      <c r="HV66" s="664"/>
      <c r="HW66" s="664"/>
      <c r="HX66" s="664"/>
      <c r="HY66" s="664"/>
      <c r="HZ66" s="664"/>
      <c r="IA66" s="664"/>
      <c r="IB66" s="664"/>
      <c r="IC66" s="664"/>
      <c r="ID66" s="664"/>
      <c r="IE66" s="664"/>
      <c r="IF66" s="664"/>
      <c r="IG66" s="664"/>
      <c r="IH66" s="664"/>
      <c r="II66" s="664"/>
      <c r="IJ66" s="664"/>
      <c r="IK66" s="664"/>
      <c r="IL66" s="664"/>
      <c r="IM66" s="664"/>
      <c r="IN66" s="664"/>
      <c r="IO66" s="664"/>
      <c r="IP66" s="664"/>
      <c r="IQ66" s="664"/>
      <c r="IR66" s="664"/>
      <c r="IS66" s="664"/>
    </row>
    <row r="67" spans="1:253" s="665" customFormat="1" ht="45" x14ac:dyDescent="0.25">
      <c r="A67" s="666">
        <v>8</v>
      </c>
      <c r="B67" s="667" t="s">
        <v>459</v>
      </c>
      <c r="C67" s="668" t="s">
        <v>451</v>
      </c>
      <c r="D67" s="668"/>
      <c r="E67" s="668"/>
      <c r="F67" s="668"/>
      <c r="G67" s="668"/>
      <c r="H67" s="669">
        <f>I67+J67</f>
        <v>4979</v>
      </c>
      <c r="I67" s="669">
        <v>4742</v>
      </c>
      <c r="J67" s="669">
        <v>237</v>
      </c>
      <c r="K67" s="669">
        <f>L67+M67</f>
        <v>896</v>
      </c>
      <c r="L67" s="669">
        <v>853</v>
      </c>
      <c r="M67" s="669">
        <v>43</v>
      </c>
      <c r="N67" s="670">
        <f>H67-K67</f>
        <v>4083</v>
      </c>
      <c r="O67" s="670">
        <f>I67-L67</f>
        <v>3889</v>
      </c>
      <c r="P67" s="670">
        <f>J67-M67</f>
        <v>194</v>
      </c>
      <c r="Q67" s="671">
        <f>R67+S67</f>
        <v>1589</v>
      </c>
      <c r="R67" s="669">
        <v>1508</v>
      </c>
      <c r="S67" s="669">
        <v>81</v>
      </c>
      <c r="T67" s="672" t="s">
        <v>452</v>
      </c>
      <c r="U67" s="673"/>
      <c r="V67" s="674"/>
      <c r="W67" s="674"/>
      <c r="X67" s="674"/>
      <c r="Y67" s="674"/>
      <c r="Z67" s="674"/>
      <c r="AA67" s="674"/>
      <c r="AB67" s="674"/>
      <c r="AC67" s="674"/>
      <c r="AD67" s="674"/>
      <c r="AE67" s="674"/>
      <c r="AF67" s="674"/>
      <c r="AG67" s="674"/>
      <c r="AH67" s="674"/>
      <c r="AI67" s="674"/>
      <c r="AJ67" s="674"/>
      <c r="AK67" s="674"/>
      <c r="AL67" s="674"/>
      <c r="AM67" s="674"/>
      <c r="AN67" s="674"/>
      <c r="AO67" s="674"/>
      <c r="AP67" s="674"/>
      <c r="AQ67" s="674"/>
      <c r="AR67" s="674"/>
      <c r="AS67" s="674"/>
      <c r="AT67" s="674"/>
      <c r="AU67" s="674"/>
      <c r="AV67" s="674"/>
      <c r="AW67" s="674"/>
      <c r="AX67" s="674"/>
      <c r="AY67" s="674"/>
      <c r="AZ67" s="674"/>
      <c r="BA67" s="674"/>
      <c r="BB67" s="674"/>
      <c r="BC67" s="674"/>
      <c r="BD67" s="674"/>
      <c r="BE67" s="674"/>
      <c r="BF67" s="674"/>
      <c r="BG67" s="674"/>
      <c r="BH67" s="674"/>
      <c r="BI67" s="674"/>
      <c r="BJ67" s="674"/>
      <c r="BK67" s="674"/>
      <c r="BL67" s="674"/>
      <c r="BM67" s="674"/>
      <c r="BN67" s="674"/>
      <c r="BO67" s="674"/>
      <c r="BP67" s="674"/>
      <c r="BQ67" s="674"/>
      <c r="BR67" s="674"/>
      <c r="BS67" s="674"/>
      <c r="BT67" s="674"/>
      <c r="BU67" s="674"/>
      <c r="BV67" s="674"/>
      <c r="BW67" s="674"/>
      <c r="BX67" s="674"/>
      <c r="BY67" s="674"/>
      <c r="BZ67" s="674"/>
      <c r="CA67" s="674"/>
      <c r="CB67" s="674"/>
      <c r="CC67" s="674"/>
      <c r="CD67" s="674"/>
      <c r="CE67" s="674"/>
      <c r="CF67" s="674"/>
      <c r="CG67" s="674"/>
      <c r="CH67" s="674"/>
      <c r="CI67" s="674"/>
      <c r="CJ67" s="674"/>
      <c r="CK67" s="674"/>
      <c r="CL67" s="674"/>
      <c r="CM67" s="674"/>
      <c r="CN67" s="674"/>
      <c r="CO67" s="674"/>
      <c r="CP67" s="674"/>
      <c r="CQ67" s="674"/>
      <c r="CR67" s="674"/>
      <c r="CS67" s="674"/>
      <c r="CT67" s="674"/>
      <c r="CU67" s="674"/>
      <c r="CV67" s="674"/>
      <c r="CW67" s="674"/>
      <c r="CX67" s="674"/>
      <c r="CY67" s="674"/>
      <c r="CZ67" s="674"/>
      <c r="DA67" s="674"/>
      <c r="DB67" s="674"/>
      <c r="DC67" s="674"/>
      <c r="DD67" s="674"/>
      <c r="DE67" s="674"/>
      <c r="DF67" s="674"/>
      <c r="DG67" s="674"/>
      <c r="DH67" s="674"/>
      <c r="DI67" s="674"/>
      <c r="DJ67" s="674"/>
      <c r="DK67" s="674"/>
      <c r="DL67" s="674"/>
      <c r="DM67" s="674"/>
      <c r="DN67" s="674"/>
      <c r="DO67" s="674"/>
      <c r="DP67" s="674"/>
      <c r="DQ67" s="674"/>
      <c r="DR67" s="674"/>
      <c r="DS67" s="674"/>
      <c r="DT67" s="674"/>
      <c r="DU67" s="674"/>
      <c r="DV67" s="674"/>
      <c r="DW67" s="674"/>
      <c r="DX67" s="674"/>
      <c r="DY67" s="674"/>
      <c r="DZ67" s="674"/>
      <c r="EA67" s="674"/>
      <c r="EB67" s="674"/>
      <c r="EC67" s="674"/>
      <c r="ED67" s="674"/>
      <c r="EE67" s="674"/>
      <c r="EF67" s="674"/>
      <c r="EG67" s="674"/>
      <c r="EH67" s="674"/>
      <c r="EI67" s="674"/>
      <c r="EJ67" s="674"/>
      <c r="EK67" s="674"/>
      <c r="EL67" s="674"/>
      <c r="EM67" s="674"/>
      <c r="EN67" s="674"/>
      <c r="EO67" s="674"/>
      <c r="EP67" s="674"/>
      <c r="EQ67" s="674"/>
      <c r="ER67" s="674"/>
      <c r="ES67" s="674"/>
      <c r="ET67" s="674"/>
      <c r="EU67" s="674"/>
      <c r="EV67" s="674"/>
      <c r="EW67" s="674"/>
      <c r="EX67" s="674"/>
      <c r="EY67" s="674"/>
      <c r="EZ67" s="674"/>
      <c r="FA67" s="674"/>
      <c r="FB67" s="674"/>
      <c r="FC67" s="674"/>
      <c r="FD67" s="674"/>
      <c r="FE67" s="674"/>
      <c r="FF67" s="674"/>
      <c r="FG67" s="674"/>
      <c r="FH67" s="674"/>
      <c r="FI67" s="674"/>
      <c r="FJ67" s="674"/>
      <c r="FK67" s="674"/>
      <c r="FL67" s="674"/>
      <c r="FM67" s="674"/>
      <c r="FN67" s="674"/>
      <c r="FO67" s="674"/>
      <c r="FP67" s="674"/>
      <c r="FQ67" s="674"/>
      <c r="FR67" s="674"/>
      <c r="FS67" s="674"/>
      <c r="FT67" s="674"/>
      <c r="FU67" s="674"/>
      <c r="FV67" s="674"/>
      <c r="FW67" s="674"/>
      <c r="FX67" s="674"/>
      <c r="FY67" s="674"/>
      <c r="FZ67" s="674"/>
      <c r="GA67" s="674"/>
      <c r="GB67" s="674"/>
      <c r="GC67" s="674"/>
      <c r="GD67" s="674"/>
      <c r="GE67" s="674"/>
      <c r="GF67" s="674"/>
      <c r="GG67" s="674"/>
      <c r="GH67" s="674"/>
      <c r="GI67" s="674"/>
      <c r="GJ67" s="674"/>
      <c r="GK67" s="674"/>
      <c r="GL67" s="674"/>
      <c r="GM67" s="674"/>
      <c r="GN67" s="674"/>
      <c r="GO67" s="674"/>
      <c r="GP67" s="674"/>
      <c r="GQ67" s="674"/>
      <c r="GR67" s="674"/>
      <c r="GS67" s="674"/>
      <c r="GT67" s="674"/>
      <c r="GU67" s="674"/>
      <c r="GV67" s="674"/>
      <c r="GW67" s="674"/>
      <c r="GX67" s="674"/>
      <c r="GY67" s="674"/>
      <c r="GZ67" s="674"/>
      <c r="HA67" s="674"/>
      <c r="HB67" s="674"/>
      <c r="HC67" s="674"/>
      <c r="HD67" s="674"/>
      <c r="HE67" s="674"/>
      <c r="HF67" s="674"/>
      <c r="HG67" s="674"/>
      <c r="HH67" s="674"/>
      <c r="HI67" s="674"/>
      <c r="HJ67" s="674"/>
      <c r="HK67" s="674"/>
      <c r="HL67" s="674"/>
      <c r="HM67" s="674"/>
      <c r="HN67" s="674"/>
      <c r="HO67" s="674"/>
      <c r="HP67" s="674"/>
      <c r="HQ67" s="674"/>
      <c r="HR67" s="674"/>
      <c r="HS67" s="674"/>
      <c r="HT67" s="674"/>
      <c r="HU67" s="674"/>
      <c r="HV67" s="674"/>
      <c r="HW67" s="674"/>
      <c r="HX67" s="674"/>
      <c r="HY67" s="674"/>
      <c r="HZ67" s="674"/>
      <c r="IA67" s="674"/>
      <c r="IB67" s="674"/>
      <c r="IC67" s="674"/>
      <c r="ID67" s="674"/>
      <c r="IE67" s="674"/>
      <c r="IF67" s="674"/>
      <c r="IG67" s="674"/>
      <c r="IH67" s="674"/>
      <c r="II67" s="674"/>
      <c r="IJ67" s="674"/>
      <c r="IK67" s="674"/>
      <c r="IL67" s="674"/>
      <c r="IM67" s="674"/>
      <c r="IN67" s="674"/>
      <c r="IO67" s="674"/>
      <c r="IP67" s="674"/>
      <c r="IQ67" s="674"/>
      <c r="IR67" s="674"/>
      <c r="IS67" s="674"/>
    </row>
    <row r="68" spans="1:253" ht="21" customHeight="1" x14ac:dyDescent="0.25">
      <c r="A68" s="511" t="s">
        <v>5</v>
      </c>
      <c r="B68" s="638" t="s">
        <v>460</v>
      </c>
      <c r="C68" s="482"/>
      <c r="D68" s="482"/>
      <c r="E68" s="482"/>
      <c r="F68" s="482"/>
      <c r="G68" s="482"/>
      <c r="H68" s="490">
        <f>H69+H78+H88</f>
        <v>871547</v>
      </c>
      <c r="I68" s="490">
        <f t="shared" ref="I68:S68" si="22">I69+I78+I88</f>
        <v>828265</v>
      </c>
      <c r="J68" s="490">
        <f t="shared" si="22"/>
        <v>43282</v>
      </c>
      <c r="K68" s="490">
        <f t="shared" si="22"/>
        <v>151718</v>
      </c>
      <c r="L68" s="490">
        <f t="shared" si="22"/>
        <v>144333</v>
      </c>
      <c r="M68" s="490">
        <f t="shared" si="22"/>
        <v>7385</v>
      </c>
      <c r="N68" s="490">
        <f t="shared" si="22"/>
        <v>719829</v>
      </c>
      <c r="O68" s="490">
        <f t="shared" si="22"/>
        <v>683932</v>
      </c>
      <c r="P68" s="490">
        <f t="shared" si="22"/>
        <v>35897</v>
      </c>
      <c r="Q68" s="491">
        <f t="shared" si="22"/>
        <v>219960.5</v>
      </c>
      <c r="R68" s="490">
        <f t="shared" si="22"/>
        <v>208107.5</v>
      </c>
      <c r="S68" s="490">
        <f t="shared" si="22"/>
        <v>11853</v>
      </c>
      <c r="T68" s="482"/>
      <c r="U68" s="498"/>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c r="AX68" s="503"/>
      <c r="AY68" s="503"/>
      <c r="AZ68" s="503"/>
      <c r="BA68" s="503"/>
      <c r="BB68" s="503"/>
      <c r="BC68" s="503"/>
      <c r="BD68" s="503"/>
      <c r="BE68" s="503"/>
      <c r="BF68" s="503"/>
      <c r="BG68" s="503"/>
      <c r="BH68" s="503"/>
      <c r="BI68" s="503"/>
      <c r="BJ68" s="503"/>
      <c r="BK68" s="503"/>
      <c r="BL68" s="503"/>
      <c r="BM68" s="503"/>
      <c r="BN68" s="503"/>
      <c r="BO68" s="503"/>
      <c r="BP68" s="503"/>
      <c r="BQ68" s="503"/>
      <c r="BR68" s="503"/>
      <c r="BS68" s="503"/>
      <c r="BT68" s="503"/>
      <c r="BU68" s="503"/>
      <c r="BV68" s="503"/>
      <c r="BW68" s="503"/>
      <c r="BX68" s="503"/>
      <c r="BY68" s="503"/>
      <c r="BZ68" s="503"/>
      <c r="CA68" s="503"/>
      <c r="CB68" s="503"/>
      <c r="CC68" s="503"/>
      <c r="CD68" s="503"/>
      <c r="CE68" s="503"/>
      <c r="CF68" s="503"/>
      <c r="CG68" s="503"/>
      <c r="CH68" s="503"/>
      <c r="CI68" s="503"/>
      <c r="CJ68" s="503"/>
      <c r="CK68" s="503"/>
      <c r="CL68" s="503"/>
      <c r="CM68" s="503"/>
      <c r="CN68" s="503"/>
      <c r="CO68" s="503"/>
      <c r="CP68" s="503"/>
      <c r="CQ68" s="503"/>
      <c r="CR68" s="503"/>
      <c r="CS68" s="503"/>
      <c r="CT68" s="503"/>
      <c r="CU68" s="503"/>
      <c r="CV68" s="503"/>
      <c r="CW68" s="503"/>
      <c r="CX68" s="503"/>
      <c r="CY68" s="503"/>
      <c r="CZ68" s="503"/>
      <c r="DA68" s="503"/>
      <c r="DB68" s="503"/>
      <c r="DC68" s="503"/>
      <c r="DD68" s="503"/>
      <c r="DE68" s="503"/>
      <c r="DF68" s="503"/>
      <c r="DG68" s="503"/>
      <c r="DH68" s="503"/>
      <c r="DI68" s="503"/>
      <c r="DJ68" s="503"/>
      <c r="DK68" s="503"/>
      <c r="DL68" s="503"/>
      <c r="DM68" s="503"/>
      <c r="DN68" s="503"/>
      <c r="DO68" s="503"/>
      <c r="DP68" s="503"/>
      <c r="DQ68" s="503"/>
      <c r="DR68" s="503"/>
      <c r="DS68" s="503"/>
      <c r="DT68" s="503"/>
      <c r="DU68" s="503"/>
      <c r="DV68" s="503"/>
      <c r="DW68" s="503"/>
      <c r="DX68" s="503"/>
      <c r="DY68" s="503"/>
      <c r="DZ68" s="503"/>
      <c r="EA68" s="503"/>
      <c r="EB68" s="503"/>
      <c r="EC68" s="503"/>
      <c r="ED68" s="503"/>
      <c r="EE68" s="503"/>
      <c r="EF68" s="503"/>
      <c r="EG68" s="503"/>
      <c r="EH68" s="503"/>
      <c r="EI68" s="503"/>
      <c r="EJ68" s="503"/>
      <c r="EK68" s="503"/>
      <c r="EL68" s="503"/>
      <c r="EM68" s="503"/>
      <c r="EN68" s="503"/>
      <c r="EO68" s="503"/>
      <c r="EP68" s="503"/>
      <c r="EQ68" s="503"/>
      <c r="ER68" s="503"/>
      <c r="ES68" s="503"/>
      <c r="ET68" s="503"/>
      <c r="EU68" s="503"/>
      <c r="EV68" s="503"/>
      <c r="EW68" s="503"/>
      <c r="EX68" s="503"/>
      <c r="EY68" s="503"/>
      <c r="EZ68" s="503"/>
      <c r="FA68" s="503"/>
      <c r="FB68" s="503"/>
      <c r="FC68" s="503"/>
      <c r="FD68" s="503"/>
      <c r="FE68" s="503"/>
      <c r="FF68" s="503"/>
      <c r="FG68" s="503"/>
      <c r="FH68" s="503"/>
      <c r="FI68" s="503"/>
      <c r="FJ68" s="503"/>
      <c r="FK68" s="503"/>
      <c r="FL68" s="503"/>
      <c r="FM68" s="503"/>
      <c r="FN68" s="503"/>
      <c r="FO68" s="503"/>
      <c r="FP68" s="503"/>
      <c r="FQ68" s="503"/>
      <c r="FR68" s="503"/>
      <c r="FS68" s="503"/>
      <c r="FT68" s="503"/>
      <c r="FU68" s="503"/>
      <c r="FV68" s="503"/>
      <c r="FW68" s="503"/>
      <c r="FX68" s="503"/>
      <c r="FY68" s="503"/>
      <c r="FZ68" s="503"/>
      <c r="GA68" s="503"/>
      <c r="GB68" s="503"/>
      <c r="GC68" s="503"/>
      <c r="GD68" s="503"/>
      <c r="GE68" s="503"/>
      <c r="GF68" s="503"/>
      <c r="GG68" s="503"/>
      <c r="GH68" s="503"/>
      <c r="GI68" s="503"/>
      <c r="GJ68" s="503"/>
      <c r="GK68" s="503"/>
      <c r="GL68" s="503"/>
      <c r="GM68" s="503"/>
      <c r="GN68" s="503"/>
      <c r="GO68" s="503"/>
      <c r="GP68" s="503"/>
      <c r="GQ68" s="503"/>
      <c r="GR68" s="503"/>
      <c r="GS68" s="503"/>
      <c r="GT68" s="503"/>
      <c r="GU68" s="503"/>
      <c r="GV68" s="503"/>
      <c r="GW68" s="503"/>
      <c r="GX68" s="503"/>
      <c r="GY68" s="503"/>
      <c r="GZ68" s="503"/>
      <c r="HA68" s="503"/>
      <c r="HB68" s="503"/>
      <c r="HC68" s="503"/>
      <c r="HD68" s="503"/>
      <c r="HE68" s="503"/>
      <c r="HF68" s="503"/>
      <c r="HG68" s="503"/>
      <c r="HH68" s="503"/>
      <c r="HI68" s="503"/>
      <c r="HJ68" s="503"/>
      <c r="HK68" s="503"/>
      <c r="HL68" s="503"/>
      <c r="HM68" s="503"/>
      <c r="HN68" s="503"/>
      <c r="HO68" s="503"/>
      <c r="HP68" s="503"/>
      <c r="HQ68" s="503"/>
      <c r="HR68" s="503"/>
      <c r="HS68" s="503"/>
      <c r="HT68" s="503"/>
      <c r="HU68" s="503"/>
      <c r="HV68" s="503"/>
      <c r="HW68" s="503"/>
      <c r="HX68" s="503"/>
      <c r="HY68" s="503"/>
      <c r="HZ68" s="503"/>
      <c r="IA68" s="503"/>
      <c r="IB68" s="503"/>
      <c r="IC68" s="503"/>
      <c r="ID68" s="503"/>
      <c r="IE68" s="503"/>
      <c r="IF68" s="503"/>
      <c r="IG68" s="503"/>
      <c r="IH68" s="503"/>
      <c r="II68" s="503"/>
      <c r="IJ68" s="503"/>
      <c r="IK68" s="503"/>
      <c r="IL68" s="503"/>
      <c r="IM68" s="503"/>
      <c r="IN68" s="503"/>
      <c r="IO68" s="503"/>
      <c r="IP68" s="503"/>
      <c r="IQ68" s="503"/>
      <c r="IR68" s="503"/>
      <c r="IS68" s="503"/>
    </row>
    <row r="69" spans="1:253" ht="50.25" customHeight="1" x14ac:dyDescent="0.25">
      <c r="A69" s="482" t="s">
        <v>46</v>
      </c>
      <c r="B69" s="638" t="s">
        <v>384</v>
      </c>
      <c r="C69" s="494"/>
      <c r="D69" s="494"/>
      <c r="E69" s="494"/>
      <c r="F69" s="494"/>
      <c r="G69" s="494"/>
      <c r="H69" s="495">
        <f>H70</f>
        <v>55905</v>
      </c>
      <c r="I69" s="495">
        <f t="shared" ref="I69:S69" si="23">I70</f>
        <v>51465</v>
      </c>
      <c r="J69" s="495">
        <f t="shared" si="23"/>
        <v>4440</v>
      </c>
      <c r="K69" s="495">
        <f t="shared" si="23"/>
        <v>4897</v>
      </c>
      <c r="L69" s="495">
        <f t="shared" si="23"/>
        <v>4505</v>
      </c>
      <c r="M69" s="495">
        <f t="shared" si="23"/>
        <v>392</v>
      </c>
      <c r="N69" s="495">
        <f t="shared" si="23"/>
        <v>51008</v>
      </c>
      <c r="O69" s="495">
        <f t="shared" si="23"/>
        <v>46960</v>
      </c>
      <c r="P69" s="495">
        <f t="shared" si="23"/>
        <v>4048</v>
      </c>
      <c r="Q69" s="491">
        <f t="shared" si="23"/>
        <v>20227.5</v>
      </c>
      <c r="R69" s="495">
        <f t="shared" si="23"/>
        <v>18607.5</v>
      </c>
      <c r="S69" s="495">
        <f t="shared" si="23"/>
        <v>1620</v>
      </c>
      <c r="T69" s="497"/>
      <c r="U69" s="494"/>
    </row>
    <row r="70" spans="1:253" ht="37.5" customHeight="1" x14ac:dyDescent="0.25">
      <c r="A70" s="498"/>
      <c r="B70" s="639" t="s">
        <v>461</v>
      </c>
      <c r="C70" s="512"/>
      <c r="D70" s="512"/>
      <c r="E70" s="512"/>
      <c r="F70" s="512"/>
      <c r="G70" s="512"/>
      <c r="H70" s="500">
        <f t="shared" ref="H70:H77" si="24">I70+J70</f>
        <v>55905</v>
      </c>
      <c r="I70" s="500">
        <f>SUM(I71:I77)</f>
        <v>51465</v>
      </c>
      <c r="J70" s="500">
        <f>SUM(J71:J77)</f>
        <v>4440</v>
      </c>
      <c r="K70" s="500">
        <f t="shared" ref="K70:S70" si="25">SUM(K71:K77)</f>
        <v>4897</v>
      </c>
      <c r="L70" s="500">
        <f t="shared" si="25"/>
        <v>4505</v>
      </c>
      <c r="M70" s="500">
        <f t="shared" si="25"/>
        <v>392</v>
      </c>
      <c r="N70" s="500">
        <f t="shared" si="25"/>
        <v>51008</v>
      </c>
      <c r="O70" s="500">
        <f t="shared" si="25"/>
        <v>46960</v>
      </c>
      <c r="P70" s="500">
        <f t="shared" si="25"/>
        <v>4048</v>
      </c>
      <c r="Q70" s="501">
        <f t="shared" si="25"/>
        <v>20227.5</v>
      </c>
      <c r="R70" s="502">
        <f t="shared" si="25"/>
        <v>18607.5</v>
      </c>
      <c r="S70" s="500">
        <f t="shared" si="25"/>
        <v>1620</v>
      </c>
      <c r="T70" s="493"/>
      <c r="U70" s="512"/>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3"/>
      <c r="AY70" s="503"/>
      <c r="AZ70" s="503"/>
      <c r="BA70" s="503"/>
      <c r="BB70" s="503"/>
      <c r="BC70" s="503"/>
      <c r="BD70" s="503"/>
      <c r="BE70" s="503"/>
      <c r="BF70" s="503"/>
      <c r="BG70" s="503"/>
      <c r="BH70" s="503"/>
      <c r="BI70" s="503"/>
      <c r="BJ70" s="503"/>
      <c r="BK70" s="503"/>
      <c r="BL70" s="503"/>
      <c r="BM70" s="503"/>
      <c r="BN70" s="503"/>
      <c r="BO70" s="503"/>
      <c r="BP70" s="503"/>
      <c r="BQ70" s="503"/>
      <c r="BR70" s="503"/>
      <c r="BS70" s="503"/>
      <c r="BT70" s="503"/>
      <c r="BU70" s="503"/>
      <c r="BV70" s="503"/>
      <c r="BW70" s="503"/>
      <c r="BX70" s="503"/>
      <c r="BY70" s="503"/>
      <c r="BZ70" s="503"/>
      <c r="CA70" s="503"/>
      <c r="CB70" s="503"/>
      <c r="CC70" s="503"/>
      <c r="CD70" s="503"/>
      <c r="CE70" s="503"/>
      <c r="CF70" s="503"/>
      <c r="CG70" s="503"/>
      <c r="CH70" s="503"/>
      <c r="CI70" s="503"/>
      <c r="CJ70" s="503"/>
      <c r="CK70" s="503"/>
      <c r="CL70" s="503"/>
      <c r="CM70" s="503"/>
      <c r="CN70" s="503"/>
      <c r="CO70" s="503"/>
      <c r="CP70" s="503"/>
      <c r="CQ70" s="503"/>
      <c r="CR70" s="503"/>
      <c r="CS70" s="503"/>
      <c r="CT70" s="503"/>
      <c r="CU70" s="503"/>
      <c r="CV70" s="503"/>
      <c r="CW70" s="503"/>
      <c r="CX70" s="503"/>
      <c r="CY70" s="503"/>
      <c r="CZ70" s="503"/>
      <c r="DA70" s="503"/>
      <c r="DB70" s="503"/>
      <c r="DC70" s="503"/>
      <c r="DD70" s="503"/>
      <c r="DE70" s="503"/>
      <c r="DF70" s="503"/>
      <c r="DG70" s="503"/>
      <c r="DH70" s="503"/>
      <c r="DI70" s="503"/>
      <c r="DJ70" s="503"/>
      <c r="DK70" s="503"/>
      <c r="DL70" s="503"/>
      <c r="DM70" s="503"/>
      <c r="DN70" s="503"/>
      <c r="DO70" s="503"/>
      <c r="DP70" s="503"/>
      <c r="DQ70" s="503"/>
      <c r="DR70" s="503"/>
      <c r="DS70" s="503"/>
      <c r="DT70" s="503"/>
      <c r="DU70" s="503"/>
      <c r="DV70" s="503"/>
      <c r="DW70" s="503"/>
      <c r="DX70" s="503"/>
      <c r="DY70" s="503"/>
      <c r="DZ70" s="503"/>
      <c r="EA70" s="503"/>
      <c r="EB70" s="503"/>
      <c r="EC70" s="503"/>
      <c r="ED70" s="503"/>
      <c r="EE70" s="503"/>
      <c r="EF70" s="503"/>
      <c r="EG70" s="503"/>
      <c r="EH70" s="503"/>
      <c r="EI70" s="503"/>
      <c r="EJ70" s="503"/>
      <c r="EK70" s="503"/>
      <c r="EL70" s="503"/>
      <c r="EM70" s="503"/>
      <c r="EN70" s="503"/>
      <c r="EO70" s="503"/>
      <c r="EP70" s="503"/>
      <c r="EQ70" s="503"/>
      <c r="ER70" s="503"/>
      <c r="ES70" s="503"/>
      <c r="ET70" s="503"/>
      <c r="EU70" s="503"/>
      <c r="EV70" s="503"/>
      <c r="EW70" s="503"/>
      <c r="EX70" s="503"/>
      <c r="EY70" s="503"/>
      <c r="EZ70" s="503"/>
      <c r="FA70" s="503"/>
      <c r="FB70" s="503"/>
      <c r="FC70" s="503"/>
      <c r="FD70" s="503"/>
      <c r="FE70" s="503"/>
      <c r="FF70" s="503"/>
      <c r="FG70" s="503"/>
      <c r="FH70" s="503"/>
      <c r="FI70" s="503"/>
      <c r="FJ70" s="503"/>
      <c r="FK70" s="503"/>
      <c r="FL70" s="503"/>
      <c r="FM70" s="503"/>
      <c r="FN70" s="503"/>
      <c r="FO70" s="503"/>
      <c r="FP70" s="503"/>
      <c r="FQ70" s="503"/>
      <c r="FR70" s="503"/>
      <c r="FS70" s="503"/>
      <c r="FT70" s="503"/>
      <c r="FU70" s="503"/>
      <c r="FV70" s="503"/>
      <c r="FW70" s="503"/>
      <c r="FX70" s="503"/>
      <c r="FY70" s="503"/>
      <c r="FZ70" s="503"/>
      <c r="GA70" s="503"/>
      <c r="GB70" s="503"/>
      <c r="GC70" s="503"/>
      <c r="GD70" s="503"/>
      <c r="GE70" s="503"/>
      <c r="GF70" s="503"/>
      <c r="GG70" s="503"/>
      <c r="GH70" s="503"/>
      <c r="GI70" s="503"/>
      <c r="GJ70" s="503"/>
      <c r="GK70" s="503"/>
      <c r="GL70" s="503"/>
      <c r="GM70" s="503"/>
      <c r="GN70" s="503"/>
      <c r="GO70" s="503"/>
      <c r="GP70" s="503"/>
      <c r="GQ70" s="503"/>
      <c r="GR70" s="503"/>
      <c r="GS70" s="503"/>
      <c r="GT70" s="503"/>
      <c r="GU70" s="503"/>
      <c r="GV70" s="503"/>
      <c r="GW70" s="503"/>
      <c r="GX70" s="503"/>
      <c r="GY70" s="503"/>
      <c r="GZ70" s="503"/>
      <c r="HA70" s="503"/>
      <c r="HB70" s="503"/>
      <c r="HC70" s="503"/>
      <c r="HD70" s="503"/>
      <c r="HE70" s="503"/>
      <c r="HF70" s="503"/>
      <c r="HG70" s="503"/>
      <c r="HH70" s="503"/>
      <c r="HI70" s="503"/>
      <c r="HJ70" s="503"/>
      <c r="HK70" s="503"/>
      <c r="HL70" s="503"/>
      <c r="HM70" s="503"/>
      <c r="HN70" s="503"/>
      <c r="HO70" s="503"/>
      <c r="HP70" s="503"/>
      <c r="HQ70" s="503"/>
      <c r="HR70" s="503"/>
      <c r="HS70" s="503"/>
      <c r="HT70" s="503"/>
      <c r="HU70" s="503"/>
      <c r="HV70" s="503"/>
      <c r="HW70" s="503"/>
      <c r="HX70" s="503"/>
      <c r="HY70" s="503"/>
      <c r="HZ70" s="503"/>
      <c r="IA70" s="503"/>
      <c r="IB70" s="503"/>
      <c r="IC70" s="503"/>
      <c r="ID70" s="503"/>
      <c r="IE70" s="503"/>
      <c r="IF70" s="503"/>
      <c r="IG70" s="503"/>
      <c r="IH70" s="503"/>
      <c r="II70" s="503"/>
      <c r="IJ70" s="503"/>
      <c r="IK70" s="503"/>
      <c r="IL70" s="503"/>
      <c r="IM70" s="503"/>
      <c r="IN70" s="503"/>
      <c r="IO70" s="503"/>
      <c r="IP70" s="503"/>
      <c r="IQ70" s="503"/>
      <c r="IR70" s="503"/>
      <c r="IS70" s="503"/>
    </row>
    <row r="71" spans="1:253" ht="31.5" x14ac:dyDescent="0.25">
      <c r="A71" s="483">
        <v>1</v>
      </c>
      <c r="B71" s="549" t="s">
        <v>38</v>
      </c>
      <c r="C71" s="522"/>
      <c r="D71" s="522"/>
      <c r="E71" s="522"/>
      <c r="F71" s="522"/>
      <c r="G71" s="522"/>
      <c r="H71" s="505">
        <f t="shared" si="24"/>
        <v>5045.5</v>
      </c>
      <c r="I71" s="536">
        <v>4617.5</v>
      </c>
      <c r="J71" s="536">
        <v>428</v>
      </c>
      <c r="K71" s="505">
        <f t="shared" ref="K71:K77" si="26">L71+M71</f>
        <v>1278</v>
      </c>
      <c r="L71" s="536">
        <v>1170</v>
      </c>
      <c r="M71" s="536">
        <v>108</v>
      </c>
      <c r="N71" s="505">
        <f t="shared" ref="N71:P77" si="27">H71-K71</f>
        <v>3767.5</v>
      </c>
      <c r="O71" s="505">
        <f t="shared" si="27"/>
        <v>3447.5</v>
      </c>
      <c r="P71" s="505">
        <f t="shared" si="27"/>
        <v>320</v>
      </c>
      <c r="Q71" s="506">
        <f t="shared" ref="Q71:Q77" si="28">R71+S71</f>
        <v>1784.5</v>
      </c>
      <c r="R71" s="553">
        <v>1632.5</v>
      </c>
      <c r="S71" s="536">
        <v>152</v>
      </c>
      <c r="T71" s="554" t="s">
        <v>462</v>
      </c>
      <c r="U71" s="555" t="s">
        <v>463</v>
      </c>
      <c r="X71" s="556">
        <f>R71+R80</f>
        <v>23365.5</v>
      </c>
      <c r="Y71" s="556">
        <f>S71+S80</f>
        <v>1326</v>
      </c>
    </row>
    <row r="72" spans="1:253" ht="31.5" x14ac:dyDescent="0.25">
      <c r="A72" s="483">
        <v>2</v>
      </c>
      <c r="B72" s="549" t="s">
        <v>39</v>
      </c>
      <c r="C72" s="522"/>
      <c r="D72" s="522"/>
      <c r="E72" s="522"/>
      <c r="F72" s="522"/>
      <c r="G72" s="522"/>
      <c r="H72" s="505">
        <f t="shared" si="24"/>
        <v>7681</v>
      </c>
      <c r="I72" s="536">
        <v>7085</v>
      </c>
      <c r="J72" s="536">
        <v>596</v>
      </c>
      <c r="K72" s="505">
        <f t="shared" si="26"/>
        <v>485</v>
      </c>
      <c r="L72" s="536">
        <v>445</v>
      </c>
      <c r="M72" s="536">
        <v>40</v>
      </c>
      <c r="N72" s="505">
        <f t="shared" si="27"/>
        <v>7196</v>
      </c>
      <c r="O72" s="505">
        <f t="shared" si="27"/>
        <v>6640</v>
      </c>
      <c r="P72" s="505">
        <f t="shared" si="27"/>
        <v>556</v>
      </c>
      <c r="Q72" s="506">
        <f t="shared" si="28"/>
        <v>2781</v>
      </c>
      <c r="R72" s="553">
        <v>2565</v>
      </c>
      <c r="S72" s="536">
        <v>216</v>
      </c>
      <c r="T72" s="554" t="s">
        <v>464</v>
      </c>
      <c r="U72" s="555" t="s">
        <v>463</v>
      </c>
      <c r="X72" s="556">
        <f t="shared" ref="X72:Y77" si="29">R72+R81</f>
        <v>30313</v>
      </c>
      <c r="Y72" s="556">
        <f t="shared" si="29"/>
        <v>1714</v>
      </c>
    </row>
    <row r="73" spans="1:253" ht="31.5" x14ac:dyDescent="0.25">
      <c r="A73" s="483">
        <v>3</v>
      </c>
      <c r="B73" s="549" t="s">
        <v>40</v>
      </c>
      <c r="C73" s="522"/>
      <c r="D73" s="522"/>
      <c r="E73" s="522"/>
      <c r="F73" s="522"/>
      <c r="G73" s="522"/>
      <c r="H73" s="505">
        <f t="shared" si="24"/>
        <v>5243</v>
      </c>
      <c r="I73" s="536">
        <v>4795</v>
      </c>
      <c r="J73" s="536">
        <v>448</v>
      </c>
      <c r="K73" s="505">
        <f t="shared" si="26"/>
        <v>485</v>
      </c>
      <c r="L73" s="536">
        <v>445</v>
      </c>
      <c r="M73" s="536">
        <v>40</v>
      </c>
      <c r="N73" s="505">
        <f t="shared" si="27"/>
        <v>4758</v>
      </c>
      <c r="O73" s="505">
        <f t="shared" si="27"/>
        <v>4350</v>
      </c>
      <c r="P73" s="505">
        <f t="shared" si="27"/>
        <v>408</v>
      </c>
      <c r="Q73" s="506">
        <f t="shared" si="28"/>
        <v>1804</v>
      </c>
      <c r="R73" s="553">
        <v>1640</v>
      </c>
      <c r="S73" s="536">
        <v>164</v>
      </c>
      <c r="T73" s="554" t="s">
        <v>465</v>
      </c>
      <c r="U73" s="555" t="s">
        <v>463</v>
      </c>
      <c r="X73" s="556">
        <f t="shared" si="29"/>
        <v>22997</v>
      </c>
      <c r="Y73" s="556">
        <f t="shared" si="29"/>
        <v>1317</v>
      </c>
    </row>
    <row r="74" spans="1:253" ht="31.5" x14ac:dyDescent="0.25">
      <c r="A74" s="483">
        <v>4</v>
      </c>
      <c r="B74" s="549" t="s">
        <v>41</v>
      </c>
      <c r="C74" s="522"/>
      <c r="D74" s="522"/>
      <c r="E74" s="522"/>
      <c r="F74" s="522"/>
      <c r="G74" s="522"/>
      <c r="H74" s="505">
        <f t="shared" si="24"/>
        <v>4590</v>
      </c>
      <c r="I74" s="536">
        <v>4230</v>
      </c>
      <c r="J74" s="536">
        <v>360</v>
      </c>
      <c r="K74" s="505">
        <f t="shared" si="26"/>
        <v>397</v>
      </c>
      <c r="L74" s="536">
        <v>365</v>
      </c>
      <c r="M74" s="536">
        <v>32</v>
      </c>
      <c r="N74" s="505">
        <f t="shared" si="27"/>
        <v>4193</v>
      </c>
      <c r="O74" s="505">
        <f t="shared" si="27"/>
        <v>3865</v>
      </c>
      <c r="P74" s="505">
        <f t="shared" si="27"/>
        <v>328</v>
      </c>
      <c r="Q74" s="506">
        <f t="shared" si="28"/>
        <v>1633</v>
      </c>
      <c r="R74" s="553">
        <v>1505</v>
      </c>
      <c r="S74" s="536">
        <v>128</v>
      </c>
      <c r="T74" s="554" t="s">
        <v>466</v>
      </c>
      <c r="U74" s="555" t="s">
        <v>463</v>
      </c>
      <c r="X74" s="556">
        <f t="shared" si="29"/>
        <v>24288</v>
      </c>
      <c r="Y74" s="556">
        <f t="shared" si="29"/>
        <v>1358</v>
      </c>
    </row>
    <row r="75" spans="1:253" ht="31.5" x14ac:dyDescent="0.25">
      <c r="A75" s="483">
        <v>5</v>
      </c>
      <c r="B75" s="549" t="s">
        <v>42</v>
      </c>
      <c r="C75" s="522"/>
      <c r="D75" s="522"/>
      <c r="E75" s="522"/>
      <c r="F75" s="522"/>
      <c r="G75" s="522"/>
      <c r="H75" s="505">
        <f t="shared" si="24"/>
        <v>9796</v>
      </c>
      <c r="I75" s="536">
        <v>9020</v>
      </c>
      <c r="J75" s="536">
        <v>776</v>
      </c>
      <c r="K75" s="505">
        <f t="shared" si="26"/>
        <v>530</v>
      </c>
      <c r="L75" s="536">
        <v>490</v>
      </c>
      <c r="M75" s="536">
        <v>40</v>
      </c>
      <c r="N75" s="505">
        <f t="shared" si="27"/>
        <v>9266</v>
      </c>
      <c r="O75" s="505">
        <f t="shared" si="27"/>
        <v>8530</v>
      </c>
      <c r="P75" s="505">
        <f t="shared" si="27"/>
        <v>736</v>
      </c>
      <c r="Q75" s="506">
        <f t="shared" si="28"/>
        <v>3574</v>
      </c>
      <c r="R75" s="553">
        <v>3290</v>
      </c>
      <c r="S75" s="536">
        <v>284</v>
      </c>
      <c r="T75" s="554" t="s">
        <v>434</v>
      </c>
      <c r="U75" s="555" t="s">
        <v>463</v>
      </c>
      <c r="X75" s="556">
        <f t="shared" si="29"/>
        <v>38885</v>
      </c>
      <c r="Y75" s="556">
        <f t="shared" si="29"/>
        <v>2206</v>
      </c>
    </row>
    <row r="76" spans="1:253" ht="31.5" x14ac:dyDescent="0.25">
      <c r="A76" s="483">
        <v>6</v>
      </c>
      <c r="B76" s="549" t="s">
        <v>43</v>
      </c>
      <c r="C76" s="522"/>
      <c r="D76" s="522"/>
      <c r="E76" s="522"/>
      <c r="F76" s="522"/>
      <c r="G76" s="522"/>
      <c r="H76" s="505">
        <f t="shared" si="24"/>
        <v>14482</v>
      </c>
      <c r="I76" s="536">
        <v>13370</v>
      </c>
      <c r="J76" s="536">
        <v>1112</v>
      </c>
      <c r="K76" s="505">
        <f t="shared" si="26"/>
        <v>1104</v>
      </c>
      <c r="L76" s="536">
        <v>1020</v>
      </c>
      <c r="M76" s="536">
        <v>84</v>
      </c>
      <c r="N76" s="505">
        <f t="shared" si="27"/>
        <v>13378</v>
      </c>
      <c r="O76" s="505">
        <f t="shared" si="27"/>
        <v>12350</v>
      </c>
      <c r="P76" s="505">
        <f t="shared" si="27"/>
        <v>1028</v>
      </c>
      <c r="Q76" s="506">
        <f t="shared" si="28"/>
        <v>5342</v>
      </c>
      <c r="R76" s="553">
        <v>4930</v>
      </c>
      <c r="S76" s="536">
        <v>412</v>
      </c>
      <c r="T76" s="554" t="s">
        <v>467</v>
      </c>
      <c r="U76" s="555" t="s">
        <v>463</v>
      </c>
      <c r="X76" s="556">
        <f t="shared" si="29"/>
        <v>28218</v>
      </c>
      <c r="Y76" s="556">
        <f t="shared" si="29"/>
        <v>1669</v>
      </c>
    </row>
    <row r="77" spans="1:253" ht="31.5" x14ac:dyDescent="0.25">
      <c r="A77" s="483">
        <v>7</v>
      </c>
      <c r="B77" s="549" t="s">
        <v>44</v>
      </c>
      <c r="C77" s="522"/>
      <c r="D77" s="522"/>
      <c r="E77" s="522"/>
      <c r="F77" s="522"/>
      <c r="G77" s="522"/>
      <c r="H77" s="505">
        <f t="shared" si="24"/>
        <v>9067.5</v>
      </c>
      <c r="I77" s="536">
        <v>8347.5</v>
      </c>
      <c r="J77" s="536">
        <v>720</v>
      </c>
      <c r="K77" s="505">
        <f t="shared" si="26"/>
        <v>618</v>
      </c>
      <c r="L77" s="536">
        <v>570</v>
      </c>
      <c r="M77" s="536">
        <v>48</v>
      </c>
      <c r="N77" s="505">
        <f t="shared" si="27"/>
        <v>8449.5</v>
      </c>
      <c r="O77" s="505">
        <f t="shared" si="27"/>
        <v>7777.5</v>
      </c>
      <c r="P77" s="505">
        <f t="shared" si="27"/>
        <v>672</v>
      </c>
      <c r="Q77" s="506">
        <f t="shared" si="28"/>
        <v>3309</v>
      </c>
      <c r="R77" s="553">
        <v>3045</v>
      </c>
      <c r="S77" s="536">
        <v>264</v>
      </c>
      <c r="T77" s="554" t="s">
        <v>468</v>
      </c>
      <c r="U77" s="555" t="s">
        <v>463</v>
      </c>
      <c r="X77" s="556">
        <f t="shared" si="29"/>
        <v>31148</v>
      </c>
      <c r="Y77" s="556">
        <f t="shared" si="29"/>
        <v>1782</v>
      </c>
    </row>
    <row r="78" spans="1:253" ht="42.75" x14ac:dyDescent="0.25">
      <c r="A78" s="482" t="s">
        <v>56</v>
      </c>
      <c r="B78" s="638" t="s">
        <v>407</v>
      </c>
      <c r="C78" s="494"/>
      <c r="D78" s="494"/>
      <c r="E78" s="494"/>
      <c r="F78" s="494"/>
      <c r="G78" s="494"/>
      <c r="H78" s="495">
        <f>H79</f>
        <v>787425</v>
      </c>
      <c r="I78" s="495">
        <f t="shared" ref="I78:S78" si="30">I79</f>
        <v>749927</v>
      </c>
      <c r="J78" s="495">
        <f t="shared" si="30"/>
        <v>37498</v>
      </c>
      <c r="K78" s="495">
        <f t="shared" si="30"/>
        <v>141740</v>
      </c>
      <c r="L78" s="495">
        <f t="shared" si="30"/>
        <v>134990</v>
      </c>
      <c r="M78" s="495">
        <f t="shared" si="30"/>
        <v>6750</v>
      </c>
      <c r="N78" s="495">
        <f t="shared" si="30"/>
        <v>645685</v>
      </c>
      <c r="O78" s="495">
        <f t="shared" si="30"/>
        <v>614937</v>
      </c>
      <c r="P78" s="495">
        <f t="shared" si="30"/>
        <v>30748</v>
      </c>
      <c r="Q78" s="491">
        <f t="shared" si="30"/>
        <v>190724</v>
      </c>
      <c r="R78" s="495">
        <f t="shared" si="30"/>
        <v>180953</v>
      </c>
      <c r="S78" s="495">
        <f t="shared" si="30"/>
        <v>9771</v>
      </c>
      <c r="T78" s="557"/>
      <c r="U78" s="555"/>
      <c r="V78" s="558"/>
    </row>
    <row r="79" spans="1:253" ht="45" x14ac:dyDescent="0.25">
      <c r="A79" s="498"/>
      <c r="B79" s="639" t="s">
        <v>469</v>
      </c>
      <c r="C79" s="499"/>
      <c r="D79" s="499"/>
      <c r="E79" s="499"/>
      <c r="F79" s="499"/>
      <c r="G79" s="499"/>
      <c r="H79" s="559">
        <f>SUM(H80:H87)</f>
        <v>787425</v>
      </c>
      <c r="I79" s="559">
        <f>SUM(I80:I87)</f>
        <v>749927</v>
      </c>
      <c r="J79" s="559">
        <f>SUM(J80:J87)</f>
        <v>37498</v>
      </c>
      <c r="K79" s="559">
        <f t="shared" ref="K79:S79" si="31">SUM(K80:K87)</f>
        <v>141740</v>
      </c>
      <c r="L79" s="559">
        <f t="shared" si="31"/>
        <v>134990</v>
      </c>
      <c r="M79" s="559">
        <f t="shared" si="31"/>
        <v>6750</v>
      </c>
      <c r="N79" s="559">
        <f t="shared" si="31"/>
        <v>645685</v>
      </c>
      <c r="O79" s="559">
        <f t="shared" si="31"/>
        <v>614937</v>
      </c>
      <c r="P79" s="559">
        <f t="shared" si="31"/>
        <v>30748</v>
      </c>
      <c r="Q79" s="501">
        <f t="shared" si="31"/>
        <v>190724</v>
      </c>
      <c r="R79" s="559">
        <f t="shared" si="31"/>
        <v>180953</v>
      </c>
      <c r="S79" s="559">
        <f t="shared" si="31"/>
        <v>9771</v>
      </c>
      <c r="T79" s="550"/>
      <c r="U79" s="555"/>
      <c r="V79" s="560"/>
      <c r="W79" s="503"/>
      <c r="X79" s="503"/>
      <c r="Y79" s="503"/>
      <c r="Z79" s="503"/>
      <c r="AA79" s="503"/>
      <c r="AB79" s="503"/>
      <c r="AC79" s="503"/>
      <c r="AD79" s="503"/>
      <c r="AE79" s="503"/>
      <c r="AF79" s="503"/>
      <c r="AG79" s="503"/>
      <c r="AH79" s="503"/>
      <c r="AI79" s="503"/>
      <c r="AJ79" s="503"/>
      <c r="AK79" s="503"/>
      <c r="AL79" s="503"/>
      <c r="AM79" s="503"/>
      <c r="AN79" s="503"/>
      <c r="AO79" s="503"/>
      <c r="AP79" s="503"/>
      <c r="AQ79" s="503"/>
      <c r="AR79" s="503"/>
      <c r="AS79" s="503"/>
      <c r="AT79" s="503"/>
      <c r="AU79" s="503"/>
      <c r="AV79" s="503"/>
      <c r="AW79" s="503"/>
      <c r="AX79" s="503"/>
      <c r="AY79" s="503"/>
      <c r="AZ79" s="503"/>
      <c r="BA79" s="503"/>
      <c r="BB79" s="503"/>
      <c r="BC79" s="503"/>
      <c r="BD79" s="503"/>
      <c r="BE79" s="503"/>
      <c r="BF79" s="503"/>
      <c r="BG79" s="503"/>
      <c r="BH79" s="503"/>
      <c r="BI79" s="503"/>
      <c r="BJ79" s="503"/>
      <c r="BK79" s="503"/>
      <c r="BL79" s="503"/>
      <c r="BM79" s="503"/>
      <c r="BN79" s="503"/>
      <c r="BO79" s="503"/>
      <c r="BP79" s="503"/>
      <c r="BQ79" s="503"/>
      <c r="BR79" s="503"/>
      <c r="BS79" s="503"/>
      <c r="BT79" s="503"/>
      <c r="BU79" s="503"/>
      <c r="BV79" s="503"/>
      <c r="BW79" s="503"/>
      <c r="BX79" s="503"/>
      <c r="BY79" s="503"/>
      <c r="BZ79" s="503"/>
      <c r="CA79" s="503"/>
      <c r="CB79" s="503"/>
      <c r="CC79" s="503"/>
      <c r="CD79" s="503"/>
      <c r="CE79" s="503"/>
      <c r="CF79" s="503"/>
      <c r="CG79" s="503"/>
      <c r="CH79" s="503"/>
      <c r="CI79" s="503"/>
      <c r="CJ79" s="503"/>
      <c r="CK79" s="503"/>
      <c r="CL79" s="503"/>
      <c r="CM79" s="503"/>
      <c r="CN79" s="503"/>
      <c r="CO79" s="503"/>
      <c r="CP79" s="503"/>
      <c r="CQ79" s="503"/>
      <c r="CR79" s="503"/>
      <c r="CS79" s="503"/>
      <c r="CT79" s="503"/>
      <c r="CU79" s="503"/>
      <c r="CV79" s="503"/>
      <c r="CW79" s="503"/>
      <c r="CX79" s="503"/>
      <c r="CY79" s="503"/>
      <c r="CZ79" s="503"/>
      <c r="DA79" s="503"/>
      <c r="DB79" s="503"/>
      <c r="DC79" s="503"/>
      <c r="DD79" s="503"/>
      <c r="DE79" s="503"/>
      <c r="DF79" s="503"/>
      <c r="DG79" s="503"/>
      <c r="DH79" s="503"/>
      <c r="DI79" s="503"/>
      <c r="DJ79" s="503"/>
      <c r="DK79" s="503"/>
      <c r="DL79" s="503"/>
      <c r="DM79" s="503"/>
      <c r="DN79" s="503"/>
      <c r="DO79" s="503"/>
      <c r="DP79" s="503"/>
      <c r="DQ79" s="503"/>
      <c r="DR79" s="503"/>
      <c r="DS79" s="503"/>
      <c r="DT79" s="503"/>
      <c r="DU79" s="503"/>
      <c r="DV79" s="503"/>
      <c r="DW79" s="503"/>
      <c r="DX79" s="503"/>
      <c r="DY79" s="503"/>
      <c r="DZ79" s="503"/>
      <c r="EA79" s="503"/>
      <c r="EB79" s="503"/>
      <c r="EC79" s="503"/>
      <c r="ED79" s="503"/>
      <c r="EE79" s="503"/>
      <c r="EF79" s="503"/>
      <c r="EG79" s="503"/>
      <c r="EH79" s="503"/>
      <c r="EI79" s="503"/>
      <c r="EJ79" s="503"/>
      <c r="EK79" s="503"/>
      <c r="EL79" s="503"/>
      <c r="EM79" s="503"/>
      <c r="EN79" s="503"/>
      <c r="EO79" s="503"/>
      <c r="EP79" s="503"/>
      <c r="EQ79" s="503"/>
      <c r="ER79" s="503"/>
      <c r="ES79" s="503"/>
      <c r="ET79" s="503"/>
      <c r="EU79" s="503"/>
      <c r="EV79" s="503"/>
      <c r="EW79" s="503"/>
      <c r="EX79" s="503"/>
      <c r="EY79" s="503"/>
      <c r="EZ79" s="503"/>
      <c r="FA79" s="503"/>
      <c r="FB79" s="503"/>
      <c r="FC79" s="503"/>
      <c r="FD79" s="503"/>
      <c r="FE79" s="503"/>
      <c r="FF79" s="503"/>
      <c r="FG79" s="503"/>
      <c r="FH79" s="503"/>
      <c r="FI79" s="503"/>
      <c r="FJ79" s="503"/>
      <c r="FK79" s="503"/>
      <c r="FL79" s="503"/>
      <c r="FM79" s="503"/>
      <c r="FN79" s="503"/>
      <c r="FO79" s="503"/>
      <c r="FP79" s="503"/>
      <c r="FQ79" s="503"/>
      <c r="FR79" s="503"/>
      <c r="FS79" s="503"/>
      <c r="FT79" s="503"/>
      <c r="FU79" s="503"/>
      <c r="FV79" s="503"/>
      <c r="FW79" s="503"/>
      <c r="FX79" s="503"/>
      <c r="FY79" s="503"/>
      <c r="FZ79" s="503"/>
      <c r="GA79" s="503"/>
      <c r="GB79" s="503"/>
      <c r="GC79" s="503"/>
      <c r="GD79" s="503"/>
      <c r="GE79" s="503"/>
      <c r="GF79" s="503"/>
      <c r="GG79" s="503"/>
      <c r="GH79" s="503"/>
      <c r="GI79" s="503"/>
      <c r="GJ79" s="503"/>
      <c r="GK79" s="503"/>
      <c r="GL79" s="503"/>
      <c r="GM79" s="503"/>
      <c r="GN79" s="503"/>
      <c r="GO79" s="503"/>
      <c r="GP79" s="503"/>
      <c r="GQ79" s="503"/>
      <c r="GR79" s="503"/>
      <c r="GS79" s="503"/>
      <c r="GT79" s="503"/>
      <c r="GU79" s="503"/>
      <c r="GV79" s="503"/>
      <c r="GW79" s="503"/>
      <c r="GX79" s="503"/>
      <c r="GY79" s="503"/>
      <c r="GZ79" s="503"/>
      <c r="HA79" s="503"/>
      <c r="HB79" s="503"/>
      <c r="HC79" s="503"/>
      <c r="HD79" s="503"/>
      <c r="HE79" s="503"/>
      <c r="HF79" s="503"/>
      <c r="HG79" s="503"/>
      <c r="HH79" s="503"/>
      <c r="HI79" s="503"/>
      <c r="HJ79" s="503"/>
      <c r="HK79" s="503"/>
      <c r="HL79" s="503"/>
      <c r="HM79" s="503"/>
      <c r="HN79" s="503"/>
      <c r="HO79" s="503"/>
      <c r="HP79" s="503"/>
      <c r="HQ79" s="503"/>
      <c r="HR79" s="503"/>
      <c r="HS79" s="503"/>
      <c r="HT79" s="503"/>
      <c r="HU79" s="503"/>
      <c r="HV79" s="503"/>
      <c r="HW79" s="503"/>
      <c r="HX79" s="503"/>
      <c r="HY79" s="503"/>
      <c r="HZ79" s="503"/>
      <c r="IA79" s="503"/>
      <c r="IB79" s="503"/>
      <c r="IC79" s="503"/>
      <c r="ID79" s="503"/>
      <c r="IE79" s="503"/>
      <c r="IF79" s="503"/>
      <c r="IG79" s="503"/>
      <c r="IH79" s="503"/>
      <c r="II79" s="503"/>
      <c r="IJ79" s="503"/>
      <c r="IK79" s="503"/>
      <c r="IL79" s="503"/>
      <c r="IM79" s="503"/>
      <c r="IN79" s="503"/>
      <c r="IO79" s="503"/>
      <c r="IP79" s="503"/>
      <c r="IQ79" s="503"/>
      <c r="IR79" s="503"/>
      <c r="IS79" s="503"/>
    </row>
    <row r="80" spans="1:253" ht="31.5" x14ac:dyDescent="0.25">
      <c r="A80" s="483">
        <v>1</v>
      </c>
      <c r="B80" s="637" t="s">
        <v>38</v>
      </c>
      <c r="C80" s="483"/>
      <c r="D80" s="483"/>
      <c r="E80" s="483"/>
      <c r="F80" s="483"/>
      <c r="G80" s="483"/>
      <c r="H80" s="505">
        <f t="shared" ref="H80:H87" si="32">I80+J80</f>
        <v>94569</v>
      </c>
      <c r="I80" s="505">
        <v>90066</v>
      </c>
      <c r="J80" s="505">
        <v>4503</v>
      </c>
      <c r="K80" s="505">
        <f>L80+M80</f>
        <v>17022</v>
      </c>
      <c r="L80" s="505">
        <v>16212</v>
      </c>
      <c r="M80" s="505">
        <v>809.99999999999989</v>
      </c>
      <c r="N80" s="505">
        <f t="shared" ref="N80:P87" si="33">H80-K80</f>
        <v>77547</v>
      </c>
      <c r="O80" s="505">
        <f t="shared" si="33"/>
        <v>73854</v>
      </c>
      <c r="P80" s="505">
        <f t="shared" si="33"/>
        <v>3693</v>
      </c>
      <c r="Q80" s="506">
        <f t="shared" ref="Q80:Q87" si="34">R80+S80</f>
        <v>22907</v>
      </c>
      <c r="R80" s="505">
        <v>21733</v>
      </c>
      <c r="S80" s="505">
        <v>1174</v>
      </c>
      <c r="T80" s="554" t="s">
        <v>462</v>
      </c>
      <c r="U80" s="555" t="s">
        <v>470</v>
      </c>
    </row>
    <row r="81" spans="1:21" ht="31.5" x14ac:dyDescent="0.25">
      <c r="A81" s="483">
        <v>2</v>
      </c>
      <c r="B81" s="637" t="s">
        <v>39</v>
      </c>
      <c r="C81" s="483"/>
      <c r="D81" s="483"/>
      <c r="E81" s="483"/>
      <c r="F81" s="483"/>
      <c r="G81" s="483"/>
      <c r="H81" s="505">
        <f t="shared" si="32"/>
        <v>120748</v>
      </c>
      <c r="I81" s="505">
        <v>114998</v>
      </c>
      <c r="J81" s="505">
        <v>5750</v>
      </c>
      <c r="K81" s="505">
        <f>L81+M81</f>
        <v>21735</v>
      </c>
      <c r="L81" s="505">
        <v>20700</v>
      </c>
      <c r="M81" s="505">
        <v>1035</v>
      </c>
      <c r="N81" s="505">
        <f t="shared" si="33"/>
        <v>99013</v>
      </c>
      <c r="O81" s="505">
        <f t="shared" si="33"/>
        <v>94298</v>
      </c>
      <c r="P81" s="505">
        <f t="shared" si="33"/>
        <v>4715</v>
      </c>
      <c r="Q81" s="506">
        <f t="shared" si="34"/>
        <v>29246</v>
      </c>
      <c r="R81" s="505">
        <v>27748</v>
      </c>
      <c r="S81" s="505">
        <v>1498</v>
      </c>
      <c r="T81" s="554" t="s">
        <v>464</v>
      </c>
      <c r="U81" s="555" t="s">
        <v>470</v>
      </c>
    </row>
    <row r="82" spans="1:21" ht="31.5" x14ac:dyDescent="0.25">
      <c r="A82" s="483">
        <v>3</v>
      </c>
      <c r="B82" s="637" t="s">
        <v>40</v>
      </c>
      <c r="C82" s="530"/>
      <c r="D82" s="530"/>
      <c r="E82" s="530"/>
      <c r="F82" s="530"/>
      <c r="G82" s="530"/>
      <c r="H82" s="505">
        <f t="shared" si="32"/>
        <v>92936</v>
      </c>
      <c r="I82" s="505">
        <v>88510</v>
      </c>
      <c r="J82" s="505">
        <v>4426</v>
      </c>
      <c r="K82" s="505">
        <f t="shared" ref="K82:K87" si="35">L82+M82</f>
        <v>16729</v>
      </c>
      <c r="L82" s="505">
        <v>15932</v>
      </c>
      <c r="M82" s="505">
        <v>797</v>
      </c>
      <c r="N82" s="505">
        <f t="shared" si="33"/>
        <v>76207</v>
      </c>
      <c r="O82" s="505">
        <f t="shared" si="33"/>
        <v>72578</v>
      </c>
      <c r="P82" s="505">
        <f t="shared" si="33"/>
        <v>3629</v>
      </c>
      <c r="Q82" s="506">
        <f t="shared" si="34"/>
        <v>22510</v>
      </c>
      <c r="R82" s="505">
        <v>21357</v>
      </c>
      <c r="S82" s="505">
        <v>1153</v>
      </c>
      <c r="T82" s="554" t="s">
        <v>465</v>
      </c>
      <c r="U82" s="555" t="s">
        <v>470</v>
      </c>
    </row>
    <row r="83" spans="1:21" ht="31.5" x14ac:dyDescent="0.25">
      <c r="A83" s="483">
        <v>4</v>
      </c>
      <c r="B83" s="637" t="s">
        <v>41</v>
      </c>
      <c r="C83" s="530"/>
      <c r="D83" s="530"/>
      <c r="E83" s="530"/>
      <c r="F83" s="530"/>
      <c r="G83" s="530"/>
      <c r="H83" s="505">
        <f t="shared" si="32"/>
        <v>99142</v>
      </c>
      <c r="I83" s="505">
        <v>94421</v>
      </c>
      <c r="J83" s="505">
        <v>4721</v>
      </c>
      <c r="K83" s="505">
        <f t="shared" si="35"/>
        <v>17846</v>
      </c>
      <c r="L83" s="505">
        <v>16996</v>
      </c>
      <c r="M83" s="505">
        <v>850.00000000000011</v>
      </c>
      <c r="N83" s="505">
        <f t="shared" si="33"/>
        <v>81296</v>
      </c>
      <c r="O83" s="505">
        <f t="shared" si="33"/>
        <v>77425</v>
      </c>
      <c r="P83" s="505">
        <f t="shared" si="33"/>
        <v>3871</v>
      </c>
      <c r="Q83" s="506">
        <f t="shared" si="34"/>
        <v>24013</v>
      </c>
      <c r="R83" s="505">
        <v>22783</v>
      </c>
      <c r="S83" s="505">
        <v>1230</v>
      </c>
      <c r="T83" s="554" t="s">
        <v>466</v>
      </c>
      <c r="U83" s="555" t="s">
        <v>470</v>
      </c>
    </row>
    <row r="84" spans="1:21" ht="31.5" x14ac:dyDescent="0.25">
      <c r="A84" s="483">
        <v>5</v>
      </c>
      <c r="B84" s="637" t="s">
        <v>42</v>
      </c>
      <c r="C84" s="530"/>
      <c r="D84" s="530"/>
      <c r="E84" s="530"/>
      <c r="F84" s="530"/>
      <c r="G84" s="530"/>
      <c r="H84" s="505">
        <f t="shared" si="32"/>
        <v>154894</v>
      </c>
      <c r="I84" s="505">
        <v>147518</v>
      </c>
      <c r="J84" s="505">
        <v>7376</v>
      </c>
      <c r="K84" s="505">
        <f t="shared" si="35"/>
        <v>27882</v>
      </c>
      <c r="L84" s="505">
        <v>26554</v>
      </c>
      <c r="M84" s="505">
        <v>1328</v>
      </c>
      <c r="N84" s="505">
        <f t="shared" si="33"/>
        <v>127012</v>
      </c>
      <c r="O84" s="505">
        <f t="shared" si="33"/>
        <v>120964</v>
      </c>
      <c r="P84" s="505">
        <f t="shared" si="33"/>
        <v>6048</v>
      </c>
      <c r="Q84" s="506">
        <f t="shared" si="34"/>
        <v>37517</v>
      </c>
      <c r="R84" s="505">
        <v>35595</v>
      </c>
      <c r="S84" s="505">
        <v>1922</v>
      </c>
      <c r="T84" s="554" t="s">
        <v>434</v>
      </c>
      <c r="U84" s="555" t="s">
        <v>470</v>
      </c>
    </row>
    <row r="85" spans="1:21" ht="31.5" x14ac:dyDescent="0.25">
      <c r="A85" s="483">
        <v>6</v>
      </c>
      <c r="B85" s="549" t="s">
        <v>43</v>
      </c>
      <c r="C85" s="530"/>
      <c r="D85" s="530"/>
      <c r="E85" s="530"/>
      <c r="F85" s="530"/>
      <c r="G85" s="530"/>
      <c r="H85" s="505">
        <f t="shared" si="32"/>
        <v>101338</v>
      </c>
      <c r="I85" s="505">
        <v>96512</v>
      </c>
      <c r="J85" s="505">
        <v>4826</v>
      </c>
      <c r="K85" s="505">
        <f t="shared" si="35"/>
        <v>18242</v>
      </c>
      <c r="L85" s="505">
        <v>17373</v>
      </c>
      <c r="M85" s="505">
        <v>869</v>
      </c>
      <c r="N85" s="505">
        <f t="shared" si="33"/>
        <v>83096</v>
      </c>
      <c r="O85" s="505">
        <f t="shared" si="33"/>
        <v>79139</v>
      </c>
      <c r="P85" s="505">
        <f t="shared" si="33"/>
        <v>3957</v>
      </c>
      <c r="Q85" s="506">
        <f t="shared" si="34"/>
        <v>24545</v>
      </c>
      <c r="R85" s="505">
        <v>23288</v>
      </c>
      <c r="S85" s="505">
        <v>1257</v>
      </c>
      <c r="T85" s="554" t="s">
        <v>467</v>
      </c>
      <c r="U85" s="555" t="s">
        <v>470</v>
      </c>
    </row>
    <row r="86" spans="1:21" ht="31.5" x14ac:dyDescent="0.25">
      <c r="A86" s="483">
        <v>7</v>
      </c>
      <c r="B86" s="549" t="s">
        <v>44</v>
      </c>
      <c r="C86" s="530"/>
      <c r="D86" s="530"/>
      <c r="E86" s="530"/>
      <c r="F86" s="530"/>
      <c r="G86" s="530"/>
      <c r="H86" s="505">
        <f t="shared" si="32"/>
        <v>122293</v>
      </c>
      <c r="I86" s="505">
        <v>116469</v>
      </c>
      <c r="J86" s="505">
        <v>5824</v>
      </c>
      <c r="K86" s="505">
        <f t="shared" si="35"/>
        <v>22013</v>
      </c>
      <c r="L86" s="505">
        <v>20965</v>
      </c>
      <c r="M86" s="505">
        <v>1048</v>
      </c>
      <c r="N86" s="505">
        <f t="shared" si="33"/>
        <v>100280</v>
      </c>
      <c r="O86" s="505">
        <f t="shared" si="33"/>
        <v>95504</v>
      </c>
      <c r="P86" s="505">
        <f t="shared" si="33"/>
        <v>4776</v>
      </c>
      <c r="Q86" s="506">
        <f t="shared" si="34"/>
        <v>29621</v>
      </c>
      <c r="R86" s="505">
        <v>28103</v>
      </c>
      <c r="S86" s="505">
        <v>1518</v>
      </c>
      <c r="T86" s="554" t="s">
        <v>468</v>
      </c>
      <c r="U86" s="555" t="s">
        <v>470</v>
      </c>
    </row>
    <row r="87" spans="1:21" ht="31.5" x14ac:dyDescent="0.25">
      <c r="A87" s="483">
        <v>8</v>
      </c>
      <c r="B87" s="549" t="s">
        <v>45</v>
      </c>
      <c r="C87" s="530"/>
      <c r="D87" s="530"/>
      <c r="E87" s="530"/>
      <c r="F87" s="530"/>
      <c r="G87" s="530"/>
      <c r="H87" s="505">
        <f t="shared" si="32"/>
        <v>1505</v>
      </c>
      <c r="I87" s="505">
        <v>1433</v>
      </c>
      <c r="J87" s="505">
        <v>72</v>
      </c>
      <c r="K87" s="505">
        <f t="shared" si="35"/>
        <v>271</v>
      </c>
      <c r="L87" s="505">
        <v>258</v>
      </c>
      <c r="M87" s="505">
        <v>13</v>
      </c>
      <c r="N87" s="505">
        <f t="shared" si="33"/>
        <v>1234</v>
      </c>
      <c r="O87" s="505">
        <f t="shared" si="33"/>
        <v>1175</v>
      </c>
      <c r="P87" s="505">
        <f t="shared" si="33"/>
        <v>59</v>
      </c>
      <c r="Q87" s="506">
        <f t="shared" si="34"/>
        <v>365</v>
      </c>
      <c r="R87" s="505">
        <v>346</v>
      </c>
      <c r="S87" s="505">
        <v>19</v>
      </c>
      <c r="T87" s="561" t="s">
        <v>471</v>
      </c>
      <c r="U87" s="555" t="s">
        <v>470</v>
      </c>
    </row>
    <row r="88" spans="1:21" ht="71.25" x14ac:dyDescent="0.25">
      <c r="A88" s="538" t="s">
        <v>457</v>
      </c>
      <c r="B88" s="638" t="s">
        <v>458</v>
      </c>
      <c r="C88" s="562"/>
      <c r="D88" s="562"/>
      <c r="E88" s="562"/>
      <c r="F88" s="562"/>
      <c r="G88" s="562"/>
      <c r="H88" s="495">
        <f t="shared" ref="H88:P88" si="36">SUM(H89:H95)</f>
        <v>28217</v>
      </c>
      <c r="I88" s="495">
        <f t="shared" si="36"/>
        <v>26873</v>
      </c>
      <c r="J88" s="495">
        <f t="shared" si="36"/>
        <v>1344</v>
      </c>
      <c r="K88" s="495">
        <f t="shared" si="36"/>
        <v>5081</v>
      </c>
      <c r="L88" s="495">
        <f t="shared" si="36"/>
        <v>4838</v>
      </c>
      <c r="M88" s="495">
        <f t="shared" si="36"/>
        <v>243</v>
      </c>
      <c r="N88" s="495">
        <f t="shared" si="36"/>
        <v>23136</v>
      </c>
      <c r="O88" s="495">
        <f t="shared" si="36"/>
        <v>22035</v>
      </c>
      <c r="P88" s="495">
        <f t="shared" si="36"/>
        <v>1101</v>
      </c>
      <c r="Q88" s="491">
        <f>R88+S88</f>
        <v>9009</v>
      </c>
      <c r="R88" s="495">
        <f>10055-1508</f>
        <v>8547</v>
      </c>
      <c r="S88" s="495">
        <f>543-S66</f>
        <v>462</v>
      </c>
      <c r="T88" s="550"/>
      <c r="U88" s="555"/>
    </row>
    <row r="89" spans="1:21" ht="31.5" x14ac:dyDescent="0.25">
      <c r="A89" s="521">
        <v>1</v>
      </c>
      <c r="B89" s="637" t="s">
        <v>38</v>
      </c>
      <c r="C89" s="522" t="s">
        <v>451</v>
      </c>
      <c r="D89" s="522"/>
      <c r="E89" s="522"/>
      <c r="F89" s="522"/>
      <c r="G89" s="522"/>
      <c r="H89" s="523">
        <f>I89+J89</f>
        <v>3433</v>
      </c>
      <c r="I89" s="523">
        <v>3269</v>
      </c>
      <c r="J89" s="523">
        <v>164</v>
      </c>
      <c r="K89" s="523">
        <f>L89+M89</f>
        <v>618</v>
      </c>
      <c r="L89" s="523">
        <v>588</v>
      </c>
      <c r="M89" s="523">
        <v>30</v>
      </c>
      <c r="N89" s="505">
        <f t="shared" ref="N89:P95" si="37">H89-K89</f>
        <v>2815</v>
      </c>
      <c r="O89" s="505">
        <f t="shared" si="37"/>
        <v>2681</v>
      </c>
      <c r="P89" s="505">
        <f t="shared" si="37"/>
        <v>134</v>
      </c>
      <c r="Q89" s="506">
        <f t="shared" ref="Q89:Q95" si="38">R89+S89</f>
        <v>1095</v>
      </c>
      <c r="R89" s="523">
        <v>1039</v>
      </c>
      <c r="S89" s="523">
        <v>56</v>
      </c>
      <c r="T89" s="554" t="s">
        <v>462</v>
      </c>
      <c r="U89" s="555" t="s">
        <v>472</v>
      </c>
    </row>
    <row r="90" spans="1:21" s="477" customFormat="1" ht="31.5" x14ac:dyDescent="0.25">
      <c r="A90" s="521">
        <v>2</v>
      </c>
      <c r="B90" s="637" t="s">
        <v>39</v>
      </c>
      <c r="C90" s="522" t="s">
        <v>451</v>
      </c>
      <c r="D90" s="522"/>
      <c r="E90" s="522"/>
      <c r="F90" s="522"/>
      <c r="G90" s="522"/>
      <c r="H90" s="523">
        <f t="shared" ref="H90:H95" si="39">I90+J90</f>
        <v>3474</v>
      </c>
      <c r="I90" s="523">
        <v>3309</v>
      </c>
      <c r="J90" s="523">
        <v>165</v>
      </c>
      <c r="K90" s="523">
        <f t="shared" ref="K90:K95" si="40">L90+M90</f>
        <v>626</v>
      </c>
      <c r="L90" s="523">
        <v>596</v>
      </c>
      <c r="M90" s="523">
        <v>30</v>
      </c>
      <c r="N90" s="505">
        <f t="shared" si="37"/>
        <v>2848</v>
      </c>
      <c r="O90" s="505">
        <f t="shared" si="37"/>
        <v>2713</v>
      </c>
      <c r="P90" s="505">
        <f t="shared" si="37"/>
        <v>135</v>
      </c>
      <c r="Q90" s="506">
        <f t="shared" si="38"/>
        <v>1109</v>
      </c>
      <c r="R90" s="523">
        <v>1052</v>
      </c>
      <c r="S90" s="523">
        <v>57</v>
      </c>
      <c r="T90" s="554" t="s">
        <v>464</v>
      </c>
      <c r="U90" s="555" t="s">
        <v>472</v>
      </c>
    </row>
    <row r="91" spans="1:21" s="477" customFormat="1" ht="31.5" x14ac:dyDescent="0.25">
      <c r="A91" s="521">
        <v>3</v>
      </c>
      <c r="B91" s="637" t="s">
        <v>40</v>
      </c>
      <c r="C91" s="522" t="s">
        <v>451</v>
      </c>
      <c r="D91" s="522"/>
      <c r="E91" s="522"/>
      <c r="F91" s="522"/>
      <c r="G91" s="522"/>
      <c r="H91" s="523">
        <f t="shared" si="39"/>
        <v>3798</v>
      </c>
      <c r="I91" s="523">
        <v>3617</v>
      </c>
      <c r="J91" s="523">
        <v>181</v>
      </c>
      <c r="K91" s="523">
        <f t="shared" si="40"/>
        <v>684</v>
      </c>
      <c r="L91" s="523">
        <v>651</v>
      </c>
      <c r="M91" s="523">
        <v>33</v>
      </c>
      <c r="N91" s="505">
        <f t="shared" si="37"/>
        <v>3114</v>
      </c>
      <c r="O91" s="505">
        <f t="shared" si="37"/>
        <v>2966</v>
      </c>
      <c r="P91" s="505">
        <f t="shared" si="37"/>
        <v>148</v>
      </c>
      <c r="Q91" s="506">
        <f t="shared" si="38"/>
        <v>1212</v>
      </c>
      <c r="R91" s="523">
        <v>1150</v>
      </c>
      <c r="S91" s="523">
        <v>62</v>
      </c>
      <c r="T91" s="554" t="s">
        <v>465</v>
      </c>
      <c r="U91" s="555" t="s">
        <v>472</v>
      </c>
    </row>
    <row r="92" spans="1:21" s="477" customFormat="1" ht="31.5" x14ac:dyDescent="0.25">
      <c r="A92" s="521">
        <v>4</v>
      </c>
      <c r="B92" s="637" t="s">
        <v>41</v>
      </c>
      <c r="C92" s="522" t="s">
        <v>451</v>
      </c>
      <c r="D92" s="522"/>
      <c r="E92" s="522"/>
      <c r="F92" s="522"/>
      <c r="G92" s="522"/>
      <c r="H92" s="523">
        <f t="shared" si="39"/>
        <v>3440</v>
      </c>
      <c r="I92" s="523">
        <v>3276</v>
      </c>
      <c r="J92" s="523">
        <v>164</v>
      </c>
      <c r="K92" s="523">
        <f t="shared" si="40"/>
        <v>619</v>
      </c>
      <c r="L92" s="523">
        <v>590</v>
      </c>
      <c r="M92" s="523">
        <v>29</v>
      </c>
      <c r="N92" s="505">
        <f t="shared" si="37"/>
        <v>2821</v>
      </c>
      <c r="O92" s="505">
        <f t="shared" si="37"/>
        <v>2686</v>
      </c>
      <c r="P92" s="505">
        <f t="shared" si="37"/>
        <v>135</v>
      </c>
      <c r="Q92" s="506">
        <f t="shared" si="38"/>
        <v>1098</v>
      </c>
      <c r="R92" s="523">
        <v>1042</v>
      </c>
      <c r="S92" s="523">
        <v>56</v>
      </c>
      <c r="T92" s="554" t="s">
        <v>466</v>
      </c>
      <c r="U92" s="555" t="s">
        <v>472</v>
      </c>
    </row>
    <row r="93" spans="1:21" s="477" customFormat="1" ht="31.5" x14ac:dyDescent="0.25">
      <c r="A93" s="521">
        <v>5</v>
      </c>
      <c r="B93" s="637" t="s">
        <v>42</v>
      </c>
      <c r="C93" s="522" t="s">
        <v>451</v>
      </c>
      <c r="D93" s="522"/>
      <c r="E93" s="522"/>
      <c r="F93" s="522"/>
      <c r="G93" s="522"/>
      <c r="H93" s="523">
        <f t="shared" si="39"/>
        <v>5551</v>
      </c>
      <c r="I93" s="523">
        <v>5287</v>
      </c>
      <c r="J93" s="523">
        <v>264</v>
      </c>
      <c r="K93" s="523">
        <f t="shared" si="40"/>
        <v>1000</v>
      </c>
      <c r="L93" s="523">
        <v>952</v>
      </c>
      <c r="M93" s="523">
        <v>48</v>
      </c>
      <c r="N93" s="505">
        <f t="shared" si="37"/>
        <v>4551</v>
      </c>
      <c r="O93" s="505">
        <f t="shared" si="37"/>
        <v>4335</v>
      </c>
      <c r="P93" s="505">
        <f t="shared" si="37"/>
        <v>216</v>
      </c>
      <c r="Q93" s="506">
        <f t="shared" si="38"/>
        <v>1772</v>
      </c>
      <c r="R93" s="523">
        <v>1681</v>
      </c>
      <c r="S93" s="523">
        <v>91</v>
      </c>
      <c r="T93" s="554" t="s">
        <v>434</v>
      </c>
      <c r="U93" s="555" t="s">
        <v>472</v>
      </c>
    </row>
    <row r="94" spans="1:21" s="477" customFormat="1" ht="31.5" x14ac:dyDescent="0.25">
      <c r="A94" s="521">
        <v>6</v>
      </c>
      <c r="B94" s="549" t="s">
        <v>43</v>
      </c>
      <c r="C94" s="522" t="s">
        <v>451</v>
      </c>
      <c r="D94" s="522"/>
      <c r="E94" s="522"/>
      <c r="F94" s="522"/>
      <c r="G94" s="522"/>
      <c r="H94" s="523">
        <f t="shared" si="39"/>
        <v>4212</v>
      </c>
      <c r="I94" s="523">
        <v>4011</v>
      </c>
      <c r="J94" s="523">
        <v>201</v>
      </c>
      <c r="K94" s="523">
        <f t="shared" si="40"/>
        <v>758</v>
      </c>
      <c r="L94" s="523">
        <v>722</v>
      </c>
      <c r="M94" s="523">
        <v>36</v>
      </c>
      <c r="N94" s="505">
        <f t="shared" si="37"/>
        <v>3454</v>
      </c>
      <c r="O94" s="505">
        <f t="shared" si="37"/>
        <v>3289</v>
      </c>
      <c r="P94" s="505">
        <f t="shared" si="37"/>
        <v>165</v>
      </c>
      <c r="Q94" s="506">
        <f t="shared" si="38"/>
        <v>1344</v>
      </c>
      <c r="R94" s="523">
        <v>1275</v>
      </c>
      <c r="S94" s="523">
        <v>69</v>
      </c>
      <c r="T94" s="554" t="s">
        <v>467</v>
      </c>
      <c r="U94" s="555" t="s">
        <v>472</v>
      </c>
    </row>
    <row r="95" spans="1:21" s="477" customFormat="1" ht="31.5" x14ac:dyDescent="0.25">
      <c r="A95" s="521">
        <v>7</v>
      </c>
      <c r="B95" s="549" t="s">
        <v>44</v>
      </c>
      <c r="C95" s="522" t="s">
        <v>451</v>
      </c>
      <c r="D95" s="522"/>
      <c r="E95" s="522"/>
      <c r="F95" s="522"/>
      <c r="G95" s="522"/>
      <c r="H95" s="523">
        <f t="shared" si="39"/>
        <v>4309</v>
      </c>
      <c r="I95" s="523">
        <v>4104</v>
      </c>
      <c r="J95" s="523">
        <v>205</v>
      </c>
      <c r="K95" s="523">
        <f t="shared" si="40"/>
        <v>776</v>
      </c>
      <c r="L95" s="523">
        <v>739</v>
      </c>
      <c r="M95" s="523">
        <v>37</v>
      </c>
      <c r="N95" s="505">
        <f t="shared" si="37"/>
        <v>3533</v>
      </c>
      <c r="O95" s="505">
        <f t="shared" si="37"/>
        <v>3365</v>
      </c>
      <c r="P95" s="505">
        <f t="shared" si="37"/>
        <v>168</v>
      </c>
      <c r="Q95" s="506">
        <f t="shared" si="38"/>
        <v>1379</v>
      </c>
      <c r="R95" s="523">
        <v>1308</v>
      </c>
      <c r="S95" s="523">
        <v>71</v>
      </c>
      <c r="T95" s="554" t="s">
        <v>468</v>
      </c>
      <c r="U95" s="555" t="s">
        <v>472</v>
      </c>
    </row>
  </sheetData>
  <mergeCells count="24">
    <mergeCell ref="Q5:Q6"/>
    <mergeCell ref="R5:S5"/>
    <mergeCell ref="U21:U22"/>
    <mergeCell ref="I5:J5"/>
    <mergeCell ref="K5:K6"/>
    <mergeCell ref="L5:M5"/>
    <mergeCell ref="N5:N6"/>
    <mergeCell ref="O5:P5"/>
    <mergeCell ref="A1:U1"/>
    <mergeCell ref="A2:U2"/>
    <mergeCell ref="T3:U3"/>
    <mergeCell ref="A4:A6"/>
    <mergeCell ref="B4:B6"/>
    <mergeCell ref="C4:C6"/>
    <mergeCell ref="D4:G4"/>
    <mergeCell ref="H4:J4"/>
    <mergeCell ref="K4:M4"/>
    <mergeCell ref="N4:P4"/>
    <mergeCell ref="Q4:S4"/>
    <mergeCell ref="T4:T6"/>
    <mergeCell ref="U4:U6"/>
    <mergeCell ref="D5:D6"/>
    <mergeCell ref="E5:G5"/>
    <mergeCell ref="H5:H6"/>
  </mergeCells>
  <pageMargins left="0.78740157480314965" right="0.39370078740157483" top="0.78740157480314965" bottom="0.78740157480314965" header="0.31496062992125984" footer="0.31496062992125984"/>
  <pageSetup paperSize="9" scale="59" firstPageNumber="63" orientation="landscape" useFirstPageNumber="1" r:id="rId1"/>
  <headerFooter>
    <oddHeader>&amp;RPhụ lục số 7A</oddHeader>
    <oddFooter>&amp;R&amp;P</oddFooter>
  </headerFooter>
  <colBreaks count="3" manualBreakCount="3">
    <brk id="20" max="1048575" man="1"/>
    <brk id="21" max="1048575"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a9be5fa392da76f1</MaTinBai>
    <_dlc_DocId xmlns="ae4e42cd-c673-4541-a17d-d353a4125f5e">DDYPFUVZ5X6F-6-4888</_dlc_DocId>
    <_dlc_DocIdUrl xmlns="ae4e42cd-c673-4541-a17d-d353a4125f5e">
      <Url>https://dbdc.backan.gov.vn/_layouts/15/DocIdRedir.aspx?ID=DDYPFUVZ5X6F-6-4888</Url>
      <Description>DDYPFUVZ5X6F-6-4888</Description>
    </_dlc_DocIdUrl>
  </documentManagement>
</p:properties>
</file>

<file path=customXml/itemProps1.xml><?xml version="1.0" encoding="utf-8"?>
<ds:datastoreItem xmlns:ds="http://schemas.openxmlformats.org/officeDocument/2006/customXml" ds:itemID="{B6B65D38-B68E-453D-8EDA-B1509E6D3F5C}"/>
</file>

<file path=customXml/itemProps2.xml><?xml version="1.0" encoding="utf-8"?>
<ds:datastoreItem xmlns:ds="http://schemas.openxmlformats.org/officeDocument/2006/customXml" ds:itemID="{305DC206-9B65-4581-BC97-434CBCB3496D}"/>
</file>

<file path=customXml/itemProps3.xml><?xml version="1.0" encoding="utf-8"?>
<ds:datastoreItem xmlns:ds="http://schemas.openxmlformats.org/officeDocument/2006/customXml" ds:itemID="{5BF5960E-5553-43DE-B50A-9DB9D5733B6F}"/>
</file>

<file path=customXml/itemProps4.xml><?xml version="1.0" encoding="utf-8"?>
<ds:datastoreItem xmlns:ds="http://schemas.openxmlformats.org/officeDocument/2006/customXml" ds:itemID="{D941E6A2-D51E-4F01-9E9B-DE7962D282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14</vt:i4>
      </vt:variant>
    </vt:vector>
  </HeadingPairs>
  <TitlesOfParts>
    <vt:vector size="45" baseType="lpstr">
      <vt:lpstr>B1-TH DA</vt:lpstr>
      <vt:lpstr>PL 1</vt:lpstr>
      <vt:lpstr>PL 2</vt:lpstr>
      <vt:lpstr>PL 2 (sửa)</vt:lpstr>
      <vt:lpstr>PL 3</vt:lpstr>
      <vt:lpstr>PL4</vt:lpstr>
      <vt:lpstr>PL 5</vt:lpstr>
      <vt:lpstr>PL 6</vt:lpstr>
      <vt:lpstr>PL7a DTTS</vt:lpstr>
      <vt:lpstr>PL01-DBDT</vt:lpstr>
      <vt:lpstr>PL 8A GNBV</vt:lpstr>
      <vt:lpstr>PL02-GN</vt:lpstr>
      <vt:lpstr>PL 9a NTM</vt:lpstr>
      <vt:lpstr>PL03-NTM</vt:lpstr>
      <vt:lpstr>PL 10</vt:lpstr>
      <vt:lpstr>B3-DA1</vt:lpstr>
      <vt:lpstr>B4-TDA1,DA3</vt:lpstr>
      <vt:lpstr>B5-TDA2,DA3</vt:lpstr>
      <vt:lpstr>B6-DA4</vt:lpstr>
      <vt:lpstr>B7-TDA1,DA5</vt:lpstr>
      <vt:lpstr>B7-TDA2,DA5</vt:lpstr>
      <vt:lpstr>B8-TDA3,DA5</vt:lpstr>
      <vt:lpstr>B9-TDA4,DA5</vt:lpstr>
      <vt:lpstr>B10-DA6</vt:lpstr>
      <vt:lpstr>B11-DA7</vt:lpstr>
      <vt:lpstr>B12-DA8</vt:lpstr>
      <vt:lpstr>B13-TDA1,DA9</vt:lpstr>
      <vt:lpstr>B14-TDA2,DA9</vt:lpstr>
      <vt:lpstr>B15-TDA1,DA10</vt:lpstr>
      <vt:lpstr>B16-TDA2,DA10</vt:lpstr>
      <vt:lpstr>B17-TDA3,DA10</vt:lpstr>
      <vt:lpstr>'B10-DA6'!Print_Area</vt:lpstr>
      <vt:lpstr>'B11-DA7'!Print_Area</vt:lpstr>
      <vt:lpstr>'B13-TDA1,DA9'!Print_Area</vt:lpstr>
      <vt:lpstr>'B15-TDA1,DA10'!Print_Area</vt:lpstr>
      <vt:lpstr>'B10-DA6'!Print_Titles</vt:lpstr>
      <vt:lpstr>'B1-TH DA'!Print_Titles</vt:lpstr>
      <vt:lpstr>'B3-DA1'!Print_Titles</vt:lpstr>
      <vt:lpstr>'B4-TDA1,DA3'!Print_Titles</vt:lpstr>
      <vt:lpstr>'B6-DA4'!Print_Titles</vt:lpstr>
      <vt:lpstr>'PL 2'!Print_Titles</vt:lpstr>
      <vt:lpstr>'PL 2 (sửa)'!Print_Titles</vt:lpstr>
      <vt:lpstr>'PL01-DBDT'!Print_Titles</vt:lpstr>
      <vt:lpstr>'PL02-GN'!Print_Titles</vt:lpstr>
      <vt:lpstr>'PL7a DTTS'!Print_Titles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 SON PC</dc:creator>
  <cp:lastModifiedBy>LANHM</cp:lastModifiedBy>
  <cp:lastPrinted>2022-12-08T13:05:18Z</cp:lastPrinted>
  <dcterms:created xsi:type="dcterms:W3CDTF">2022-10-21T02:05:10Z</dcterms:created>
  <dcterms:modified xsi:type="dcterms:W3CDTF">2022-12-08T13:13:08Z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76fd4e2d-70b4-4863-bdec-9137e55cd658</vt:lpwstr>
  </property>
</Properties>
</file>