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48" windowWidth="19428" windowHeight="10500" firstSheet="1" activeTab="2"/>
  </bookViews>
  <sheets>
    <sheet name="Sheet1" sheetId="1" state="hidden" r:id="rId1"/>
    <sheet name="biểu 4" sheetId="5" r:id="rId2"/>
    <sheet name="Biểu 5" sheetId="3" r:id="rId3"/>
    <sheet name="Biểu 6" sheetId="7" r:id="rId4"/>
    <sheet name="Biểu 2b" sheetId="4" state="hidden" r:id="rId5"/>
  </sheets>
  <definedNames>
    <definedName name="_xlnm.Print_Area" localSheetId="4">'Biểu 2b'!$A$1:$Q$29</definedName>
    <definedName name="_xlnm.Print_Area" localSheetId="2">'Biểu 5'!$A$1:$X$52</definedName>
    <definedName name="_xlnm.Print_Titles" localSheetId="2">'Biểu 5'!$5:$7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1" i="3" l="1"/>
  <c r="R31" i="3"/>
  <c r="S31" i="3"/>
  <c r="T31" i="3"/>
  <c r="U31" i="3"/>
  <c r="V31" i="3"/>
  <c r="W31" i="3"/>
  <c r="P31" i="3"/>
  <c r="AP11" i="5"/>
  <c r="C10" i="5"/>
  <c r="F10" i="5"/>
  <c r="P22" i="3"/>
  <c r="Z22" i="3" s="1"/>
  <c r="Y22" i="3"/>
  <c r="Y21" i="3"/>
  <c r="Y20" i="3"/>
  <c r="P20" i="3"/>
  <c r="P35" i="3"/>
  <c r="P36" i="3"/>
  <c r="Y36" i="3" s="1"/>
  <c r="AK24" i="5" l="1"/>
  <c r="AA24" i="5" l="1"/>
  <c r="AI15" i="5"/>
  <c r="AH19" i="5"/>
  <c r="AI19" i="5" s="1"/>
  <c r="AH18" i="5"/>
  <c r="AI18" i="5" s="1"/>
  <c r="AH17" i="5"/>
  <c r="AI17" i="5" s="1"/>
  <c r="AH14" i="5"/>
  <c r="AI14" i="5" s="1"/>
  <c r="AH16" i="5"/>
  <c r="AI16" i="5" s="1"/>
  <c r="AE15" i="5"/>
  <c r="AD19" i="5"/>
  <c r="AE19" i="5" s="1"/>
  <c r="AD18" i="5"/>
  <c r="AE18" i="5" s="1"/>
  <c r="AD17" i="5"/>
  <c r="AE17" i="5" s="1"/>
  <c r="AD16" i="5"/>
  <c r="AE16" i="5" s="1"/>
  <c r="AD14" i="5"/>
  <c r="AE14" i="5" s="1"/>
  <c r="AD13" i="5"/>
  <c r="AA17" i="5" l="1"/>
  <c r="U21" i="3"/>
  <c r="U20" i="3"/>
  <c r="U17" i="3"/>
  <c r="M17" i="5"/>
  <c r="Z17" i="5" s="1"/>
  <c r="Q17" i="3"/>
  <c r="W12" i="3" l="1"/>
  <c r="H15" i="7" l="1"/>
  <c r="T17" i="3"/>
  <c r="M19" i="5" s="1"/>
  <c r="AA19" i="5" s="1"/>
  <c r="U38" i="3"/>
  <c r="R17" i="3" l="1"/>
  <c r="T15" i="3"/>
  <c r="V15" i="3"/>
  <c r="W15" i="3"/>
  <c r="P15" i="3"/>
  <c r="T13" i="5" l="1"/>
  <c r="AG13" i="5" s="1"/>
  <c r="T14" i="5"/>
  <c r="T15" i="5"/>
  <c r="T16" i="5"/>
  <c r="T17" i="5"/>
  <c r="T18" i="5"/>
  <c r="T19" i="5"/>
  <c r="T12" i="5"/>
  <c r="AG12" i="5" s="1"/>
  <c r="Q13" i="5"/>
  <c r="Q14" i="5"/>
  <c r="Q15" i="5"/>
  <c r="Q16" i="5"/>
  <c r="Q17" i="5"/>
  <c r="Q18" i="5"/>
  <c r="Q19" i="5"/>
  <c r="Q12" i="5"/>
  <c r="N13" i="5"/>
  <c r="Y13" i="5" s="1"/>
  <c r="N14" i="5"/>
  <c r="N15" i="5"/>
  <c r="N16" i="5"/>
  <c r="N17" i="5"/>
  <c r="N18" i="5"/>
  <c r="N19" i="5"/>
  <c r="N12" i="5"/>
  <c r="K14" i="5"/>
  <c r="K15" i="5"/>
  <c r="K16" i="5"/>
  <c r="K17" i="5"/>
  <c r="K18" i="5"/>
  <c r="Q11" i="5" l="1"/>
  <c r="Q9" i="5" s="1"/>
  <c r="Y12" i="5"/>
  <c r="N11" i="5"/>
  <c r="N9" i="5" s="1"/>
  <c r="AC12" i="5"/>
  <c r="Y21" i="5"/>
  <c r="AG9" i="5"/>
  <c r="AC13" i="5"/>
  <c r="AE13" i="5" s="1"/>
  <c r="Y22" i="5"/>
  <c r="L19" i="5"/>
  <c r="AB19" i="5" s="1"/>
  <c r="R15" i="5"/>
  <c r="AJ15" i="5" s="1"/>
  <c r="O15" i="5"/>
  <c r="AF15" i="5" s="1"/>
  <c r="L15" i="5"/>
  <c r="AB15" i="5" s="1"/>
  <c r="I15" i="5"/>
  <c r="X15" i="5" s="1"/>
  <c r="J14" i="5"/>
  <c r="I14" i="5" s="1"/>
  <c r="X14" i="5" s="1"/>
  <c r="J18" i="5"/>
  <c r="I18" i="5" s="1"/>
  <c r="X18" i="5" s="1"/>
  <c r="M14" i="5"/>
  <c r="L14" i="5" s="1"/>
  <c r="AB14" i="5" s="1"/>
  <c r="M18" i="5"/>
  <c r="L18" i="5" s="1"/>
  <c r="AB18" i="5" s="1"/>
  <c r="P18" i="5"/>
  <c r="O18" i="5" s="1"/>
  <c r="AF18" i="5" s="1"/>
  <c r="G8" i="7"/>
  <c r="G9" i="7"/>
  <c r="K13" i="5" s="1"/>
  <c r="K22" i="5" s="1"/>
  <c r="G15" i="7"/>
  <c r="S26" i="3"/>
  <c r="T26" i="3"/>
  <c r="T23" i="3" s="1"/>
  <c r="S44" i="3"/>
  <c r="J17" i="5" s="1"/>
  <c r="I17" i="5" s="1"/>
  <c r="X17" i="5" s="1"/>
  <c r="V44" i="3"/>
  <c r="P17" i="5" s="1"/>
  <c r="O17" i="5" s="1"/>
  <c r="AF17" i="5" s="1"/>
  <c r="S18" i="3"/>
  <c r="J13" i="5" s="1"/>
  <c r="T18" i="3"/>
  <c r="V18" i="3"/>
  <c r="P13" i="5" s="1"/>
  <c r="H13" i="5"/>
  <c r="H14" i="5"/>
  <c r="H15" i="5"/>
  <c r="H16" i="5"/>
  <c r="H17" i="5"/>
  <c r="H18" i="5"/>
  <c r="H19" i="5"/>
  <c r="H12" i="5"/>
  <c r="C12" i="7"/>
  <c r="D16" i="5" s="1"/>
  <c r="C14" i="7"/>
  <c r="D18" i="5" s="1"/>
  <c r="C11" i="7"/>
  <c r="D15" i="5" s="1"/>
  <c r="C15" i="5" s="1"/>
  <c r="C10" i="7"/>
  <c r="D14" i="5" s="1"/>
  <c r="C13" i="7"/>
  <c r="D17" i="5" s="1"/>
  <c r="S34" i="3"/>
  <c r="S33" i="3" s="1"/>
  <c r="R34" i="3"/>
  <c r="Q34" i="3"/>
  <c r="R29" i="3"/>
  <c r="Q16" i="3"/>
  <c r="S16" i="3"/>
  <c r="Q19" i="3"/>
  <c r="R19" i="3" s="1"/>
  <c r="R47" i="3"/>
  <c r="Q47" i="3"/>
  <c r="Q29" i="3"/>
  <c r="Q13" i="3"/>
  <c r="R13" i="3" s="1"/>
  <c r="X9" i="3"/>
  <c r="V52" i="3"/>
  <c r="P19" i="5" s="1"/>
  <c r="O19" i="5" s="1"/>
  <c r="AF19" i="5" s="1"/>
  <c r="I46" i="3"/>
  <c r="P46" i="3" s="1"/>
  <c r="W46" i="3" s="1"/>
  <c r="W44" i="3" s="1"/>
  <c r="G12" i="4"/>
  <c r="N12" i="4" s="1"/>
  <c r="I22" i="3"/>
  <c r="J22" i="3"/>
  <c r="I21" i="3"/>
  <c r="P21" i="3" s="1"/>
  <c r="W21" i="3" s="1"/>
  <c r="I20" i="3"/>
  <c r="W20" i="3" s="1"/>
  <c r="H14" i="3"/>
  <c r="I14" i="3" s="1"/>
  <c r="P14" i="3" s="1"/>
  <c r="W14" i="3" s="1"/>
  <c r="I12" i="3"/>
  <c r="P12" i="3" s="1"/>
  <c r="K20" i="4"/>
  <c r="N20" i="4" s="1"/>
  <c r="Q20" i="4" s="1"/>
  <c r="J20" i="4"/>
  <c r="K19" i="4"/>
  <c r="N19" i="4" s="1"/>
  <c r="Q19" i="4" s="1"/>
  <c r="J19" i="4"/>
  <c r="M19" i="4" s="1"/>
  <c r="P19" i="4" s="1"/>
  <c r="K18" i="4"/>
  <c r="N18" i="4" s="1"/>
  <c r="Q18" i="4" s="1"/>
  <c r="J18" i="4"/>
  <c r="M18" i="4" s="1"/>
  <c r="P18" i="4" s="1"/>
  <c r="N14" i="4"/>
  <c r="M14" i="4"/>
  <c r="L14" i="4" s="1"/>
  <c r="W13" i="5" l="1"/>
  <c r="I13" i="5"/>
  <c r="X13" i="5" s="1"/>
  <c r="C8" i="7"/>
  <c r="D12" i="5" s="1"/>
  <c r="K12" i="5"/>
  <c r="C15" i="7"/>
  <c r="E15" i="7" s="1"/>
  <c r="K19" i="5"/>
  <c r="H11" i="5"/>
  <c r="H9" i="5" s="1"/>
  <c r="U16" i="5"/>
  <c r="AK16" i="5" s="1"/>
  <c r="F16" i="5" s="1"/>
  <c r="U15" i="5"/>
  <c r="AK15" i="5" s="1"/>
  <c r="F15" i="5" s="1"/>
  <c r="G15" i="5" s="1"/>
  <c r="U13" i="5"/>
  <c r="U14" i="5"/>
  <c r="AK14" i="5" s="1"/>
  <c r="F14" i="5" s="1"/>
  <c r="U12" i="5"/>
  <c r="U19" i="5"/>
  <c r="U18" i="5"/>
  <c r="AK18" i="5" s="1"/>
  <c r="F18" i="5" s="1"/>
  <c r="U17" i="5"/>
  <c r="AK17" i="5" s="1"/>
  <c r="F17" i="5" s="1"/>
  <c r="AC9" i="5"/>
  <c r="S15" i="3"/>
  <c r="R16" i="3"/>
  <c r="R15" i="3" s="1"/>
  <c r="Q15" i="3"/>
  <c r="M13" i="5"/>
  <c r="Z13" i="5" s="1"/>
  <c r="AA13" i="5" s="1"/>
  <c r="T10" i="3"/>
  <c r="M16" i="5"/>
  <c r="L16" i="5" s="1"/>
  <c r="AB16" i="5" s="1"/>
  <c r="J16" i="5"/>
  <c r="I16" i="5" s="1"/>
  <c r="X16" i="5" s="1"/>
  <c r="S23" i="3"/>
  <c r="J12" i="5"/>
  <c r="P18" i="3"/>
  <c r="P10" i="3" s="1"/>
  <c r="O13" i="5"/>
  <c r="AF13" i="5" s="1"/>
  <c r="W18" i="3"/>
  <c r="E14" i="7"/>
  <c r="E13" i="7"/>
  <c r="E10" i="7"/>
  <c r="E11" i="7"/>
  <c r="E12" i="7"/>
  <c r="Q21" i="3"/>
  <c r="R21" i="3" s="1"/>
  <c r="Q20" i="3"/>
  <c r="R46" i="3"/>
  <c r="Q14" i="3"/>
  <c r="Q12" i="3"/>
  <c r="Q46" i="3"/>
  <c r="Q22" i="3"/>
  <c r="R22" i="3" s="1"/>
  <c r="D12" i="4"/>
  <c r="M12" i="4" s="1"/>
  <c r="L12" i="4" s="1"/>
  <c r="I19" i="4"/>
  <c r="L19" i="4" s="1"/>
  <c r="O19" i="4" s="1"/>
  <c r="I20" i="4"/>
  <c r="L20" i="4" s="1"/>
  <c r="O20" i="4" s="1"/>
  <c r="I18" i="4"/>
  <c r="L18" i="4" s="1"/>
  <c r="O18" i="4" s="1"/>
  <c r="M20" i="4"/>
  <c r="P20" i="4" s="1"/>
  <c r="K11" i="5" l="1"/>
  <c r="K9" i="5" s="1"/>
  <c r="K21" i="5"/>
  <c r="D19" i="5"/>
  <c r="W10" i="3"/>
  <c r="AH13" i="5"/>
  <c r="J21" i="5"/>
  <c r="L21" i="5" s="1"/>
  <c r="W12" i="5"/>
  <c r="V19" i="5"/>
  <c r="V13" i="5"/>
  <c r="U9" i="5"/>
  <c r="V18" i="5"/>
  <c r="V12" i="5"/>
  <c r="V15" i="5"/>
  <c r="AL15" i="5" s="1"/>
  <c r="V17" i="5"/>
  <c r="V14" i="5"/>
  <c r="V16" i="5"/>
  <c r="L13" i="5"/>
  <c r="AB13" i="5" s="1"/>
  <c r="S10" i="3"/>
  <c r="J19" i="5"/>
  <c r="W19" i="5" s="1"/>
  <c r="AK19" i="5" s="1"/>
  <c r="F19" i="5" s="1"/>
  <c r="P14" i="5"/>
  <c r="O14" i="5" s="1"/>
  <c r="AF14" i="5" s="1"/>
  <c r="V10" i="3"/>
  <c r="R12" i="3"/>
  <c r="I12" i="5"/>
  <c r="S9" i="3"/>
  <c r="R14" i="3"/>
  <c r="R20" i="3"/>
  <c r="R18" i="3" s="1"/>
  <c r="Q18" i="3"/>
  <c r="Q10" i="3" s="1"/>
  <c r="C9" i="7"/>
  <c r="D13" i="5" s="1"/>
  <c r="D11" i="5" s="1"/>
  <c r="D9" i="5" s="1"/>
  <c r="J7" i="7"/>
  <c r="I7" i="7"/>
  <c r="H7" i="7"/>
  <c r="F7" i="7"/>
  <c r="W9" i="5" l="1"/>
  <c r="X26" i="5" s="1"/>
  <c r="X12" i="5"/>
  <c r="J11" i="5"/>
  <c r="J9" i="5" s="1"/>
  <c r="AI13" i="5"/>
  <c r="V9" i="5"/>
  <c r="I19" i="5"/>
  <c r="X19" i="5" s="1"/>
  <c r="X9" i="5" s="1"/>
  <c r="J22" i="5"/>
  <c r="L22" i="5" s="1"/>
  <c r="L23" i="5" s="1"/>
  <c r="P23" i="5" s="1"/>
  <c r="R10" i="3"/>
  <c r="E9" i="7"/>
  <c r="D9" i="7"/>
  <c r="C7" i="7"/>
  <c r="E8" i="7"/>
  <c r="D8" i="7"/>
  <c r="G7" i="7"/>
  <c r="I11" i="5" l="1"/>
  <c r="I9" i="5" s="1"/>
  <c r="L24" i="5" s="1"/>
  <c r="Q23" i="5" s="1"/>
  <c r="AK13" i="5"/>
  <c r="F13" i="5" s="1"/>
  <c r="D7" i="7"/>
  <c r="E7" i="7"/>
  <c r="H21" i="5" l="1"/>
  <c r="P22" i="5" s="1"/>
  <c r="J57" i="4"/>
  <c r="I57" i="4" s="1"/>
  <c r="L57" i="4" s="1"/>
  <c r="M55" i="4"/>
  <c r="P55" i="4" s="1"/>
  <c r="O55" i="4" s="1"/>
  <c r="Q53" i="4"/>
  <c r="P53" i="4"/>
  <c r="I50" i="4"/>
  <c r="K48" i="4"/>
  <c r="J48" i="4"/>
  <c r="I48" i="4" s="1"/>
  <c r="N47" i="4"/>
  <c r="Q47" i="4" s="1"/>
  <c r="M47" i="4"/>
  <c r="P47" i="4" s="1"/>
  <c r="K46" i="4"/>
  <c r="J46" i="4"/>
  <c r="I46" i="4" s="1"/>
  <c r="J44" i="4"/>
  <c r="I44" i="4" s="1"/>
  <c r="J43" i="4"/>
  <c r="I43" i="4" s="1"/>
  <c r="I42" i="4"/>
  <c r="O41" i="4"/>
  <c r="O40" i="4"/>
  <c r="K35" i="4"/>
  <c r="N35" i="4" s="1"/>
  <c r="Q35" i="4" s="1"/>
  <c r="J35" i="4"/>
  <c r="K34" i="4"/>
  <c r="N34" i="4" s="1"/>
  <c r="Q34" i="4" s="1"/>
  <c r="J34" i="4"/>
  <c r="M34" i="4" s="1"/>
  <c r="J33" i="4"/>
  <c r="M33" i="4" s="1"/>
  <c r="P33" i="4" s="1"/>
  <c r="K33" i="4"/>
  <c r="K31" i="4"/>
  <c r="N31" i="4" s="1"/>
  <c r="Q31" i="4" s="1"/>
  <c r="J31" i="4"/>
  <c r="M31" i="4" s="1"/>
  <c r="P31" i="4" s="1"/>
  <c r="M29" i="4"/>
  <c r="P29" i="4" s="1"/>
  <c r="N29" i="4"/>
  <c r="Q29" i="4" s="1"/>
  <c r="N28" i="4"/>
  <c r="Q28" i="4" s="1"/>
  <c r="M28" i="4"/>
  <c r="P28" i="4" s="1"/>
  <c r="G9" i="4"/>
  <c r="H9" i="4"/>
  <c r="M24" i="4"/>
  <c r="N24" i="4"/>
  <c r="D9" i="4"/>
  <c r="H22" i="5" l="1"/>
  <c r="Q22" i="5" s="1"/>
  <c r="I35" i="4"/>
  <c r="L35" i="4" s="1"/>
  <c r="O35" i="4" s="1"/>
  <c r="O53" i="4"/>
  <c r="L47" i="4"/>
  <c r="O47" i="4" s="1"/>
  <c r="L55" i="4"/>
  <c r="I33" i="4"/>
  <c r="L33" i="4" s="1"/>
  <c r="O33" i="4" s="1"/>
  <c r="O57" i="4"/>
  <c r="P57" i="4" s="1"/>
  <c r="M57" i="4"/>
  <c r="O29" i="4"/>
  <c r="M44" i="4"/>
  <c r="M35" i="4"/>
  <c r="P35" i="4" s="1"/>
  <c r="L24" i="4"/>
  <c r="O28" i="4"/>
  <c r="P34" i="4"/>
  <c r="J9" i="4"/>
  <c r="I34" i="4"/>
  <c r="L34" i="4" s="1"/>
  <c r="O34" i="4" s="1"/>
  <c r="I31" i="4"/>
  <c r="K9" i="4"/>
  <c r="L28" i="4"/>
  <c r="N33" i="4"/>
  <c r="Q33" i="4" s="1"/>
  <c r="Q9" i="4" s="1"/>
  <c r="L29" i="4"/>
  <c r="M9" i="4" l="1"/>
  <c r="L44" i="4"/>
  <c r="P44" i="4"/>
  <c r="L31" i="4"/>
  <c r="O31" i="4" s="1"/>
  <c r="I9" i="4"/>
  <c r="N9" i="4"/>
  <c r="A3" i="4"/>
  <c r="O44" i="4" l="1"/>
  <c r="O9" i="4" s="1"/>
  <c r="P9" i="4"/>
  <c r="L9" i="4"/>
  <c r="I48" i="3"/>
  <c r="P48" i="3" s="1"/>
  <c r="E18" i="5" s="1"/>
  <c r="C18" i="5" s="1"/>
  <c r="I50" i="3"/>
  <c r="P50" i="3" s="1"/>
  <c r="I52" i="3"/>
  <c r="P52" i="3" s="1"/>
  <c r="I43" i="3"/>
  <c r="P43" i="3" s="1"/>
  <c r="V43" i="3" s="1"/>
  <c r="E19" i="5" l="1"/>
  <c r="C19" i="5" s="1"/>
  <c r="W50" i="3"/>
  <c r="S13" i="5" s="1"/>
  <c r="R13" i="5" s="1"/>
  <c r="AJ13" i="5" s="1"/>
  <c r="AL13" i="5" s="1"/>
  <c r="E13" i="5"/>
  <c r="C13" i="5" s="1"/>
  <c r="W52" i="3"/>
  <c r="R52" i="3"/>
  <c r="Q52" i="3"/>
  <c r="R43" i="3"/>
  <c r="Q43" i="3"/>
  <c r="R50" i="3"/>
  <c r="Q50" i="3"/>
  <c r="W48" i="3"/>
  <c r="S18" i="5" s="1"/>
  <c r="R18" i="5" s="1"/>
  <c r="AJ18" i="5" s="1"/>
  <c r="AL18" i="5" s="1"/>
  <c r="Q48" i="3"/>
  <c r="G18" i="5" s="1"/>
  <c r="R48" i="3"/>
  <c r="I30" i="3"/>
  <c r="P30" i="3" s="1"/>
  <c r="I45" i="3"/>
  <c r="P45" i="3" s="1"/>
  <c r="P44" i="3" l="1"/>
  <c r="Q45" i="3"/>
  <c r="Q44" i="3" s="1"/>
  <c r="G19" i="5"/>
  <c r="S19" i="5"/>
  <c r="R19" i="5" s="1"/>
  <c r="AJ19" i="5" s="1"/>
  <c r="AL19" i="5" s="1"/>
  <c r="G13" i="5"/>
  <c r="E17" i="5"/>
  <c r="T45" i="3"/>
  <c r="R45" i="3"/>
  <c r="R44" i="3" s="1"/>
  <c r="W30" i="3"/>
  <c r="S17" i="5" s="1"/>
  <c r="R17" i="5" s="1"/>
  <c r="AJ17" i="5" s="1"/>
  <c r="R30" i="3"/>
  <c r="Q30" i="3"/>
  <c r="J41" i="3"/>
  <c r="T44" i="3" l="1"/>
  <c r="U45" i="3"/>
  <c r="C17" i="5"/>
  <c r="I42" i="3"/>
  <c r="P42" i="3" s="1"/>
  <c r="W42" i="3" s="1"/>
  <c r="I41" i="3"/>
  <c r="P41" i="3" s="1"/>
  <c r="I39" i="3"/>
  <c r="P39" i="3" s="1"/>
  <c r="V39" i="3" s="1"/>
  <c r="I36" i="3"/>
  <c r="I38" i="3"/>
  <c r="P38" i="3" s="1"/>
  <c r="V38" i="3" s="1"/>
  <c r="I37" i="3"/>
  <c r="P37" i="3" s="1"/>
  <c r="Q37" i="3" s="1"/>
  <c r="I35" i="3"/>
  <c r="F30" i="3"/>
  <c r="R35" i="3" l="1"/>
  <c r="L17" i="5"/>
  <c r="AB17" i="5" s="1"/>
  <c r="AL17" i="5" s="1"/>
  <c r="G17" i="5"/>
  <c r="Q35" i="3"/>
  <c r="Q36" i="3"/>
  <c r="R36" i="3"/>
  <c r="T37" i="3"/>
  <c r="U37" i="3" s="1"/>
  <c r="R37" i="3"/>
  <c r="V41" i="3"/>
  <c r="R41" i="3"/>
  <c r="Q41" i="3"/>
  <c r="Q38" i="3"/>
  <c r="R38" i="3"/>
  <c r="W39" i="3"/>
  <c r="R39" i="3"/>
  <c r="Q39" i="3"/>
  <c r="R42" i="3"/>
  <c r="Q42" i="3"/>
  <c r="I40" i="3"/>
  <c r="P40" i="3" s="1"/>
  <c r="P33" i="3" s="1"/>
  <c r="V33" i="3" l="1"/>
  <c r="W33" i="3"/>
  <c r="S12" i="5"/>
  <c r="E12" i="5"/>
  <c r="T40" i="3"/>
  <c r="R40" i="3"/>
  <c r="R33" i="3" s="1"/>
  <c r="Q40" i="3"/>
  <c r="Q33" i="3" s="1"/>
  <c r="H25" i="3"/>
  <c r="I25" i="3" s="1"/>
  <c r="P25" i="3" s="1"/>
  <c r="AH12" i="5" l="1"/>
  <c r="AD12" i="5"/>
  <c r="T33" i="3"/>
  <c r="M12" i="5" s="1"/>
  <c r="U40" i="3"/>
  <c r="P12" i="5"/>
  <c r="C12" i="5"/>
  <c r="E14" i="5"/>
  <c r="C14" i="5" s="1"/>
  <c r="R12" i="5"/>
  <c r="T9" i="3"/>
  <c r="W25" i="3"/>
  <c r="R25" i="3"/>
  <c r="Q25" i="3"/>
  <c r="I28" i="3"/>
  <c r="P28" i="3" s="1"/>
  <c r="F28" i="3"/>
  <c r="Z12" i="5" l="1"/>
  <c r="AA12" i="5" s="1"/>
  <c r="M11" i="5"/>
  <c r="M9" i="5" s="1"/>
  <c r="AD9" i="5"/>
  <c r="AE12" i="5"/>
  <c r="AE9" i="5" s="1"/>
  <c r="O12" i="5"/>
  <c r="AI12" i="5"/>
  <c r="AI9" i="5" s="1"/>
  <c r="AH9" i="5"/>
  <c r="U9" i="3"/>
  <c r="G14" i="5"/>
  <c r="S14" i="5"/>
  <c r="L12" i="5"/>
  <c r="W28" i="3"/>
  <c r="W26" i="3" s="1"/>
  <c r="S16" i="5" s="1"/>
  <c r="R16" i="5" s="1"/>
  <c r="AJ16" i="5" s="1"/>
  <c r="R28" i="3"/>
  <c r="Q28" i="3"/>
  <c r="I27" i="3"/>
  <c r="P27" i="3" s="1"/>
  <c r="P26" i="3" s="1"/>
  <c r="P23" i="3" s="1"/>
  <c r="J28" i="3"/>
  <c r="AF12" i="5" l="1"/>
  <c r="P25" i="5"/>
  <c r="P30" i="5" s="1"/>
  <c r="AE26" i="5"/>
  <c r="P26" i="5"/>
  <c r="P31" i="5" s="1"/>
  <c r="P32" i="5" s="1"/>
  <c r="AI26" i="5"/>
  <c r="AB12" i="5"/>
  <c r="L11" i="5"/>
  <c r="L9" i="5" s="1"/>
  <c r="AJ12" i="5"/>
  <c r="AK12" i="5"/>
  <c r="W23" i="3"/>
  <c r="E16" i="5"/>
  <c r="E11" i="5" s="1"/>
  <c r="E9" i="5" s="1"/>
  <c r="P9" i="3"/>
  <c r="R14" i="5"/>
  <c r="R11" i="5" s="1"/>
  <c r="R9" i="5" s="1"/>
  <c r="W9" i="3"/>
  <c r="Q27" i="3"/>
  <c r="Q26" i="3" s="1"/>
  <c r="Q23" i="3" s="1"/>
  <c r="R27" i="3"/>
  <c r="R26" i="3" s="1"/>
  <c r="V27" i="3"/>
  <c r="V26" i="3" s="1"/>
  <c r="V23" i="3" s="1"/>
  <c r="K57" i="1"/>
  <c r="K56" i="1"/>
  <c r="K55" i="1"/>
  <c r="K54" i="1" s="1"/>
  <c r="K53" i="1"/>
  <c r="K52" i="1"/>
  <c r="K51" i="1"/>
  <c r="K50" i="1"/>
  <c r="K49" i="1"/>
  <c r="E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J16" i="1"/>
  <c r="K16" i="1" s="1"/>
  <c r="K15" i="1"/>
  <c r="K14" i="1"/>
  <c r="K13" i="1"/>
  <c r="I12" i="1"/>
  <c r="G12" i="1"/>
  <c r="K10" i="1"/>
  <c r="AL12" i="5" l="1"/>
  <c r="AK9" i="5"/>
  <c r="AL25" i="5" s="1"/>
  <c r="F12" i="5"/>
  <c r="AJ14" i="5"/>
  <c r="R23" i="3"/>
  <c r="R9" i="3" s="1"/>
  <c r="P16" i="5"/>
  <c r="P11" i="5" s="1"/>
  <c r="P9" i="5" s="1"/>
  <c r="V9" i="3"/>
  <c r="C16" i="5"/>
  <c r="C11" i="5" s="1"/>
  <c r="C9" i="5" s="1"/>
  <c r="Q9" i="3"/>
  <c r="K37" i="1"/>
  <c r="K28" i="1"/>
  <c r="K12" i="1"/>
  <c r="K11" i="1" s="1"/>
  <c r="F11" i="5" l="1"/>
  <c r="F9" i="5" s="1"/>
  <c r="AP12" i="5" s="1"/>
  <c r="G12" i="5"/>
  <c r="AJ9" i="5"/>
  <c r="Q26" i="5" s="1"/>
  <c r="AL14" i="5"/>
  <c r="O16" i="5"/>
  <c r="O11" i="5" s="1"/>
  <c r="O9" i="5" s="1"/>
  <c r="G16" i="5"/>
  <c r="G11" i="5" s="1"/>
  <c r="G9" i="5" s="1"/>
  <c r="G20" i="5" s="1"/>
  <c r="AD21" i="5"/>
  <c r="AD22" i="5" l="1"/>
  <c r="E21" i="5"/>
  <c r="G22" i="5"/>
  <c r="AF16" i="5"/>
  <c r="AF9" i="5" l="1"/>
  <c r="Q25" i="5" s="1"/>
  <c r="AL16" i="5"/>
  <c r="AL9" i="5" s="1"/>
  <c r="AN19" i="5" s="1"/>
  <c r="C21" i="5" s="1"/>
  <c r="AA9" i="5"/>
  <c r="AA26" i="5" s="1"/>
  <c r="AB9" i="5"/>
  <c r="AF22" i="5" l="1"/>
  <c r="AH22" i="5" s="1"/>
  <c r="Q24" i="5"/>
  <c r="Q27" i="5" s="1"/>
  <c r="AF21" i="5"/>
  <c r="AH21" i="5" s="1"/>
  <c r="P24" i="5"/>
  <c r="P27" i="5" s="1"/>
  <c r="R27" i="5" l="1"/>
  <c r="S27" i="5" s="1"/>
  <c r="S29" i="5" s="1"/>
  <c r="P28" i="5"/>
</calcChain>
</file>

<file path=xl/comments1.xml><?xml version="1.0" encoding="utf-8"?>
<comments xmlns="http://schemas.openxmlformats.org/spreadsheetml/2006/main">
  <authors>
    <author>hp</author>
  </authors>
  <commentList>
    <comment ref="AK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Trong đó ĐT 307.086trđ; công tác đo đạc, ql đất… .28.427trđ</t>
        </r>
      </text>
    </comment>
  </commentList>
</comments>
</file>

<file path=xl/comments2.xml><?xml version="1.0" encoding="utf-8"?>
<comments xmlns="http://schemas.openxmlformats.org/spreadsheetml/2006/main">
  <authors>
    <author>hp</author>
    <author>Admin</author>
  </authors>
  <commentList>
    <comment ref="P2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Dự kiến thu 40%
</t>
        </r>
      </text>
    </comment>
    <comment ref="H27" authorId="1">
      <text>
        <r>
          <rPr>
            <b/>
            <sz val="12"/>
            <color indexed="81"/>
            <rFont val="Segoe UI"/>
            <family val="2"/>
          </rPr>
          <t>Áp mức giá đất ở cao nhất đối với đất ở tại xã Quang Thuận theo bảng giá đất 06</t>
        </r>
      </text>
    </comment>
    <comment ref="J27" authorId="1">
      <text>
        <r>
          <rPr>
            <b/>
            <sz val="12"/>
            <color indexed="81"/>
            <rFont val="Segoe UI"/>
            <family val="2"/>
          </rPr>
          <t>Diện tích đã thu hồi thực tế năm 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27" authorId="1">
      <text>
        <r>
          <rPr>
            <b/>
            <sz val="12"/>
            <color indexed="81"/>
            <rFont val="Segoe UI"/>
            <family val="2"/>
          </rPr>
          <t>Số tiền bồi thường đã chi trả thực tế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8" authorId="1">
      <text>
        <r>
          <rPr>
            <b/>
            <sz val="12"/>
            <color indexed="81"/>
            <rFont val="Segoe UI"/>
            <family val="2"/>
          </rPr>
          <t>Áp mức giá đất ở như đối với đất Khu dân cư Khuổi Nim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lấy 50%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Dự kiến thu 40%
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Dự kiến thu 50%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Dự kiến thu 40%
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Dự kiến thu 50%</t>
        </r>
      </text>
    </comment>
  </commentList>
</comments>
</file>

<file path=xl/sharedStrings.xml><?xml version="1.0" encoding="utf-8"?>
<sst xmlns="http://schemas.openxmlformats.org/spreadsheetml/2006/main" count="568" uniqueCount="286">
  <si>
    <t>TT</t>
  </si>
  <si>
    <t>HẠNG MỤC</t>
  </si>
  <si>
    <t>Địa điểm (đến cấp xã)</t>
  </si>
  <si>
    <t xml:space="preserve">Mã </t>
  </si>
  <si>
    <t>Quy hoạch (ha)</t>
  </si>
  <si>
    <t>Hiện trạng (ha)</t>
  </si>
  <si>
    <t>Diện tích tính thu tiền sử dụng đất (ha)</t>
  </si>
  <si>
    <t>Diện tích dự kiến (ha)</t>
  </si>
  <si>
    <t>Giá dự kiến (Trđ/m2)</t>
  </si>
  <si>
    <t>Ước tỷ lệ %</t>
  </si>
  <si>
    <t>Thành tiền (Dự kiến) Tỷ đồng</t>
  </si>
  <si>
    <t>A</t>
  </si>
  <si>
    <t>THÀNH PHỐ</t>
  </si>
  <si>
    <t>I</t>
  </si>
  <si>
    <t>DỰ ÁN ĐẦU TƯ TỪ NSNN</t>
  </si>
  <si>
    <t>Xây dựng khu tái định cư, thuộc dự án chương trình Đô thị miền núi phía Bắc, giai đoạn II</t>
  </si>
  <si>
    <t>Phường Nguyễn Thị Minh Khai, xã Dương Quang</t>
  </si>
  <si>
    <t>ODT+ ONT</t>
  </si>
  <si>
    <t>II</t>
  </si>
  <si>
    <t>DỰ ÁN ĐẦU TƯ NGOÀI NSNN</t>
  </si>
  <si>
    <t xml:space="preserve">Khu đất và Sở văn hóa, Thể thao Du lịch tỉnh Bắc Kạn  và  Đoàn Nghệ thuật Dân tộc tỉnh Bắc Kạn </t>
  </si>
  <si>
    <t>Phường Đức Xuân</t>
  </si>
  <si>
    <t>TMD+ODT+DGT</t>
  </si>
  <si>
    <t xml:space="preserve"> Khu dân cư sau đồi Tỉnh ủy (Phần diện tích đã GPMB, thực hiện đấu giá)</t>
  </si>
  <si>
    <t>Phường Phùng Chí Kiên, Sông Cầu và xã Nông Thượng</t>
  </si>
  <si>
    <t>ODT</t>
  </si>
  <si>
    <t xml:space="preserve"> Khu đô thị Bắc Sông Cầu (Phần diện tích đã GPMB, thực hiện đấu giá)</t>
  </si>
  <si>
    <t>Xã Dương Quang</t>
  </si>
  <si>
    <t>Khu đất trụ sở UBND  phường Sông Cầu</t>
  </si>
  <si>
    <t>Phường Sông Cầu</t>
  </si>
  <si>
    <t>TMD</t>
  </si>
  <si>
    <t>Khu đất trường Mầm non Đức Xuân</t>
  </si>
  <si>
    <t>Khu đô thị Bắc Sông Cầu (Khu đất ở)</t>
  </si>
  <si>
    <t>Phường Nguyễn Thị Minh Khai, phường Huyền Tụng, xã Dương Quang</t>
  </si>
  <si>
    <t>ODT+ONT</t>
  </si>
  <si>
    <t>Khu dân cư sau đồi Tỉnh ủy (Khu đất ở)</t>
  </si>
  <si>
    <t>Phường Phùng Chí Kiên, phường Sông Cầu, xã Nông Thượng</t>
  </si>
  <si>
    <t>Khu dân cư tổ 1B và tổ 4 P. Đức Xuân (KDC Đức Xuân 4)</t>
  </si>
  <si>
    <t>Xây dựng khu dân cư Thôm Dầy, phường Sông Cầu</t>
  </si>
  <si>
    <t>Đầu tư xây dựng hạ tầng kỹ thuật khu dân cư đô thị tại tổ Xây dựng và tổ Pá Danh</t>
  </si>
  <si>
    <t>Phường Huyền Tụng</t>
  </si>
  <si>
    <t>Dự án khu đô thị nhà ở dân cư thu nhập thấp (Nay là dự án Khu dân cư Central Hill Bắc Kạn)</t>
  </si>
  <si>
    <t>7,4</t>
  </si>
  <si>
    <t>Khu tái định cư sau đồi tỉnh ủy, phường Phùng Chí Kiên, thành phố Bắc Kạn (Khu dân cư số 1 phường Phùng Chí Kiên)</t>
  </si>
  <si>
    <t>Phường Phùng Chí Kiên</t>
  </si>
  <si>
    <t>B</t>
  </si>
  <si>
    <t>CHỢ ĐỒN</t>
  </si>
  <si>
    <t>1</t>
  </si>
  <si>
    <t xml:space="preserve">Công trình di dời khẩn cấp 16 hộ dân tại vùng sạt lở thôn Phiêng Liềng 2 </t>
  </si>
  <si>
    <t>Xã Ngọc Phái</t>
  </si>
  <si>
    <t>ONT</t>
  </si>
  <si>
    <t>2</t>
  </si>
  <si>
    <t>Bố trí tái định cư (hợp phần bồi thường, hỗ trợ và tái định cư). Dự án: Mở rộng, nâng cấp ĐT254 tại thôn Bản Mạ</t>
  </si>
  <si>
    <t>Xã Quảng Bạch</t>
  </si>
  <si>
    <t>Khu dân cư tổ 7 thị trấn Bằng Lũng</t>
  </si>
  <si>
    <t>TT Bằng Lũng</t>
  </si>
  <si>
    <t>Dự án đầu tư xây dựng hạ tầng kỹ thuật khu dân cư đô thị tại tổ 1A và 2A thị trấn Bằng Lũng, huyện Chợ Đồn</t>
  </si>
  <si>
    <t>3</t>
  </si>
  <si>
    <t>Khu dân cư tổ 9 thị trấn Bằng Lũng</t>
  </si>
  <si>
    <t>C</t>
  </si>
  <si>
    <t>BA BỂ</t>
  </si>
  <si>
    <t>Đất ở TĐC cho dự án mở rộng đường 258 thành quốc lộ 3C</t>
  </si>
  <si>
    <t>Dự án đầu tư xây dựng Vùng nguy cơ sạt lở cao thị trấn Chợ Rã, huyện Ba Bể, tỉnh Bắc Kạn</t>
  </si>
  <si>
    <t>TT Chợ Rã</t>
  </si>
  <si>
    <t>Đấu giá quyền sử dụng đất ở khu xây dựng dự án sạt lở cao Tiểu khu 4</t>
  </si>
  <si>
    <t>Dự án di dân Tái định cư thôn Đông Dăm</t>
  </si>
  <si>
    <t>Thôn Đông Đăm xã Hà Hiệu</t>
  </si>
  <si>
    <t>Dự án di dân Tái định cư thôn Lủng Cháng</t>
  </si>
  <si>
    <t>Khu đô thị tiểu khu 3 thị trấn Chợ Rã (QM 30ha; đất ở 50%)</t>
  </si>
  <si>
    <t>Khu dân cư thị trấn Chợ Rã (QM 17ha; đất ở 45%)</t>
  </si>
  <si>
    <t>Khu đô thị trung tâm thị trấn Chợ Rã (QM 20ha, đất ở 50%)</t>
  </si>
  <si>
    <t>Khu tổ hợp văn hóa đa năng Khang Ninh Ba Bể (FLC) (QM 192ha; đất ở 15%)</t>
  </si>
  <si>
    <t>xã Khang Ninh huyện Ba Bể</t>
  </si>
  <si>
    <t>Khu nghỉ dưỡng sinh thái Onsen Khang Ninh (QM 90ha; đất ở 25%)</t>
  </si>
  <si>
    <t>Khu nghỉ dưỡng sinh thái Onsen Đồng Phúc (QM 300ha; đất ở 15%)</t>
  </si>
  <si>
    <t>Xã Đồng Phúc huyện Ba Bể</t>
  </si>
  <si>
    <t>Khu thương mại dịch vụ Khang Ninh (QM 40ha; đất ở 15%)</t>
  </si>
  <si>
    <t>Khu tổ hợp dịch vụ Quảng Khê (QM 400ha; đất ở 15%)</t>
  </si>
  <si>
    <t>Xã Quảng Khê huyện Ba Bể</t>
  </si>
  <si>
    <t>Khu dịch vụ tổ hợp Đồng Phúc (QM 300ha; đất ở 15%)</t>
  </si>
  <si>
    <t>Khu tổ hợp dịch vụ Hoàng Trĩ (QM 100ha; đất ở 10%)</t>
  </si>
  <si>
    <t>Xã Hoàng Trĩ huyện Ba Bể</t>
  </si>
  <si>
    <t>D</t>
  </si>
  <si>
    <t>CHỢ MỚI</t>
  </si>
  <si>
    <t xml:space="preserve">Bố trí sắp xếp ổn định xen ghép dân cư tại chỗ thôn đặc biệt khó khăn Bản Cháo- Thái Lạo- xã Yên Cư huyện Chợ Mới </t>
  </si>
  <si>
    <t>Xã Yên Cư</t>
  </si>
  <si>
    <t>Chuyển tiếp</t>
  </si>
  <si>
    <t>Xây dựng hạ tầng vùng dân cư đặc biệt khó khăn, có nguy cơ sạt lở cao thôn bản Cháo, xã Yên Cư, huyện Chợ Mới</t>
  </si>
  <si>
    <t>2021-2030</t>
  </si>
  <si>
    <t>Đăng ký mới</t>
  </si>
  <si>
    <t>Khu tái định cư phục vụ GPMB Khu công nghiệp Thanh Bình tỉnh Bắc Kạn - Giai đoạn II xã Thanh Thịnh</t>
  </si>
  <si>
    <t>Xã Thanh Thịnh</t>
  </si>
  <si>
    <t>Dự án Khu dân cư Khu công nghiệp Thanh Bình, huyện Chợ Mới, tỉnh Bắc Kạn</t>
  </si>
  <si>
    <t>Khu tái định cư thôn Đèo Vai 2 xã Quảng Chu</t>
  </si>
  <si>
    <t>Xã Quảng Chu</t>
  </si>
  <si>
    <t>Giá dự kiến đã trừ đi chi phí BTGPMB và XD hạ tầng kỹ thuật</t>
  </si>
  <si>
    <t>TÊN DỰ ÁN</t>
  </si>
  <si>
    <t>Địa điểm xây dựng (đến cấp xã)</t>
  </si>
  <si>
    <t>Diện tích đất dự án (mặt bằng xây dựng DA)</t>
  </si>
  <si>
    <t>TỔNG HỢP THÔNG TIN, SỐ LIỆU CÁC DỰ ÁN ĐẦU TƯ CÓ NGUỒN THU TIỀN SỬ DỤNG ĐẤT GIAI ĐOẠN 2021 - 2025</t>
  </si>
  <si>
    <t>Dự kiến diện tích đất phải GPMB (ha)</t>
  </si>
  <si>
    <t>Dự kiến chi phí giải phóng mặt bằng</t>
  </si>
  <si>
    <t>DỰ ÁN KHÔNG SỬ DỤNG VỐN NSNN</t>
  </si>
  <si>
    <t>Thành tiền (triệu đồng)</t>
  </si>
  <si>
    <t>Thành phố Bắc Kạn</t>
  </si>
  <si>
    <t>Huyện Pác Nặm</t>
  </si>
  <si>
    <t>Huyện Ba Bể</t>
  </si>
  <si>
    <t>Huyện Bạch Thông</t>
  </si>
  <si>
    <t>Huyện Chợ Đồn</t>
  </si>
  <si>
    <t>Huyện Chợ Mới</t>
  </si>
  <si>
    <t>Huyện Na Rì</t>
  </si>
  <si>
    <t>Thời gian thực hiện</t>
  </si>
  <si>
    <t>Xây dựng hạ tầng trung tâm huyện Pác Nặm</t>
  </si>
  <si>
    <t>Xây dựng cơ sở hạ tầng theo quy hoạch khu Bó Lục, xã Bộc Bố, huyện Pác Nặm</t>
  </si>
  <si>
    <t>Xã Bộc Bố huyện Pác Nặm</t>
  </si>
  <si>
    <t>Dự án: Đường nội thị, thị trấn Đồng Tâm</t>
  </si>
  <si>
    <t>Thị trấn Đồng Tâm</t>
  </si>
  <si>
    <t>Dự án Sân thể thao, tạo mặt bằng Trạm Y tế, khu dân cư Nà Vài xã Quang Thuận</t>
  </si>
  <si>
    <t>Xã Quang Thuận</t>
  </si>
  <si>
    <t>DTT+DYT
+ONT</t>
  </si>
  <si>
    <t>0,58</t>
  </si>
  <si>
    <t>Khu dân cư Khuổi Nim, thị trấn PT giai đoạn 2, huyện Bạch Thông</t>
  </si>
  <si>
    <t>TT. Phủ Thông</t>
  </si>
  <si>
    <t>2022-2025</t>
  </si>
  <si>
    <t>Khu tập thể Tổng Tò</t>
  </si>
  <si>
    <t>2022-2023</t>
  </si>
  <si>
    <t>Khu đô thị Bắc Sông Cầu (Phần diện tích đã GPMB)</t>
  </si>
  <si>
    <t>Khu dân cư sau đồi Tỉnh ủy (Phần diện tích đã GPMB)</t>
  </si>
  <si>
    <t>2019-2025</t>
  </si>
  <si>
    <t>34 tỷ đồng</t>
  </si>
  <si>
    <t>Khu dân cư Đức Xuân 4</t>
  </si>
  <si>
    <t>2020-2022</t>
  </si>
  <si>
    <t xml:space="preserve">Khu dân cư Central Hill </t>
  </si>
  <si>
    <t>7,8</t>
  </si>
  <si>
    <t>Dự án phát triển đô thị tuyến đường tránh cụm Công Nghiệp Huyền Tụng</t>
  </si>
  <si>
    <t>2020-2023</t>
  </si>
  <si>
    <t>Tổ 1A phường Đức Xuân và tổ Bản Vẻn, phường Huyền Tụng</t>
  </si>
  <si>
    <t>1.1</t>
  </si>
  <si>
    <t>1.2</t>
  </si>
  <si>
    <t>1.3</t>
  </si>
  <si>
    <t>1.4</t>
  </si>
  <si>
    <t>Khu dân cư và thương mại KCN Thanh Bình</t>
  </si>
  <si>
    <t>Dự án Khu dân cư tổ 7, thị trấn Bằng Lũng</t>
  </si>
  <si>
    <t>2.1</t>
  </si>
  <si>
    <t>Dự án: Đầu tư xây dựng hạ tầng kỹ thuật Khu dân cư đô thị tại Tổ 1 và Tổ 2A thị trấn Bằng Lũng, huyện Chợ Đồn (Đợt 2)</t>
  </si>
  <si>
    <t>4290; 6810</t>
  </si>
  <si>
    <t>3.1</t>
  </si>
  <si>
    <t>TỔNG CỘNG</t>
  </si>
  <si>
    <t>3.2</t>
  </si>
  <si>
    <t>4.1</t>
  </si>
  <si>
    <t>Khu đô thị thị trấn Chợ Rã (phần đất dọc quốc lộ 279)</t>
  </si>
  <si>
    <t>Thị trấn Chợ Rã</t>
  </si>
  <si>
    <t>Dự án vùng nguy cơ sạt lở cao thị trấn Chợ Rã</t>
  </si>
  <si>
    <t>Dự án san nền trung tâm Văn hóa thể dục thể thao và khu vực phụ cận</t>
  </si>
  <si>
    <t>1.5</t>
  </si>
  <si>
    <t>1.6</t>
  </si>
  <si>
    <t>1.7</t>
  </si>
  <si>
    <t>1.8</t>
  </si>
  <si>
    <t>1.9</t>
  </si>
  <si>
    <t>Khu tái định cư sau đồi Tỉnh ủy, phường Phùng Chí Kiên, thành phố Bắc Kạn (Chưa GPMB)</t>
  </si>
  <si>
    <t>Khu đô thị Bắc Sông Cầu phân khu A (chưa GPMB)</t>
  </si>
  <si>
    <t>5.1</t>
  </si>
  <si>
    <t>5.2</t>
  </si>
  <si>
    <t>5.3</t>
  </si>
  <si>
    <t>Ghi chú</t>
  </si>
  <si>
    <t>Dự án Hạ tầng kỹ thuật trung tâm thị trấn Chợ Rã, huyện Ba Bể</t>
  </si>
  <si>
    <t>Thị trấn Chợ Rã, huyện Ba Bể</t>
  </si>
  <si>
    <t>5.4</t>
  </si>
  <si>
    <t>xã Thanh Thịnh, huyện Chợ Mới</t>
  </si>
  <si>
    <t>Dự án đầu tư xây dựng hạ tầng kỹ thuật khu dân cư đô thị tại thị trấn Chợ Rã, huyện Ba Bể</t>
  </si>
  <si>
    <t>Thị trấn Chợ Rã, Ba Bể</t>
  </si>
  <si>
    <t>2.2</t>
  </si>
  <si>
    <t>Dự án Khu đô thị mới tại tổ 9, thị trấn Bằng Lũng, huyện Chợ Đồn</t>
  </si>
  <si>
    <t>2024-2025</t>
  </si>
  <si>
    <t>Bổ sung dự án khu dân cư thị trấn Yến Lạc</t>
  </si>
  <si>
    <t>2023-2025</t>
  </si>
  <si>
    <t>Thị trấn Yến Lạc, huyện Na Rì</t>
  </si>
  <si>
    <t>Đơn giá dự kiến (triệu đồng/m2)</t>
  </si>
  <si>
    <t>Dự kiến chi phí bồi thường (triệu đồng)</t>
  </si>
  <si>
    <t>Dự kiến chi phí đầu tư xây dựng CSTH phải di chuyển (triệu đồng)</t>
  </si>
  <si>
    <t>Biểu 2</t>
  </si>
  <si>
    <t>DỰ KIẾN TIẾN ĐỘ THU TỪ NGUỒN THU TIỀN SỬ DỤNG ĐẤT GIAI ĐOẠN 2021 - 2025</t>
  </si>
  <si>
    <t>Dự kiến thu tiền SDĐ giai đoạn 2023-2025</t>
  </si>
  <si>
    <t>Năm 2023</t>
  </si>
  <si>
    <t>Năm 2024</t>
  </si>
  <si>
    <t>Năm 2025</t>
  </si>
  <si>
    <t xml:space="preserve">Dự kiến số thu tính điều tiết </t>
  </si>
  <si>
    <t>Số thu từ tiền sử dung đất</t>
  </si>
  <si>
    <t>Tổng số thu tiền SDĐ giai đoạn 2021-2025</t>
  </si>
  <si>
    <t>Tổng chi phí GPMB</t>
  </si>
  <si>
    <t>1=4+7+10</t>
  </si>
  <si>
    <t>4=5-6</t>
  </si>
  <si>
    <t>Kinh phí thuộc nhiệm vụ chi của ĐP (CP GPMB, di chuyển CSHT)</t>
  </si>
  <si>
    <t>7=8-9</t>
  </si>
  <si>
    <t>10=11-12</t>
  </si>
  <si>
    <t>2025</t>
  </si>
  <si>
    <t>DỰ KIẾN NGUỒN THU TIỀN SỬ DỤNG ĐẤT GIAI ĐOẠN 2021-2025</t>
  </si>
  <si>
    <t>Đơn vị tính: Triệu đồng</t>
  </si>
  <si>
    <t>Huyện, thành phố</t>
  </si>
  <si>
    <t>Tổng số</t>
  </si>
  <si>
    <t>Dự kiến phân chia</t>
  </si>
  <si>
    <t>Cấp tỉnh</t>
  </si>
  <si>
    <t>Cấp huyện</t>
  </si>
  <si>
    <t>TỔNG SỐ</t>
  </si>
  <si>
    <t>Huyện Ngân Sơn</t>
  </si>
  <si>
    <t>Thu tiền sử dụng đất năm 2022</t>
  </si>
  <si>
    <t>ĐVT: Triệu đồng</t>
  </si>
  <si>
    <t>STT</t>
  </si>
  <si>
    <t>Đơn vị</t>
  </si>
  <si>
    <t>Năm 2021</t>
  </si>
  <si>
    <t>Năm 2022</t>
  </si>
  <si>
    <t>Thành phố</t>
  </si>
  <si>
    <t>Dự án Khu dân cư thương mại và Chợ Nguyễn Thị Minh Khai của Công ty Cổ phần Tập đoàn Đầu tư Tây Bắc</t>
  </si>
  <si>
    <t>Bạch Thông</t>
  </si>
  <si>
    <t>Chợ Mới</t>
  </si>
  <si>
    <t>Ba Bể</t>
  </si>
  <si>
    <t>Ngân Sơn</t>
  </si>
  <si>
    <t>Pác Nặm</t>
  </si>
  <si>
    <t>Chợ Đồn</t>
  </si>
  <si>
    <t>Na Rì</t>
  </si>
  <si>
    <t>BIỂU DỰ KIẾN TIỀN SỬ DỤNG ĐẤT GIAI ĐOẠN 2021 - 2025</t>
  </si>
  <si>
    <t>(i) Thu tiền sử dụng đất từ các tổ chức, hộ gia đình, cá nhân khi thực hiện: Giao đất thông qua hình thức đấu giá quyền sử dụng đất; giao đất không qua đấu giá; chuyển mục đích sử dụng đất; công nhận quyền sử dụng đất</t>
  </si>
  <si>
    <t>Thực hiện năm 2021</t>
  </si>
  <si>
    <t>Ước thực hiện năm 2022</t>
  </si>
  <si>
    <t xml:space="preserve">DỰ ÁN ĐẦU TƯ TỪ NGUỒN NSNN (Dự án cấp tỉnh) </t>
  </si>
  <si>
    <t xml:space="preserve">DỰ ÁN ĐẦU TƯ TỪ NGUỒN NSNN (Dự án cấp huyện) </t>
  </si>
  <si>
    <t>Dự án cải tạo nâng cấp QL3B Đoạn Xuất Hóa - Cửa khẩu Pò Mã (Khu TĐC - 12 lô )</t>
  </si>
  <si>
    <r>
      <t>Dự án cải tạo, nâng cấp đường Hảo Nghĩa - Liêm Thủy huyện Na Rì: 430 trđ (Khu TĐC 5 lô)</t>
    </r>
    <r>
      <rPr>
        <sz val="14"/>
        <color indexed="8"/>
        <rFont val="Times New Roman"/>
        <family val="2"/>
        <charset val="163"/>
      </rPr>
      <t xml:space="preserve"> </t>
    </r>
  </si>
  <si>
    <t xml:space="preserve">DỰ ÁN ĐẦU TƯ TỪ NGUỒN NSNN (có thu tiền SDĐ từ quỹ đất hai bên đường được đầu tư từ 70% tổng mức đầu tư bằng nguồn  NSTW, NS tỉnh, bao gồm cả dự án đầu tư bằng vốn vay sau đó hoàn trả bằng ngân sách cấp huyện) </t>
  </si>
  <si>
    <t xml:space="preserve">DỰ ÁN ĐẦU TƯ TỪ NGUỒN NSNN (có thu tiền SDĐ từ quỹ đất hai bên đường do ngân sách huyện đầu tư trên 30% tổng mức đầu tư, bao gồm cả dự án đầu tư bằng vốn vay sau đó hoàn trả bằng ngân sách cấp huyện) </t>
  </si>
  <si>
    <t>16=9-14-15</t>
  </si>
  <si>
    <t>Dự kiến thu năm 2024</t>
  </si>
  <si>
    <t>Dự kiến thu năm 2025</t>
  </si>
  <si>
    <t>Dự kiến thu năm 2023-2025</t>
  </si>
  <si>
    <t>Dự kiến thu năm 2024, 2025</t>
  </si>
  <si>
    <t>Dự kiến thu năm 2023</t>
  </si>
  <si>
    <t>Phân chia</t>
  </si>
  <si>
    <t>Thu ngân sách cấp huyện</t>
  </si>
  <si>
    <t>Điều tiết về ngân sách tỉnh</t>
  </si>
  <si>
    <t>Dự kiến số thu tiền sử dụng đất giai đoạn 2022-2025</t>
  </si>
  <si>
    <t>Trong đó:</t>
  </si>
  <si>
    <t>Điều tiết về NS cấp tỉnh</t>
  </si>
  <si>
    <t>Dự kiến thu hàng năm trên địa bàn các huyện, TP</t>
  </si>
  <si>
    <t>Dự án khu dân cư thị trấn Yến Lạc</t>
  </si>
  <si>
    <t>Dự án khu dân cư thương mại và Chợ Nguyễn Thị Minh Khai của Công ty Cổ phần Tập đoàn Đầu tư Tây Bắc</t>
  </si>
  <si>
    <t>Điều tiết về ngân sách cấp tỉnh</t>
  </si>
  <si>
    <t>Dự kiến thu tiền SDĐ hàng năm trên địa bàn các huyện, TP</t>
  </si>
  <si>
    <t>Thu ngân sách cấp huyện hưởng</t>
  </si>
  <si>
    <t>Thu tiền SDĐ (trừ thu từ các DA)</t>
  </si>
  <si>
    <t>Thu tiền SDĐ từ các DA</t>
  </si>
  <si>
    <t>Dự kiến thu tiền sử dụng đất hàng năm tại ĐP</t>
  </si>
  <si>
    <t>(Tổng hợp theo từng năm)</t>
  </si>
  <si>
    <t>Dự kiến nguồn thu tiền sử dụng đất trên địa bàn tỉnh giai đoạn 2021 - 2025</t>
  </si>
  <si>
    <t>Khu dân cư phía sau đồi Tỉnh ủy, thành phố Bắc Kạn (Chưa GPMB)</t>
  </si>
  <si>
    <t>2021-2025</t>
  </si>
  <si>
    <t>Tỉnh</t>
  </si>
  <si>
    <t>Huyện</t>
  </si>
  <si>
    <t>Dự kiến thu năm 2026</t>
  </si>
  <si>
    <t>Dự án đô thị thị trấn Chợ Rã, huyện Ba Bể</t>
  </si>
  <si>
    <t>Khu Tái định cư Quốc lộ 279</t>
  </si>
  <si>
    <t>Dự kiến thu năm 2025, 2026</t>
  </si>
  <si>
    <t>DA</t>
  </si>
  <si>
    <t>(2b)</t>
  </si>
  <si>
    <t>Giai đoạn 2023-2025</t>
  </si>
  <si>
    <t>tỉnh</t>
  </si>
  <si>
    <t>huyện</t>
  </si>
  <si>
    <t>Chia hàng năm</t>
  </si>
  <si>
    <t>Tổng giai đoạn 2021-2025</t>
  </si>
  <si>
    <t>Còn lại chi Đầu tư</t>
  </si>
  <si>
    <t>TRích 10%</t>
  </si>
  <si>
    <t>Chi đầu tư</t>
  </si>
  <si>
    <t>Trừ 10% các năm 22, 23,24,25</t>
  </si>
  <si>
    <t>Nộp NS cấp tỉnh</t>
  </si>
  <si>
    <t>Nộp NS cấp huyện</t>
  </si>
  <si>
    <t>Tổ hợp khách sạn và nhà ở thương mại (nộp NS tỉnh)</t>
  </si>
  <si>
    <t>2.3</t>
  </si>
  <si>
    <t>2.4</t>
  </si>
  <si>
    <t>2.5</t>
  </si>
  <si>
    <t>2.6</t>
  </si>
  <si>
    <t>2.7</t>
  </si>
  <si>
    <t>2.8</t>
  </si>
  <si>
    <t>2.9</t>
  </si>
  <si>
    <t>2.10</t>
  </si>
  <si>
    <t>Biểu số 05</t>
  </si>
  <si>
    <t>Biểu 06</t>
  </si>
  <si>
    <t>Biểu số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</si>
</sst>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\ _₫_-;\-* #,##0.00\ _₫_-;_-* &quot;-&quot;??\ _₫_-;_-@_-"/>
    <numFmt numFmtId="165" formatCode="#,##0;[Red]#,##0"/>
    <numFmt numFmtId="166" formatCode="#,##0.0"/>
    <numFmt numFmtId="167" formatCode="[&lt;=9999999]###\-####;\(###\)\ ###\-####"/>
    <numFmt numFmtId="168" formatCode="0.0"/>
    <numFmt numFmtId="169" formatCode="_-* #,##0\ _₫_-;\-* #,##0\ _₫_-;_-* &quot;-&quot;??\ _₫_-;_-@_-"/>
    <numFmt numFmtId="170" formatCode="_(* #,##0_);_(* \(#,##0\);_(* &quot;-&quot;??_);_(@_)"/>
    <numFmt numFmtId="171" formatCode="_(* #,##0_);_(* \-#,###;_(* &quot;&quot;??_);_(@_)"/>
    <numFmt numFmtId="172" formatCode="_(* #,##0_);_(* \-#,##0;_(* &quot;&quot;_);_(@_)"/>
  </numFmts>
  <fonts count="36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.Vn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2"/>
      <charset val="163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/>
      <sz val="10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2"/>
      <charset val="163"/>
    </font>
    <font>
      <b/>
      <i/>
      <sz val="14"/>
      <color theme="1"/>
      <name val="Times New Roman"/>
      <family val="2"/>
      <charset val="163"/>
    </font>
    <font>
      <sz val="14"/>
      <color indexed="8"/>
      <name val="Times New Roman"/>
      <family val="2"/>
      <charset val="163"/>
    </font>
    <font>
      <b/>
      <i/>
      <sz val="14"/>
      <color theme="1"/>
      <name val="Times New Roman"/>
      <family val="1"/>
    </font>
    <font>
      <sz val="14"/>
      <name val="Times New Roman"/>
      <family val="1"/>
    </font>
    <font>
      <b/>
      <sz val="13"/>
      <color theme="1"/>
      <name val="Times New Roman"/>
      <family val="2"/>
      <charset val="163"/>
    </font>
    <font>
      <b/>
      <i/>
      <sz val="13"/>
      <name val="Times New Roman"/>
      <family val="1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11" fillId="0" borderId="0"/>
    <xf numFmtId="0" fontId="1" fillId="0" borderId="0"/>
    <xf numFmtId="0" fontId="8" fillId="0" borderId="0"/>
  </cellStyleXfs>
  <cellXfs count="410">
    <xf numFmtId="0" fontId="0" fillId="0" borderId="0" xfId="0"/>
    <xf numFmtId="0" fontId="4" fillId="0" borderId="0" xfId="2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4" fillId="0" borderId="1" xfId="3" applyFont="1" applyBorder="1" applyAlignment="1">
      <alignment horizontal="center" vertical="center"/>
    </xf>
    <xf numFmtId="0" fontId="4" fillId="0" borderId="1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" fontId="4" fillId="0" borderId="1" xfId="4" applyNumberFormat="1" applyFont="1" applyBorder="1" applyAlignment="1">
      <alignment horizontal="right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/>
    </xf>
    <xf numFmtId="0" fontId="4" fillId="0" borderId="1" xfId="5" applyFont="1" applyBorder="1" applyAlignment="1">
      <alignment horizontal="center" vertical="center" wrapText="1"/>
    </xf>
    <xf numFmtId="0" fontId="9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vertical="center"/>
    </xf>
    <xf numFmtId="0" fontId="9" fillId="0" borderId="0" xfId="0" applyFont="1"/>
    <xf numFmtId="3" fontId="4" fillId="0" borderId="1" xfId="3" applyNumberFormat="1" applyFont="1" applyBorder="1" applyAlignment="1">
      <alignment vertical="center" wrapText="1"/>
    </xf>
    <xf numFmtId="3" fontId="4" fillId="0" borderId="1" xfId="3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4" fontId="4" fillId="0" borderId="1" xfId="3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vertical="center"/>
    </xf>
    <xf numFmtId="0" fontId="4" fillId="0" borderId="1" xfId="6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1" xfId="4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vertical="center"/>
    </xf>
    <xf numFmtId="4" fontId="3" fillId="0" borderId="1" xfId="2" applyNumberFormat="1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49" fontId="4" fillId="2" borderId="1" xfId="7" applyNumberFormat="1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left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4" fillId="2" borderId="1" xfId="7" applyFont="1" applyFill="1" applyBorder="1"/>
    <xf numFmtId="4" fontId="4" fillId="2" borderId="1" xfId="7" applyNumberFormat="1" applyFont="1" applyFill="1" applyBorder="1" applyAlignment="1">
      <alignment horizontal="center" vertical="center" wrapText="1"/>
    </xf>
    <xf numFmtId="4" fontId="4" fillId="2" borderId="1" xfId="7" applyNumberFormat="1" applyFont="1" applyFill="1" applyBorder="1" applyAlignment="1">
      <alignment horizontal="right" vertical="center" wrapText="1"/>
    </xf>
    <xf numFmtId="0" fontId="4" fillId="2" borderId="0" xfId="7" applyFont="1" applyFill="1"/>
    <xf numFmtId="165" fontId="4" fillId="2" borderId="1" xfId="7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3" applyFont="1" applyBorder="1" applyAlignment="1">
      <alignment vertical="center"/>
    </xf>
    <xf numFmtId="49" fontId="4" fillId="0" borderId="1" xfId="7" applyNumberFormat="1" applyFont="1" applyBorder="1" applyAlignment="1">
      <alignment horizontal="center" vertical="center" wrapText="1"/>
    </xf>
    <xf numFmtId="166" fontId="4" fillId="0" borderId="1" xfId="7" applyNumberFormat="1" applyFont="1" applyBorder="1" applyAlignment="1">
      <alignment horizontal="left" vertical="center" wrapText="1"/>
    </xf>
    <xf numFmtId="0" fontId="4" fillId="0" borderId="1" xfId="7" applyFont="1" applyBorder="1" applyAlignment="1">
      <alignment horizontal="center" vertical="center" wrapText="1"/>
    </xf>
    <xf numFmtId="4" fontId="4" fillId="0" borderId="1" xfId="8" applyNumberFormat="1" applyFont="1" applyFill="1" applyBorder="1" applyAlignment="1">
      <alignment horizontal="center" vertical="center" wrapText="1"/>
    </xf>
    <xf numFmtId="4" fontId="4" fillId="0" borderId="1" xfId="7" applyNumberFormat="1" applyFont="1" applyBorder="1" applyAlignment="1">
      <alignment horizontal="right" vertical="center" wrapText="1"/>
    </xf>
    <xf numFmtId="4" fontId="4" fillId="0" borderId="1" xfId="7" applyNumberFormat="1" applyFont="1" applyBorder="1" applyAlignment="1">
      <alignment horizontal="center" vertical="center" wrapText="1"/>
    </xf>
    <xf numFmtId="0" fontId="4" fillId="0" borderId="0" xfId="7" applyFont="1"/>
    <xf numFmtId="165" fontId="4" fillId="0" borderId="1" xfId="7" applyNumberFormat="1" applyFont="1" applyBorder="1" applyAlignment="1">
      <alignment horizontal="left" vertical="center" wrapText="1"/>
    </xf>
    <xf numFmtId="0" fontId="4" fillId="0" borderId="1" xfId="7" applyFont="1" applyBorder="1" applyAlignment="1">
      <alignment horizontal="center" vertical="center"/>
    </xf>
    <xf numFmtId="166" fontId="4" fillId="2" borderId="1" xfId="7" applyNumberFormat="1" applyFont="1" applyFill="1" applyBorder="1" applyAlignment="1">
      <alignment horizontal="left" vertical="center" wrapText="1"/>
    </xf>
    <xf numFmtId="0" fontId="4" fillId="2" borderId="1" xfId="7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10" fillId="0" borderId="1" xfId="4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 wrapText="1"/>
    </xf>
    <xf numFmtId="164" fontId="4" fillId="2" borderId="4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1" xfId="1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6" xfId="1" applyFont="1" applyFill="1" applyBorder="1" applyAlignment="1">
      <alignment horizontal="center" vertical="center" wrapText="1"/>
    </xf>
    <xf numFmtId="164" fontId="4" fillId="2" borderId="7" xfId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4" fillId="0" borderId="5" xfId="7" applyNumberFormat="1" applyFont="1" applyBorder="1" applyAlignment="1">
      <alignment horizontal="left" vertical="center" wrapText="1"/>
    </xf>
    <xf numFmtId="166" fontId="4" fillId="0" borderId="5" xfId="7" applyNumberFormat="1" applyFont="1" applyBorder="1" applyAlignment="1">
      <alignment horizontal="left" vertical="center" wrapText="1"/>
    </xf>
    <xf numFmtId="4" fontId="4" fillId="0" borderId="5" xfId="4" applyNumberFormat="1" applyFont="1" applyBorder="1" applyAlignment="1">
      <alignment horizontal="right" vertical="center" wrapText="1"/>
    </xf>
    <xf numFmtId="3" fontId="4" fillId="0" borderId="5" xfId="4" applyNumberFormat="1" applyFont="1" applyBorder="1" applyAlignment="1">
      <alignment horizontal="right" vertical="center" wrapText="1"/>
    </xf>
    <xf numFmtId="0" fontId="4" fillId="2" borderId="5" xfId="4" applyFont="1" applyFill="1" applyBorder="1" applyAlignment="1">
      <alignment horizontal="left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4" fontId="3" fillId="0" borderId="5" xfId="4" applyNumberFormat="1" applyFont="1" applyBorder="1" applyAlignment="1">
      <alignment horizontal="right" vertical="center" wrapText="1"/>
    </xf>
    <xf numFmtId="3" fontId="3" fillId="0" borderId="5" xfId="4" applyNumberFormat="1" applyFont="1" applyBorder="1" applyAlignment="1">
      <alignment horizontal="righ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right" vertical="center" wrapText="1"/>
    </xf>
    <xf numFmtId="4" fontId="4" fillId="2" borderId="5" xfId="4" applyNumberFormat="1" applyFont="1" applyFill="1" applyBorder="1" applyAlignment="1">
      <alignment horizontal="right" vertical="center" wrapText="1"/>
    </xf>
    <xf numFmtId="0" fontId="4" fillId="0" borderId="5" xfId="4" applyFont="1" applyBorder="1" applyAlignment="1">
      <alignment vertical="center" wrapText="1"/>
    </xf>
    <xf numFmtId="0" fontId="4" fillId="0" borderId="5" xfId="4" applyFont="1" applyBorder="1" applyAlignment="1">
      <alignment horizontal="right" vertical="center" wrapText="1"/>
    </xf>
    <xf numFmtId="0" fontId="4" fillId="0" borderId="5" xfId="4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4" applyFont="1" applyBorder="1" applyAlignment="1">
      <alignment horizontal="justify" vertical="center" wrapText="1"/>
    </xf>
    <xf numFmtId="0" fontId="4" fillId="0" borderId="5" xfId="4" applyFont="1" applyBorder="1" applyAlignment="1">
      <alignment horizontal="justify" vertical="center" wrapText="1"/>
    </xf>
    <xf numFmtId="0" fontId="4" fillId="0" borderId="5" xfId="4" applyFont="1" applyFill="1" applyBorder="1" applyAlignment="1">
      <alignment horizontal="center" vertical="center" wrapText="1"/>
    </xf>
    <xf numFmtId="4" fontId="4" fillId="0" borderId="5" xfId="4" applyNumberFormat="1" applyFont="1" applyFill="1" applyBorder="1" applyAlignment="1">
      <alignment horizontal="right" vertical="center" wrapText="1"/>
    </xf>
    <xf numFmtId="169" fontId="4" fillId="0" borderId="5" xfId="1" applyNumberFormat="1" applyFont="1" applyFill="1" applyBorder="1" applyAlignment="1">
      <alignment horizontal="right" vertical="center" wrapText="1"/>
    </xf>
    <xf numFmtId="169" fontId="4" fillId="0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169" fontId="3" fillId="0" borderId="5" xfId="1" applyNumberFormat="1" applyFont="1" applyBorder="1" applyAlignment="1">
      <alignment horizontal="right" vertical="center" wrapText="1"/>
    </xf>
    <xf numFmtId="169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justify" vertical="center" wrapText="1"/>
    </xf>
    <xf numFmtId="0" fontId="3" fillId="0" borderId="5" xfId="3" applyFont="1" applyBorder="1" applyAlignment="1">
      <alignment horizontal="center" vertical="center" wrapText="1"/>
    </xf>
    <xf numFmtId="4" fontId="3" fillId="0" borderId="5" xfId="3" applyNumberFormat="1" applyFont="1" applyBorder="1" applyAlignment="1">
      <alignment horizontal="center" vertical="center" wrapText="1"/>
    </xf>
    <xf numFmtId="169" fontId="3" fillId="0" borderId="5" xfId="1" applyNumberFormat="1" applyFont="1" applyBorder="1" applyAlignment="1">
      <alignment horizontal="center" vertical="center" wrapText="1"/>
    </xf>
    <xf numFmtId="0" fontId="4" fillId="0" borderId="5" xfId="4" applyFont="1" applyFill="1" applyBorder="1" applyAlignment="1">
      <alignment horizontal="left" vertical="center" wrapText="1"/>
    </xf>
    <xf numFmtId="164" fontId="4" fillId="0" borderId="5" xfId="1" applyFont="1" applyFill="1" applyBorder="1" applyAlignment="1">
      <alignment horizontal="right" vertical="center" wrapText="1"/>
    </xf>
    <xf numFmtId="166" fontId="4" fillId="0" borderId="5" xfId="4" applyNumberFormat="1" applyFont="1" applyFill="1" applyBorder="1" applyAlignment="1">
      <alignment horizontal="right" vertical="center" wrapText="1"/>
    </xf>
    <xf numFmtId="3" fontId="4" fillId="0" borderId="5" xfId="4" applyNumberFormat="1" applyFont="1" applyFill="1" applyBorder="1" applyAlignment="1">
      <alignment horizontal="right" vertical="center" wrapText="1"/>
    </xf>
    <xf numFmtId="0" fontId="4" fillId="0" borderId="5" xfId="4" applyFont="1" applyFill="1" applyBorder="1" applyAlignment="1">
      <alignment vertical="center" wrapText="1"/>
    </xf>
    <xf numFmtId="0" fontId="4" fillId="0" borderId="5" xfId="3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168" fontId="4" fillId="0" borderId="5" xfId="0" applyNumberFormat="1" applyFont="1" applyFill="1" applyBorder="1" applyAlignment="1">
      <alignment horizontal="right" vertical="center" wrapText="1"/>
    </xf>
    <xf numFmtId="168" fontId="4" fillId="0" borderId="5" xfId="4" applyNumberFormat="1" applyFont="1" applyFill="1" applyBorder="1" applyAlignment="1">
      <alignment horizontal="right" vertical="center" wrapText="1"/>
    </xf>
    <xf numFmtId="168" fontId="4" fillId="0" borderId="5" xfId="4" applyNumberFormat="1" applyFont="1" applyBorder="1" applyAlignment="1">
      <alignment horizontal="right" vertical="center" wrapText="1"/>
    </xf>
    <xf numFmtId="3" fontId="4" fillId="0" borderId="5" xfId="4" applyNumberFormat="1" applyFont="1" applyBorder="1" applyAlignment="1">
      <alignment horizontal="center" vertical="center" wrapText="1"/>
    </xf>
    <xf numFmtId="3" fontId="3" fillId="0" borderId="5" xfId="4" applyNumberFormat="1" applyFont="1" applyBorder="1" applyAlignment="1">
      <alignment horizontal="center" vertical="center" wrapText="1"/>
    </xf>
    <xf numFmtId="0" fontId="3" fillId="0" borderId="5" xfId="4" applyFont="1" applyFill="1" applyBorder="1" applyAlignment="1">
      <alignment vertical="center" wrapText="1"/>
    </xf>
    <xf numFmtId="0" fontId="3" fillId="0" borderId="5" xfId="4" applyFont="1" applyFill="1" applyBorder="1" applyAlignment="1">
      <alignment horizontal="center" vertical="center" wrapText="1"/>
    </xf>
    <xf numFmtId="4" fontId="3" fillId="0" borderId="5" xfId="4" applyNumberFormat="1" applyFont="1" applyFill="1" applyBorder="1" applyAlignment="1">
      <alignment horizontal="right" vertical="center" wrapText="1"/>
    </xf>
    <xf numFmtId="164" fontId="3" fillId="0" borderId="5" xfId="1" applyFont="1" applyFill="1" applyBorder="1" applyAlignment="1">
      <alignment horizontal="right" vertical="center" wrapText="1"/>
    </xf>
    <xf numFmtId="166" fontId="3" fillId="0" borderId="5" xfId="4" applyNumberFormat="1" applyFont="1" applyFill="1" applyBorder="1" applyAlignment="1">
      <alignment horizontal="right" vertical="center" wrapText="1"/>
    </xf>
    <xf numFmtId="169" fontId="3" fillId="0" borderId="5" xfId="1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2" applyFont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5" xfId="3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6" fillId="0" borderId="0" xfId="2" applyFont="1" applyAlignment="1">
      <alignment vertical="center" wrapText="1"/>
    </xf>
    <xf numFmtId="4" fontId="3" fillId="0" borderId="5" xfId="3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4" fillId="0" borderId="5" xfId="4" applyFont="1" applyBorder="1" applyAlignment="1">
      <alignment horizontal="left" vertical="center" wrapText="1"/>
    </xf>
    <xf numFmtId="169" fontId="12" fillId="0" borderId="0" xfId="1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67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4" fontId="3" fillId="0" borderId="5" xfId="0" applyNumberFormat="1" applyFont="1" applyBorder="1"/>
    <xf numFmtId="3" fontId="5" fillId="0" borderId="3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justify" vertical="center" wrapText="1"/>
    </xf>
    <xf numFmtId="3" fontId="3" fillId="0" borderId="5" xfId="3" applyNumberFormat="1" applyFont="1" applyBorder="1" applyAlignment="1">
      <alignment horizontal="center" vertical="center" wrapText="1"/>
    </xf>
    <xf numFmtId="3" fontId="3" fillId="0" borderId="5" xfId="4" applyNumberFormat="1" applyFont="1" applyBorder="1" applyAlignment="1">
      <alignment horizontal="justify" vertical="center" wrapText="1"/>
    </xf>
    <xf numFmtId="3" fontId="4" fillId="0" borderId="5" xfId="3" applyNumberFormat="1" applyFont="1" applyBorder="1" applyAlignment="1">
      <alignment horizontal="center" vertical="center" wrapText="1"/>
    </xf>
    <xf numFmtId="3" fontId="4" fillId="0" borderId="5" xfId="4" applyNumberFormat="1" applyFont="1" applyBorder="1" applyAlignment="1">
      <alignment horizontal="justify" vertical="center" wrapText="1"/>
    </xf>
    <xf numFmtId="3" fontId="6" fillId="0" borderId="5" xfId="4" applyNumberFormat="1" applyFont="1" applyBorder="1" applyAlignment="1">
      <alignment vertical="center" wrapText="1"/>
    </xf>
    <xf numFmtId="3" fontId="5" fillId="0" borderId="5" xfId="4" applyNumberFormat="1" applyFont="1" applyBorder="1" applyAlignment="1">
      <alignment vertical="center" wrapText="1"/>
    </xf>
    <xf numFmtId="3" fontId="4" fillId="0" borderId="5" xfId="4" applyNumberFormat="1" applyFont="1" applyBorder="1" applyAlignment="1">
      <alignment vertical="center" wrapText="1"/>
    </xf>
    <xf numFmtId="3" fontId="4" fillId="0" borderId="5" xfId="7" applyNumberFormat="1" applyFont="1" applyBorder="1" applyAlignment="1">
      <alignment horizontal="left" vertical="center" wrapText="1"/>
    </xf>
    <xf numFmtId="3" fontId="4" fillId="2" borderId="5" xfId="7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vertical="center" wrapText="1"/>
    </xf>
    <xf numFmtId="3" fontId="4" fillId="2" borderId="5" xfId="4" applyNumberFormat="1" applyFont="1" applyFill="1" applyBorder="1" applyAlignment="1">
      <alignment horizontal="center" vertical="center" wrapText="1"/>
    </xf>
    <xf numFmtId="3" fontId="3" fillId="0" borderId="5" xfId="3" applyNumberFormat="1" applyFont="1" applyBorder="1" applyAlignment="1">
      <alignment horizontal="justify" vertical="center" wrapText="1"/>
    </xf>
    <xf numFmtId="3" fontId="4" fillId="0" borderId="5" xfId="4" applyNumberFormat="1" applyFont="1" applyFill="1" applyBorder="1" applyAlignment="1">
      <alignment horizontal="left" vertical="center" wrapText="1"/>
    </xf>
    <xf numFmtId="3" fontId="4" fillId="0" borderId="5" xfId="4" applyNumberFormat="1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>
      <alignment vertical="center" wrapText="1"/>
    </xf>
    <xf numFmtId="3" fontId="4" fillId="0" borderId="5" xfId="3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justify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5" xfId="4" applyNumberFormat="1" applyFont="1" applyFill="1" applyBorder="1" applyAlignment="1">
      <alignment horizontal="left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3" fontId="3" fillId="0" borderId="5" xfId="4" applyNumberFormat="1" applyFont="1" applyFill="1" applyBorder="1" applyAlignment="1">
      <alignment vertical="center" wrapText="1"/>
    </xf>
    <xf numFmtId="3" fontId="3" fillId="0" borderId="5" xfId="4" applyNumberFormat="1" applyFont="1" applyFill="1" applyBorder="1" applyAlignment="1">
      <alignment horizontal="center" vertical="center" wrapText="1"/>
    </xf>
    <xf numFmtId="3" fontId="4" fillId="0" borderId="16" xfId="3" applyNumberFormat="1" applyFont="1" applyBorder="1" applyAlignment="1">
      <alignment horizontal="center" vertical="center" wrapText="1"/>
    </xf>
    <xf numFmtId="3" fontId="4" fillId="0" borderId="16" xfId="4" applyNumberFormat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 wrapText="1"/>
    </xf>
    <xf numFmtId="3" fontId="6" fillId="0" borderId="5" xfId="4" applyNumberFormat="1" applyFont="1" applyFill="1" applyBorder="1" applyAlignment="1">
      <alignment vertical="center" wrapText="1"/>
    </xf>
    <xf numFmtId="3" fontId="5" fillId="0" borderId="5" xfId="1" applyNumberFormat="1" applyFont="1" applyBorder="1" applyAlignment="1">
      <alignment vertical="center" wrapText="1"/>
    </xf>
    <xf numFmtId="3" fontId="3" fillId="0" borderId="5" xfId="1" applyNumberFormat="1" applyFont="1" applyBorder="1" applyAlignment="1">
      <alignment vertical="center" wrapText="1"/>
    </xf>
    <xf numFmtId="3" fontId="3" fillId="0" borderId="5" xfId="4" applyNumberFormat="1" applyFont="1" applyBorder="1" applyAlignment="1">
      <alignment vertical="center" wrapText="1"/>
    </xf>
    <xf numFmtId="3" fontId="4" fillId="2" borderId="5" xfId="4" applyNumberFormat="1" applyFont="1" applyFill="1" applyBorder="1" applyAlignment="1">
      <alignment horizontal="justify" vertical="center" wrapText="1"/>
    </xf>
    <xf numFmtId="3" fontId="6" fillId="2" borderId="5" xfId="4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6" fillId="0" borderId="0" xfId="2" applyNumberFormat="1" applyFont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3" fontId="3" fillId="0" borderId="5" xfId="3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3" fontId="4" fillId="0" borderId="5" xfId="4" quotePrefix="1" applyNumberFormat="1" applyFont="1" applyFill="1" applyBorder="1" applyAlignment="1">
      <alignment horizontal="center" vertical="center" wrapText="1"/>
    </xf>
    <xf numFmtId="3" fontId="4" fillId="2" borderId="5" xfId="4" quotePrefix="1" applyNumberFormat="1" applyFont="1" applyFill="1" applyBorder="1" applyAlignment="1">
      <alignment horizontal="center" vertical="center" wrapText="1"/>
    </xf>
    <xf numFmtId="0" fontId="25" fillId="0" borderId="0" xfId="0" applyFont="1"/>
    <xf numFmtId="3" fontId="0" fillId="0" borderId="0" xfId="0" applyNumberFormat="1"/>
    <xf numFmtId="0" fontId="3" fillId="0" borderId="2" xfId="2" applyFont="1" applyBorder="1" applyAlignment="1">
      <alignment horizontal="center" vertical="center" wrapText="1"/>
    </xf>
    <xf numFmtId="169" fontId="4" fillId="0" borderId="13" xfId="1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0" fillId="0" borderId="0" xfId="0" applyFont="1"/>
    <xf numFmtId="0" fontId="26" fillId="0" borderId="0" xfId="0" applyFont="1"/>
    <xf numFmtId="0" fontId="27" fillId="0" borderId="0" xfId="0" applyFont="1"/>
    <xf numFmtId="0" fontId="26" fillId="0" borderId="1" xfId="0" applyFont="1" applyBorder="1"/>
    <xf numFmtId="0" fontId="26" fillId="0" borderId="3" xfId="0" applyFont="1" applyBorder="1" applyAlignment="1">
      <alignment horizontal="center" vertical="center"/>
    </xf>
    <xf numFmtId="171" fontId="26" fillId="0" borderId="1" xfId="0" applyNumberFormat="1" applyFont="1" applyBorder="1" applyAlignment="1">
      <alignment vertical="center"/>
    </xf>
    <xf numFmtId="171" fontId="30" fillId="0" borderId="1" xfId="0" applyNumberFormat="1" applyFont="1" applyBorder="1" applyAlignment="1">
      <alignment horizontal="right" vertical="center"/>
    </xf>
    <xf numFmtId="172" fontId="30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8" fillId="0" borderId="0" xfId="0" applyFont="1"/>
    <xf numFmtId="3" fontId="3" fillId="2" borderId="11" xfId="2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vertical="center" wrapText="1"/>
    </xf>
    <xf numFmtId="3" fontId="6" fillId="2" borderId="0" xfId="2" applyNumberFormat="1" applyFont="1" applyFill="1" applyAlignment="1">
      <alignment vertical="center" wrapText="1"/>
    </xf>
    <xf numFmtId="0" fontId="4" fillId="0" borderId="16" xfId="3" applyFont="1" applyBorder="1" applyAlignment="1">
      <alignment horizontal="center" vertical="center" wrapText="1"/>
    </xf>
    <xf numFmtId="0" fontId="4" fillId="0" borderId="16" xfId="4" applyFont="1" applyBorder="1" applyAlignment="1">
      <alignment vertical="center" wrapText="1"/>
    </xf>
    <xf numFmtId="0" fontId="4" fillId="0" borderId="16" xfId="4" applyFont="1" applyBorder="1" applyAlignment="1">
      <alignment horizontal="center" vertical="center" wrapText="1"/>
    </xf>
    <xf numFmtId="0" fontId="4" fillId="0" borderId="16" xfId="4" applyFont="1" applyBorder="1" applyAlignment="1">
      <alignment horizontal="left" vertical="center" wrapText="1"/>
    </xf>
    <xf numFmtId="0" fontId="4" fillId="0" borderId="16" xfId="4" applyFont="1" applyBorder="1" applyAlignment="1">
      <alignment horizontal="right" vertical="center" wrapText="1"/>
    </xf>
    <xf numFmtId="169" fontId="4" fillId="0" borderId="16" xfId="1" applyNumberFormat="1" applyFont="1" applyBorder="1" applyAlignment="1">
      <alignment horizontal="right" vertical="center" wrapText="1"/>
    </xf>
    <xf numFmtId="3" fontId="4" fillId="0" borderId="16" xfId="4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/>
    </xf>
    <xf numFmtId="0" fontId="6" fillId="2" borderId="0" xfId="2" applyFont="1" applyFill="1" applyAlignment="1">
      <alignment vertical="center" wrapText="1"/>
    </xf>
    <xf numFmtId="4" fontId="4" fillId="2" borderId="13" xfId="4" applyNumberFormat="1" applyFont="1" applyFill="1" applyBorder="1" applyAlignment="1">
      <alignment vertical="center" wrapText="1"/>
    </xf>
    <xf numFmtId="4" fontId="4" fillId="0" borderId="13" xfId="4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9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9" fontId="4" fillId="2" borderId="5" xfId="1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71" fontId="12" fillId="0" borderId="1" xfId="0" applyNumberFormat="1" applyFont="1" applyBorder="1" applyAlignment="1">
      <alignment vertical="center"/>
    </xf>
    <xf numFmtId="171" fontId="26" fillId="0" borderId="3" xfId="0" applyNumberFormat="1" applyFont="1" applyBorder="1" applyAlignment="1">
      <alignment horizontal="center" vertical="center"/>
    </xf>
    <xf numFmtId="3" fontId="3" fillId="0" borderId="5" xfId="3" applyNumberFormat="1" applyFont="1" applyBorder="1" applyAlignment="1">
      <alignment horizontal="right" vertical="center"/>
    </xf>
    <xf numFmtId="3" fontId="3" fillId="0" borderId="2" xfId="11" applyNumberFormat="1" applyFont="1" applyBorder="1" applyAlignment="1">
      <alignment horizontal="center" vertical="center" wrapText="1"/>
    </xf>
    <xf numFmtId="3" fontId="3" fillId="0" borderId="12" xfId="11" applyNumberFormat="1" applyFont="1" applyBorder="1" applyAlignment="1">
      <alignment horizontal="center" vertical="center" wrapText="1"/>
    </xf>
    <xf numFmtId="3" fontId="3" fillId="0" borderId="3" xfId="11" applyNumberFormat="1" applyFont="1" applyBorder="1" applyAlignment="1">
      <alignment horizontal="center" vertical="center" wrapText="1"/>
    </xf>
    <xf numFmtId="3" fontId="33" fillId="0" borderId="1" xfId="11" quotePrefix="1" applyNumberFormat="1" applyFont="1" applyBorder="1" applyAlignment="1">
      <alignment horizontal="center" vertical="center" wrapText="1"/>
    </xf>
    <xf numFmtId="3" fontId="33" fillId="0" borderId="1" xfId="11" applyNumberFormat="1" applyFont="1" applyBorder="1" applyAlignment="1">
      <alignment horizontal="center" vertical="center" wrapText="1"/>
    </xf>
    <xf numFmtId="3" fontId="33" fillId="0" borderId="1" xfId="11" quotePrefix="1" applyNumberFormat="1" applyFont="1" applyBorder="1" applyAlignment="1">
      <alignment horizontal="right" vertical="center" wrapText="1"/>
    </xf>
    <xf numFmtId="3" fontId="4" fillId="0" borderId="1" xfId="11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11" applyNumberFormat="1" applyFont="1" applyBorder="1" applyAlignment="1">
      <alignment horizontal="right" vertical="center" wrapText="1"/>
    </xf>
    <xf numFmtId="171" fontId="4" fillId="0" borderId="1" xfId="0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171" fontId="4" fillId="2" borderId="1" xfId="0" applyNumberFormat="1" applyFont="1" applyFill="1" applyBorder="1" applyAlignment="1">
      <alignment horizontal="right" vertical="center"/>
    </xf>
    <xf numFmtId="171" fontId="30" fillId="2" borderId="1" xfId="0" applyNumberFormat="1" applyFont="1" applyFill="1" applyBorder="1" applyAlignment="1">
      <alignment horizontal="right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3" fillId="3" borderId="5" xfId="4" applyFont="1" applyFill="1" applyBorder="1" applyAlignment="1">
      <alignment horizontal="justify" vertical="center" wrapText="1"/>
    </xf>
    <xf numFmtId="169" fontId="0" fillId="0" borderId="0" xfId="1" applyNumberFormat="1" applyFont="1"/>
    <xf numFmtId="171" fontId="0" fillId="0" borderId="0" xfId="0" applyNumberFormat="1"/>
    <xf numFmtId="0" fontId="4" fillId="2" borderId="5" xfId="4" applyFont="1" applyFill="1" applyBorder="1" applyAlignment="1">
      <alignment vertical="center" wrapText="1"/>
    </xf>
    <xf numFmtId="169" fontId="4" fillId="0" borderId="5" xfId="0" applyNumberFormat="1" applyFont="1" applyBorder="1" applyAlignment="1">
      <alignment vertical="center" wrapText="1"/>
    </xf>
    <xf numFmtId="170" fontId="0" fillId="0" borderId="0" xfId="0" applyNumberFormat="1"/>
    <xf numFmtId="169" fontId="0" fillId="3" borderId="0" xfId="1" applyNumberFormat="1" applyFont="1" applyFill="1"/>
    <xf numFmtId="0" fontId="0" fillId="3" borderId="0" xfId="0" applyFill="1"/>
    <xf numFmtId="169" fontId="0" fillId="0" borderId="0" xfId="0" applyNumberFormat="1"/>
    <xf numFmtId="169" fontId="0" fillId="0" borderId="0" xfId="1" applyNumberFormat="1" applyFont="1" applyAlignment="1"/>
    <xf numFmtId="169" fontId="3" fillId="0" borderId="0" xfId="0" applyNumberFormat="1" applyFont="1"/>
    <xf numFmtId="169" fontId="5" fillId="0" borderId="0" xfId="0" applyNumberFormat="1" applyFont="1"/>
    <xf numFmtId="3" fontId="24" fillId="0" borderId="14" xfId="11" quotePrefix="1" applyNumberFormat="1" applyFont="1" applyBorder="1" applyAlignment="1">
      <alignment horizontal="right" vertical="center" wrapText="1"/>
    </xf>
    <xf numFmtId="0" fontId="0" fillId="0" borderId="1" xfId="0" applyBorder="1"/>
    <xf numFmtId="3" fontId="0" fillId="0" borderId="1" xfId="0" applyNumberFormat="1" applyBorder="1"/>
    <xf numFmtId="3" fontId="25" fillId="0" borderId="1" xfId="0" applyNumberFormat="1" applyFont="1" applyBorder="1"/>
    <xf numFmtId="169" fontId="34" fillId="0" borderId="1" xfId="0" applyNumberFormat="1" applyFont="1" applyBorder="1"/>
    <xf numFmtId="169" fontId="0" fillId="0" borderId="1" xfId="1" applyNumberFormat="1" applyFont="1" applyBorder="1"/>
    <xf numFmtId="169" fontId="0" fillId="0" borderId="1" xfId="0" applyNumberFormat="1" applyBorder="1"/>
    <xf numFmtId="170" fontId="0" fillId="0" borderId="1" xfId="0" applyNumberFormat="1" applyBorder="1"/>
    <xf numFmtId="171" fontId="0" fillId="0" borderId="1" xfId="0" applyNumberFormat="1" applyBorder="1"/>
    <xf numFmtId="169" fontId="0" fillId="2" borderId="1" xfId="1" applyNumberFormat="1" applyFont="1" applyFill="1" applyBorder="1"/>
    <xf numFmtId="171" fontId="0" fillId="2" borderId="1" xfId="0" applyNumberFormat="1" applyFill="1" applyBorder="1"/>
    <xf numFmtId="170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9" fontId="0" fillId="0" borderId="1" xfId="0" applyNumberFormat="1" applyBorder="1" applyAlignment="1">
      <alignment horizontal="right"/>
    </xf>
    <xf numFmtId="0" fontId="5" fillId="3" borderId="12" xfId="0" applyFont="1" applyFill="1" applyBorder="1" applyAlignment="1">
      <alignment horizontal="center" vertical="center"/>
    </xf>
    <xf numFmtId="0" fontId="25" fillId="3" borderId="0" xfId="0" applyFont="1" applyFill="1"/>
    <xf numFmtId="169" fontId="34" fillId="3" borderId="0" xfId="1" applyNumberFormat="1" applyFont="1" applyFill="1"/>
    <xf numFmtId="169" fontId="5" fillId="3" borderId="0" xfId="0" applyNumberFormat="1" applyFont="1" applyFill="1"/>
    <xf numFmtId="169" fontId="0" fillId="3" borderId="0" xfId="0" applyNumberFormat="1" applyFill="1"/>
    <xf numFmtId="3" fontId="0" fillId="3" borderId="0" xfId="0" applyNumberFormat="1" applyFill="1"/>
    <xf numFmtId="3" fontId="3" fillId="0" borderId="1" xfId="11" quotePrefix="1" applyNumberFormat="1" applyFont="1" applyBorder="1" applyAlignment="1">
      <alignment horizontal="center" vertical="center" wrapText="1"/>
    </xf>
    <xf numFmtId="3" fontId="3" fillId="0" borderId="1" xfId="11" quotePrefix="1" applyNumberFormat="1" applyFont="1" applyBorder="1" applyAlignment="1">
      <alignment horizontal="right" vertical="center" wrapText="1"/>
    </xf>
    <xf numFmtId="3" fontId="35" fillId="0" borderId="0" xfId="11" quotePrefix="1" applyNumberFormat="1" applyFont="1" applyBorder="1" applyAlignment="1">
      <alignment horizontal="right" vertical="center" wrapText="1"/>
    </xf>
    <xf numFmtId="3" fontId="6" fillId="0" borderId="1" xfId="0" applyNumberFormat="1" applyFont="1" applyBorder="1"/>
    <xf numFmtId="169" fontId="5" fillId="0" borderId="1" xfId="0" applyNumberFormat="1" applyFont="1" applyBorder="1"/>
    <xf numFmtId="0" fontId="6" fillId="3" borderId="0" xfId="0" applyFont="1" applyFill="1"/>
    <xf numFmtId="169" fontId="5" fillId="3" borderId="0" xfId="1" applyNumberFormat="1" applyFont="1" applyFill="1"/>
    <xf numFmtId="0" fontId="6" fillId="0" borderId="0" xfId="0" applyFont="1"/>
    <xf numFmtId="3" fontId="3" fillId="0" borderId="1" xfId="11" applyNumberFormat="1" applyFont="1" applyBorder="1" applyAlignment="1">
      <alignment horizontal="left" vertical="center" wrapText="1"/>
    </xf>
    <xf numFmtId="3" fontId="16" fillId="0" borderId="0" xfId="0" applyNumberFormat="1" applyFont="1" applyAlignment="1">
      <alignment vertical="center" wrapText="1"/>
    </xf>
    <xf numFmtId="169" fontId="16" fillId="0" borderId="0" xfId="0" applyNumberFormat="1" applyFont="1" applyAlignment="1">
      <alignment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23" fillId="0" borderId="0" xfId="11" applyNumberFormat="1" applyFont="1" applyAlignment="1">
      <alignment horizontal="center" vertical="center" wrapText="1"/>
    </xf>
    <xf numFmtId="3" fontId="9" fillId="0" borderId="17" xfId="11" applyNumberFormat="1" applyFont="1" applyBorder="1" applyAlignment="1">
      <alignment horizontal="right" wrapText="1"/>
    </xf>
    <xf numFmtId="3" fontId="3" fillId="0" borderId="1" xfId="11" applyNumberFormat="1" applyFont="1" applyBorder="1" applyAlignment="1">
      <alignment horizontal="center" vertical="center" wrapText="1"/>
    </xf>
    <xf numFmtId="3" fontId="3" fillId="0" borderId="2" xfId="11" applyNumberFormat="1" applyFont="1" applyBorder="1" applyAlignment="1">
      <alignment horizontal="center" vertical="center" wrapText="1"/>
    </xf>
    <xf numFmtId="3" fontId="3" fillId="0" borderId="3" xfId="11" applyNumberFormat="1" applyFont="1" applyBorder="1" applyAlignment="1">
      <alignment horizontal="center" vertical="center" wrapText="1"/>
    </xf>
    <xf numFmtId="3" fontId="3" fillId="0" borderId="14" xfId="11" applyNumberFormat="1" applyFont="1" applyBorder="1" applyAlignment="1">
      <alignment horizontal="center" vertical="center" wrapText="1"/>
    </xf>
    <xf numFmtId="3" fontId="3" fillId="0" borderId="8" xfId="11" applyNumberFormat="1" applyFont="1" applyBorder="1" applyAlignment="1">
      <alignment horizontal="center" vertical="center" wrapText="1"/>
    </xf>
    <xf numFmtId="3" fontId="32" fillId="0" borderId="0" xfId="11" applyNumberFormat="1" applyFont="1" applyAlignment="1">
      <alignment horizontal="center" vertical="center" wrapText="1"/>
    </xf>
    <xf numFmtId="3" fontId="3" fillId="0" borderId="19" xfId="11" applyNumberFormat="1" applyFont="1" applyBorder="1" applyAlignment="1">
      <alignment horizontal="center" vertical="center" wrapText="1"/>
    </xf>
    <xf numFmtId="3" fontId="3" fillId="0" borderId="18" xfId="11" applyNumberFormat="1" applyFont="1" applyBorder="1" applyAlignment="1">
      <alignment horizontal="center" vertical="center" wrapText="1"/>
    </xf>
    <xf numFmtId="3" fontId="3" fillId="0" borderId="9" xfId="11" applyNumberFormat="1" applyFont="1" applyBorder="1" applyAlignment="1">
      <alignment horizontal="center" vertical="center" wrapText="1"/>
    </xf>
    <xf numFmtId="3" fontId="3" fillId="0" borderId="12" xfId="1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" fontId="3" fillId="0" borderId="9" xfId="2" applyNumberFormat="1" applyFont="1" applyBorder="1" applyAlignment="1">
      <alignment horizontal="center" vertical="center" wrapText="1"/>
    </xf>
    <xf numFmtId="4" fontId="3" fillId="0" borderId="10" xfId="2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1" fillId="0" borderId="1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22" fillId="0" borderId="0" xfId="11" applyNumberFormat="1" applyFont="1" applyAlignment="1">
      <alignment horizontal="left" vertical="center" wrapText="1"/>
    </xf>
    <xf numFmtId="0" fontId="26" fillId="0" borderId="0" xfId="0" applyFont="1" applyBorder="1" applyAlignment="1">
      <alignment horizontal="center"/>
    </xf>
  </cellXfs>
  <cellStyles count="12">
    <cellStyle name="Chuẩn 2" xfId="10"/>
    <cellStyle name="Comma" xfId="1" builtinId="3"/>
    <cellStyle name="Comma 3 2" xfId="8"/>
    <cellStyle name="Normal" xfId="0" builtinId="0"/>
    <cellStyle name="Normal 10 2" xfId="7"/>
    <cellStyle name="Normal 126 2 2" xfId="2"/>
    <cellStyle name="Normal 14" xfId="3"/>
    <cellStyle name="Normal 2" xfId="9"/>
    <cellStyle name="Normal 2 2 10" xfId="4"/>
    <cellStyle name="Normal 3" xfId="5"/>
    <cellStyle name="Normal 3 26" xfId="6"/>
    <cellStyle name="Normal_Bieu mau (CV )" xfId="11"/>
  </cellStyles>
  <dxfs count="1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0</xdr:rowOff>
    </xdr:from>
    <xdr:to>
      <xdr:col>1</xdr:col>
      <xdr:colOff>1028700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438150" y="476250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59"/>
  <sheetViews>
    <sheetView workbookViewId="0">
      <selection sqref="A1:XFD1048576"/>
    </sheetView>
  </sheetViews>
  <sheetFormatPr defaultRowHeight="18" x14ac:dyDescent="0.35"/>
  <cols>
    <col min="1" max="1" width="5.3984375" customWidth="1"/>
    <col min="2" max="2" width="52.8984375" customWidth="1"/>
    <col min="3" max="3" width="14.8984375" customWidth="1"/>
    <col min="4" max="4" width="12.69921875" customWidth="1"/>
    <col min="5" max="5" width="9" bestFit="1" customWidth="1"/>
    <col min="6" max="6" width="0" hidden="1" customWidth="1"/>
    <col min="7" max="7" width="11.09765625" style="82" customWidth="1"/>
    <col min="8" max="10" width="9" style="82"/>
    <col min="11" max="11" width="11.8984375" style="82" customWidth="1"/>
    <col min="12" max="12" width="20.09765625" customWidth="1"/>
  </cols>
  <sheetData>
    <row r="6" spans="1:11" s="1" customFormat="1" ht="15.6" x14ac:dyDescent="0.3">
      <c r="A6" s="339" t="s">
        <v>0</v>
      </c>
      <c r="B6" s="339" t="s">
        <v>1</v>
      </c>
      <c r="C6" s="339" t="s">
        <v>2</v>
      </c>
      <c r="D6" s="339" t="s">
        <v>3</v>
      </c>
      <c r="E6" s="340" t="s">
        <v>4</v>
      </c>
      <c r="F6" s="338" t="s">
        <v>5</v>
      </c>
      <c r="G6" s="340" t="s">
        <v>6</v>
      </c>
      <c r="H6" s="340" t="s">
        <v>7</v>
      </c>
      <c r="I6" s="340" t="s">
        <v>8</v>
      </c>
      <c r="J6" s="340" t="s">
        <v>9</v>
      </c>
      <c r="K6" s="340" t="s">
        <v>10</v>
      </c>
    </row>
    <row r="7" spans="1:11" s="1" customFormat="1" ht="48" customHeight="1" x14ac:dyDescent="0.3">
      <c r="A7" s="339"/>
      <c r="B7" s="339"/>
      <c r="C7" s="339"/>
      <c r="D7" s="339"/>
      <c r="E7" s="341"/>
      <c r="F7" s="338"/>
      <c r="G7" s="341"/>
      <c r="H7" s="341"/>
      <c r="I7" s="341"/>
      <c r="J7" s="341"/>
      <c r="K7" s="341"/>
    </row>
    <row r="8" spans="1:11" ht="15.6" x14ac:dyDescent="0.3">
      <c r="A8" s="2" t="s">
        <v>11</v>
      </c>
      <c r="B8" s="3" t="s">
        <v>12</v>
      </c>
      <c r="C8" s="4"/>
      <c r="D8" s="4"/>
      <c r="E8" s="4"/>
      <c r="F8" s="4"/>
      <c r="G8" s="4"/>
      <c r="H8" s="4"/>
      <c r="I8" s="4"/>
      <c r="J8" s="4"/>
      <c r="K8" s="4"/>
    </row>
    <row r="9" spans="1:11" ht="15.6" x14ac:dyDescent="0.3">
      <c r="A9" s="2" t="s">
        <v>13</v>
      </c>
      <c r="B9" s="4" t="s">
        <v>14</v>
      </c>
      <c r="C9" s="4"/>
      <c r="D9" s="4"/>
      <c r="E9" s="4"/>
      <c r="F9" s="4"/>
      <c r="G9" s="4"/>
      <c r="H9" s="4"/>
      <c r="I9" s="4"/>
      <c r="J9" s="4"/>
      <c r="K9" s="4"/>
    </row>
    <row r="10" spans="1:11" ht="46.8" x14ac:dyDescent="0.3">
      <c r="A10" s="5">
        <v>1</v>
      </c>
      <c r="B10" s="6" t="s">
        <v>15</v>
      </c>
      <c r="C10" s="7" t="s">
        <v>16</v>
      </c>
      <c r="D10" s="7" t="s">
        <v>17</v>
      </c>
      <c r="E10" s="8">
        <v>5</v>
      </c>
      <c r="F10" s="8">
        <v>1.2700000000000002</v>
      </c>
      <c r="G10" s="8">
        <v>5</v>
      </c>
      <c r="H10" s="8"/>
      <c r="I10" s="8">
        <v>3.2</v>
      </c>
      <c r="J10" s="9">
        <v>0.3</v>
      </c>
      <c r="K10" s="10">
        <f>G10*I10*J10*10</f>
        <v>48</v>
      </c>
    </row>
    <row r="11" spans="1:11" s="16" customFormat="1" ht="15.6" x14ac:dyDescent="0.3">
      <c r="A11" s="11" t="s">
        <v>18</v>
      </c>
      <c r="B11" s="4" t="s">
        <v>19</v>
      </c>
      <c r="C11" s="12"/>
      <c r="D11" s="13"/>
      <c r="E11" s="14"/>
      <c r="F11" s="14"/>
      <c r="G11" s="14"/>
      <c r="H11" s="14"/>
      <c r="I11" s="14"/>
      <c r="J11" s="14"/>
      <c r="K11" s="15">
        <f>SUM(K12:K23)</f>
        <v>1088.3507999999999</v>
      </c>
    </row>
    <row r="12" spans="1:11" ht="31.2" x14ac:dyDescent="0.3">
      <c r="A12" s="5">
        <v>1</v>
      </c>
      <c r="B12" s="17" t="s">
        <v>20</v>
      </c>
      <c r="C12" s="18" t="s">
        <v>21</v>
      </c>
      <c r="D12" s="5" t="s">
        <v>22</v>
      </c>
      <c r="E12" s="19">
        <v>0.44</v>
      </c>
      <c r="F12" s="19">
        <v>0.44</v>
      </c>
      <c r="G12" s="19">
        <f>F12*78%</f>
        <v>0.34320000000000001</v>
      </c>
      <c r="H12" s="19"/>
      <c r="I12" s="19">
        <f>(22+17)/2</f>
        <v>19.5</v>
      </c>
      <c r="J12" s="20">
        <v>1</v>
      </c>
      <c r="K12" s="10">
        <f t="shared" ref="K12:K57" si="0">G12*I12*J12*10</f>
        <v>66.924000000000007</v>
      </c>
    </row>
    <row r="13" spans="1:11" ht="62.4" x14ac:dyDescent="0.3">
      <c r="A13" s="5">
        <v>2</v>
      </c>
      <c r="B13" s="17" t="s">
        <v>23</v>
      </c>
      <c r="C13" s="18" t="s">
        <v>24</v>
      </c>
      <c r="D13" s="5" t="s">
        <v>25</v>
      </c>
      <c r="E13" s="19">
        <v>9.5</v>
      </c>
      <c r="F13" s="19">
        <v>9.5</v>
      </c>
      <c r="G13" s="19">
        <v>9.5</v>
      </c>
      <c r="H13" s="19"/>
      <c r="I13" s="19">
        <v>5</v>
      </c>
      <c r="J13" s="20">
        <v>0.7</v>
      </c>
      <c r="K13" s="10">
        <f t="shared" si="0"/>
        <v>332.5</v>
      </c>
    </row>
    <row r="14" spans="1:11" ht="31.2" x14ac:dyDescent="0.3">
      <c r="A14" s="5">
        <v>3</v>
      </c>
      <c r="B14" s="17" t="s">
        <v>26</v>
      </c>
      <c r="C14" s="18" t="s">
        <v>27</v>
      </c>
      <c r="D14" s="5" t="s">
        <v>25</v>
      </c>
      <c r="E14" s="19">
        <v>2</v>
      </c>
      <c r="F14" s="19">
        <v>2</v>
      </c>
      <c r="G14" s="19">
        <v>2</v>
      </c>
      <c r="H14" s="19"/>
      <c r="I14" s="19">
        <v>4.43</v>
      </c>
      <c r="J14" s="20">
        <v>0.8</v>
      </c>
      <c r="K14" s="10">
        <f t="shared" si="0"/>
        <v>70.88</v>
      </c>
    </row>
    <row r="15" spans="1:11" ht="31.2" x14ac:dyDescent="0.3">
      <c r="A15" s="5">
        <v>4</v>
      </c>
      <c r="B15" s="21" t="s">
        <v>28</v>
      </c>
      <c r="C15" s="22" t="s">
        <v>29</v>
      </c>
      <c r="D15" s="5" t="s">
        <v>30</v>
      </c>
      <c r="E15" s="19">
        <v>2.59</v>
      </c>
      <c r="F15" s="19">
        <v>2.59</v>
      </c>
      <c r="G15" s="19">
        <v>2.59</v>
      </c>
      <c r="H15" s="19"/>
      <c r="I15" s="19">
        <v>14.4</v>
      </c>
      <c r="J15" s="20">
        <v>0.78</v>
      </c>
      <c r="K15" s="23">
        <f t="shared" si="0"/>
        <v>290.90880000000004</v>
      </c>
    </row>
    <row r="16" spans="1:11" ht="31.2" x14ac:dyDescent="0.3">
      <c r="A16" s="5">
        <v>5</v>
      </c>
      <c r="B16" s="21" t="s">
        <v>31</v>
      </c>
      <c r="C16" s="22" t="s">
        <v>21</v>
      </c>
      <c r="D16" s="5" t="s">
        <v>30</v>
      </c>
      <c r="E16" s="19">
        <v>0.4</v>
      </c>
      <c r="F16" s="19">
        <v>0.4</v>
      </c>
      <c r="G16" s="19">
        <v>0.4</v>
      </c>
      <c r="H16" s="19"/>
      <c r="I16" s="19">
        <v>6.4</v>
      </c>
      <c r="J16" s="20">
        <f>J15</f>
        <v>0.78</v>
      </c>
      <c r="K16" s="10">
        <f t="shared" si="0"/>
        <v>19.968000000000004</v>
      </c>
    </row>
    <row r="17" spans="1:11" s="1" customFormat="1" ht="78" x14ac:dyDescent="0.3">
      <c r="A17" s="5">
        <v>7</v>
      </c>
      <c r="B17" s="6" t="s">
        <v>32</v>
      </c>
      <c r="C17" s="7" t="s">
        <v>33</v>
      </c>
      <c r="D17" s="7" t="s">
        <v>34</v>
      </c>
      <c r="E17" s="8">
        <v>53.91</v>
      </c>
      <c r="F17" s="8">
        <v>6</v>
      </c>
      <c r="G17" s="8">
        <v>6</v>
      </c>
      <c r="H17" s="8"/>
      <c r="I17" s="8">
        <v>1</v>
      </c>
      <c r="J17" s="9">
        <v>1</v>
      </c>
      <c r="K17" s="10">
        <f t="shared" si="0"/>
        <v>60</v>
      </c>
    </row>
    <row r="18" spans="1:11" s="1" customFormat="1" ht="78" x14ac:dyDescent="0.3">
      <c r="A18" s="5">
        <v>8</v>
      </c>
      <c r="B18" s="6" t="s">
        <v>35</v>
      </c>
      <c r="C18" s="7" t="s">
        <v>36</v>
      </c>
      <c r="D18" s="7" t="s">
        <v>34</v>
      </c>
      <c r="E18" s="8">
        <v>33.549999999999997</v>
      </c>
      <c r="F18" s="8">
        <v>7.8800000000000008</v>
      </c>
      <c r="G18" s="8">
        <v>7.8800000000000008</v>
      </c>
      <c r="H18" s="8"/>
      <c r="I18" s="8">
        <v>1</v>
      </c>
      <c r="J18" s="9">
        <v>1</v>
      </c>
      <c r="K18" s="10">
        <f t="shared" si="0"/>
        <v>78.800000000000011</v>
      </c>
    </row>
    <row r="19" spans="1:11" s="1" customFormat="1" ht="31.2" x14ac:dyDescent="0.3">
      <c r="A19" s="5">
        <v>9</v>
      </c>
      <c r="B19" s="6" t="s">
        <v>37</v>
      </c>
      <c r="C19" s="7" t="s">
        <v>21</v>
      </c>
      <c r="D19" s="7" t="s">
        <v>25</v>
      </c>
      <c r="E19" s="8">
        <v>6.6999999999999993</v>
      </c>
      <c r="F19" s="8">
        <v>1.64</v>
      </c>
      <c r="G19" s="8">
        <v>1.64</v>
      </c>
      <c r="H19" s="8"/>
      <c r="I19" s="8">
        <v>1</v>
      </c>
      <c r="J19" s="9">
        <v>1</v>
      </c>
      <c r="K19" s="10">
        <f t="shared" si="0"/>
        <v>16.399999999999999</v>
      </c>
    </row>
    <row r="20" spans="1:11" s="1" customFormat="1" ht="31.2" x14ac:dyDescent="0.3">
      <c r="A20" s="5">
        <v>10</v>
      </c>
      <c r="B20" s="6" t="s">
        <v>38</v>
      </c>
      <c r="C20" s="7" t="s">
        <v>29</v>
      </c>
      <c r="D20" s="7" t="s">
        <v>25</v>
      </c>
      <c r="E20" s="8">
        <v>4.9799999999999995</v>
      </c>
      <c r="F20" s="8">
        <v>0.1</v>
      </c>
      <c r="G20" s="8">
        <v>0.1</v>
      </c>
      <c r="H20" s="8"/>
      <c r="I20" s="8">
        <v>3</v>
      </c>
      <c r="J20" s="9">
        <v>1</v>
      </c>
      <c r="K20" s="10">
        <f t="shared" si="0"/>
        <v>3.0000000000000004</v>
      </c>
    </row>
    <row r="21" spans="1:11" s="1" customFormat="1" ht="31.2" x14ac:dyDescent="0.3">
      <c r="A21" s="5">
        <v>11</v>
      </c>
      <c r="B21" s="6" t="s">
        <v>39</v>
      </c>
      <c r="C21" s="7" t="s">
        <v>40</v>
      </c>
      <c r="D21" s="7" t="s">
        <v>25</v>
      </c>
      <c r="E21" s="8">
        <v>5</v>
      </c>
      <c r="F21" s="8"/>
      <c r="G21" s="8">
        <v>3.9000000000000004</v>
      </c>
      <c r="H21" s="8"/>
      <c r="I21" s="8">
        <v>1</v>
      </c>
      <c r="J21" s="9">
        <v>1</v>
      </c>
      <c r="K21" s="10">
        <f t="shared" si="0"/>
        <v>39</v>
      </c>
    </row>
    <row r="22" spans="1:11" s="1" customFormat="1" ht="31.2" x14ac:dyDescent="0.3">
      <c r="A22" s="5">
        <v>12</v>
      </c>
      <c r="B22" s="6" t="s">
        <v>41</v>
      </c>
      <c r="C22" s="7" t="s">
        <v>21</v>
      </c>
      <c r="D22" s="7" t="s">
        <v>25</v>
      </c>
      <c r="E22" s="8" t="s">
        <v>42</v>
      </c>
      <c r="F22" s="8"/>
      <c r="G22" s="8">
        <v>5.18</v>
      </c>
      <c r="H22" s="8"/>
      <c r="I22" s="8">
        <v>0.7</v>
      </c>
      <c r="J22" s="9">
        <v>1</v>
      </c>
      <c r="K22" s="10">
        <f t="shared" si="0"/>
        <v>36.259999999999991</v>
      </c>
    </row>
    <row r="23" spans="1:11" s="27" customFormat="1" ht="31.2" x14ac:dyDescent="0.3">
      <c r="A23" s="5">
        <v>13</v>
      </c>
      <c r="B23" s="24" t="s">
        <v>43</v>
      </c>
      <c r="C23" s="7" t="s">
        <v>44</v>
      </c>
      <c r="D23" s="25" t="s">
        <v>25</v>
      </c>
      <c r="E23" s="26">
        <v>11.7</v>
      </c>
      <c r="F23" s="26"/>
      <c r="G23" s="26">
        <v>8.19</v>
      </c>
      <c r="H23" s="26"/>
      <c r="I23" s="26">
        <v>0.9</v>
      </c>
      <c r="J23" s="22">
        <v>1</v>
      </c>
      <c r="K23" s="10">
        <f t="shared" si="0"/>
        <v>73.709999999999994</v>
      </c>
    </row>
    <row r="24" spans="1:11" s="33" customFormat="1" ht="15.6" x14ac:dyDescent="0.3">
      <c r="A24" s="28" t="s">
        <v>45</v>
      </c>
      <c r="B24" s="29" t="s">
        <v>46</v>
      </c>
      <c r="C24" s="30"/>
      <c r="D24" s="28"/>
      <c r="E24" s="31"/>
      <c r="F24" s="31"/>
      <c r="G24" s="31"/>
      <c r="H24" s="31"/>
      <c r="I24" s="31"/>
      <c r="J24" s="32"/>
      <c r="K24" s="10">
        <f t="shared" si="0"/>
        <v>0</v>
      </c>
    </row>
    <row r="25" spans="1:11" ht="15.6" x14ac:dyDescent="0.3">
      <c r="A25" s="34" t="s">
        <v>13</v>
      </c>
      <c r="B25" s="4" t="s">
        <v>14</v>
      </c>
      <c r="C25" s="7"/>
      <c r="D25" s="4"/>
      <c r="E25" s="4"/>
      <c r="F25" s="4"/>
      <c r="G25" s="4"/>
      <c r="H25" s="4"/>
      <c r="I25" s="4"/>
      <c r="J25" s="34"/>
      <c r="K25" s="10">
        <f t="shared" si="0"/>
        <v>0</v>
      </c>
    </row>
    <row r="26" spans="1:11" s="41" customFormat="1" ht="31.2" x14ac:dyDescent="0.3">
      <c r="A26" s="35" t="s">
        <v>47</v>
      </c>
      <c r="B26" s="36" t="s">
        <v>48</v>
      </c>
      <c r="C26" s="7" t="s">
        <v>49</v>
      </c>
      <c r="D26" s="37" t="s">
        <v>50</v>
      </c>
      <c r="E26" s="38"/>
      <c r="F26" s="39">
        <v>1.7396</v>
      </c>
      <c r="G26" s="39">
        <v>1.7396</v>
      </c>
      <c r="H26" s="39"/>
      <c r="I26" s="40">
        <v>0.25</v>
      </c>
      <c r="J26" s="39">
        <v>1</v>
      </c>
      <c r="K26" s="10">
        <f t="shared" si="0"/>
        <v>4.3490000000000002</v>
      </c>
    </row>
    <row r="27" spans="1:11" s="41" customFormat="1" ht="31.2" x14ac:dyDescent="0.3">
      <c r="A27" s="35" t="s">
        <v>51</v>
      </c>
      <c r="B27" s="42" t="s">
        <v>52</v>
      </c>
      <c r="C27" s="7" t="s">
        <v>53</v>
      </c>
      <c r="D27" s="37" t="s">
        <v>50</v>
      </c>
      <c r="E27" s="39"/>
      <c r="F27" s="39">
        <v>7.0999999999999994E-2</v>
      </c>
      <c r="G27" s="39">
        <v>7.0999999999999994E-2</v>
      </c>
      <c r="H27" s="39"/>
      <c r="I27" s="40">
        <v>0.25</v>
      </c>
      <c r="J27" s="39">
        <v>1</v>
      </c>
      <c r="K27" s="10">
        <f t="shared" si="0"/>
        <v>0.17749999999999999</v>
      </c>
    </row>
    <row r="28" spans="1:11" s="16" customFormat="1" ht="15.6" x14ac:dyDescent="0.3">
      <c r="A28" s="11" t="s">
        <v>18</v>
      </c>
      <c r="B28" s="4" t="s">
        <v>19</v>
      </c>
      <c r="C28" s="7"/>
      <c r="D28" s="13"/>
      <c r="E28" s="14"/>
      <c r="F28" s="14"/>
      <c r="G28" s="14"/>
      <c r="H28" s="14"/>
      <c r="I28" s="43"/>
      <c r="J28" s="14"/>
      <c r="K28" s="44">
        <f>SUM(K29:K31)</f>
        <v>102.85</v>
      </c>
    </row>
    <row r="29" spans="1:11" s="51" customFormat="1" ht="15.6" x14ac:dyDescent="0.3">
      <c r="A29" s="45" t="s">
        <v>47</v>
      </c>
      <c r="B29" s="46" t="s">
        <v>54</v>
      </c>
      <c r="C29" s="7" t="s">
        <v>55</v>
      </c>
      <c r="D29" s="47" t="s">
        <v>25</v>
      </c>
      <c r="E29" s="48">
        <v>0.2</v>
      </c>
      <c r="F29" s="49">
        <v>2.5700000000000003</v>
      </c>
      <c r="G29" s="49">
        <v>2.5700000000000003</v>
      </c>
      <c r="H29" s="49"/>
      <c r="I29" s="49">
        <v>0.5</v>
      </c>
      <c r="J29" s="50">
        <v>1</v>
      </c>
      <c r="K29" s="10">
        <f t="shared" si="0"/>
        <v>12.850000000000001</v>
      </c>
    </row>
    <row r="30" spans="1:11" s="51" customFormat="1" ht="31.2" x14ac:dyDescent="0.3">
      <c r="A30" s="45" t="s">
        <v>51</v>
      </c>
      <c r="B30" s="52" t="s">
        <v>56</v>
      </c>
      <c r="C30" s="7" t="s">
        <v>55</v>
      </c>
      <c r="D30" s="53" t="s">
        <v>25</v>
      </c>
      <c r="E30" s="50"/>
      <c r="F30" s="49">
        <v>8</v>
      </c>
      <c r="G30" s="49">
        <v>8</v>
      </c>
      <c r="H30" s="49"/>
      <c r="I30" s="49">
        <v>0.5</v>
      </c>
      <c r="J30" s="50">
        <v>1</v>
      </c>
      <c r="K30" s="10">
        <f t="shared" si="0"/>
        <v>40</v>
      </c>
    </row>
    <row r="31" spans="1:11" s="41" customFormat="1" ht="15.6" x14ac:dyDescent="0.3">
      <c r="A31" s="35" t="s">
        <v>57</v>
      </c>
      <c r="B31" s="54" t="s">
        <v>58</v>
      </c>
      <c r="C31" s="7" t="s">
        <v>55</v>
      </c>
      <c r="D31" s="55" t="s">
        <v>25</v>
      </c>
      <c r="E31" s="39"/>
      <c r="F31" s="40">
        <v>10</v>
      </c>
      <c r="G31" s="40">
        <v>10</v>
      </c>
      <c r="H31" s="40"/>
      <c r="I31" s="40">
        <v>0.5</v>
      </c>
      <c r="J31" s="39">
        <v>1</v>
      </c>
      <c r="K31" s="10">
        <f t="shared" si="0"/>
        <v>50</v>
      </c>
    </row>
    <row r="32" spans="1:11" s="33" customFormat="1" ht="15.6" x14ac:dyDescent="0.3">
      <c r="A32" s="2" t="s">
        <v>59</v>
      </c>
      <c r="B32" s="3" t="s">
        <v>60</v>
      </c>
      <c r="C32" s="30"/>
      <c r="D32" s="3"/>
      <c r="E32" s="3"/>
      <c r="F32" s="3"/>
      <c r="G32" s="3"/>
      <c r="H32" s="3"/>
      <c r="I32" s="56"/>
      <c r="J32" s="3"/>
      <c r="K32" s="10">
        <f t="shared" si="0"/>
        <v>0</v>
      </c>
    </row>
    <row r="33" spans="1:11" ht="15.6" x14ac:dyDescent="0.3">
      <c r="A33" s="34" t="s">
        <v>13</v>
      </c>
      <c r="B33" s="4" t="s">
        <v>14</v>
      </c>
      <c r="C33" s="7"/>
      <c r="D33" s="4"/>
      <c r="E33" s="4"/>
      <c r="F33" s="4"/>
      <c r="G33" s="4"/>
      <c r="H33" s="4"/>
      <c r="I33" s="57"/>
      <c r="J33" s="4"/>
      <c r="K33" s="10">
        <f t="shared" si="0"/>
        <v>0</v>
      </c>
    </row>
    <row r="34" spans="1:11" s="16" customFormat="1" ht="15.6" x14ac:dyDescent="0.3">
      <c r="A34" s="11">
        <v>1</v>
      </c>
      <c r="B34" s="58" t="s">
        <v>61</v>
      </c>
      <c r="C34" s="7"/>
      <c r="D34" s="13" t="s">
        <v>50</v>
      </c>
      <c r="E34" s="14">
        <v>2</v>
      </c>
      <c r="F34" s="14"/>
      <c r="G34" s="14">
        <v>2</v>
      </c>
      <c r="H34" s="14"/>
      <c r="I34" s="43">
        <v>1</v>
      </c>
      <c r="J34" s="14">
        <v>1</v>
      </c>
      <c r="K34" s="10">
        <f t="shared" si="0"/>
        <v>20</v>
      </c>
    </row>
    <row r="35" spans="1:11" s="16" customFormat="1" ht="31.2" x14ac:dyDescent="0.3">
      <c r="A35" s="11">
        <v>2</v>
      </c>
      <c r="B35" s="59" t="s">
        <v>62</v>
      </c>
      <c r="C35" s="7" t="s">
        <v>63</v>
      </c>
      <c r="D35" s="13" t="s">
        <v>25</v>
      </c>
      <c r="E35" s="14">
        <v>6.5</v>
      </c>
      <c r="F35" s="14"/>
      <c r="G35" s="14">
        <v>6.5</v>
      </c>
      <c r="H35" s="14"/>
      <c r="I35" s="43">
        <v>3.2</v>
      </c>
      <c r="J35" s="14">
        <v>1</v>
      </c>
      <c r="K35" s="10">
        <f t="shared" si="0"/>
        <v>208</v>
      </c>
    </row>
    <row r="36" spans="1:11" s="60" customFormat="1" ht="31.2" x14ac:dyDescent="0.3">
      <c r="A36" s="11">
        <v>4</v>
      </c>
      <c r="B36" s="58" t="s">
        <v>64</v>
      </c>
      <c r="C36" s="7" t="s">
        <v>63</v>
      </c>
      <c r="D36" s="13" t="s">
        <v>25</v>
      </c>
      <c r="E36" s="14">
        <v>1</v>
      </c>
      <c r="F36" s="14"/>
      <c r="G36" s="14">
        <v>1</v>
      </c>
      <c r="H36" s="14"/>
      <c r="I36" s="43">
        <v>3.2</v>
      </c>
      <c r="J36" s="14">
        <v>1</v>
      </c>
      <c r="K36" s="10">
        <f t="shared" si="0"/>
        <v>32</v>
      </c>
    </row>
    <row r="37" spans="1:11" s="16" customFormat="1" ht="15.6" x14ac:dyDescent="0.3">
      <c r="A37" s="11" t="s">
        <v>18</v>
      </c>
      <c r="B37" s="4" t="s">
        <v>19</v>
      </c>
      <c r="C37" s="7"/>
      <c r="D37" s="13"/>
      <c r="E37" s="14"/>
      <c r="F37" s="14"/>
      <c r="G37" s="14"/>
      <c r="H37" s="14"/>
      <c r="I37" s="43"/>
      <c r="J37" s="14"/>
      <c r="K37" s="44">
        <f>SUM(K38:K49)</f>
        <v>761.55</v>
      </c>
    </row>
    <row r="38" spans="1:11" s="16" customFormat="1" ht="27.6" x14ac:dyDescent="0.3">
      <c r="A38" s="11">
        <v>1</v>
      </c>
      <c r="B38" s="58" t="s">
        <v>65</v>
      </c>
      <c r="C38" s="61" t="s">
        <v>66</v>
      </c>
      <c r="D38" s="13" t="s">
        <v>50</v>
      </c>
      <c r="E38" s="62">
        <v>3</v>
      </c>
      <c r="F38" s="14"/>
      <c r="G38" s="14">
        <v>3</v>
      </c>
      <c r="H38" s="14"/>
      <c r="I38" s="43">
        <v>0.2</v>
      </c>
      <c r="J38" s="14">
        <v>1</v>
      </c>
      <c r="K38" s="10">
        <f t="shared" si="0"/>
        <v>6.0000000000000009</v>
      </c>
    </row>
    <row r="39" spans="1:11" s="16" customFormat="1" ht="15.6" x14ac:dyDescent="0.3">
      <c r="A39" s="11">
        <v>2</v>
      </c>
      <c r="B39" s="58" t="s">
        <v>67</v>
      </c>
      <c r="C39" s="7"/>
      <c r="D39" s="13" t="s">
        <v>50</v>
      </c>
      <c r="E39" s="62">
        <v>3</v>
      </c>
      <c r="F39" s="14"/>
      <c r="G39" s="14">
        <v>3</v>
      </c>
      <c r="H39" s="14"/>
      <c r="I39" s="43">
        <v>0.2</v>
      </c>
      <c r="J39" s="14">
        <v>1</v>
      </c>
      <c r="K39" s="10">
        <f t="shared" si="0"/>
        <v>6.0000000000000009</v>
      </c>
    </row>
    <row r="40" spans="1:11" s="16" customFormat="1" ht="15.6" x14ac:dyDescent="0.3">
      <c r="A40" s="11">
        <v>3</v>
      </c>
      <c r="B40" s="58" t="s">
        <v>68</v>
      </c>
      <c r="C40" s="7" t="s">
        <v>63</v>
      </c>
      <c r="D40" s="63"/>
      <c r="E40" s="62">
        <v>15</v>
      </c>
      <c r="F40" s="14"/>
      <c r="G40" s="14">
        <v>15</v>
      </c>
      <c r="H40" s="14"/>
      <c r="I40" s="43">
        <v>0.7</v>
      </c>
      <c r="J40" s="14">
        <v>1</v>
      </c>
      <c r="K40" s="10">
        <f t="shared" si="0"/>
        <v>105</v>
      </c>
    </row>
    <row r="41" spans="1:11" s="16" customFormat="1" ht="15.6" x14ac:dyDescent="0.3">
      <c r="A41" s="11">
        <v>4</v>
      </c>
      <c r="B41" s="58" t="s">
        <v>69</v>
      </c>
      <c r="C41" s="7" t="s">
        <v>63</v>
      </c>
      <c r="D41" s="63"/>
      <c r="E41" s="62">
        <v>7.65</v>
      </c>
      <c r="F41" s="14"/>
      <c r="G41" s="14">
        <v>7.65</v>
      </c>
      <c r="H41" s="14"/>
      <c r="I41" s="43">
        <v>0.7</v>
      </c>
      <c r="J41" s="14">
        <v>1</v>
      </c>
      <c r="K41" s="10">
        <f t="shared" si="0"/>
        <v>53.55</v>
      </c>
    </row>
    <row r="42" spans="1:11" s="16" customFormat="1" ht="15.6" x14ac:dyDescent="0.3">
      <c r="A42" s="11">
        <v>5</v>
      </c>
      <c r="B42" s="58" t="s">
        <v>70</v>
      </c>
      <c r="C42" s="7" t="s">
        <v>63</v>
      </c>
      <c r="D42" s="63"/>
      <c r="E42" s="62">
        <v>10</v>
      </c>
      <c r="F42" s="14"/>
      <c r="G42" s="14">
        <v>10</v>
      </c>
      <c r="H42" s="14"/>
      <c r="I42" s="43">
        <v>0.7</v>
      </c>
      <c r="J42" s="14">
        <v>1</v>
      </c>
      <c r="K42" s="10">
        <f t="shared" si="0"/>
        <v>70</v>
      </c>
    </row>
    <row r="43" spans="1:11" s="16" customFormat="1" ht="31.2" x14ac:dyDescent="0.3">
      <c r="A43" s="11">
        <v>6</v>
      </c>
      <c r="B43" s="58" t="s">
        <v>71</v>
      </c>
      <c r="C43" s="7" t="s">
        <v>72</v>
      </c>
      <c r="D43" s="63"/>
      <c r="E43" s="62">
        <v>28.799999999999997</v>
      </c>
      <c r="F43" s="14"/>
      <c r="G43" s="14">
        <v>28.799999999999997</v>
      </c>
      <c r="H43" s="14"/>
      <c r="I43" s="43">
        <v>0.5</v>
      </c>
      <c r="J43" s="14">
        <v>1</v>
      </c>
      <c r="K43" s="10">
        <f t="shared" si="0"/>
        <v>144</v>
      </c>
    </row>
    <row r="44" spans="1:11" s="16" customFormat="1" ht="31.2" x14ac:dyDescent="0.3">
      <c r="A44" s="11">
        <v>7</v>
      </c>
      <c r="B44" s="58" t="s">
        <v>73</v>
      </c>
      <c r="C44" s="7" t="s">
        <v>72</v>
      </c>
      <c r="D44" s="63"/>
      <c r="E44" s="62">
        <v>22.5</v>
      </c>
      <c r="F44" s="14"/>
      <c r="G44" s="14">
        <v>22.5</v>
      </c>
      <c r="H44" s="14"/>
      <c r="I44" s="43">
        <v>0.2</v>
      </c>
      <c r="J44" s="14">
        <v>1</v>
      </c>
      <c r="K44" s="10">
        <f t="shared" si="0"/>
        <v>45</v>
      </c>
    </row>
    <row r="45" spans="1:11" s="16" customFormat="1" ht="31.2" x14ac:dyDescent="0.3">
      <c r="A45" s="11">
        <v>8</v>
      </c>
      <c r="B45" s="58" t="s">
        <v>74</v>
      </c>
      <c r="C45" s="7" t="s">
        <v>75</v>
      </c>
      <c r="D45" s="63"/>
      <c r="E45" s="62">
        <v>45</v>
      </c>
      <c r="F45" s="14"/>
      <c r="G45" s="14">
        <v>45</v>
      </c>
      <c r="H45" s="14"/>
      <c r="I45" s="43">
        <v>0.2</v>
      </c>
      <c r="J45" s="14">
        <v>1</v>
      </c>
      <c r="K45" s="10">
        <f t="shared" si="0"/>
        <v>90</v>
      </c>
    </row>
    <row r="46" spans="1:11" s="16" customFormat="1" ht="31.2" x14ac:dyDescent="0.3">
      <c r="A46" s="11">
        <v>9</v>
      </c>
      <c r="B46" s="58" t="s">
        <v>76</v>
      </c>
      <c r="C46" s="7" t="s">
        <v>72</v>
      </c>
      <c r="D46" s="63"/>
      <c r="E46" s="62">
        <v>6</v>
      </c>
      <c r="F46" s="14"/>
      <c r="G46" s="14">
        <v>6</v>
      </c>
      <c r="H46" s="14"/>
      <c r="I46" s="43">
        <v>0.2</v>
      </c>
      <c r="J46" s="14">
        <v>1</v>
      </c>
      <c r="K46" s="10">
        <f t="shared" si="0"/>
        <v>12.000000000000002</v>
      </c>
    </row>
    <row r="47" spans="1:11" s="16" customFormat="1" ht="31.2" x14ac:dyDescent="0.3">
      <c r="A47" s="11">
        <v>10</v>
      </c>
      <c r="B47" s="58" t="s">
        <v>77</v>
      </c>
      <c r="C47" s="7" t="s">
        <v>78</v>
      </c>
      <c r="D47" s="63"/>
      <c r="E47" s="62">
        <v>60</v>
      </c>
      <c r="F47" s="14"/>
      <c r="G47" s="14">
        <v>60</v>
      </c>
      <c r="H47" s="14"/>
      <c r="I47" s="43">
        <v>0.2</v>
      </c>
      <c r="J47" s="14">
        <v>1</v>
      </c>
      <c r="K47" s="10">
        <f t="shared" si="0"/>
        <v>120</v>
      </c>
    </row>
    <row r="48" spans="1:11" s="16" customFormat="1" ht="31.2" x14ac:dyDescent="0.3">
      <c r="A48" s="11">
        <v>11</v>
      </c>
      <c r="B48" s="58" t="s">
        <v>79</v>
      </c>
      <c r="C48" s="7" t="s">
        <v>75</v>
      </c>
      <c r="D48" s="63"/>
      <c r="E48" s="62">
        <v>45</v>
      </c>
      <c r="F48" s="14"/>
      <c r="G48" s="14">
        <v>45</v>
      </c>
      <c r="H48" s="14"/>
      <c r="I48" s="43">
        <v>0.2</v>
      </c>
      <c r="J48" s="14">
        <v>1</v>
      </c>
      <c r="K48" s="10">
        <f t="shared" si="0"/>
        <v>90</v>
      </c>
    </row>
    <row r="49" spans="1:28" s="16" customFormat="1" ht="31.2" x14ac:dyDescent="0.3">
      <c r="A49" s="11">
        <v>12</v>
      </c>
      <c r="B49" s="58" t="s">
        <v>80</v>
      </c>
      <c r="C49" s="7" t="s">
        <v>81</v>
      </c>
      <c r="D49" s="63"/>
      <c r="E49" s="62">
        <f>100*10%</f>
        <v>10</v>
      </c>
      <c r="F49" s="14"/>
      <c r="G49" s="14">
        <v>10</v>
      </c>
      <c r="H49" s="14"/>
      <c r="I49" s="43">
        <v>0.2</v>
      </c>
      <c r="J49" s="14">
        <v>1</v>
      </c>
      <c r="K49" s="10">
        <f t="shared" si="0"/>
        <v>20</v>
      </c>
    </row>
    <row r="50" spans="1:28" s="33" customFormat="1" ht="15.6" x14ac:dyDescent="0.3">
      <c r="A50" s="2" t="s">
        <v>82</v>
      </c>
      <c r="B50" s="3" t="s">
        <v>83</v>
      </c>
      <c r="C50" s="30"/>
      <c r="D50" s="3"/>
      <c r="E50" s="3"/>
      <c r="F50" s="3"/>
      <c r="G50" s="3"/>
      <c r="H50" s="3"/>
      <c r="I50" s="56"/>
      <c r="J50" s="3"/>
      <c r="K50" s="10">
        <f t="shared" si="0"/>
        <v>0</v>
      </c>
    </row>
    <row r="51" spans="1:28" ht="15.6" x14ac:dyDescent="0.3">
      <c r="A51" s="34" t="s">
        <v>13</v>
      </c>
      <c r="B51" s="4" t="s">
        <v>14</v>
      </c>
      <c r="C51" s="7"/>
      <c r="D51" s="4"/>
      <c r="E51" s="4"/>
      <c r="F51" s="4"/>
      <c r="G51" s="4"/>
      <c r="H51" s="4"/>
      <c r="I51" s="57"/>
      <c r="J51" s="4"/>
      <c r="K51" s="10">
        <f t="shared" si="0"/>
        <v>0</v>
      </c>
    </row>
    <row r="52" spans="1:28" s="71" customFormat="1" ht="31.2" x14ac:dyDescent="0.3">
      <c r="A52" s="64"/>
      <c r="B52" s="65" t="s">
        <v>84</v>
      </c>
      <c r="C52" s="7"/>
      <c r="D52" s="64" t="s">
        <v>50</v>
      </c>
      <c r="E52" s="66">
        <v>1.32</v>
      </c>
      <c r="F52" s="66"/>
      <c r="G52" s="66">
        <v>1.32</v>
      </c>
      <c r="H52" s="66"/>
      <c r="I52" s="67">
        <v>0.11</v>
      </c>
      <c r="J52" s="66">
        <v>1</v>
      </c>
      <c r="K52" s="10">
        <f t="shared" si="0"/>
        <v>1.452</v>
      </c>
      <c r="L52" s="68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 t="s">
        <v>85</v>
      </c>
      <c r="Z52" s="70">
        <v>2021</v>
      </c>
      <c r="AA52" s="69" t="s">
        <v>86</v>
      </c>
    </row>
    <row r="53" spans="1:28" s="71" customFormat="1" ht="31.2" x14ac:dyDescent="0.3">
      <c r="A53" s="64"/>
      <c r="B53" s="72" t="s">
        <v>87</v>
      </c>
      <c r="C53" s="7"/>
      <c r="D53" s="64" t="s">
        <v>50</v>
      </c>
      <c r="E53" s="66">
        <v>3</v>
      </c>
      <c r="F53" s="66"/>
      <c r="G53" s="66">
        <v>3</v>
      </c>
      <c r="H53" s="66"/>
      <c r="I53" s="67">
        <v>0.11</v>
      </c>
      <c r="J53" s="66">
        <v>1</v>
      </c>
      <c r="K53" s="10">
        <f t="shared" si="0"/>
        <v>3.3000000000000003</v>
      </c>
      <c r="L53" s="68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>
        <v>0.12</v>
      </c>
      <c r="X53" s="69"/>
      <c r="Y53" s="69" t="s">
        <v>85</v>
      </c>
      <c r="Z53" s="70" t="s">
        <v>88</v>
      </c>
      <c r="AA53" s="69" t="s">
        <v>89</v>
      </c>
    </row>
    <row r="54" spans="1:28" s="16" customFormat="1" ht="20.100000000000001" customHeight="1" x14ac:dyDescent="0.3">
      <c r="A54" s="11" t="s">
        <v>18</v>
      </c>
      <c r="B54" s="4" t="s">
        <v>19</v>
      </c>
      <c r="C54" s="7"/>
      <c r="D54" s="13"/>
      <c r="E54" s="14"/>
      <c r="F54" s="14"/>
      <c r="G54" s="14"/>
      <c r="H54" s="14"/>
      <c r="I54" s="43"/>
      <c r="J54" s="14"/>
      <c r="K54" s="44">
        <f>SUM(K55:K57)</f>
        <v>41.82</v>
      </c>
    </row>
    <row r="55" spans="1:28" s="76" customFormat="1" ht="30" customHeight="1" x14ac:dyDescent="0.3">
      <c r="A55" s="73"/>
      <c r="B55" s="74" t="s">
        <v>90</v>
      </c>
      <c r="C55" s="7"/>
      <c r="D55" s="64" t="s">
        <v>50</v>
      </c>
      <c r="E55" s="66">
        <v>3.7</v>
      </c>
      <c r="F55" s="66"/>
      <c r="G55" s="66">
        <v>3.7</v>
      </c>
      <c r="H55" s="66"/>
      <c r="I55" s="67">
        <v>0.5</v>
      </c>
      <c r="J55" s="66">
        <v>1</v>
      </c>
      <c r="K55" s="10">
        <f t="shared" si="0"/>
        <v>18.5</v>
      </c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 t="s">
        <v>91</v>
      </c>
      <c r="Z55" s="70">
        <v>2021</v>
      </c>
      <c r="AA55" s="69" t="s">
        <v>86</v>
      </c>
      <c r="AB55" s="75"/>
    </row>
    <row r="56" spans="1:28" s="76" customFormat="1" ht="30" customHeight="1" x14ac:dyDescent="0.3">
      <c r="A56" s="73"/>
      <c r="B56" s="77" t="s">
        <v>92</v>
      </c>
      <c r="C56" s="7"/>
      <c r="D56" s="64" t="s">
        <v>50</v>
      </c>
      <c r="E56" s="66">
        <v>11.16</v>
      </c>
      <c r="F56" s="66"/>
      <c r="G56" s="66">
        <v>11.16</v>
      </c>
      <c r="H56" s="66"/>
      <c r="I56" s="67">
        <v>0.2</v>
      </c>
      <c r="J56" s="66">
        <v>1</v>
      </c>
      <c r="K56" s="10">
        <f t="shared" si="0"/>
        <v>22.32</v>
      </c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 t="s">
        <v>91</v>
      </c>
      <c r="Z56" s="70">
        <v>2021</v>
      </c>
      <c r="AA56" s="69" t="s">
        <v>89</v>
      </c>
      <c r="AB56" s="75"/>
    </row>
    <row r="57" spans="1:28" s="76" customFormat="1" ht="21.9" customHeight="1" x14ac:dyDescent="0.3">
      <c r="A57" s="73"/>
      <c r="B57" s="78" t="s">
        <v>93</v>
      </c>
      <c r="C57" s="7"/>
      <c r="D57" s="64" t="s">
        <v>50</v>
      </c>
      <c r="E57" s="66">
        <v>1</v>
      </c>
      <c r="F57" s="66"/>
      <c r="G57" s="66">
        <v>1</v>
      </c>
      <c r="H57" s="66"/>
      <c r="I57" s="67">
        <v>0.1</v>
      </c>
      <c r="J57" s="66">
        <v>1</v>
      </c>
      <c r="K57" s="10">
        <f t="shared" si="0"/>
        <v>1</v>
      </c>
      <c r="L57" s="79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 t="s">
        <v>94</v>
      </c>
      <c r="Z57" s="81">
        <v>2021</v>
      </c>
      <c r="AA57" s="80" t="s">
        <v>89</v>
      </c>
      <c r="AB57" s="75"/>
    </row>
    <row r="59" spans="1:28" x14ac:dyDescent="0.35">
      <c r="B59" t="s">
        <v>95</v>
      </c>
    </row>
  </sheetData>
  <mergeCells count="11">
    <mergeCell ref="G6:G7"/>
    <mergeCell ref="H6:H7"/>
    <mergeCell ref="I6:I7"/>
    <mergeCell ref="J6:J7"/>
    <mergeCell ref="K6:K7"/>
    <mergeCell ref="F6:F7"/>
    <mergeCell ref="A6:A7"/>
    <mergeCell ref="B6:B7"/>
    <mergeCell ref="C6:C7"/>
    <mergeCell ref="D6:D7"/>
    <mergeCell ref="E6:E7"/>
  </mergeCells>
  <conditionalFormatting sqref="B29:B31">
    <cfRule type="expression" dxfId="115" priority="110" stopIfTrue="1">
      <formula>AND(COUNTIF($S:$S, B29)&gt;1,NOT(ISBLANK(B29)))</formula>
    </cfRule>
  </conditionalFormatting>
  <conditionalFormatting sqref="B35">
    <cfRule type="expression" dxfId="114" priority="109" stopIfTrue="1">
      <formula>AND(COUNTIF($B:$B, B35)&gt;1,NOT(ISBLANK(B35)))</formula>
    </cfRule>
  </conditionalFormatting>
  <conditionalFormatting sqref="B35:B36">
    <cfRule type="cellIs" dxfId="113" priority="106" stopIfTrue="1" operator="equal">
      <formula>0</formula>
    </cfRule>
    <cfRule type="cellIs" dxfId="112" priority="107" stopIfTrue="1" operator="equal">
      <formula>0</formula>
    </cfRule>
    <cfRule type="cellIs" dxfId="111" priority="108" stopIfTrue="1" operator="equal">
      <formula>0</formula>
    </cfRule>
  </conditionalFormatting>
  <conditionalFormatting sqref="D35:D37">
    <cfRule type="cellIs" dxfId="110" priority="103" stopIfTrue="1" operator="equal">
      <formula>0</formula>
    </cfRule>
    <cfRule type="cellIs" dxfId="109" priority="104" stopIfTrue="1" operator="equal">
      <formula>0</formula>
    </cfRule>
    <cfRule type="cellIs" dxfId="108" priority="105" stopIfTrue="1" operator="equal">
      <formula>0</formula>
    </cfRule>
  </conditionalFormatting>
  <conditionalFormatting sqref="D35:D37">
    <cfRule type="cellIs" dxfId="107" priority="99" stopIfTrue="1" operator="between">
      <formula>-0.0001</formula>
      <formula>0.0001</formula>
    </cfRule>
    <cfRule type="cellIs" dxfId="106" priority="100" stopIfTrue="1" operator="equal">
      <formula>0</formula>
    </cfRule>
    <cfRule type="cellIs" dxfId="105" priority="101" stopIfTrue="1" operator="equal">
      <formula>0</formula>
    </cfRule>
    <cfRule type="cellIs" dxfId="104" priority="102" stopIfTrue="1" operator="equal">
      <formula>0</formula>
    </cfRule>
  </conditionalFormatting>
  <conditionalFormatting sqref="D35:D37">
    <cfRule type="cellIs" dxfId="103" priority="94" stopIfTrue="1" operator="between">
      <formula>-0.0001</formula>
      <formula>0.0001</formula>
    </cfRule>
    <cfRule type="cellIs" dxfId="102" priority="95" stopIfTrue="1" operator="between">
      <formula>-0.0001</formula>
      <formula>0.00001</formula>
    </cfRule>
    <cfRule type="cellIs" dxfId="101" priority="96" stopIfTrue="1" operator="equal">
      <formula>0</formula>
    </cfRule>
    <cfRule type="cellIs" dxfId="100" priority="97" stopIfTrue="1" operator="equal">
      <formula>0</formula>
    </cfRule>
    <cfRule type="cellIs" dxfId="99" priority="98" stopIfTrue="1" operator="equal">
      <formula>0</formula>
    </cfRule>
  </conditionalFormatting>
  <conditionalFormatting sqref="D35:D37">
    <cfRule type="cellIs" dxfId="98" priority="90" stopIfTrue="1" operator="between">
      <formula>-0.0001</formula>
      <formula>0.00001</formula>
    </cfRule>
    <cfRule type="cellIs" dxfId="97" priority="91" stopIfTrue="1" operator="equal">
      <formula>0</formula>
    </cfRule>
    <cfRule type="cellIs" dxfId="96" priority="92" stopIfTrue="1" operator="equal">
      <formula>0</formula>
    </cfRule>
    <cfRule type="cellIs" dxfId="95" priority="93" stopIfTrue="1" operator="equal">
      <formula>0</formula>
    </cfRule>
  </conditionalFormatting>
  <conditionalFormatting sqref="B36">
    <cfRule type="cellIs" dxfId="94" priority="87" stopIfTrue="1" operator="equal">
      <formula>0</formula>
    </cfRule>
    <cfRule type="cellIs" dxfId="93" priority="88" stopIfTrue="1" operator="equal">
      <formula>0</formula>
    </cfRule>
    <cfRule type="cellIs" dxfId="92" priority="89" stopIfTrue="1" operator="equal">
      <formula>0</formula>
    </cfRule>
  </conditionalFormatting>
  <conditionalFormatting sqref="B36">
    <cfRule type="cellIs" dxfId="91" priority="85" stopIfTrue="1" operator="equal">
      <formula>0</formula>
    </cfRule>
    <cfRule type="cellIs" dxfId="90" priority="86" stopIfTrue="1" operator="between">
      <formula>-0.0001</formula>
      <formula>0.0001</formula>
    </cfRule>
  </conditionalFormatting>
  <conditionalFormatting sqref="D36">
    <cfRule type="cellIs" dxfId="89" priority="82" stopIfTrue="1" operator="equal">
      <formula>0</formula>
    </cfRule>
    <cfRule type="cellIs" dxfId="88" priority="83" stopIfTrue="1" operator="equal">
      <formula>0</formula>
    </cfRule>
    <cfRule type="cellIs" dxfId="87" priority="84" stopIfTrue="1" operator="equal">
      <formula>0</formula>
    </cfRule>
  </conditionalFormatting>
  <conditionalFormatting sqref="D38:D49">
    <cfRule type="cellIs" dxfId="86" priority="79" stopIfTrue="1" operator="equal">
      <formula>0</formula>
    </cfRule>
    <cfRule type="cellIs" dxfId="85" priority="80" stopIfTrue="1" operator="equal">
      <formula>0</formula>
    </cfRule>
    <cfRule type="cellIs" dxfId="84" priority="81" stopIfTrue="1" operator="equal">
      <formula>0</formula>
    </cfRule>
  </conditionalFormatting>
  <conditionalFormatting sqref="D38:D49">
    <cfRule type="cellIs" dxfId="83" priority="75" stopIfTrue="1" operator="between">
      <formula>-0.0001</formula>
      <formula>0.0001</formula>
    </cfRule>
    <cfRule type="cellIs" dxfId="82" priority="76" stopIfTrue="1" operator="equal">
      <formula>0</formula>
    </cfRule>
    <cfRule type="cellIs" dxfId="81" priority="77" stopIfTrue="1" operator="equal">
      <formula>0</formula>
    </cfRule>
    <cfRule type="cellIs" dxfId="80" priority="78" stopIfTrue="1" operator="equal">
      <formula>0</formula>
    </cfRule>
  </conditionalFormatting>
  <conditionalFormatting sqref="D38:D49">
    <cfRule type="cellIs" dxfId="79" priority="70" stopIfTrue="1" operator="between">
      <formula>-0.0001</formula>
      <formula>0.0001</formula>
    </cfRule>
    <cfRule type="cellIs" dxfId="78" priority="71" stopIfTrue="1" operator="between">
      <formula>-0.0001</formula>
      <formula>0.00001</formula>
    </cfRule>
    <cfRule type="cellIs" dxfId="77" priority="72" stopIfTrue="1" operator="equal">
      <formula>0</formula>
    </cfRule>
    <cfRule type="cellIs" dxfId="76" priority="73" stopIfTrue="1" operator="equal">
      <formula>0</formula>
    </cfRule>
    <cfRule type="cellIs" dxfId="75" priority="74" stopIfTrue="1" operator="equal">
      <formula>0</formula>
    </cfRule>
  </conditionalFormatting>
  <conditionalFormatting sqref="D34">
    <cfRule type="cellIs" dxfId="74" priority="67" stopIfTrue="1" operator="equal">
      <formula>0</formula>
    </cfRule>
    <cfRule type="cellIs" dxfId="73" priority="68" stopIfTrue="1" operator="equal">
      <formula>0</formula>
    </cfRule>
    <cfRule type="cellIs" dxfId="72" priority="69" stopIfTrue="1" operator="equal">
      <formula>0</formula>
    </cfRule>
  </conditionalFormatting>
  <conditionalFormatting sqref="D34">
    <cfRule type="cellIs" dxfId="71" priority="63" stopIfTrue="1" operator="between">
      <formula>-0.0001</formula>
      <formula>0.0001</formula>
    </cfRule>
    <cfRule type="cellIs" dxfId="70" priority="64" stopIfTrue="1" operator="equal">
      <formula>0</formula>
    </cfRule>
    <cfRule type="cellIs" dxfId="69" priority="65" stopIfTrue="1" operator="equal">
      <formula>0</formula>
    </cfRule>
    <cfRule type="cellIs" dxfId="68" priority="66" stopIfTrue="1" operator="equal">
      <formula>0</formula>
    </cfRule>
  </conditionalFormatting>
  <conditionalFormatting sqref="D34">
    <cfRule type="cellIs" dxfId="67" priority="58" stopIfTrue="1" operator="between">
      <formula>-0.0001</formula>
      <formula>0.0001</formula>
    </cfRule>
    <cfRule type="cellIs" dxfId="66" priority="59" stopIfTrue="1" operator="between">
      <formula>-0.0001</formula>
      <formula>0.00001</formula>
    </cfRule>
    <cfRule type="cellIs" dxfId="65" priority="60" stopIfTrue="1" operator="equal">
      <formula>0</formula>
    </cfRule>
    <cfRule type="cellIs" dxfId="64" priority="61" stopIfTrue="1" operator="equal">
      <formula>0</formula>
    </cfRule>
    <cfRule type="cellIs" dxfId="63" priority="62" stopIfTrue="1" operator="equal">
      <formula>0</formula>
    </cfRule>
  </conditionalFormatting>
  <conditionalFormatting sqref="D28">
    <cfRule type="cellIs" dxfId="62" priority="55" stopIfTrue="1" operator="equal">
      <formula>0</formula>
    </cfRule>
    <cfRule type="cellIs" dxfId="61" priority="56" stopIfTrue="1" operator="equal">
      <formula>0</formula>
    </cfRule>
    <cfRule type="cellIs" dxfId="60" priority="57" stopIfTrue="1" operator="equal">
      <formula>0</formula>
    </cfRule>
  </conditionalFormatting>
  <conditionalFormatting sqref="D28">
    <cfRule type="cellIs" dxfId="59" priority="51" stopIfTrue="1" operator="between">
      <formula>-0.0001</formula>
      <formula>0.0001</formula>
    </cfRule>
    <cfRule type="cellIs" dxfId="58" priority="52" stopIfTrue="1" operator="equal">
      <formula>0</formula>
    </cfRule>
    <cfRule type="cellIs" dxfId="57" priority="53" stopIfTrue="1" operator="equal">
      <formula>0</formula>
    </cfRule>
    <cfRule type="cellIs" dxfId="56" priority="54" stopIfTrue="1" operator="equal">
      <formula>0</formula>
    </cfRule>
  </conditionalFormatting>
  <conditionalFormatting sqref="D28">
    <cfRule type="cellIs" dxfId="55" priority="46" stopIfTrue="1" operator="between">
      <formula>-0.0001</formula>
      <formula>0.0001</formula>
    </cfRule>
    <cfRule type="cellIs" dxfId="54" priority="47" stopIfTrue="1" operator="between">
      <formula>-0.0001</formula>
      <formula>0.00001</formula>
    </cfRule>
    <cfRule type="cellIs" dxfId="53" priority="48" stopIfTrue="1" operator="equal">
      <formula>0</formula>
    </cfRule>
    <cfRule type="cellIs" dxfId="52" priority="49" stopIfTrue="1" operator="equal">
      <formula>0</formula>
    </cfRule>
    <cfRule type="cellIs" dxfId="51" priority="50" stopIfTrue="1" operator="equal">
      <formula>0</formula>
    </cfRule>
  </conditionalFormatting>
  <conditionalFormatting sqref="D28">
    <cfRule type="cellIs" dxfId="50" priority="42" stopIfTrue="1" operator="between">
      <formula>-0.0001</formula>
      <formula>0.00001</formula>
    </cfRule>
    <cfRule type="cellIs" dxfId="49" priority="43" stopIfTrue="1" operator="equal">
      <formula>0</formula>
    </cfRule>
    <cfRule type="cellIs" dxfId="48" priority="44" stopIfTrue="1" operator="equal">
      <formula>0</formula>
    </cfRule>
    <cfRule type="cellIs" dxfId="47" priority="45" stopIfTrue="1" operator="equal">
      <formula>0</formula>
    </cfRule>
  </conditionalFormatting>
  <conditionalFormatting sqref="D11">
    <cfRule type="cellIs" dxfId="46" priority="39" stopIfTrue="1" operator="equal">
      <formula>0</formula>
    </cfRule>
    <cfRule type="cellIs" dxfId="45" priority="40" stopIfTrue="1" operator="equal">
      <formula>0</formula>
    </cfRule>
    <cfRule type="cellIs" dxfId="44" priority="41" stopIfTrue="1" operator="equal">
      <formula>0</formula>
    </cfRule>
  </conditionalFormatting>
  <conditionalFormatting sqref="D11">
    <cfRule type="cellIs" dxfId="43" priority="35" stopIfTrue="1" operator="between">
      <formula>-0.0001</formula>
      <formula>0.0001</formula>
    </cfRule>
    <cfRule type="cellIs" dxfId="42" priority="36" stopIfTrue="1" operator="equal">
      <formula>0</formula>
    </cfRule>
    <cfRule type="cellIs" dxfId="41" priority="37" stopIfTrue="1" operator="equal">
      <formula>0</formula>
    </cfRule>
    <cfRule type="cellIs" dxfId="40" priority="38" stopIfTrue="1" operator="equal">
      <formula>0</formula>
    </cfRule>
  </conditionalFormatting>
  <conditionalFormatting sqref="D11">
    <cfRule type="cellIs" dxfId="39" priority="30" stopIfTrue="1" operator="between">
      <formula>-0.0001</formula>
      <formula>0.0001</formula>
    </cfRule>
    <cfRule type="cellIs" dxfId="38" priority="31" stopIfTrue="1" operator="between">
      <formula>-0.0001</formula>
      <formula>0.00001</formula>
    </cfRule>
    <cfRule type="cellIs" dxfId="37" priority="32" stopIfTrue="1" operator="equal">
      <formula>0</formula>
    </cfRule>
    <cfRule type="cellIs" dxfId="36" priority="33" stopIfTrue="1" operator="equal">
      <formula>0</formula>
    </cfRule>
    <cfRule type="cellIs" dxfId="35" priority="34" stopIfTrue="1" operator="equal">
      <formula>0</formula>
    </cfRule>
  </conditionalFormatting>
  <conditionalFormatting sqref="D11">
    <cfRule type="cellIs" dxfId="34" priority="26" stopIfTrue="1" operator="between">
      <formula>-0.0001</formula>
      <formula>0.00001</formula>
    </cfRule>
    <cfRule type="cellIs" dxfId="33" priority="27" stopIfTrue="1" operator="equal">
      <formula>0</formula>
    </cfRule>
    <cfRule type="cellIs" dxfId="32" priority="28" stopIfTrue="1" operator="equal">
      <formula>0</formula>
    </cfRule>
    <cfRule type="cellIs" dxfId="31" priority="29" stopIfTrue="1" operator="equal">
      <formula>0</formula>
    </cfRule>
  </conditionalFormatting>
  <conditionalFormatting sqref="B57 B52">
    <cfRule type="expression" dxfId="30" priority="25" stopIfTrue="1">
      <formula>AND(COUNTIF($A:$A, B52)&gt;1,NOT(ISBLANK(B52)))</formula>
    </cfRule>
  </conditionalFormatting>
  <conditionalFormatting sqref="B56">
    <cfRule type="cellIs" dxfId="29" priority="22" stopIfTrue="1" operator="equal">
      <formula>0</formula>
    </cfRule>
    <cfRule type="cellIs" dxfId="28" priority="23" stopIfTrue="1" operator="equal">
      <formula>0</formula>
    </cfRule>
    <cfRule type="cellIs" dxfId="27" priority="24" stopIfTrue="1" operator="equal">
      <formula>0</formula>
    </cfRule>
  </conditionalFormatting>
  <conditionalFormatting sqref="B56">
    <cfRule type="cellIs" dxfId="26" priority="20" stopIfTrue="1" operator="equal">
      <formula>0</formula>
    </cfRule>
    <cfRule type="cellIs" dxfId="25" priority="21" stopIfTrue="1" operator="between">
      <formula>-0.0001</formula>
      <formula>0.0001</formula>
    </cfRule>
  </conditionalFormatting>
  <conditionalFormatting sqref="B52">
    <cfRule type="cellIs" dxfId="24" priority="17" stopIfTrue="1" operator="equal">
      <formula>0</formula>
    </cfRule>
    <cfRule type="cellIs" dxfId="23" priority="18" stopIfTrue="1" operator="equal">
      <formula>0</formula>
    </cfRule>
    <cfRule type="cellIs" dxfId="22" priority="19" stopIfTrue="1" operator="equal">
      <formula>0</formula>
    </cfRule>
  </conditionalFormatting>
  <conditionalFormatting sqref="D54">
    <cfRule type="cellIs" dxfId="21" priority="14" stopIfTrue="1" operator="equal">
      <formula>0</formula>
    </cfRule>
    <cfRule type="cellIs" dxfId="20" priority="15" stopIfTrue="1" operator="equal">
      <formula>0</formula>
    </cfRule>
    <cfRule type="cellIs" dxfId="19" priority="16" stopIfTrue="1" operator="equal">
      <formula>0</formula>
    </cfRule>
  </conditionalFormatting>
  <conditionalFormatting sqref="D54">
    <cfRule type="cellIs" dxfId="18" priority="10" stopIfTrue="1" operator="between">
      <formula>-0.0001</formula>
      <formula>0.0001</formula>
    </cfRule>
    <cfRule type="cellIs" dxfId="17" priority="11" stopIfTrue="1" operator="equal">
      <formula>0</formula>
    </cfRule>
    <cfRule type="cellIs" dxfId="16" priority="12" stopIfTrue="1" operator="equal">
      <formula>0</formula>
    </cfRule>
    <cfRule type="cellIs" dxfId="15" priority="13" stopIfTrue="1" operator="equal">
      <formula>0</formula>
    </cfRule>
  </conditionalFormatting>
  <conditionalFormatting sqref="D54">
    <cfRule type="cellIs" dxfId="14" priority="5" stopIfTrue="1" operator="between">
      <formula>-0.0001</formula>
      <formula>0.0001</formula>
    </cfRule>
    <cfRule type="cellIs" dxfId="13" priority="6" stopIfTrue="1" operator="between">
      <formula>-0.0001</formula>
      <formula>0.00001</formula>
    </cfRule>
    <cfRule type="cellIs" dxfId="12" priority="7" stopIfTrue="1" operator="equal">
      <formula>0</formula>
    </cfRule>
    <cfRule type="cellIs" dxfId="11" priority="8" stopIfTrue="1" operator="equal">
      <formula>0</formula>
    </cfRule>
    <cfRule type="cellIs" dxfId="10" priority="9" stopIfTrue="1" operator="equal">
      <formula>0</formula>
    </cfRule>
  </conditionalFormatting>
  <conditionalFormatting sqref="D54">
    <cfRule type="cellIs" dxfId="9" priority="1" stopIfTrue="1" operator="between">
      <formula>-0.0001</formula>
      <formula>0.00001</formula>
    </cfRule>
    <cfRule type="cellIs" dxfId="8" priority="2" stopIfTrue="1" operator="equal">
      <formula>0</formula>
    </cfRule>
    <cfRule type="cellIs" dxfId="7" priority="3" stopIfTrue="1" operator="equal">
      <formula>0</formula>
    </cfRule>
    <cfRule type="cellIs" dxfId="6" priority="4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topLeftCell="A2" workbookViewId="0">
      <selection activeCell="F10" sqref="F10:F11"/>
    </sheetView>
  </sheetViews>
  <sheetFormatPr defaultRowHeight="15.6" x14ac:dyDescent="0.3"/>
  <cols>
    <col min="1" max="1" width="6.3984375" customWidth="1"/>
    <col min="2" max="2" width="18.8984375" customWidth="1"/>
    <col min="3" max="3" width="11.8984375" customWidth="1"/>
    <col min="4" max="4" width="13.5" customWidth="1"/>
    <col min="5" max="5" width="13.69921875" customWidth="1"/>
    <col min="6" max="6" width="13.3984375" customWidth="1"/>
    <col min="7" max="7" width="13.09765625" customWidth="1"/>
    <col min="8" max="8" width="11.5" hidden="1" customWidth="1"/>
    <col min="9" max="9" width="11.09765625" hidden="1" customWidth="1"/>
    <col min="10" max="12" width="10.3984375" hidden="1" customWidth="1"/>
    <col min="13" max="15" width="11.09765625" hidden="1" customWidth="1"/>
    <col min="16" max="17" width="10.59765625" hidden="1" customWidth="1"/>
    <col min="18" max="18" width="12.09765625" hidden="1" customWidth="1"/>
    <col min="19" max="19" width="11" hidden="1" customWidth="1"/>
    <col min="20" max="21" width="9" hidden="1" customWidth="1"/>
    <col min="22" max="22" width="9.09765625" hidden="1" customWidth="1"/>
    <col min="23" max="23" width="9" hidden="1" customWidth="1"/>
    <col min="24" max="24" width="8.59765625" hidden="1" customWidth="1"/>
    <col min="25" max="25" width="10.5" hidden="1" customWidth="1"/>
    <col min="26" max="26" width="11.09765625" hidden="1" customWidth="1"/>
    <col min="27" max="28" width="10.8984375" hidden="1" customWidth="1"/>
    <col min="29" max="30" width="9" hidden="1" customWidth="1"/>
    <col min="31" max="31" width="9.3984375" hidden="1" customWidth="1"/>
    <col min="32" max="32" width="10.09765625" hidden="1" customWidth="1"/>
    <col min="33" max="33" width="9" hidden="1" customWidth="1"/>
    <col min="34" max="34" width="10.19921875" hidden="1" customWidth="1"/>
    <col min="35" max="35" width="11.8984375" hidden="1" customWidth="1"/>
    <col min="36" max="36" width="11.5" hidden="1" customWidth="1"/>
    <col min="37" max="37" width="12.3984375" hidden="1" customWidth="1"/>
    <col min="38" max="38" width="11.69921875" hidden="1" customWidth="1"/>
    <col min="39" max="39" width="9" hidden="1" customWidth="1"/>
    <col min="40" max="40" width="11.8984375" hidden="1" customWidth="1"/>
    <col min="41" max="41" width="5.3984375" hidden="1" customWidth="1"/>
    <col min="42" max="42" width="11.59765625" hidden="1" customWidth="1"/>
  </cols>
  <sheetData>
    <row r="1" spans="1:42" hidden="1" x14ac:dyDescent="0.3"/>
    <row r="2" spans="1:42" ht="19.5" customHeight="1" x14ac:dyDescent="0.3">
      <c r="A2" s="408" t="s">
        <v>283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</row>
    <row r="3" spans="1:42" ht="17.399999999999999" x14ac:dyDescent="0.3">
      <c r="A3" s="351" t="s">
        <v>196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42" ht="16.8" x14ac:dyDescent="0.3">
      <c r="A4" s="358" t="s">
        <v>251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42" ht="21.75" customHeight="1" x14ac:dyDescent="0.3">
      <c r="A5" s="352" t="s">
        <v>197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</row>
    <row r="6" spans="1:42" ht="24" customHeight="1" x14ac:dyDescent="0.3">
      <c r="A6" s="354" t="s">
        <v>0</v>
      </c>
      <c r="B6" s="354" t="s">
        <v>198</v>
      </c>
      <c r="C6" s="359" t="s">
        <v>252</v>
      </c>
      <c r="D6" s="360"/>
      <c r="E6" s="360"/>
      <c r="F6" s="360"/>
      <c r="G6" s="361"/>
      <c r="H6" s="353" t="s">
        <v>250</v>
      </c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U6" s="342" t="s">
        <v>266</v>
      </c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4"/>
      <c r="AK6" s="345" t="s">
        <v>267</v>
      </c>
      <c r="AL6" s="346"/>
    </row>
    <row r="7" spans="1:42" ht="21" customHeight="1" x14ac:dyDescent="0.3">
      <c r="A7" s="362"/>
      <c r="B7" s="362"/>
      <c r="C7" s="354" t="s">
        <v>199</v>
      </c>
      <c r="D7" s="356" t="s">
        <v>240</v>
      </c>
      <c r="E7" s="357"/>
      <c r="F7" s="356" t="s">
        <v>200</v>
      </c>
      <c r="G7" s="357"/>
      <c r="H7" s="354" t="s">
        <v>209</v>
      </c>
      <c r="I7" s="354" t="s">
        <v>210</v>
      </c>
      <c r="J7" s="354"/>
      <c r="K7" s="275"/>
      <c r="L7" s="354" t="s">
        <v>183</v>
      </c>
      <c r="M7" s="354"/>
      <c r="N7" s="275"/>
      <c r="O7" s="354" t="s">
        <v>184</v>
      </c>
      <c r="P7" s="354"/>
      <c r="Q7" s="275"/>
      <c r="R7" s="354" t="s">
        <v>185</v>
      </c>
      <c r="S7" s="354"/>
      <c r="U7" s="350" t="s">
        <v>209</v>
      </c>
      <c r="V7" s="350"/>
      <c r="W7" s="350" t="s">
        <v>210</v>
      </c>
      <c r="X7" s="350"/>
      <c r="Y7" s="305"/>
      <c r="Z7" s="305"/>
      <c r="AA7" s="350" t="s">
        <v>183</v>
      </c>
      <c r="AB7" s="350"/>
      <c r="AC7" s="350" t="s">
        <v>184</v>
      </c>
      <c r="AD7" s="350"/>
      <c r="AE7" s="350"/>
      <c r="AF7" s="350"/>
      <c r="AG7" s="350" t="s">
        <v>185</v>
      </c>
      <c r="AH7" s="350"/>
      <c r="AI7" s="350"/>
      <c r="AJ7" s="350"/>
      <c r="AK7" s="347"/>
      <c r="AL7" s="348"/>
    </row>
    <row r="8" spans="1:42" ht="46.8" x14ac:dyDescent="0.3">
      <c r="A8" s="355"/>
      <c r="B8" s="355"/>
      <c r="C8" s="355"/>
      <c r="D8" s="276" t="s">
        <v>248</v>
      </c>
      <c r="E8" s="276" t="s">
        <v>249</v>
      </c>
      <c r="F8" s="275" t="s">
        <v>201</v>
      </c>
      <c r="G8" s="275" t="s">
        <v>202</v>
      </c>
      <c r="H8" s="355"/>
      <c r="I8" s="355"/>
      <c r="J8" s="355"/>
      <c r="K8" s="277"/>
      <c r="L8" s="355"/>
      <c r="M8" s="355"/>
      <c r="N8" s="277"/>
      <c r="O8" s="355"/>
      <c r="P8" s="355"/>
      <c r="Q8" s="277"/>
      <c r="R8" s="355"/>
      <c r="S8" s="355"/>
      <c r="U8" s="318" t="s">
        <v>255</v>
      </c>
      <c r="V8" s="318" t="s">
        <v>256</v>
      </c>
      <c r="W8" s="318" t="s">
        <v>255</v>
      </c>
      <c r="X8" s="318" t="s">
        <v>256</v>
      </c>
      <c r="Y8" s="319" t="s">
        <v>262</v>
      </c>
      <c r="Z8" s="319" t="s">
        <v>261</v>
      </c>
      <c r="AA8" s="318" t="s">
        <v>255</v>
      </c>
      <c r="AB8" s="318" t="s">
        <v>256</v>
      </c>
      <c r="AC8" s="319" t="s">
        <v>262</v>
      </c>
      <c r="AD8" s="319" t="s">
        <v>261</v>
      </c>
      <c r="AE8" s="318" t="s">
        <v>255</v>
      </c>
      <c r="AF8" s="318" t="s">
        <v>256</v>
      </c>
      <c r="AG8" s="319" t="s">
        <v>262</v>
      </c>
      <c r="AH8" s="319" t="s">
        <v>261</v>
      </c>
      <c r="AI8" s="318" t="s">
        <v>255</v>
      </c>
      <c r="AJ8" s="318" t="s">
        <v>256</v>
      </c>
      <c r="AK8" s="318" t="s">
        <v>255</v>
      </c>
      <c r="AL8" s="318" t="s">
        <v>256</v>
      </c>
      <c r="AM8" s="321" t="s">
        <v>201</v>
      </c>
      <c r="AN8" s="298"/>
      <c r="AO8" s="298"/>
      <c r="AP8" s="298"/>
    </row>
    <row r="9" spans="1:42" s="221" customFormat="1" ht="20.100000000000001" customHeight="1" x14ac:dyDescent="0.3">
      <c r="A9" s="278"/>
      <c r="B9" s="279" t="s">
        <v>203</v>
      </c>
      <c r="C9" s="280">
        <f>C10+C11</f>
        <v>1231699.7104549999</v>
      </c>
      <c r="D9" s="280">
        <f t="shared" ref="D9:R9" si="0">D10+D11</f>
        <v>467663.71045499993</v>
      </c>
      <c r="E9" s="280">
        <f t="shared" si="0"/>
        <v>764036</v>
      </c>
      <c r="F9" s="280">
        <f t="shared" si="0"/>
        <v>379100.37104549998</v>
      </c>
      <c r="G9" s="280">
        <f t="shared" si="0"/>
        <v>852600.33940950001</v>
      </c>
      <c r="H9" s="280">
        <f t="shared" si="0"/>
        <v>118860.71045500001</v>
      </c>
      <c r="I9" s="280">
        <f t="shared" si="0"/>
        <v>167437.20000000001</v>
      </c>
      <c r="J9" s="280">
        <f t="shared" si="0"/>
        <v>62769.2</v>
      </c>
      <c r="K9" s="280">
        <f t="shared" si="0"/>
        <v>104668</v>
      </c>
      <c r="L9" s="280">
        <f t="shared" si="0"/>
        <v>205999.8</v>
      </c>
      <c r="M9" s="280">
        <f t="shared" si="0"/>
        <v>130366.8</v>
      </c>
      <c r="N9" s="280">
        <f t="shared" si="0"/>
        <v>75633</v>
      </c>
      <c r="O9" s="280">
        <f t="shared" si="0"/>
        <v>278800</v>
      </c>
      <c r="P9" s="280">
        <f t="shared" si="0"/>
        <v>197300.00000000003</v>
      </c>
      <c r="Q9" s="280">
        <f t="shared" si="0"/>
        <v>81500</v>
      </c>
      <c r="R9" s="280">
        <f t="shared" si="0"/>
        <v>417000</v>
      </c>
      <c r="S9" s="280"/>
      <c r="T9" s="303"/>
      <c r="U9" s="280">
        <f>SUM(U12:U19)</f>
        <v>11886.071045500001</v>
      </c>
      <c r="V9" s="280">
        <f t="shared" ref="V9:X9" si="1">SUM(V12:V19)</f>
        <v>106974.6394095</v>
      </c>
      <c r="W9" s="280">
        <f t="shared" si="1"/>
        <v>39357.26</v>
      </c>
      <c r="X9" s="280">
        <f t="shared" si="1"/>
        <v>128079.94000000002</v>
      </c>
      <c r="Y9" s="306"/>
      <c r="Z9" s="306"/>
      <c r="AA9" s="307">
        <f>SUM(AA12:AA19)</f>
        <v>61010.04</v>
      </c>
      <c r="AB9" s="307">
        <f>SUM(AB12:AB19)</f>
        <v>144989.76000000001</v>
      </c>
      <c r="AC9" s="307">
        <f t="shared" ref="AC9:AH9" si="2">SUM(AC12:AC19)</f>
        <v>6450</v>
      </c>
      <c r="AD9" s="307">
        <f t="shared" si="2"/>
        <v>77690.000000000015</v>
      </c>
      <c r="AE9" s="307">
        <f t="shared" si="2"/>
        <v>84140.000000000015</v>
      </c>
      <c r="AF9" s="307">
        <f t="shared" si="2"/>
        <v>194660</v>
      </c>
      <c r="AG9" s="307">
        <f t="shared" si="2"/>
        <v>7000</v>
      </c>
      <c r="AH9" s="307">
        <f t="shared" si="2"/>
        <v>132120</v>
      </c>
      <c r="AI9" s="307">
        <f t="shared" ref="AI9" si="3">SUM(AI12:AI19)</f>
        <v>139120</v>
      </c>
      <c r="AJ9" s="307">
        <f t="shared" ref="AJ9" si="4">SUM(AJ12:AJ19)</f>
        <v>277880</v>
      </c>
      <c r="AK9" s="307">
        <f t="shared" ref="AK9" si="5">SUM(AK12:AK19)</f>
        <v>335500.37104549998</v>
      </c>
      <c r="AL9" s="307">
        <f t="shared" ref="AL9" si="6">SUM(AL12:AL19)</f>
        <v>852600.33940950013</v>
      </c>
      <c r="AM9" s="322" t="s">
        <v>271</v>
      </c>
      <c r="AN9" s="322"/>
      <c r="AO9" s="322"/>
      <c r="AP9" s="323">
        <v>30800</v>
      </c>
    </row>
    <row r="10" spans="1:42" s="334" customFormat="1" ht="20.100000000000001" customHeight="1" x14ac:dyDescent="0.3">
      <c r="A10" s="327" t="s">
        <v>13</v>
      </c>
      <c r="B10" s="335" t="s">
        <v>272</v>
      </c>
      <c r="C10" s="328">
        <f>D10+E10</f>
        <v>43600</v>
      </c>
      <c r="D10" s="328"/>
      <c r="E10" s="328">
        <v>43600</v>
      </c>
      <c r="F10" s="328">
        <f>E10</f>
        <v>43600</v>
      </c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9"/>
      <c r="U10" s="328"/>
      <c r="V10" s="328"/>
      <c r="W10" s="328">
        <v>43600</v>
      </c>
      <c r="X10" s="328"/>
      <c r="Y10" s="330"/>
      <c r="Z10" s="330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2"/>
      <c r="AN10" s="332"/>
      <c r="AO10" s="332"/>
      <c r="AP10" s="333">
        <v>4300</v>
      </c>
    </row>
    <row r="11" spans="1:42" s="334" customFormat="1" ht="20.100000000000001" customHeight="1" x14ac:dyDescent="0.3">
      <c r="A11" s="327" t="s">
        <v>18</v>
      </c>
      <c r="B11" s="335" t="s">
        <v>273</v>
      </c>
      <c r="C11" s="328">
        <f>SUM(C12:C19)</f>
        <v>1188099.7104549999</v>
      </c>
      <c r="D11" s="328">
        <f t="shared" ref="D11:R11" si="7">SUM(D12:D19)</f>
        <v>467663.71045499993</v>
      </c>
      <c r="E11" s="328">
        <f t="shared" si="7"/>
        <v>720436</v>
      </c>
      <c r="F11" s="328">
        <f t="shared" si="7"/>
        <v>335500.37104549998</v>
      </c>
      <c r="G11" s="328">
        <f t="shared" si="7"/>
        <v>852600.33940950001</v>
      </c>
      <c r="H11" s="328">
        <f t="shared" si="7"/>
        <v>118860.71045500001</v>
      </c>
      <c r="I11" s="328">
        <f t="shared" si="7"/>
        <v>167437.20000000001</v>
      </c>
      <c r="J11" s="328">
        <f t="shared" si="7"/>
        <v>62769.2</v>
      </c>
      <c r="K11" s="328">
        <f t="shared" si="7"/>
        <v>104668</v>
      </c>
      <c r="L11" s="328">
        <f t="shared" si="7"/>
        <v>205999.8</v>
      </c>
      <c r="M11" s="328">
        <f t="shared" si="7"/>
        <v>130366.8</v>
      </c>
      <c r="N11" s="328">
        <f t="shared" si="7"/>
        <v>75633</v>
      </c>
      <c r="O11" s="328">
        <f t="shared" si="7"/>
        <v>278800</v>
      </c>
      <c r="P11" s="328">
        <f t="shared" si="7"/>
        <v>197300.00000000003</v>
      </c>
      <c r="Q11" s="328">
        <f t="shared" si="7"/>
        <v>81500</v>
      </c>
      <c r="R11" s="328">
        <f t="shared" si="7"/>
        <v>417000</v>
      </c>
      <c r="S11" s="328"/>
      <c r="T11" s="329"/>
      <c r="U11" s="328"/>
      <c r="V11" s="328"/>
      <c r="W11" s="328"/>
      <c r="X11" s="328"/>
      <c r="Y11" s="330"/>
      <c r="Z11" s="330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2"/>
      <c r="AN11" s="332"/>
      <c r="AO11" s="332"/>
      <c r="AP11" s="333">
        <f>AP9+AP10</f>
        <v>35100</v>
      </c>
    </row>
    <row r="12" spans="1:42" ht="20.100000000000001" customHeight="1" x14ac:dyDescent="0.3">
      <c r="A12" s="281">
        <v>1</v>
      </c>
      <c r="B12" s="58" t="s">
        <v>104</v>
      </c>
      <c r="C12" s="282">
        <f t="shared" ref="C12:C19" si="8">D12+E12</f>
        <v>682765.505412</v>
      </c>
      <c r="D12" s="282">
        <f>'Biểu 6'!C8</f>
        <v>338804.505412</v>
      </c>
      <c r="E12" s="282">
        <f>'Biểu 5'!P33</f>
        <v>343961</v>
      </c>
      <c r="F12" s="282">
        <f>AK12</f>
        <v>205847.75054120002</v>
      </c>
      <c r="G12" s="283">
        <f>C12-F12+1</f>
        <v>476918.75487079995</v>
      </c>
      <c r="H12" s="284">
        <f>'Biểu 6'!F8</f>
        <v>80363.505411999999</v>
      </c>
      <c r="I12" s="284">
        <f>J12+K12</f>
        <v>140000</v>
      </c>
      <c r="J12" s="282">
        <f>'Biểu 5'!S33</f>
        <v>61561</v>
      </c>
      <c r="K12" s="285">
        <f>'Biểu 6'!G8</f>
        <v>78439</v>
      </c>
      <c r="L12" s="287">
        <f>M12+N12</f>
        <v>135000</v>
      </c>
      <c r="M12" s="282">
        <f>'Biểu 5'!T33</f>
        <v>80000</v>
      </c>
      <c r="N12" s="285">
        <f>'Biểu 6'!H8</f>
        <v>55000</v>
      </c>
      <c r="O12" s="285">
        <f>P12+Q12</f>
        <v>138400.00000000003</v>
      </c>
      <c r="P12" s="282">
        <f>'Biểu 5'!V33</f>
        <v>78400.000000000029</v>
      </c>
      <c r="Q12" s="282">
        <f>'Biểu 6'!I8</f>
        <v>60000</v>
      </c>
      <c r="R12" s="282">
        <f>S12+T12</f>
        <v>189000</v>
      </c>
      <c r="S12" s="282">
        <f>'Biểu 5'!W33</f>
        <v>124000</v>
      </c>
      <c r="T12">
        <f>'Biểu 6'!J8</f>
        <v>65000</v>
      </c>
      <c r="U12" s="308">
        <f>H12*0.1</f>
        <v>8036.3505412000004</v>
      </c>
      <c r="V12" s="309">
        <f>H12-U12</f>
        <v>72327.154870800005</v>
      </c>
      <c r="W12" s="310">
        <f>J12*0.5+K12*0.1</f>
        <v>38624.400000000001</v>
      </c>
      <c r="X12" s="305">
        <f>I12-W12</f>
        <v>101375.6</v>
      </c>
      <c r="Y12" s="305">
        <f>N12*0.1</f>
        <v>5500</v>
      </c>
      <c r="Z12" s="305">
        <f>M12*0.5</f>
        <v>40000</v>
      </c>
      <c r="AA12" s="312">
        <f>Y12+Z12</f>
        <v>45500</v>
      </c>
      <c r="AB12" s="313">
        <f>L12-AA12</f>
        <v>89500</v>
      </c>
      <c r="AC12" s="314">
        <f>Q12*0.1</f>
        <v>6000</v>
      </c>
      <c r="AD12" s="315">
        <f>'Biểu 5'!V33*0.5</f>
        <v>39200.000000000015</v>
      </c>
      <c r="AE12" s="314">
        <f>AC12+AD12</f>
        <v>45200.000000000015</v>
      </c>
      <c r="AF12" s="313">
        <f>O12-AE12</f>
        <v>93200.000000000015</v>
      </c>
      <c r="AG12" s="315">
        <f>T12*0.1</f>
        <v>6500</v>
      </c>
      <c r="AH12" s="315">
        <f>'Biểu 5'!W33*0.5</f>
        <v>62000</v>
      </c>
      <c r="AI12" s="312">
        <f>AG12+AH12</f>
        <v>68500</v>
      </c>
      <c r="AJ12" s="314">
        <f>R12-AI12</f>
        <v>120500</v>
      </c>
      <c r="AK12" s="320">
        <f>U12+W12+AA12+AE12+AI12-13</f>
        <v>205847.75054120002</v>
      </c>
      <c r="AL12" s="309">
        <f>V12+X12+AB12+AF12+AJ12+16</f>
        <v>476918.75487080001</v>
      </c>
      <c r="AM12" s="298" t="s">
        <v>268</v>
      </c>
      <c r="AN12" s="298"/>
      <c r="AO12" s="298"/>
      <c r="AP12" s="324">
        <f>F9-AP11</f>
        <v>344000.37104549998</v>
      </c>
    </row>
    <row r="13" spans="1:42" ht="20.100000000000001" customHeight="1" x14ac:dyDescent="0.3">
      <c r="A13" s="281">
        <v>2</v>
      </c>
      <c r="B13" s="58" t="s">
        <v>106</v>
      </c>
      <c r="C13" s="282">
        <f t="shared" si="8"/>
        <v>195025.01274999999</v>
      </c>
      <c r="D13" s="282">
        <f>'Biểu 6'!C9</f>
        <v>27425.012750000002</v>
      </c>
      <c r="E13" s="282">
        <f>'Biểu 5'!P18+'Biểu 5'!P50</f>
        <v>167600</v>
      </c>
      <c r="F13" s="282">
        <f t="shared" ref="F13:F19" si="9">AK13</f>
        <v>63022.501275000002</v>
      </c>
      <c r="G13" s="283">
        <f t="shared" ref="G13:G19" si="10">C13-F13</f>
        <v>132002.51147500001</v>
      </c>
      <c r="H13" s="284">
        <f>'Biểu 6'!F9</f>
        <v>10221.01275</v>
      </c>
      <c r="I13" s="284">
        <f t="shared" ref="I13:I19" si="11">J13+K13</f>
        <v>3704</v>
      </c>
      <c r="J13" s="282">
        <f>'Biểu 5'!S18+'Biểu 5'!S50</f>
        <v>0</v>
      </c>
      <c r="K13" s="285">
        <f>'Biểu 6'!G9</f>
        <v>3704</v>
      </c>
      <c r="L13" s="287">
        <f t="shared" ref="L13:L18" si="12">M13+N13</f>
        <v>33000</v>
      </c>
      <c r="M13" s="282">
        <f>'Biểu 5'!T18+'Biểu 5'!T50</f>
        <v>29000</v>
      </c>
      <c r="N13" s="285">
        <f>'Biểu 6'!H9</f>
        <v>4000</v>
      </c>
      <c r="O13" s="285">
        <f t="shared" ref="O13:O18" si="13">P13+Q13</f>
        <v>53500</v>
      </c>
      <c r="P13" s="282">
        <f>'Biểu 5'!V18+'Biểu 5'!V50</f>
        <v>49000</v>
      </c>
      <c r="Q13" s="282">
        <f>'Biểu 6'!I9</f>
        <v>4500</v>
      </c>
      <c r="R13" s="282">
        <f t="shared" ref="R13:R19" si="14">S13+T13</f>
        <v>94600</v>
      </c>
      <c r="S13" s="282">
        <f>'Biểu 5'!W18+'Biểu 5'!W50</f>
        <v>89600</v>
      </c>
      <c r="T13">
        <f>'Biểu 6'!J9</f>
        <v>5000</v>
      </c>
      <c r="U13" s="308">
        <f t="shared" ref="U13:U19" si="15">H13*0.1</f>
        <v>1022.101275</v>
      </c>
      <c r="V13" s="309">
        <f t="shared" ref="V13:V19" si="16">H13-U13</f>
        <v>9198.9114750000008</v>
      </c>
      <c r="W13" s="311">
        <f>K13*0.1</f>
        <v>370.40000000000003</v>
      </c>
      <c r="X13" s="305">
        <f t="shared" ref="X13:X19" si="17">I13-W13</f>
        <v>3333.6</v>
      </c>
      <c r="Y13" s="311">
        <f>N13*0.1</f>
        <v>400</v>
      </c>
      <c r="Z13" s="308">
        <f>M13*0.3</f>
        <v>8700</v>
      </c>
      <c r="AA13" s="312">
        <f>Y13+Z13</f>
        <v>9100</v>
      </c>
      <c r="AB13" s="313">
        <f t="shared" ref="AB13:AB19" si="18">L13-AA13</f>
        <v>23900</v>
      </c>
      <c r="AC13" s="314">
        <f>Q13*0.1</f>
        <v>450</v>
      </c>
      <c r="AD13" s="316">
        <f>'Biểu 5'!V18*0.3+'Biểu 5'!V50*0.5</f>
        <v>18700</v>
      </c>
      <c r="AE13" s="314">
        <f t="shared" ref="AE13:AE19" si="19">AC13+AD13</f>
        <v>19150</v>
      </c>
      <c r="AF13" s="313">
        <f t="shared" ref="AF13:AF19" si="20">O13-AE13</f>
        <v>34350</v>
      </c>
      <c r="AG13" s="315">
        <f>T13*0.1</f>
        <v>500</v>
      </c>
      <c r="AH13" s="315">
        <f>'Biểu 5'!W18*0.3+'Biểu 5'!W50*0.5</f>
        <v>32880</v>
      </c>
      <c r="AI13" s="312">
        <f t="shared" ref="AI13:AI19" si="21">AG13+AH13</f>
        <v>33380</v>
      </c>
      <c r="AJ13" s="314">
        <f t="shared" ref="AJ13:AJ19" si="22">R13-AI13</f>
        <v>61220</v>
      </c>
      <c r="AK13" s="320">
        <f t="shared" ref="AK13:AK19" si="23">U13+W13+AA13+AE13+AI13</f>
        <v>63022.501275000002</v>
      </c>
      <c r="AL13" s="309">
        <f t="shared" ref="AL13:AL19" si="24">V13+X13+AB13+AF13+AJ13</f>
        <v>132002.51147500001</v>
      </c>
    </row>
    <row r="14" spans="1:42" ht="20.100000000000001" customHeight="1" x14ac:dyDescent="0.3">
      <c r="A14" s="281">
        <v>3</v>
      </c>
      <c r="B14" s="58" t="s">
        <v>105</v>
      </c>
      <c r="C14" s="282">
        <f t="shared" si="8"/>
        <v>36877.510699999999</v>
      </c>
      <c r="D14" s="282">
        <f>'Biểu 6'!C10</f>
        <v>13877.510699999999</v>
      </c>
      <c r="E14" s="282">
        <f>'Biểu 5'!P12+'Biểu 5'!P25</f>
        <v>23000</v>
      </c>
      <c r="F14" s="282">
        <f t="shared" si="9"/>
        <v>5137.7510700000003</v>
      </c>
      <c r="G14" s="283">
        <f t="shared" si="10"/>
        <v>31739.75963</v>
      </c>
      <c r="H14" s="284">
        <f>'Biểu 6'!F10</f>
        <v>377.51069999999999</v>
      </c>
      <c r="I14" s="284">
        <f t="shared" si="11"/>
        <v>4500</v>
      </c>
      <c r="J14" s="282">
        <f>'Biểu 5'!S12+'Biểu 5'!S25</f>
        <v>0</v>
      </c>
      <c r="K14" s="285">
        <f>'Biểu 6'!G10</f>
        <v>4500</v>
      </c>
      <c r="L14" s="287">
        <f t="shared" si="12"/>
        <v>3000</v>
      </c>
      <c r="M14" s="282">
        <f>'Biểu 5'!T12+'Biểu 5'!T25</f>
        <v>0</v>
      </c>
      <c r="N14" s="285">
        <f>'Biểu 6'!H10</f>
        <v>3000</v>
      </c>
      <c r="O14" s="285">
        <f t="shared" si="13"/>
        <v>12000</v>
      </c>
      <c r="P14" s="282">
        <f>'Biểu 5'!V12+'Biểu 5'!V25</f>
        <v>9000</v>
      </c>
      <c r="Q14" s="282">
        <f>'Biểu 6'!I10</f>
        <v>3000</v>
      </c>
      <c r="R14" s="282">
        <f t="shared" si="14"/>
        <v>17000</v>
      </c>
      <c r="S14" s="282">
        <f>'Biểu 5'!W12+'Biểu 5'!W25</f>
        <v>14000</v>
      </c>
      <c r="T14">
        <f>'Biểu 6'!J10</f>
        <v>3000</v>
      </c>
      <c r="U14" s="308">
        <f t="shared" si="15"/>
        <v>37.751069999999999</v>
      </c>
      <c r="V14" s="309">
        <f t="shared" si="16"/>
        <v>339.75963000000002</v>
      </c>
      <c r="W14" s="304"/>
      <c r="X14" s="305">
        <f t="shared" si="17"/>
        <v>4500</v>
      </c>
      <c r="Y14" s="305"/>
      <c r="Z14" s="305"/>
      <c r="AA14" s="313"/>
      <c r="AB14" s="313">
        <f t="shared" si="18"/>
        <v>3000</v>
      </c>
      <c r="AC14" s="315"/>
      <c r="AD14" s="315">
        <f>'Biểu 5'!V12*0.3</f>
        <v>2700</v>
      </c>
      <c r="AE14" s="314">
        <f t="shared" si="19"/>
        <v>2700</v>
      </c>
      <c r="AF14" s="313">
        <f t="shared" si="20"/>
        <v>9300</v>
      </c>
      <c r="AG14" s="315"/>
      <c r="AH14" s="315">
        <f>'Biểu 5'!W12*0.3+'Biểu 5'!W25*0.1</f>
        <v>2400</v>
      </c>
      <c r="AI14" s="312">
        <f t="shared" si="21"/>
        <v>2400</v>
      </c>
      <c r="AJ14" s="314">
        <f t="shared" si="22"/>
        <v>14600</v>
      </c>
      <c r="AK14" s="320">
        <f t="shared" si="23"/>
        <v>5137.7510700000003</v>
      </c>
      <c r="AL14" s="309">
        <f t="shared" si="24"/>
        <v>31739.75963</v>
      </c>
    </row>
    <row r="15" spans="1:42" ht="20.100000000000001" customHeight="1" x14ac:dyDescent="0.3">
      <c r="A15" s="281">
        <v>4</v>
      </c>
      <c r="B15" s="58" t="s">
        <v>204</v>
      </c>
      <c r="C15" s="282">
        <f t="shared" si="8"/>
        <v>2325.1710000000003</v>
      </c>
      <c r="D15" s="282">
        <f>'Biểu 6'!C11</f>
        <v>2325.1710000000003</v>
      </c>
      <c r="E15" s="282"/>
      <c r="F15" s="282">
        <f t="shared" si="9"/>
        <v>62.517100000000006</v>
      </c>
      <c r="G15" s="283">
        <f t="shared" si="10"/>
        <v>2262.6539000000002</v>
      </c>
      <c r="H15" s="284">
        <f>'Biểu 6'!F11</f>
        <v>625.17100000000005</v>
      </c>
      <c r="I15" s="284">
        <f t="shared" si="11"/>
        <v>300</v>
      </c>
      <c r="J15" s="282"/>
      <c r="K15" s="285">
        <f>'Biểu 6'!G11</f>
        <v>300</v>
      </c>
      <c r="L15" s="287">
        <f t="shared" si="12"/>
        <v>400</v>
      </c>
      <c r="M15" s="282"/>
      <c r="N15" s="285">
        <f>'Biểu 6'!H11</f>
        <v>400</v>
      </c>
      <c r="O15" s="285">
        <f t="shared" si="13"/>
        <v>500</v>
      </c>
      <c r="P15" s="282"/>
      <c r="Q15" s="282">
        <f>'Biểu 6'!I11</f>
        <v>500</v>
      </c>
      <c r="R15" s="282">
        <f t="shared" si="14"/>
        <v>500</v>
      </c>
      <c r="S15" s="282"/>
      <c r="T15">
        <f>'Biểu 6'!J11</f>
        <v>500</v>
      </c>
      <c r="U15" s="308">
        <f t="shared" si="15"/>
        <v>62.517100000000006</v>
      </c>
      <c r="V15" s="309">
        <f t="shared" si="16"/>
        <v>562.65390000000002</v>
      </c>
      <c r="W15" s="304"/>
      <c r="X15" s="305">
        <f t="shared" si="17"/>
        <v>300</v>
      </c>
      <c r="Y15" s="305"/>
      <c r="Z15" s="304"/>
      <c r="AA15" s="315"/>
      <c r="AB15" s="313">
        <f t="shared" si="18"/>
        <v>400</v>
      </c>
      <c r="AC15" s="315"/>
      <c r="AD15" s="315"/>
      <c r="AE15" s="314">
        <f t="shared" si="19"/>
        <v>0</v>
      </c>
      <c r="AF15" s="313">
        <f t="shared" si="20"/>
        <v>500</v>
      </c>
      <c r="AG15" s="315"/>
      <c r="AH15" s="315"/>
      <c r="AI15" s="312">
        <f t="shared" si="21"/>
        <v>0</v>
      </c>
      <c r="AJ15" s="314">
        <f t="shared" si="22"/>
        <v>500</v>
      </c>
      <c r="AK15" s="320">
        <f t="shared" si="23"/>
        <v>62.517100000000006</v>
      </c>
      <c r="AL15" s="309">
        <f t="shared" si="24"/>
        <v>2262.6539000000002</v>
      </c>
    </row>
    <row r="16" spans="1:42" ht="20.100000000000001" customHeight="1" x14ac:dyDescent="0.3">
      <c r="A16" s="281">
        <v>5</v>
      </c>
      <c r="B16" s="58" t="s">
        <v>107</v>
      </c>
      <c r="C16" s="282">
        <f t="shared" si="8"/>
        <v>17898.855199999998</v>
      </c>
      <c r="D16" s="282">
        <f>'Biểu 6'!C12</f>
        <v>15098.8552</v>
      </c>
      <c r="E16" s="282">
        <f>'Biểu 5'!P26</f>
        <v>2800</v>
      </c>
      <c r="F16" s="282">
        <f t="shared" si="9"/>
        <v>519.88552000000004</v>
      </c>
      <c r="G16" s="283">
        <f t="shared" si="10"/>
        <v>17378.969679999998</v>
      </c>
      <c r="H16" s="284">
        <f>'Biểu 6'!F12</f>
        <v>2398.8552</v>
      </c>
      <c r="I16" s="284">
        <f t="shared" si="11"/>
        <v>5100</v>
      </c>
      <c r="J16" s="282">
        <f>'Biểu 5'!S26</f>
        <v>0</v>
      </c>
      <c r="K16" s="285">
        <f>'Biểu 6'!G12</f>
        <v>5100</v>
      </c>
      <c r="L16" s="287">
        <f t="shared" si="12"/>
        <v>2600</v>
      </c>
      <c r="M16" s="282">
        <f>'Biểu 5'!T26</f>
        <v>0</v>
      </c>
      <c r="N16" s="285">
        <f>'Biểu 6'!H12</f>
        <v>2600</v>
      </c>
      <c r="O16" s="285">
        <f t="shared" si="13"/>
        <v>3400</v>
      </c>
      <c r="P16" s="282">
        <f>'Biểu 5'!V26</f>
        <v>900</v>
      </c>
      <c r="Q16" s="282">
        <f>'Biểu 6'!I12</f>
        <v>2500</v>
      </c>
      <c r="R16" s="282">
        <f t="shared" si="14"/>
        <v>4400</v>
      </c>
      <c r="S16" s="282">
        <f>'Biểu 5'!W26</f>
        <v>1900</v>
      </c>
      <c r="T16">
        <f>'Biểu 6'!J12</f>
        <v>2500</v>
      </c>
      <c r="U16" s="308">
        <f t="shared" si="15"/>
        <v>239.88552000000001</v>
      </c>
      <c r="V16" s="309">
        <f t="shared" si="16"/>
        <v>2158.9696800000002</v>
      </c>
      <c r="W16" s="304"/>
      <c r="X16" s="305">
        <f t="shared" si="17"/>
        <v>5100</v>
      </c>
      <c r="Y16" s="305"/>
      <c r="Z16" s="304"/>
      <c r="AA16" s="315"/>
      <c r="AB16" s="313">
        <f t="shared" si="18"/>
        <v>2600</v>
      </c>
      <c r="AC16" s="315"/>
      <c r="AD16" s="316">
        <f>'Biểu 5'!V26*0.1</f>
        <v>90</v>
      </c>
      <c r="AE16" s="314">
        <f t="shared" si="19"/>
        <v>90</v>
      </c>
      <c r="AF16" s="313">
        <f t="shared" si="20"/>
        <v>3310</v>
      </c>
      <c r="AG16" s="315"/>
      <c r="AH16" s="315">
        <f>'Biểu 5'!W26*0.1</f>
        <v>190</v>
      </c>
      <c r="AI16" s="312">
        <f t="shared" si="21"/>
        <v>190</v>
      </c>
      <c r="AJ16" s="314">
        <f t="shared" si="22"/>
        <v>4210</v>
      </c>
      <c r="AK16" s="320">
        <f t="shared" si="23"/>
        <v>519.88552000000004</v>
      </c>
      <c r="AL16" s="309">
        <f t="shared" si="24"/>
        <v>17378.969680000002</v>
      </c>
    </row>
    <row r="17" spans="1:40" ht="20.100000000000001" customHeight="1" x14ac:dyDescent="0.3">
      <c r="A17" s="281">
        <v>6</v>
      </c>
      <c r="B17" s="58" t="s">
        <v>108</v>
      </c>
      <c r="C17" s="282">
        <f t="shared" si="8"/>
        <v>114814.67149999998</v>
      </c>
      <c r="D17" s="282">
        <f>'Biểu 6'!C13</f>
        <v>33314.671499999997</v>
      </c>
      <c r="E17" s="282">
        <f>'Biểu 5'!P30+'Biểu 5'!P44</f>
        <v>81499.999999999985</v>
      </c>
      <c r="F17" s="282">
        <f t="shared" si="9"/>
        <v>29771.467149999993</v>
      </c>
      <c r="G17" s="283">
        <f t="shared" si="10"/>
        <v>85043.204349999985</v>
      </c>
      <c r="H17" s="284">
        <f>'Biểu 6'!F13</f>
        <v>18214.6715</v>
      </c>
      <c r="I17" s="284">
        <f t="shared" si="11"/>
        <v>3100</v>
      </c>
      <c r="J17" s="282">
        <f>'Biểu 5'!S30+'Biểu 5'!S44</f>
        <v>0</v>
      </c>
      <c r="K17" s="285">
        <f>'Biểu 6'!G13</f>
        <v>3100</v>
      </c>
      <c r="L17" s="287">
        <f t="shared" si="12"/>
        <v>25000</v>
      </c>
      <c r="M17" s="282">
        <f>'Biểu 5'!T30+'Biểu 5'!T44</f>
        <v>21000</v>
      </c>
      <c r="N17" s="285">
        <f>'Biểu 6'!H13</f>
        <v>4000</v>
      </c>
      <c r="O17" s="285">
        <f t="shared" si="13"/>
        <v>29000</v>
      </c>
      <c r="P17" s="282">
        <f>'Biểu 5'!V30+'Biểu 5'!V44</f>
        <v>25000</v>
      </c>
      <c r="Q17" s="282">
        <f>'Biểu 6'!I13</f>
        <v>4000</v>
      </c>
      <c r="R17" s="282">
        <f t="shared" si="14"/>
        <v>39499.999999999985</v>
      </c>
      <c r="S17" s="282">
        <f>'Biểu 5'!W30+'Biểu 5'!W44</f>
        <v>35499.999999999985</v>
      </c>
      <c r="T17">
        <f>'Biểu 6'!J13</f>
        <v>4000</v>
      </c>
      <c r="U17" s="308">
        <f t="shared" si="15"/>
        <v>1821.4671500000002</v>
      </c>
      <c r="V17" s="309">
        <f t="shared" si="16"/>
        <v>16393.20435</v>
      </c>
      <c r="W17" s="304"/>
      <c r="X17" s="305">
        <f t="shared" si="17"/>
        <v>3100</v>
      </c>
      <c r="Y17" s="305"/>
      <c r="Z17" s="304">
        <f>M17*0.3</f>
        <v>6300</v>
      </c>
      <c r="AA17" s="312">
        <f>'Biểu 5'!U45</f>
        <v>6300</v>
      </c>
      <c r="AB17" s="313">
        <f t="shared" si="18"/>
        <v>18700</v>
      </c>
      <c r="AC17" s="315"/>
      <c r="AD17" s="315">
        <f>'Biểu 5'!V30*0.1+'Biểu 5'!V44*0.3</f>
        <v>6500</v>
      </c>
      <c r="AE17" s="314">
        <f t="shared" si="19"/>
        <v>6500</v>
      </c>
      <c r="AF17" s="313">
        <f t="shared" si="20"/>
        <v>22500</v>
      </c>
      <c r="AG17" s="315"/>
      <c r="AH17" s="315">
        <f>'Biểu 5'!W30*0.1+'Biểu 5'!W44*0.5</f>
        <v>15149.999999999993</v>
      </c>
      <c r="AI17" s="312">
        <f t="shared" si="21"/>
        <v>15149.999999999993</v>
      </c>
      <c r="AJ17" s="314">
        <f t="shared" si="22"/>
        <v>24349.999999999993</v>
      </c>
      <c r="AK17" s="320">
        <f t="shared" si="23"/>
        <v>29771.467149999993</v>
      </c>
      <c r="AL17" s="309">
        <f t="shared" si="24"/>
        <v>85043.204349999985</v>
      </c>
    </row>
    <row r="18" spans="1:40" ht="20.100000000000001" customHeight="1" x14ac:dyDescent="0.3">
      <c r="A18" s="281">
        <v>7</v>
      </c>
      <c r="B18" s="58" t="s">
        <v>109</v>
      </c>
      <c r="C18" s="282">
        <f t="shared" si="8"/>
        <v>86210.600818000006</v>
      </c>
      <c r="D18" s="282">
        <f>'Biểu 6'!C14</f>
        <v>16210.600817999999</v>
      </c>
      <c r="E18" s="282">
        <f>'Biểu 5'!P14+'Biểu 5'!P48</f>
        <v>70000</v>
      </c>
      <c r="F18" s="282">
        <f t="shared" si="9"/>
        <v>21291.060081800002</v>
      </c>
      <c r="G18" s="283">
        <f t="shared" si="10"/>
        <v>64919.540736200004</v>
      </c>
      <c r="H18" s="284">
        <f>'Biểu 6'!F14</f>
        <v>2910.6008179999999</v>
      </c>
      <c r="I18" s="284">
        <f t="shared" si="11"/>
        <v>4300</v>
      </c>
      <c r="J18" s="282">
        <f>'Biểu 5'!S14+'Biểu 5'!S48</f>
        <v>0</v>
      </c>
      <c r="K18" s="285">
        <f>'Biểu 6'!G14</f>
        <v>4300</v>
      </c>
      <c r="L18" s="287">
        <f t="shared" si="12"/>
        <v>3000</v>
      </c>
      <c r="M18" s="282">
        <f>'Biểu 5'!T14+'Biểu 5'!T48</f>
        <v>0</v>
      </c>
      <c r="N18" s="285">
        <f>'Biểu 6'!H14</f>
        <v>3000</v>
      </c>
      <c r="O18" s="285">
        <f t="shared" si="13"/>
        <v>23000</v>
      </c>
      <c r="P18" s="282">
        <f>'Biểu 5'!V14+'Biểu 5'!V48</f>
        <v>20000</v>
      </c>
      <c r="Q18" s="282">
        <f>'Biểu 6'!I14</f>
        <v>3000</v>
      </c>
      <c r="R18" s="282">
        <f t="shared" si="14"/>
        <v>53000</v>
      </c>
      <c r="S18" s="282">
        <f>'Biểu 5'!W14+'Biểu 5'!W48</f>
        <v>50000</v>
      </c>
      <c r="T18">
        <f>'Biểu 6'!J14</f>
        <v>3000</v>
      </c>
      <c r="U18" s="308">
        <f t="shared" si="15"/>
        <v>291.06008179999998</v>
      </c>
      <c r="V18" s="309">
        <f t="shared" si="16"/>
        <v>2619.5407362000001</v>
      </c>
      <c r="W18" s="304"/>
      <c r="X18" s="305">
        <f t="shared" si="17"/>
        <v>4300</v>
      </c>
      <c r="Y18" s="305"/>
      <c r="Z18" s="304"/>
      <c r="AA18" s="315"/>
      <c r="AB18" s="313">
        <f t="shared" si="18"/>
        <v>3000</v>
      </c>
      <c r="AC18" s="315"/>
      <c r="AD18" s="315">
        <f>'Biểu 5'!V48*0.3</f>
        <v>6000</v>
      </c>
      <c r="AE18" s="314">
        <f t="shared" si="19"/>
        <v>6000</v>
      </c>
      <c r="AF18" s="313">
        <f t="shared" si="20"/>
        <v>17000</v>
      </c>
      <c r="AG18" s="315"/>
      <c r="AH18" s="315">
        <f>'Biểu 5'!W14*0.3+'Biểu 5'!W48*0.3</f>
        <v>15000</v>
      </c>
      <c r="AI18" s="312">
        <f t="shared" si="21"/>
        <v>15000</v>
      </c>
      <c r="AJ18" s="314">
        <f t="shared" si="22"/>
        <v>38000</v>
      </c>
      <c r="AK18" s="320">
        <f t="shared" si="23"/>
        <v>21291.060081800002</v>
      </c>
      <c r="AL18" s="309">
        <f t="shared" si="24"/>
        <v>64919.540736199997</v>
      </c>
    </row>
    <row r="19" spans="1:40" ht="20.100000000000001" customHeight="1" x14ac:dyDescent="0.3">
      <c r="A19" s="281">
        <v>8</v>
      </c>
      <c r="B19" s="58" t="s">
        <v>110</v>
      </c>
      <c r="C19" s="282">
        <f t="shared" si="8"/>
        <v>52182.383074999998</v>
      </c>
      <c r="D19" s="282">
        <f>'Biểu 6'!C15</f>
        <v>20607.383074999998</v>
      </c>
      <c r="E19" s="282">
        <f>'Biểu 5'!P15+'Biểu 5'!P52</f>
        <v>31575</v>
      </c>
      <c r="F19" s="282">
        <f t="shared" si="9"/>
        <v>9847.4383075000005</v>
      </c>
      <c r="G19" s="283">
        <f t="shared" si="10"/>
        <v>42334.944767499997</v>
      </c>
      <c r="H19" s="284">
        <f>'Biểu 6'!F15</f>
        <v>3749.3830750000002</v>
      </c>
      <c r="I19" s="284">
        <f t="shared" si="11"/>
        <v>6433.2</v>
      </c>
      <c r="J19" s="282">
        <f>'Biểu 5'!S15</f>
        <v>1208.2</v>
      </c>
      <c r="K19" s="285">
        <f>'Biểu 6'!G15</f>
        <v>5225</v>
      </c>
      <c r="L19" s="287">
        <f>M19+N19</f>
        <v>3999.8</v>
      </c>
      <c r="M19" s="282">
        <f>'Biểu 5'!T17</f>
        <v>366.8</v>
      </c>
      <c r="N19" s="285">
        <f>'Biểu 6'!H15</f>
        <v>3633</v>
      </c>
      <c r="O19" s="285">
        <f>P19+Q19</f>
        <v>19000</v>
      </c>
      <c r="P19" s="282">
        <f>'Biểu 5'!V52</f>
        <v>15000</v>
      </c>
      <c r="Q19" s="282">
        <f>'Biểu 6'!I15</f>
        <v>4000</v>
      </c>
      <c r="R19" s="282">
        <f t="shared" si="14"/>
        <v>19000</v>
      </c>
      <c r="S19" s="282">
        <f>'Biểu 5'!W52</f>
        <v>15000</v>
      </c>
      <c r="T19">
        <f>'Biểu 6'!J15</f>
        <v>4000</v>
      </c>
      <c r="U19" s="308">
        <f t="shared" si="15"/>
        <v>374.93830750000006</v>
      </c>
      <c r="V19" s="309">
        <f t="shared" si="16"/>
        <v>3374.4447675000001</v>
      </c>
      <c r="W19" s="310">
        <f>J19*0.3</f>
        <v>362.46</v>
      </c>
      <c r="X19" s="305">
        <f t="shared" si="17"/>
        <v>6070.74</v>
      </c>
      <c r="Y19" s="305"/>
      <c r="Z19" s="304">
        <v>110</v>
      </c>
      <c r="AA19" s="317">
        <f>M19*0.3</f>
        <v>110.04</v>
      </c>
      <c r="AB19" s="313">
        <f t="shared" si="18"/>
        <v>3889.76</v>
      </c>
      <c r="AC19" s="315"/>
      <c r="AD19" s="315">
        <f>'Biểu 5'!V52*0.3</f>
        <v>4500</v>
      </c>
      <c r="AE19" s="314">
        <f t="shared" si="19"/>
        <v>4500</v>
      </c>
      <c r="AF19" s="313">
        <f t="shared" si="20"/>
        <v>14500</v>
      </c>
      <c r="AG19" s="315"/>
      <c r="AH19" s="315">
        <f>'Biểu 5'!W52*0.3</f>
        <v>4500</v>
      </c>
      <c r="AI19" s="312">
        <f t="shared" si="21"/>
        <v>4500</v>
      </c>
      <c r="AJ19" s="314">
        <f t="shared" si="22"/>
        <v>14500</v>
      </c>
      <c r="AK19" s="320">
        <f t="shared" si="23"/>
        <v>9847.4383075000005</v>
      </c>
      <c r="AL19" s="309">
        <f t="shared" si="24"/>
        <v>42334.944767499997</v>
      </c>
      <c r="AN19" s="299">
        <f>AL9+AK9</f>
        <v>1188100.7104550002</v>
      </c>
    </row>
    <row r="20" spans="1:40" ht="21.75" hidden="1" customHeight="1" x14ac:dyDescent="0.3">
      <c r="G20" s="222">
        <f>F9+G9</f>
        <v>1231700.7104549999</v>
      </c>
    </row>
    <row r="21" spans="1:40" ht="18" hidden="1" customHeight="1" x14ac:dyDescent="0.3">
      <c r="C21" s="222">
        <f>C9-AN19</f>
        <v>43598.999999999767</v>
      </c>
      <c r="E21" s="222">
        <f>F9+G9</f>
        <v>1231700.7104549999</v>
      </c>
      <c r="H21" s="292">
        <f>H9*0.1</f>
        <v>11886.071045500001</v>
      </c>
      <c r="I21" s="222" t="s">
        <v>210</v>
      </c>
      <c r="J21" s="296">
        <f>J12*0.5</f>
        <v>30780.5</v>
      </c>
      <c r="K21" s="293">
        <f>K12*0.1</f>
        <v>7843.9000000000005</v>
      </c>
      <c r="L21" s="222">
        <f>J21+K21</f>
        <v>38624.400000000001</v>
      </c>
      <c r="O21" s="222"/>
      <c r="P21" t="s">
        <v>264</v>
      </c>
      <c r="Q21" t="s">
        <v>265</v>
      </c>
      <c r="Y21" s="296">
        <f>Q12*0.1</f>
        <v>6000</v>
      </c>
      <c r="AA21" s="349" t="s">
        <v>263</v>
      </c>
      <c r="AB21" s="349"/>
      <c r="AC21" t="s">
        <v>255</v>
      </c>
      <c r="AD21" s="222">
        <f>F9-H21-L23</f>
        <v>327857.03999999998</v>
      </c>
      <c r="AF21" s="299">
        <f>AA9+AE9+AI9</f>
        <v>284270.04000000004</v>
      </c>
      <c r="AH21" s="299">
        <f>AD21-AF21</f>
        <v>43586.999999999942</v>
      </c>
    </row>
    <row r="22" spans="1:40" hidden="1" x14ac:dyDescent="0.3">
      <c r="G22" s="222">
        <f>C9-G20</f>
        <v>-1</v>
      </c>
      <c r="H22" s="299">
        <f>H9-H21</f>
        <v>106974.6394095</v>
      </c>
      <c r="J22" s="296">
        <f>J19*0.3</f>
        <v>362.46</v>
      </c>
      <c r="K22" s="293">
        <f>K13*0.1</f>
        <v>370.40000000000003</v>
      </c>
      <c r="L22" s="222">
        <f>J22+K22</f>
        <v>732.86</v>
      </c>
      <c r="O22">
        <v>2021</v>
      </c>
      <c r="P22" s="300">
        <f>H21</f>
        <v>11886.071045500001</v>
      </c>
      <c r="Q22" s="300">
        <f>H22</f>
        <v>106974.6394095</v>
      </c>
      <c r="Y22" s="296">
        <f>Q13*0.1</f>
        <v>450</v>
      </c>
      <c r="AC22" t="s">
        <v>256</v>
      </c>
      <c r="AD22" s="222">
        <f>G9-H22-L24</f>
        <v>617545.76</v>
      </c>
      <c r="AF22" s="299">
        <f>AB9+AF9+AJ9</f>
        <v>617529.76</v>
      </c>
      <c r="AH22" s="299">
        <f>AD22-AF22</f>
        <v>16</v>
      </c>
    </row>
    <row r="23" spans="1:40" hidden="1" x14ac:dyDescent="0.3">
      <c r="K23" t="s">
        <v>255</v>
      </c>
      <c r="L23" s="222">
        <f>SUM(L21:L22)</f>
        <v>39357.26</v>
      </c>
      <c r="O23">
        <v>2022</v>
      </c>
      <c r="P23" s="300">
        <f>L23</f>
        <v>39357.26</v>
      </c>
      <c r="Q23" s="300">
        <f>L24</f>
        <v>128079.94</v>
      </c>
      <c r="V23" t="s">
        <v>201</v>
      </c>
    </row>
    <row r="24" spans="1:40" hidden="1" x14ac:dyDescent="0.3">
      <c r="K24" t="s">
        <v>256</v>
      </c>
      <c r="L24" s="222">
        <f>I9-L23</f>
        <v>128079.94</v>
      </c>
      <c r="O24">
        <v>2023</v>
      </c>
      <c r="P24" s="300">
        <f>AA9</f>
        <v>61010.04</v>
      </c>
      <c r="Q24" s="300">
        <f>AB9</f>
        <v>144989.76000000001</v>
      </c>
      <c r="W24" s="298" t="s">
        <v>269</v>
      </c>
      <c r="X24" s="298">
        <v>2400</v>
      </c>
      <c r="Y24" s="298"/>
      <c r="Z24" s="298"/>
      <c r="AA24" s="297">
        <f>6100</f>
        <v>6100</v>
      </c>
      <c r="AB24" s="298"/>
      <c r="AC24" s="298"/>
      <c r="AD24" s="298"/>
      <c r="AE24" s="298">
        <v>8400</v>
      </c>
      <c r="AF24" s="298"/>
      <c r="AG24" s="298"/>
      <c r="AH24" s="298"/>
      <c r="AI24" s="325">
        <v>13900</v>
      </c>
      <c r="AJ24" s="298"/>
      <c r="AK24" s="325">
        <f>X24+AA24+AE24+AI24</f>
        <v>30800</v>
      </c>
    </row>
    <row r="25" spans="1:40" hidden="1" x14ac:dyDescent="0.3">
      <c r="O25">
        <v>2024</v>
      </c>
      <c r="P25" s="300">
        <f>AE9</f>
        <v>84140.000000000015</v>
      </c>
      <c r="Q25" s="300">
        <f>AF9</f>
        <v>194660</v>
      </c>
      <c r="AL25" s="299">
        <f>AK9-AK24</f>
        <v>304700.37104549998</v>
      </c>
    </row>
    <row r="26" spans="1:40" hidden="1" x14ac:dyDescent="0.3">
      <c r="O26">
        <v>2025</v>
      </c>
      <c r="P26" s="300">
        <f>AI9</f>
        <v>139120</v>
      </c>
      <c r="Q26" s="300">
        <f>AJ9</f>
        <v>277880</v>
      </c>
      <c r="W26" s="298" t="s">
        <v>270</v>
      </c>
      <c r="X26" s="326">
        <f>W9-X24</f>
        <v>36957.26</v>
      </c>
      <c r="Y26" s="298"/>
      <c r="Z26" s="298"/>
      <c r="AA26" s="325">
        <f>AA9-AA24</f>
        <v>54910.04</v>
      </c>
      <c r="AB26" s="298"/>
      <c r="AC26" s="298"/>
      <c r="AD26" s="298"/>
      <c r="AE26" s="325">
        <f>AE9-AE24</f>
        <v>75740.000000000015</v>
      </c>
      <c r="AF26" s="298"/>
      <c r="AG26" s="298"/>
      <c r="AH26" s="298"/>
      <c r="AI26" s="325">
        <f>AI9-AI24</f>
        <v>125220</v>
      </c>
      <c r="AJ26" s="298"/>
      <c r="AK26" s="298"/>
    </row>
    <row r="27" spans="1:40" hidden="1" x14ac:dyDescent="0.3">
      <c r="P27" s="301">
        <f>SUM(P22:P26)</f>
        <v>335513.37104550004</v>
      </c>
      <c r="Q27" s="301">
        <f>SUM(Q22:Q26)</f>
        <v>852584.33940950001</v>
      </c>
      <c r="R27" s="299">
        <f>P27+Q27</f>
        <v>1188097.7104549999</v>
      </c>
      <c r="S27" s="299">
        <f>C9-R27</f>
        <v>43602</v>
      </c>
    </row>
    <row r="28" spans="1:40" hidden="1" x14ac:dyDescent="0.3">
      <c r="P28" s="302">
        <f>P27-P32</f>
        <v>307087.37104550004</v>
      </c>
    </row>
    <row r="29" spans="1:40" hidden="1" x14ac:dyDescent="0.3">
      <c r="P29" s="299">
        <v>6100</v>
      </c>
      <c r="S29" s="299">
        <f>R9+S27</f>
        <v>460602</v>
      </c>
    </row>
    <row r="30" spans="1:40" x14ac:dyDescent="0.3">
      <c r="P30" s="299">
        <f>P25*0.1</f>
        <v>8414.0000000000018</v>
      </c>
    </row>
    <row r="31" spans="1:40" x14ac:dyDescent="0.3">
      <c r="P31" s="299">
        <f>P26*0.1</f>
        <v>13912</v>
      </c>
    </row>
    <row r="32" spans="1:40" x14ac:dyDescent="0.3">
      <c r="P32" s="302">
        <f>SUM(P29:P31)</f>
        <v>28426</v>
      </c>
    </row>
  </sheetData>
  <mergeCells count="28">
    <mergeCell ref="R7:R8"/>
    <mergeCell ref="J7:J8"/>
    <mergeCell ref="M7:M8"/>
    <mergeCell ref="P7:P8"/>
    <mergeCell ref="AA7:AB7"/>
    <mergeCell ref="A2:S2"/>
    <mergeCell ref="A3:S3"/>
    <mergeCell ref="A5:S5"/>
    <mergeCell ref="H6:S6"/>
    <mergeCell ref="C7:C8"/>
    <mergeCell ref="F7:G7"/>
    <mergeCell ref="H7:H8"/>
    <mergeCell ref="A4:S4"/>
    <mergeCell ref="C6:G6"/>
    <mergeCell ref="D7:E7"/>
    <mergeCell ref="S7:S8"/>
    <mergeCell ref="A6:A8"/>
    <mergeCell ref="B6:B8"/>
    <mergeCell ref="I7:I8"/>
    <mergeCell ref="L7:L8"/>
    <mergeCell ref="O7:O8"/>
    <mergeCell ref="U6:AJ6"/>
    <mergeCell ref="AK6:AL7"/>
    <mergeCell ref="AA21:AB21"/>
    <mergeCell ref="AC7:AF7"/>
    <mergeCell ref="AG7:AJ7"/>
    <mergeCell ref="U7:V7"/>
    <mergeCell ref="W7:X7"/>
  </mergeCells>
  <pageMargins left="0.7" right="0.7" top="0.75" bottom="0.75" header="0.3" footer="0.3"/>
  <pageSetup paperSize="9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zoomScale="85" zoomScaleNormal="85" workbookViewId="0">
      <pane xSplit="2" ySplit="9" topLeftCell="F10" activePane="bottomRight" state="frozen"/>
      <selection pane="topRight" activeCell="C1" sqref="C1"/>
      <selection pane="bottomLeft" activeCell="A7" sqref="A7"/>
      <selection pane="bottomRight" sqref="A1:B1"/>
    </sheetView>
  </sheetViews>
  <sheetFormatPr defaultColWidth="9" defaultRowHeight="18" x14ac:dyDescent="0.3"/>
  <cols>
    <col min="1" max="1" width="5.3984375" style="144" customWidth="1"/>
    <col min="2" max="2" width="60.09765625" style="144" customWidth="1"/>
    <col min="3" max="3" width="12.09765625" style="89" customWidth="1"/>
    <col min="4" max="4" width="17.59765625" style="144" customWidth="1"/>
    <col min="5" max="5" width="14.09765625" style="89" customWidth="1"/>
    <col min="6" max="6" width="13.5" style="144" customWidth="1"/>
    <col min="7" max="7" width="16.19921875" style="144" customWidth="1"/>
    <col min="8" max="8" width="10.59765625" style="144" customWidth="1"/>
    <col min="9" max="9" width="12.19921875" style="157" customWidth="1"/>
    <col min="10" max="10" width="14" style="158" customWidth="1"/>
    <col min="11" max="12" width="0" style="158" hidden="1" customWidth="1"/>
    <col min="13" max="13" width="11.8984375" style="158" hidden="1" customWidth="1"/>
    <col min="14" max="14" width="13.5" style="158" customWidth="1"/>
    <col min="15" max="15" width="16.09765625" style="144" customWidth="1"/>
    <col min="16" max="18" width="13.5" style="144" customWidth="1"/>
    <col min="19" max="19" width="13.8984375" style="144" customWidth="1"/>
    <col min="20" max="20" width="14" style="144" customWidth="1"/>
    <col min="21" max="21" width="14" style="144" hidden="1" customWidth="1"/>
    <col min="22" max="23" width="13.69921875" style="144" customWidth="1"/>
    <col min="24" max="24" width="15.8984375" style="89" customWidth="1"/>
    <col min="25" max="16384" width="9" style="144"/>
  </cols>
  <sheetData>
    <row r="1" spans="1:24" ht="18.75" customHeight="1" x14ac:dyDescent="0.3">
      <c r="A1" s="363" t="s">
        <v>284</v>
      </c>
      <c r="B1" s="363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X1" s="260"/>
    </row>
    <row r="2" spans="1:24" ht="27" customHeight="1" x14ac:dyDescent="0.3">
      <c r="A2" s="363" t="s">
        <v>99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260"/>
    </row>
    <row r="3" spans="1:24" ht="18.75" customHeight="1" x14ac:dyDescent="0.3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261"/>
    </row>
    <row r="5" spans="1:24" ht="35.25" customHeight="1" x14ac:dyDescent="0.3">
      <c r="A5" s="339" t="s">
        <v>0</v>
      </c>
      <c r="B5" s="339" t="s">
        <v>96</v>
      </c>
      <c r="C5" s="339" t="s">
        <v>111</v>
      </c>
      <c r="D5" s="374" t="s">
        <v>97</v>
      </c>
      <c r="E5" s="373" t="s">
        <v>98</v>
      </c>
      <c r="F5" s="373"/>
      <c r="G5" s="338" t="s">
        <v>6</v>
      </c>
      <c r="H5" s="338" t="s">
        <v>177</v>
      </c>
      <c r="I5" s="372" t="s">
        <v>103</v>
      </c>
      <c r="J5" s="373" t="s">
        <v>101</v>
      </c>
      <c r="K5" s="373"/>
      <c r="L5" s="373"/>
      <c r="M5" s="373"/>
      <c r="N5" s="373"/>
      <c r="O5" s="373"/>
      <c r="P5" s="377" t="s">
        <v>239</v>
      </c>
      <c r="Q5" s="365" t="s">
        <v>240</v>
      </c>
      <c r="R5" s="366"/>
      <c r="S5" s="369" t="s">
        <v>242</v>
      </c>
      <c r="T5" s="369"/>
      <c r="U5" s="369"/>
      <c r="V5" s="369"/>
      <c r="W5" s="369"/>
      <c r="X5" s="377" t="s">
        <v>164</v>
      </c>
    </row>
    <row r="6" spans="1:24" s="145" customFormat="1" ht="15.75" customHeight="1" x14ac:dyDescent="0.3">
      <c r="A6" s="339"/>
      <c r="B6" s="339"/>
      <c r="C6" s="339"/>
      <c r="D6" s="375"/>
      <c r="E6" s="378" t="s">
        <v>3</v>
      </c>
      <c r="F6" s="340" t="s">
        <v>4</v>
      </c>
      <c r="G6" s="338"/>
      <c r="H6" s="338"/>
      <c r="I6" s="372"/>
      <c r="J6" s="379" t="s">
        <v>100</v>
      </c>
      <c r="K6" s="340" t="s">
        <v>8</v>
      </c>
      <c r="L6" s="340" t="s">
        <v>9</v>
      </c>
      <c r="M6" s="340" t="s">
        <v>10</v>
      </c>
      <c r="N6" s="340" t="s">
        <v>178</v>
      </c>
      <c r="O6" s="340" t="s">
        <v>179</v>
      </c>
      <c r="P6" s="377"/>
      <c r="Q6" s="367" t="s">
        <v>241</v>
      </c>
      <c r="R6" s="367" t="s">
        <v>247</v>
      </c>
      <c r="S6" s="370" t="s">
        <v>210</v>
      </c>
      <c r="T6" s="370" t="s">
        <v>183</v>
      </c>
      <c r="U6" s="289"/>
      <c r="V6" s="370" t="s">
        <v>184</v>
      </c>
      <c r="W6" s="370" t="s">
        <v>185</v>
      </c>
      <c r="X6" s="377"/>
    </row>
    <row r="7" spans="1:24" s="145" customFormat="1" ht="72" customHeight="1" x14ac:dyDescent="0.3">
      <c r="A7" s="339"/>
      <c r="B7" s="339"/>
      <c r="C7" s="339"/>
      <c r="D7" s="376"/>
      <c r="E7" s="378"/>
      <c r="F7" s="341"/>
      <c r="G7" s="338"/>
      <c r="H7" s="338"/>
      <c r="I7" s="372"/>
      <c r="J7" s="380"/>
      <c r="K7" s="341"/>
      <c r="L7" s="341"/>
      <c r="M7" s="341"/>
      <c r="N7" s="341"/>
      <c r="O7" s="341"/>
      <c r="P7" s="377"/>
      <c r="Q7" s="368"/>
      <c r="R7" s="368"/>
      <c r="S7" s="371"/>
      <c r="T7" s="371"/>
      <c r="U7" s="290"/>
      <c r="V7" s="371"/>
      <c r="W7" s="371"/>
      <c r="X7" s="377"/>
    </row>
    <row r="8" spans="1:24" s="145" customFormat="1" ht="21" customHeight="1" x14ac:dyDescent="0.3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14</v>
      </c>
      <c r="O8" s="101">
        <v>15</v>
      </c>
      <c r="P8" s="101" t="s">
        <v>230</v>
      </c>
      <c r="Q8" s="223"/>
      <c r="R8" s="223"/>
      <c r="S8" s="259"/>
      <c r="T8" s="259"/>
      <c r="U8" s="259"/>
      <c r="V8" s="259"/>
      <c r="W8" s="259"/>
      <c r="X8" s="101">
        <v>17</v>
      </c>
    </row>
    <row r="9" spans="1:24" s="254" customFormat="1" ht="24.75" customHeight="1" x14ac:dyDescent="0.3">
      <c r="A9" s="250"/>
      <c r="B9" s="250" t="s">
        <v>147</v>
      </c>
      <c r="C9" s="250"/>
      <c r="D9" s="250"/>
      <c r="E9" s="250"/>
      <c r="F9" s="251"/>
      <c r="G9" s="251"/>
      <c r="H9" s="251"/>
      <c r="I9" s="252"/>
      <c r="J9" s="251"/>
      <c r="K9" s="251"/>
      <c r="L9" s="251"/>
      <c r="M9" s="251"/>
      <c r="N9" s="252"/>
      <c r="O9" s="252"/>
      <c r="P9" s="253">
        <f>SUM(P10,P23,P31)</f>
        <v>764036</v>
      </c>
      <c r="Q9" s="253">
        <f>SUM(Q10,Q23,Q31)</f>
        <v>333863</v>
      </c>
      <c r="R9" s="253">
        <f>SUM(R10,R23,R31)</f>
        <v>430173</v>
      </c>
      <c r="S9" s="253">
        <f>SUM(S10,S23,S31)</f>
        <v>62769.2</v>
      </c>
      <c r="T9" s="253">
        <f>SUM(T10,T23,T31)</f>
        <v>130366.8</v>
      </c>
      <c r="U9" s="253">
        <f>SUM(U11:U52)</f>
        <v>55110.04</v>
      </c>
      <c r="V9" s="253">
        <f>SUM(V10,V23,V31)</f>
        <v>197300.00000000003</v>
      </c>
      <c r="W9" s="253">
        <f>SUM(W10,W23,W31)</f>
        <v>330000</v>
      </c>
      <c r="X9" s="253">
        <f>SUM(X11:X52)</f>
        <v>0</v>
      </c>
    </row>
    <row r="10" spans="1:24" s="147" customFormat="1" ht="72.75" customHeight="1" x14ac:dyDescent="0.3">
      <c r="A10" s="103" t="s">
        <v>13</v>
      </c>
      <c r="B10" s="102" t="s">
        <v>228</v>
      </c>
      <c r="C10" s="103"/>
      <c r="D10" s="143"/>
      <c r="E10" s="143"/>
      <c r="F10" s="159"/>
      <c r="G10" s="159"/>
      <c r="H10" s="159"/>
      <c r="I10" s="161"/>
      <c r="J10" s="159"/>
      <c r="K10" s="159"/>
      <c r="L10" s="159"/>
      <c r="M10" s="159"/>
      <c r="N10" s="161"/>
      <c r="O10" s="161"/>
      <c r="P10" s="167">
        <f>SUM(P12,P14,P15,P18)</f>
        <v>148175</v>
      </c>
      <c r="Q10" s="167">
        <f t="shared" ref="Q10:W10" si="0">SUM(Q12,Q14,Q15,Q18)</f>
        <v>44452.5</v>
      </c>
      <c r="R10" s="167">
        <f t="shared" si="0"/>
        <v>103722.5</v>
      </c>
      <c r="S10" s="167">
        <f t="shared" si="0"/>
        <v>1208.2</v>
      </c>
      <c r="T10" s="167">
        <f t="shared" si="0"/>
        <v>29366.799999999999</v>
      </c>
      <c r="U10" s="167"/>
      <c r="V10" s="167">
        <f t="shared" si="0"/>
        <v>38000</v>
      </c>
      <c r="W10" s="167">
        <f t="shared" si="0"/>
        <v>79600</v>
      </c>
      <c r="X10" s="104"/>
    </row>
    <row r="11" spans="1:24" s="148" customFormat="1" ht="26.25" customHeight="1" x14ac:dyDescent="0.3">
      <c r="A11" s="119">
        <v>1</v>
      </c>
      <c r="B11" s="105" t="s">
        <v>105</v>
      </c>
      <c r="C11" s="100"/>
      <c r="D11" s="100"/>
      <c r="E11" s="100"/>
      <c r="F11" s="160"/>
      <c r="G11" s="160"/>
      <c r="H11" s="160"/>
      <c r="I11" s="162"/>
      <c r="J11" s="160"/>
      <c r="K11" s="160"/>
      <c r="L11" s="160"/>
      <c r="M11" s="160"/>
      <c r="N11" s="162"/>
      <c r="O11" s="162"/>
      <c r="P11" s="167"/>
      <c r="Q11" s="167"/>
      <c r="R11" s="167"/>
      <c r="S11" s="258"/>
      <c r="T11" s="258"/>
      <c r="U11" s="258"/>
      <c r="V11" s="258"/>
      <c r="W11" s="258"/>
      <c r="X11" s="104"/>
    </row>
    <row r="12" spans="1:24" s="148" customFormat="1" ht="34.5" customHeight="1" x14ac:dyDescent="0.3">
      <c r="A12" s="149"/>
      <c r="B12" s="106" t="s">
        <v>112</v>
      </c>
      <c r="C12" s="100" t="s">
        <v>173</v>
      </c>
      <c r="D12" s="100" t="s">
        <v>114</v>
      </c>
      <c r="E12" s="107"/>
      <c r="F12" s="108">
        <v>20</v>
      </c>
      <c r="G12" s="108">
        <v>1.5</v>
      </c>
      <c r="H12" s="108">
        <v>5</v>
      </c>
      <c r="I12" s="109">
        <f>G12*H12*10000</f>
        <v>75000</v>
      </c>
      <c r="J12" s="130">
        <v>10.6</v>
      </c>
      <c r="K12" s="130"/>
      <c r="L12" s="130"/>
      <c r="M12" s="130"/>
      <c r="N12" s="109">
        <v>14000</v>
      </c>
      <c r="O12" s="109">
        <v>47000</v>
      </c>
      <c r="P12" s="109">
        <f>I12-N12-O12</f>
        <v>14000</v>
      </c>
      <c r="Q12" s="109">
        <f>P12*30%</f>
        <v>4200</v>
      </c>
      <c r="R12" s="109">
        <f>P12-Q12</f>
        <v>9800</v>
      </c>
      <c r="S12" s="262"/>
      <c r="T12" s="115"/>
      <c r="U12" s="115"/>
      <c r="V12" s="263">
        <v>9000</v>
      </c>
      <c r="W12" s="295">
        <f>P12-V12</f>
        <v>5000</v>
      </c>
      <c r="X12" s="110" t="s">
        <v>231</v>
      </c>
    </row>
    <row r="13" spans="1:24" s="148" customFormat="1" ht="31.5" customHeight="1" x14ac:dyDescent="0.3">
      <c r="A13" s="119">
        <v>2</v>
      </c>
      <c r="B13" s="105" t="s">
        <v>109</v>
      </c>
      <c r="C13" s="100"/>
      <c r="D13" s="112"/>
      <c r="E13" s="112"/>
      <c r="F13" s="93"/>
      <c r="G13" s="93"/>
      <c r="H13" s="93"/>
      <c r="I13" s="113"/>
      <c r="J13" s="163"/>
      <c r="K13" s="163"/>
      <c r="L13" s="163"/>
      <c r="M13" s="163"/>
      <c r="N13" s="162"/>
      <c r="O13" s="162"/>
      <c r="P13" s="167"/>
      <c r="Q13" s="109">
        <f t="shared" ref="Q13:Q22" si="1">P13*30%</f>
        <v>0</v>
      </c>
      <c r="R13" s="109">
        <f t="shared" ref="R13:R22" si="2">P13-Q13</f>
        <v>0</v>
      </c>
      <c r="S13" s="262"/>
      <c r="T13" s="115"/>
      <c r="U13" s="115"/>
      <c r="V13" s="115"/>
      <c r="W13" s="262"/>
      <c r="X13" s="104"/>
    </row>
    <row r="14" spans="1:24" s="148" customFormat="1" ht="38.25" customHeight="1" x14ac:dyDescent="0.3">
      <c r="A14" s="149"/>
      <c r="B14" s="106" t="s">
        <v>115</v>
      </c>
      <c r="C14" s="100" t="s">
        <v>173</v>
      </c>
      <c r="D14" s="100" t="s">
        <v>116</v>
      </c>
      <c r="E14" s="100"/>
      <c r="F14" s="85">
        <v>9.91</v>
      </c>
      <c r="G14" s="85">
        <v>2.5</v>
      </c>
      <c r="H14" s="85">
        <f>3</f>
        <v>3</v>
      </c>
      <c r="I14" s="114">
        <f>G14*H14*10000</f>
        <v>75000</v>
      </c>
      <c r="J14" s="115">
        <v>9.91</v>
      </c>
      <c r="K14" s="115"/>
      <c r="L14" s="115"/>
      <c r="M14" s="115"/>
      <c r="N14" s="161">
        <v>10000</v>
      </c>
      <c r="O14" s="161">
        <v>50000</v>
      </c>
      <c r="P14" s="169">
        <f>I14-N14-O14</f>
        <v>15000</v>
      </c>
      <c r="Q14" s="109">
        <f t="shared" si="1"/>
        <v>4500</v>
      </c>
      <c r="R14" s="109">
        <f t="shared" si="2"/>
        <v>10500</v>
      </c>
      <c r="S14" s="262"/>
      <c r="T14" s="115"/>
      <c r="U14" s="115"/>
      <c r="V14" s="115"/>
      <c r="W14" s="116">
        <f>P14</f>
        <v>15000</v>
      </c>
      <c r="X14" s="110" t="s">
        <v>232</v>
      </c>
    </row>
    <row r="15" spans="1:24" s="148" customFormat="1" ht="38.25" customHeight="1" x14ac:dyDescent="0.3">
      <c r="A15" s="119">
        <v>3</v>
      </c>
      <c r="B15" s="105" t="s">
        <v>110</v>
      </c>
      <c r="C15" s="100"/>
      <c r="D15" s="100"/>
      <c r="E15" s="100"/>
      <c r="F15" s="85"/>
      <c r="G15" s="85"/>
      <c r="H15" s="85"/>
      <c r="I15" s="114"/>
      <c r="J15" s="115"/>
      <c r="K15" s="115"/>
      <c r="L15" s="115"/>
      <c r="M15" s="115"/>
      <c r="N15" s="161"/>
      <c r="O15" s="161"/>
      <c r="P15" s="286">
        <f>P16+P17</f>
        <v>1575</v>
      </c>
      <c r="Q15" s="286">
        <f t="shared" ref="Q15:W15" si="3">Q16+Q17</f>
        <v>472.5</v>
      </c>
      <c r="R15" s="286">
        <f t="shared" si="3"/>
        <v>1102.5</v>
      </c>
      <c r="S15" s="286">
        <f t="shared" si="3"/>
        <v>1208.2</v>
      </c>
      <c r="T15" s="286">
        <f t="shared" si="3"/>
        <v>366.8</v>
      </c>
      <c r="U15" s="286"/>
      <c r="V15" s="286">
        <f t="shared" si="3"/>
        <v>0</v>
      </c>
      <c r="W15" s="286">
        <f t="shared" si="3"/>
        <v>0</v>
      </c>
      <c r="X15" s="110"/>
    </row>
    <row r="16" spans="1:24" s="148" customFormat="1" ht="35.25" customHeight="1" x14ac:dyDescent="0.3">
      <c r="A16" s="149"/>
      <c r="B16" s="257" t="s">
        <v>226</v>
      </c>
      <c r="C16" s="100" t="s">
        <v>131</v>
      </c>
      <c r="D16" s="100" t="s">
        <v>151</v>
      </c>
      <c r="E16" s="100" t="s">
        <v>25</v>
      </c>
      <c r="F16" s="85"/>
      <c r="G16" s="85"/>
      <c r="H16" s="85"/>
      <c r="I16" s="114"/>
      <c r="J16" s="115"/>
      <c r="K16" s="115"/>
      <c r="L16" s="115"/>
      <c r="M16" s="115"/>
      <c r="N16" s="161"/>
      <c r="O16" s="161"/>
      <c r="P16" s="168">
        <v>975</v>
      </c>
      <c r="Q16" s="109">
        <f t="shared" si="1"/>
        <v>292.5</v>
      </c>
      <c r="R16" s="109">
        <f t="shared" ref="R16" si="4">P16-Q16</f>
        <v>682.5</v>
      </c>
      <c r="S16" s="114">
        <f>P16</f>
        <v>975</v>
      </c>
      <c r="T16" s="114"/>
      <c r="U16" s="114"/>
      <c r="V16" s="114"/>
      <c r="W16" s="114"/>
      <c r="X16" s="110"/>
    </row>
    <row r="17" spans="1:26" s="148" customFormat="1" ht="37.5" customHeight="1" x14ac:dyDescent="0.3">
      <c r="A17" s="149"/>
      <c r="B17" s="257" t="s">
        <v>227</v>
      </c>
      <c r="C17" s="100"/>
      <c r="D17" s="100"/>
      <c r="E17" s="100"/>
      <c r="F17" s="85"/>
      <c r="G17" s="85"/>
      <c r="H17" s="85"/>
      <c r="I17" s="114"/>
      <c r="J17" s="150"/>
      <c r="K17" s="159"/>
      <c r="L17" s="159"/>
      <c r="M17" s="159"/>
      <c r="N17" s="164"/>
      <c r="O17" s="161"/>
      <c r="P17" s="168">
        <v>600</v>
      </c>
      <c r="Q17" s="168">
        <f>P17*30%</f>
        <v>180</v>
      </c>
      <c r="R17" s="168">
        <f>P17-Q17</f>
        <v>420</v>
      </c>
      <c r="S17" s="116">
        <v>233.2</v>
      </c>
      <c r="T17" s="114">
        <f>P17-S17</f>
        <v>366.8</v>
      </c>
      <c r="U17" s="114">
        <f>T17*0.3</f>
        <v>110.04</v>
      </c>
      <c r="V17" s="114"/>
      <c r="W17" s="114"/>
      <c r="X17" s="110"/>
    </row>
    <row r="18" spans="1:26" s="148" customFormat="1" ht="38.25" customHeight="1" x14ac:dyDescent="0.3">
      <c r="A18" s="119">
        <v>5</v>
      </c>
      <c r="B18" s="105" t="s">
        <v>106</v>
      </c>
      <c r="C18" s="100"/>
      <c r="D18" s="100"/>
      <c r="E18" s="100"/>
      <c r="F18" s="85"/>
      <c r="G18" s="85"/>
      <c r="H18" s="85"/>
      <c r="I18" s="114"/>
      <c r="J18" s="115"/>
      <c r="K18" s="115"/>
      <c r="L18" s="115"/>
      <c r="M18" s="115"/>
      <c r="N18" s="161"/>
      <c r="O18" s="161"/>
      <c r="P18" s="167">
        <f>SUM(P20:P22)</f>
        <v>117600</v>
      </c>
      <c r="Q18" s="167">
        <f>SUM(Q20:Q22)</f>
        <v>35280</v>
      </c>
      <c r="R18" s="167">
        <f>SUM(R20:R22)</f>
        <v>82320</v>
      </c>
      <c r="S18" s="167">
        <f>SUM(S20:S22)</f>
        <v>0</v>
      </c>
      <c r="T18" s="167">
        <f>SUM(T20:T22)</f>
        <v>29000</v>
      </c>
      <c r="U18" s="167"/>
      <c r="V18" s="167">
        <f>SUM(V20:V22)</f>
        <v>29000</v>
      </c>
      <c r="W18" s="167">
        <f>SUM(W20:W22)</f>
        <v>59600</v>
      </c>
      <c r="X18" s="104"/>
    </row>
    <row r="19" spans="1:26" s="148" customFormat="1" ht="35.25" customHeight="1" x14ac:dyDescent="0.3">
      <c r="A19" s="149" t="s">
        <v>161</v>
      </c>
      <c r="B19" s="83" t="s">
        <v>259</v>
      </c>
      <c r="C19" s="100" t="s">
        <v>131</v>
      </c>
      <c r="D19" s="100" t="s">
        <v>151</v>
      </c>
      <c r="E19" s="100" t="s">
        <v>25</v>
      </c>
      <c r="F19" s="85"/>
      <c r="G19" s="85"/>
      <c r="H19" s="85"/>
      <c r="I19" s="114"/>
      <c r="J19" s="115"/>
      <c r="K19" s="115"/>
      <c r="L19" s="115"/>
      <c r="M19" s="115"/>
      <c r="N19" s="161"/>
      <c r="O19" s="161"/>
      <c r="P19" s="168">
        <v>28296</v>
      </c>
      <c r="Q19" s="109">
        <f>P19*30%</f>
        <v>8488.7999999999993</v>
      </c>
      <c r="R19" s="109">
        <f>P19-Q19</f>
        <v>19807.2</v>
      </c>
      <c r="S19" s="114">
        <v>28296</v>
      </c>
      <c r="T19" s="114"/>
      <c r="U19" s="114"/>
      <c r="V19" s="114"/>
      <c r="W19" s="114"/>
      <c r="X19" s="110"/>
    </row>
    <row r="20" spans="1:26" s="148" customFormat="1" ht="35.25" customHeight="1" x14ac:dyDescent="0.3">
      <c r="A20" s="149" t="s">
        <v>162</v>
      </c>
      <c r="B20" s="84" t="s">
        <v>150</v>
      </c>
      <c r="C20" s="100" t="s">
        <v>175</v>
      </c>
      <c r="D20" s="100" t="s">
        <v>151</v>
      </c>
      <c r="E20" s="100" t="s">
        <v>25</v>
      </c>
      <c r="F20" s="85">
        <v>1.9</v>
      </c>
      <c r="G20" s="85">
        <v>1</v>
      </c>
      <c r="H20" s="85">
        <v>7</v>
      </c>
      <c r="I20" s="114">
        <f>G20*H20*10000</f>
        <v>70000</v>
      </c>
      <c r="J20" s="115"/>
      <c r="K20" s="115"/>
      <c r="L20" s="115"/>
      <c r="M20" s="115"/>
      <c r="N20" s="161"/>
      <c r="O20" s="161"/>
      <c r="P20" s="168">
        <f>I20</f>
        <v>70000</v>
      </c>
      <c r="Q20" s="109">
        <f t="shared" si="1"/>
        <v>21000</v>
      </c>
      <c r="R20" s="109">
        <f t="shared" si="2"/>
        <v>49000</v>
      </c>
      <c r="S20" s="262"/>
      <c r="T20" s="114">
        <v>23000</v>
      </c>
      <c r="U20" s="114">
        <f>T20*0.3</f>
        <v>6900</v>
      </c>
      <c r="V20" s="114">
        <v>23000</v>
      </c>
      <c r="W20" s="114">
        <f>P20-T20-V20</f>
        <v>24000</v>
      </c>
      <c r="X20" s="110" t="s">
        <v>233</v>
      </c>
      <c r="Y20" s="337">
        <f>T20+V20+W20</f>
        <v>70000</v>
      </c>
    </row>
    <row r="21" spans="1:26" s="148" customFormat="1" ht="38.25" customHeight="1" x14ac:dyDescent="0.3">
      <c r="A21" s="149" t="s">
        <v>163</v>
      </c>
      <c r="B21" s="83" t="s">
        <v>152</v>
      </c>
      <c r="C21" s="100" t="s">
        <v>123</v>
      </c>
      <c r="D21" s="100" t="s">
        <v>151</v>
      </c>
      <c r="E21" s="100" t="s">
        <v>25</v>
      </c>
      <c r="F21" s="85"/>
      <c r="G21" s="85">
        <v>1.1000000000000001</v>
      </c>
      <c r="H21" s="85">
        <v>4</v>
      </c>
      <c r="I21" s="114">
        <f>G21*H21*10000</f>
        <v>44000</v>
      </c>
      <c r="J21" s="115"/>
      <c r="K21" s="115"/>
      <c r="L21" s="115"/>
      <c r="M21" s="115"/>
      <c r="N21" s="161"/>
      <c r="O21" s="161"/>
      <c r="P21" s="168">
        <f>I21*40%</f>
        <v>17600</v>
      </c>
      <c r="Q21" s="109">
        <f t="shared" si="1"/>
        <v>5280</v>
      </c>
      <c r="R21" s="109">
        <f t="shared" si="2"/>
        <v>12320</v>
      </c>
      <c r="S21" s="262"/>
      <c r="T21" s="114">
        <v>6000</v>
      </c>
      <c r="U21" s="114">
        <f>T21*0.3</f>
        <v>1800</v>
      </c>
      <c r="V21" s="114">
        <v>6000</v>
      </c>
      <c r="W21" s="114">
        <f>P21-T21-V21</f>
        <v>5600</v>
      </c>
      <c r="X21" s="110" t="s">
        <v>233</v>
      </c>
      <c r="Y21" s="337">
        <f>T21+V21+W21</f>
        <v>17600</v>
      </c>
    </row>
    <row r="22" spans="1:26" s="148" customFormat="1" ht="31.2" x14ac:dyDescent="0.3">
      <c r="A22" s="149" t="s">
        <v>167</v>
      </c>
      <c r="B22" s="90" t="s">
        <v>165</v>
      </c>
      <c r="C22" s="88" t="s">
        <v>123</v>
      </c>
      <c r="D22" s="88" t="s">
        <v>166</v>
      </c>
      <c r="E22" s="100"/>
      <c r="F22" s="85"/>
      <c r="G22" s="255">
        <v>3.6</v>
      </c>
      <c r="H22" s="256">
        <v>5.5</v>
      </c>
      <c r="I22" s="224">
        <f>G22*H22*10000</f>
        <v>198000</v>
      </c>
      <c r="J22" s="91">
        <f>16.04+1.6</f>
        <v>17.64</v>
      </c>
      <c r="K22" s="91"/>
      <c r="L22" s="91"/>
      <c r="M22" s="91"/>
      <c r="N22" s="92">
        <v>20000</v>
      </c>
      <c r="O22" s="161">
        <v>90000</v>
      </c>
      <c r="P22" s="168">
        <f>I22-N22-O22-58000</f>
        <v>30000</v>
      </c>
      <c r="Q22" s="109">
        <f t="shared" si="1"/>
        <v>9000</v>
      </c>
      <c r="R22" s="109">
        <f t="shared" si="2"/>
        <v>21000</v>
      </c>
      <c r="S22" s="262"/>
      <c r="T22" s="114"/>
      <c r="U22" s="114"/>
      <c r="V22" s="114"/>
      <c r="W22" s="114">
        <v>30000</v>
      </c>
      <c r="X22" s="110" t="s">
        <v>260</v>
      </c>
      <c r="Y22" s="337">
        <f>T22+V22+W22</f>
        <v>30000</v>
      </c>
      <c r="Z22" s="337">
        <f>P22-W22</f>
        <v>0</v>
      </c>
    </row>
    <row r="23" spans="1:26" s="147" customFormat="1" ht="72.75" customHeight="1" x14ac:dyDescent="0.3">
      <c r="A23" s="103" t="s">
        <v>18</v>
      </c>
      <c r="B23" s="102" t="s">
        <v>229</v>
      </c>
      <c r="C23" s="103"/>
      <c r="D23" s="143"/>
      <c r="E23" s="143"/>
      <c r="F23" s="159"/>
      <c r="G23" s="159"/>
      <c r="H23" s="159"/>
      <c r="I23" s="161"/>
      <c r="J23" s="159"/>
      <c r="K23" s="159"/>
      <c r="L23" s="159"/>
      <c r="M23" s="159"/>
      <c r="N23" s="161"/>
      <c r="O23" s="161"/>
      <c r="P23" s="167">
        <f>SUM(P25,P26,P30)</f>
        <v>23300</v>
      </c>
      <c r="Q23" s="167">
        <f t="shared" ref="Q23:W23" si="5">SUM(Q25,Q26,Q30)</f>
        <v>2330</v>
      </c>
      <c r="R23" s="167">
        <f t="shared" si="5"/>
        <v>20970</v>
      </c>
      <c r="S23" s="167">
        <f t="shared" si="5"/>
        <v>0</v>
      </c>
      <c r="T23" s="167">
        <f>SUM(T25,T26,T30)</f>
        <v>0</v>
      </c>
      <c r="U23" s="167"/>
      <c r="V23" s="167">
        <f t="shared" si="5"/>
        <v>5900</v>
      </c>
      <c r="W23" s="167">
        <f t="shared" si="5"/>
        <v>17400</v>
      </c>
      <c r="X23" s="104"/>
    </row>
    <row r="24" spans="1:26" s="148" customFormat="1" ht="26.25" customHeight="1" x14ac:dyDescent="0.3">
      <c r="A24" s="119">
        <v>1</v>
      </c>
      <c r="B24" s="105" t="s">
        <v>105</v>
      </c>
      <c r="C24" s="100"/>
      <c r="D24" s="100"/>
      <c r="E24" s="100"/>
      <c r="F24" s="160"/>
      <c r="G24" s="160"/>
      <c r="H24" s="160"/>
      <c r="I24" s="162"/>
      <c r="J24" s="160"/>
      <c r="K24" s="160"/>
      <c r="L24" s="160"/>
      <c r="M24" s="160"/>
      <c r="N24" s="162"/>
      <c r="O24" s="162"/>
      <c r="P24" s="167"/>
      <c r="Q24" s="167"/>
      <c r="R24" s="167"/>
      <c r="S24" s="262"/>
      <c r="T24" s="114"/>
      <c r="U24" s="114"/>
      <c r="V24" s="114"/>
      <c r="W24" s="114"/>
      <c r="X24" s="104"/>
    </row>
    <row r="25" spans="1:26" s="148" customFormat="1" ht="42.75" customHeight="1" x14ac:dyDescent="0.3">
      <c r="A25" s="149"/>
      <c r="B25" s="106" t="s">
        <v>113</v>
      </c>
      <c r="C25" s="100" t="s">
        <v>173</v>
      </c>
      <c r="D25" s="100" t="s">
        <v>114</v>
      </c>
      <c r="E25" s="107"/>
      <c r="F25" s="108">
        <v>2.2000000000000002</v>
      </c>
      <c r="G25" s="108">
        <v>0.5</v>
      </c>
      <c r="H25" s="108">
        <f>30000/10000</f>
        <v>3</v>
      </c>
      <c r="I25" s="109">
        <f>G25*H25*10000</f>
        <v>15000</v>
      </c>
      <c r="J25" s="130">
        <v>2.2000000000000002</v>
      </c>
      <c r="K25" s="130"/>
      <c r="L25" s="130"/>
      <c r="M25" s="130"/>
      <c r="N25" s="109">
        <v>3650</v>
      </c>
      <c r="O25" s="109">
        <v>2350</v>
      </c>
      <c r="P25" s="168">
        <f>I25-N25-O25</f>
        <v>9000</v>
      </c>
      <c r="Q25" s="168">
        <f>P25*10%</f>
        <v>900</v>
      </c>
      <c r="R25" s="168">
        <f>P25*90%</f>
        <v>8100</v>
      </c>
      <c r="S25" s="262"/>
      <c r="T25" s="114"/>
      <c r="U25" s="114"/>
      <c r="V25" s="114"/>
      <c r="W25" s="114">
        <f>P25</f>
        <v>9000</v>
      </c>
      <c r="X25" s="110" t="s">
        <v>232</v>
      </c>
    </row>
    <row r="26" spans="1:26" s="148" customFormat="1" ht="38.25" customHeight="1" x14ac:dyDescent="0.3">
      <c r="A26" s="119">
        <v>2</v>
      </c>
      <c r="B26" s="105" t="s">
        <v>107</v>
      </c>
      <c r="C26" s="100"/>
      <c r="D26" s="100"/>
      <c r="E26" s="100"/>
      <c r="F26" s="85"/>
      <c r="G26" s="85"/>
      <c r="H26" s="85"/>
      <c r="I26" s="113"/>
      <c r="J26" s="93"/>
      <c r="K26" s="163"/>
      <c r="L26" s="163"/>
      <c r="M26" s="163"/>
      <c r="N26" s="162"/>
      <c r="O26" s="162"/>
      <c r="P26" s="167">
        <f>P27+P28</f>
        <v>2800</v>
      </c>
      <c r="Q26" s="167">
        <f t="shared" ref="Q26:T26" si="6">Q27+Q28</f>
        <v>280</v>
      </c>
      <c r="R26" s="167">
        <f t="shared" si="6"/>
        <v>2520</v>
      </c>
      <c r="S26" s="167">
        <f t="shared" si="6"/>
        <v>0</v>
      </c>
      <c r="T26" s="167">
        <f t="shared" si="6"/>
        <v>0</v>
      </c>
      <c r="U26" s="167"/>
      <c r="V26" s="167">
        <f t="shared" ref="V26:W26" si="7">V27+V28</f>
        <v>900</v>
      </c>
      <c r="W26" s="167">
        <f t="shared" si="7"/>
        <v>1900</v>
      </c>
      <c r="X26" s="104"/>
    </row>
    <row r="27" spans="1:26" s="148" customFormat="1" ht="38.25" customHeight="1" x14ac:dyDescent="0.3">
      <c r="A27" s="149" t="s">
        <v>143</v>
      </c>
      <c r="B27" s="98" t="s">
        <v>117</v>
      </c>
      <c r="C27" s="100" t="s">
        <v>173</v>
      </c>
      <c r="D27" s="100" t="s">
        <v>118</v>
      </c>
      <c r="E27" s="100" t="s">
        <v>119</v>
      </c>
      <c r="F27" s="85">
        <v>3.8</v>
      </c>
      <c r="G27" s="85">
        <v>0.28000000000000003</v>
      </c>
      <c r="H27" s="85">
        <v>1.2</v>
      </c>
      <c r="I27" s="114">
        <f>G27*H27*10000</f>
        <v>3360</v>
      </c>
      <c r="J27" s="150" t="s">
        <v>120</v>
      </c>
      <c r="K27" s="159"/>
      <c r="L27" s="159"/>
      <c r="M27" s="159"/>
      <c r="N27" s="161">
        <v>2460</v>
      </c>
      <c r="O27" s="164">
        <v>0</v>
      </c>
      <c r="P27" s="168">
        <f>I27-N27</f>
        <v>900</v>
      </c>
      <c r="Q27" s="168">
        <f t="shared" ref="Q27:Q30" si="8">P27*10%</f>
        <v>90</v>
      </c>
      <c r="R27" s="168">
        <f t="shared" ref="R27:R30" si="9">P27*90%</f>
        <v>810</v>
      </c>
      <c r="S27" s="262"/>
      <c r="T27" s="114"/>
      <c r="U27" s="114"/>
      <c r="V27" s="114">
        <f>P27</f>
        <v>900</v>
      </c>
      <c r="W27" s="114"/>
      <c r="X27" s="110" t="s">
        <v>231</v>
      </c>
    </row>
    <row r="28" spans="1:26" s="148" customFormat="1" ht="37.5" customHeight="1" x14ac:dyDescent="0.3">
      <c r="A28" s="149" t="s">
        <v>171</v>
      </c>
      <c r="B28" s="98" t="s">
        <v>121</v>
      </c>
      <c r="C28" s="100" t="s">
        <v>173</v>
      </c>
      <c r="D28" s="100" t="s">
        <v>122</v>
      </c>
      <c r="E28" s="100" t="s">
        <v>25</v>
      </c>
      <c r="F28" s="85">
        <f>2880/10000</f>
        <v>0.28799999999999998</v>
      </c>
      <c r="G28" s="85">
        <v>0.13</v>
      </c>
      <c r="H28" s="85">
        <v>3.2</v>
      </c>
      <c r="I28" s="114">
        <f>H28*G28*10000</f>
        <v>4160</v>
      </c>
      <c r="J28" s="150">
        <f>F28</f>
        <v>0.28799999999999998</v>
      </c>
      <c r="K28" s="159"/>
      <c r="L28" s="159"/>
      <c r="M28" s="159"/>
      <c r="N28" s="164">
        <v>0</v>
      </c>
      <c r="O28" s="161">
        <v>2260</v>
      </c>
      <c r="P28" s="168">
        <f>I28-N28-O28</f>
        <v>1900</v>
      </c>
      <c r="Q28" s="168">
        <f t="shared" si="8"/>
        <v>190</v>
      </c>
      <c r="R28" s="168">
        <f t="shared" si="9"/>
        <v>1710</v>
      </c>
      <c r="S28" s="262"/>
      <c r="T28" s="114"/>
      <c r="U28" s="114"/>
      <c r="V28" s="114"/>
      <c r="W28" s="114">
        <f>P28</f>
        <v>1900</v>
      </c>
      <c r="X28" s="110" t="s">
        <v>232</v>
      </c>
    </row>
    <row r="29" spans="1:26" s="148" customFormat="1" ht="38.25" customHeight="1" x14ac:dyDescent="0.3">
      <c r="A29" s="119">
        <v>3</v>
      </c>
      <c r="B29" s="105" t="s">
        <v>108</v>
      </c>
      <c r="C29" s="100"/>
      <c r="D29" s="100"/>
      <c r="E29" s="100"/>
      <c r="F29" s="93"/>
      <c r="G29" s="93"/>
      <c r="H29" s="93"/>
      <c r="I29" s="113"/>
      <c r="J29" s="93"/>
      <c r="K29" s="163"/>
      <c r="L29" s="163"/>
      <c r="M29" s="163"/>
      <c r="N29" s="162"/>
      <c r="O29" s="162"/>
      <c r="P29" s="167"/>
      <c r="Q29" s="168">
        <f t="shared" si="8"/>
        <v>0</v>
      </c>
      <c r="R29" s="168">
        <f t="shared" si="9"/>
        <v>0</v>
      </c>
      <c r="S29" s="262"/>
      <c r="T29" s="114"/>
      <c r="U29" s="114"/>
      <c r="V29" s="114"/>
      <c r="W29" s="114"/>
      <c r="X29" s="104"/>
    </row>
    <row r="30" spans="1:26" s="148" customFormat="1" ht="38.25" customHeight="1" x14ac:dyDescent="0.3">
      <c r="A30" s="149"/>
      <c r="B30" s="98" t="s">
        <v>142</v>
      </c>
      <c r="C30" s="100" t="s">
        <v>175</v>
      </c>
      <c r="D30" s="100" t="s">
        <v>55</v>
      </c>
      <c r="E30" s="100" t="s">
        <v>25</v>
      </c>
      <c r="F30" s="85">
        <f>22129/10000</f>
        <v>2.2128999999999999</v>
      </c>
      <c r="G30" s="85">
        <v>1.19</v>
      </c>
      <c r="H30" s="85">
        <v>2.4</v>
      </c>
      <c r="I30" s="86">
        <f>G30*H30*10000</f>
        <v>28560</v>
      </c>
      <c r="J30" s="85">
        <v>2.21</v>
      </c>
      <c r="K30" s="115"/>
      <c r="L30" s="115"/>
      <c r="M30" s="115"/>
      <c r="N30" s="86">
        <v>8060</v>
      </c>
      <c r="O30" s="86">
        <v>9000</v>
      </c>
      <c r="P30" s="168">
        <f>I30-N30-O30</f>
        <v>11500</v>
      </c>
      <c r="Q30" s="168">
        <f t="shared" si="8"/>
        <v>1150</v>
      </c>
      <c r="R30" s="168">
        <f t="shared" si="9"/>
        <v>10350</v>
      </c>
      <c r="S30" s="262"/>
      <c r="T30" s="114"/>
      <c r="U30" s="114"/>
      <c r="V30" s="114">
        <v>5000</v>
      </c>
      <c r="W30" s="114">
        <f>P30-V30</f>
        <v>6500</v>
      </c>
      <c r="X30" s="110"/>
    </row>
    <row r="31" spans="1:26" s="151" customFormat="1" ht="35.25" customHeight="1" x14ac:dyDescent="0.3">
      <c r="A31" s="119" t="s">
        <v>18</v>
      </c>
      <c r="B31" s="118" t="s">
        <v>102</v>
      </c>
      <c r="C31" s="119"/>
      <c r="D31" s="120"/>
      <c r="E31" s="119"/>
      <c r="F31" s="85"/>
      <c r="G31" s="85"/>
      <c r="H31" s="86"/>
      <c r="I31" s="114"/>
      <c r="J31" s="85"/>
      <c r="K31" s="115"/>
      <c r="L31" s="115"/>
      <c r="M31" s="115"/>
      <c r="N31" s="161"/>
      <c r="O31" s="161"/>
      <c r="P31" s="167">
        <f>SUM(P32,P33,P44,P48,P50,P52)</f>
        <v>592561</v>
      </c>
      <c r="Q31" s="167">
        <f t="shared" ref="Q31:W31" si="10">SUM(Q32,Q33,Q44,Q48,Q50,Q52)</f>
        <v>287080.5</v>
      </c>
      <c r="R31" s="167">
        <f t="shared" si="10"/>
        <v>305480.5</v>
      </c>
      <c r="S31" s="167">
        <f t="shared" si="10"/>
        <v>61561</v>
      </c>
      <c r="T31" s="167">
        <f t="shared" si="10"/>
        <v>101000</v>
      </c>
      <c r="U31" s="167">
        <f t="shared" si="10"/>
        <v>0</v>
      </c>
      <c r="V31" s="167">
        <f t="shared" si="10"/>
        <v>153400.00000000003</v>
      </c>
      <c r="W31" s="167">
        <f t="shared" si="10"/>
        <v>233000</v>
      </c>
      <c r="X31" s="104"/>
    </row>
    <row r="32" spans="1:26" s="151" customFormat="1" ht="35.25" customHeight="1" x14ac:dyDescent="0.3">
      <c r="A32" s="119">
        <v>1</v>
      </c>
      <c r="B32" s="118" t="s">
        <v>274</v>
      </c>
      <c r="C32" s="119"/>
      <c r="D32" s="120"/>
      <c r="E32" s="119"/>
      <c r="F32" s="93"/>
      <c r="G32" s="93"/>
      <c r="H32" s="94"/>
      <c r="I32" s="113"/>
      <c r="J32" s="93"/>
      <c r="K32" s="163"/>
      <c r="L32" s="163"/>
      <c r="M32" s="163"/>
      <c r="N32" s="162"/>
      <c r="O32" s="162"/>
      <c r="P32" s="167">
        <v>43600</v>
      </c>
      <c r="Q32" s="167">
        <v>43600</v>
      </c>
      <c r="R32" s="167"/>
      <c r="S32" s="167"/>
      <c r="T32" s="167"/>
      <c r="U32" s="167"/>
      <c r="V32" s="167"/>
      <c r="W32" s="167"/>
      <c r="X32" s="104"/>
    </row>
    <row r="33" spans="1:25" s="148" customFormat="1" ht="38.25" customHeight="1" x14ac:dyDescent="0.3">
      <c r="A33" s="119">
        <v>2</v>
      </c>
      <c r="B33" s="291" t="s">
        <v>104</v>
      </c>
      <c r="C33" s="100"/>
      <c r="D33" s="100"/>
      <c r="E33" s="100"/>
      <c r="F33" s="93"/>
      <c r="G33" s="93"/>
      <c r="H33" s="94"/>
      <c r="I33" s="113"/>
      <c r="J33" s="113"/>
      <c r="K33" s="113"/>
      <c r="L33" s="113"/>
      <c r="M33" s="113"/>
      <c r="N33" s="113"/>
      <c r="O33" s="113"/>
      <c r="P33" s="113">
        <f>SUM(P34:P43)</f>
        <v>343961</v>
      </c>
      <c r="Q33" s="113">
        <f t="shared" ref="Q33:W33" si="11">SUM(Q34:Q43)</f>
        <v>171980.5</v>
      </c>
      <c r="R33" s="113">
        <f t="shared" si="11"/>
        <v>171980.5</v>
      </c>
      <c r="S33" s="113">
        <f t="shared" si="11"/>
        <v>61561</v>
      </c>
      <c r="T33" s="113">
        <f t="shared" si="11"/>
        <v>80000</v>
      </c>
      <c r="U33" s="113"/>
      <c r="V33" s="113">
        <f t="shared" si="11"/>
        <v>78400.000000000029</v>
      </c>
      <c r="W33" s="113">
        <f t="shared" si="11"/>
        <v>124000</v>
      </c>
      <c r="X33" s="121"/>
    </row>
    <row r="34" spans="1:25" s="148" customFormat="1" ht="38.25" customHeight="1" x14ac:dyDescent="0.3">
      <c r="A34" s="149" t="s">
        <v>143</v>
      </c>
      <c r="B34" s="106" t="s">
        <v>244</v>
      </c>
      <c r="C34" s="100"/>
      <c r="D34" s="100"/>
      <c r="E34" s="100"/>
      <c r="F34" s="93"/>
      <c r="G34" s="93"/>
      <c r="H34" s="94"/>
      <c r="I34" s="113"/>
      <c r="J34" s="113"/>
      <c r="K34" s="113"/>
      <c r="L34" s="113"/>
      <c r="M34" s="113"/>
      <c r="N34" s="113"/>
      <c r="O34" s="113"/>
      <c r="P34" s="114">
        <v>61561</v>
      </c>
      <c r="Q34" s="168">
        <f>P34*50%</f>
        <v>30780.5</v>
      </c>
      <c r="R34" s="168">
        <f>P34*50%</f>
        <v>30780.5</v>
      </c>
      <c r="S34" s="168">
        <f>P34</f>
        <v>61561</v>
      </c>
      <c r="T34" s="114"/>
      <c r="U34" s="114"/>
      <c r="V34" s="114"/>
      <c r="W34" s="114"/>
      <c r="X34" s="121"/>
    </row>
    <row r="35" spans="1:25" s="148" customFormat="1" ht="38.25" customHeight="1" x14ac:dyDescent="0.3">
      <c r="A35" s="149" t="s">
        <v>171</v>
      </c>
      <c r="B35" s="122" t="s">
        <v>253</v>
      </c>
      <c r="C35" s="107" t="s">
        <v>123</v>
      </c>
      <c r="D35" s="107" t="s">
        <v>44</v>
      </c>
      <c r="E35" s="107" t="s">
        <v>25</v>
      </c>
      <c r="F35" s="108">
        <v>36.590000000000003</v>
      </c>
      <c r="G35" s="108">
        <v>10</v>
      </c>
      <c r="H35" s="124">
        <v>5</v>
      </c>
      <c r="I35" s="109">
        <f>H35*G35*10000</f>
        <v>500000</v>
      </c>
      <c r="J35" s="108">
        <v>36.590000000000003</v>
      </c>
      <c r="K35" s="130"/>
      <c r="L35" s="130"/>
      <c r="M35" s="130"/>
      <c r="N35" s="125">
        <v>93000</v>
      </c>
      <c r="O35" s="125">
        <v>300000</v>
      </c>
      <c r="P35" s="168">
        <f>I35-N35-O35-107000</f>
        <v>0</v>
      </c>
      <c r="Q35" s="168">
        <f>P35*50%</f>
        <v>0</v>
      </c>
      <c r="R35" s="168">
        <f>P35*50%</f>
        <v>0</v>
      </c>
      <c r="S35" s="262"/>
      <c r="T35" s="114"/>
      <c r="U35" s="114"/>
      <c r="V35" s="114"/>
      <c r="W35" s="114"/>
      <c r="X35" s="110" t="s">
        <v>257</v>
      </c>
    </row>
    <row r="36" spans="1:25" s="148" customFormat="1" ht="38.25" customHeight="1" x14ac:dyDescent="0.3">
      <c r="A36" s="149" t="s">
        <v>275</v>
      </c>
      <c r="B36" s="126" t="s">
        <v>127</v>
      </c>
      <c r="C36" s="107">
        <v>2025</v>
      </c>
      <c r="D36" s="107" t="s">
        <v>44</v>
      </c>
      <c r="E36" s="107" t="s">
        <v>25</v>
      </c>
      <c r="F36" s="108">
        <v>7.8</v>
      </c>
      <c r="G36" s="108">
        <v>4.5999999999999996</v>
      </c>
      <c r="H36" s="124">
        <v>4</v>
      </c>
      <c r="I36" s="109">
        <f>H36*G36*10000</f>
        <v>184000</v>
      </c>
      <c r="J36" s="108"/>
      <c r="K36" s="130"/>
      <c r="L36" s="130"/>
      <c r="M36" s="130"/>
      <c r="N36" s="125"/>
      <c r="O36" s="125"/>
      <c r="P36" s="168">
        <f>I36-N36-O36-99000</f>
        <v>85000</v>
      </c>
      <c r="Q36" s="168">
        <f t="shared" ref="Q36:Q43" si="12">P36*50%</f>
        <v>42500</v>
      </c>
      <c r="R36" s="168">
        <f t="shared" ref="R36:R43" si="13">P36*50%</f>
        <v>42500</v>
      </c>
      <c r="S36" s="262"/>
      <c r="T36" s="114"/>
      <c r="U36" s="114"/>
      <c r="V36" s="114"/>
      <c r="W36" s="114">
        <v>85000</v>
      </c>
      <c r="X36" s="110" t="s">
        <v>260</v>
      </c>
      <c r="Y36" s="336">
        <f>P36-W36</f>
        <v>0</v>
      </c>
    </row>
    <row r="37" spans="1:25" s="148" customFormat="1" ht="38.25" customHeight="1" x14ac:dyDescent="0.3">
      <c r="A37" s="149" t="s">
        <v>276</v>
      </c>
      <c r="B37" s="127" t="s">
        <v>124</v>
      </c>
      <c r="C37" s="107" t="s">
        <v>125</v>
      </c>
      <c r="D37" s="107" t="s">
        <v>29</v>
      </c>
      <c r="E37" s="107" t="s">
        <v>30</v>
      </c>
      <c r="F37" s="108">
        <v>0.23</v>
      </c>
      <c r="G37" s="108">
        <v>0.23</v>
      </c>
      <c r="H37" s="124">
        <v>4</v>
      </c>
      <c r="I37" s="109">
        <f>H37*G37*10000</f>
        <v>9200</v>
      </c>
      <c r="J37" s="130"/>
      <c r="K37" s="130"/>
      <c r="L37" s="130"/>
      <c r="M37" s="130"/>
      <c r="N37" s="130"/>
      <c r="O37" s="130"/>
      <c r="P37" s="168">
        <f t="shared" ref="P37:P43" si="14">I37-N37-O37</f>
        <v>9200</v>
      </c>
      <c r="Q37" s="168">
        <f>P37*50%</f>
        <v>4600</v>
      </c>
      <c r="R37" s="168">
        <f t="shared" si="13"/>
        <v>4600</v>
      </c>
      <c r="S37" s="262"/>
      <c r="T37" s="114">
        <f>P37</f>
        <v>9200</v>
      </c>
      <c r="U37" s="114">
        <f>T37*0.5</f>
        <v>4600</v>
      </c>
      <c r="V37" s="114"/>
      <c r="W37" s="114"/>
      <c r="X37" s="110" t="s">
        <v>235</v>
      </c>
    </row>
    <row r="38" spans="1:25" s="148" customFormat="1" ht="38.25" customHeight="1" x14ac:dyDescent="0.3">
      <c r="A38" s="149" t="s">
        <v>277</v>
      </c>
      <c r="B38" s="126" t="s">
        <v>126</v>
      </c>
      <c r="C38" s="107" t="s">
        <v>254</v>
      </c>
      <c r="D38" s="107" t="s">
        <v>27</v>
      </c>
      <c r="E38" s="107" t="s">
        <v>50</v>
      </c>
      <c r="F38" s="108">
        <v>1.89</v>
      </c>
      <c r="G38" s="108">
        <v>1.3</v>
      </c>
      <c r="H38" s="108">
        <v>6</v>
      </c>
      <c r="I38" s="109">
        <f>G38*H38*10000</f>
        <v>78000</v>
      </c>
      <c r="J38" s="130"/>
      <c r="K38" s="130"/>
      <c r="L38" s="130"/>
      <c r="M38" s="130"/>
      <c r="N38" s="130"/>
      <c r="O38" s="130"/>
      <c r="P38" s="168">
        <f t="shared" si="14"/>
        <v>78000</v>
      </c>
      <c r="Q38" s="168">
        <f t="shared" si="12"/>
        <v>39000</v>
      </c>
      <c r="R38" s="168">
        <f t="shared" si="13"/>
        <v>39000</v>
      </c>
      <c r="S38" s="262"/>
      <c r="T38" s="114">
        <v>59800</v>
      </c>
      <c r="U38" s="114">
        <f>T38*0.5</f>
        <v>29900</v>
      </c>
      <c r="V38" s="114">
        <f>P38-T38</f>
        <v>18200</v>
      </c>
      <c r="W38" s="114"/>
      <c r="X38" s="110" t="s">
        <v>235</v>
      </c>
    </row>
    <row r="39" spans="1:25" s="148" customFormat="1" ht="38.25" customHeight="1" x14ac:dyDescent="0.3">
      <c r="A39" s="149" t="s">
        <v>278</v>
      </c>
      <c r="B39" s="126" t="s">
        <v>160</v>
      </c>
      <c r="C39" s="107" t="s">
        <v>254</v>
      </c>
      <c r="D39" s="107" t="s">
        <v>29</v>
      </c>
      <c r="E39" s="107" t="s">
        <v>50</v>
      </c>
      <c r="F39" s="108">
        <v>26.78</v>
      </c>
      <c r="G39" s="108">
        <v>7.5</v>
      </c>
      <c r="H39" s="124">
        <v>5</v>
      </c>
      <c r="I39" s="109">
        <f>H39*G39*10000</f>
        <v>375000</v>
      </c>
      <c r="J39" s="130">
        <v>26.78</v>
      </c>
      <c r="K39" s="130"/>
      <c r="L39" s="130"/>
      <c r="M39" s="130"/>
      <c r="N39" s="125">
        <v>120000</v>
      </c>
      <c r="O39" s="125">
        <v>216000</v>
      </c>
      <c r="P39" s="168">
        <f t="shared" si="14"/>
        <v>39000</v>
      </c>
      <c r="Q39" s="168">
        <f t="shared" si="12"/>
        <v>19500</v>
      </c>
      <c r="R39" s="168">
        <f t="shared" si="13"/>
        <v>19500</v>
      </c>
      <c r="S39" s="262"/>
      <c r="T39" s="114"/>
      <c r="U39" s="114"/>
      <c r="V39" s="114">
        <f>P39</f>
        <v>39000</v>
      </c>
      <c r="W39" s="114">
        <f>P39-V39</f>
        <v>0</v>
      </c>
      <c r="X39" s="110" t="s">
        <v>231</v>
      </c>
    </row>
    <row r="40" spans="1:25" s="148" customFormat="1" ht="38.25" customHeight="1" x14ac:dyDescent="0.3">
      <c r="A40" s="149" t="s">
        <v>279</v>
      </c>
      <c r="B40" s="128" t="s">
        <v>39</v>
      </c>
      <c r="C40" s="129" t="s">
        <v>128</v>
      </c>
      <c r="D40" s="129" t="s">
        <v>40</v>
      </c>
      <c r="E40" s="129" t="s">
        <v>25</v>
      </c>
      <c r="F40" s="130">
        <v>4.95</v>
      </c>
      <c r="G40" s="130">
        <v>1.9</v>
      </c>
      <c r="H40" s="131">
        <v>5</v>
      </c>
      <c r="I40" s="109">
        <f>H40*G40*10000</f>
        <v>95000</v>
      </c>
      <c r="J40" s="130">
        <v>4.95</v>
      </c>
      <c r="K40" s="130" t="s">
        <v>129</v>
      </c>
      <c r="L40" s="130"/>
      <c r="M40" s="130"/>
      <c r="N40" s="165">
        <v>35000</v>
      </c>
      <c r="O40" s="109">
        <v>49000</v>
      </c>
      <c r="P40" s="168">
        <f t="shared" si="14"/>
        <v>11000</v>
      </c>
      <c r="Q40" s="168">
        <f t="shared" si="12"/>
        <v>5500</v>
      </c>
      <c r="R40" s="168">
        <f t="shared" si="13"/>
        <v>5500</v>
      </c>
      <c r="S40" s="262"/>
      <c r="T40" s="114">
        <f>P40</f>
        <v>11000</v>
      </c>
      <c r="U40" s="114">
        <f>T40*0.5</f>
        <v>5500</v>
      </c>
      <c r="V40" s="114"/>
      <c r="W40" s="114"/>
      <c r="X40" s="110" t="s">
        <v>235</v>
      </c>
    </row>
    <row r="41" spans="1:25" s="148" customFormat="1" ht="36" customHeight="1" x14ac:dyDescent="0.3">
      <c r="A41" s="149" t="s">
        <v>280</v>
      </c>
      <c r="B41" s="122" t="s">
        <v>130</v>
      </c>
      <c r="C41" s="107" t="s">
        <v>131</v>
      </c>
      <c r="D41" s="107" t="s">
        <v>21</v>
      </c>
      <c r="E41" s="107" t="s">
        <v>25</v>
      </c>
      <c r="F41" s="108">
        <v>5.54</v>
      </c>
      <c r="G41" s="108">
        <v>2.2000000000000002</v>
      </c>
      <c r="H41" s="132">
        <v>7</v>
      </c>
      <c r="I41" s="109">
        <f>H41*G41*10000</f>
        <v>154000.00000000003</v>
      </c>
      <c r="J41" s="123">
        <f>48046.7/10000</f>
        <v>4.8046699999999998</v>
      </c>
      <c r="K41" s="130"/>
      <c r="L41" s="130"/>
      <c r="M41" s="130"/>
      <c r="N41" s="165">
        <v>90000</v>
      </c>
      <c r="O41" s="165">
        <v>49600</v>
      </c>
      <c r="P41" s="168">
        <f t="shared" si="14"/>
        <v>14400.000000000029</v>
      </c>
      <c r="Q41" s="168">
        <f t="shared" si="12"/>
        <v>7200.0000000000146</v>
      </c>
      <c r="R41" s="168">
        <f t="shared" si="13"/>
        <v>7200.0000000000146</v>
      </c>
      <c r="S41" s="262"/>
      <c r="T41" s="114"/>
      <c r="U41" s="114"/>
      <c r="V41" s="114">
        <f>P41-T41</f>
        <v>14400.000000000029</v>
      </c>
      <c r="W41" s="114"/>
      <c r="X41" s="110" t="s">
        <v>231</v>
      </c>
    </row>
    <row r="42" spans="1:25" s="152" customFormat="1" ht="33" customHeight="1" x14ac:dyDescent="0.3">
      <c r="A42" s="149" t="s">
        <v>281</v>
      </c>
      <c r="B42" s="122" t="s">
        <v>132</v>
      </c>
      <c r="C42" s="107" t="s">
        <v>173</v>
      </c>
      <c r="D42" s="107" t="s">
        <v>21</v>
      </c>
      <c r="E42" s="107" t="s">
        <v>25</v>
      </c>
      <c r="F42" s="108" t="s">
        <v>133</v>
      </c>
      <c r="G42" s="108">
        <v>3</v>
      </c>
      <c r="H42" s="132">
        <v>4</v>
      </c>
      <c r="I42" s="109">
        <f>H42*G42*10000</f>
        <v>120000</v>
      </c>
      <c r="J42" s="130">
        <v>7.8</v>
      </c>
      <c r="K42" s="130"/>
      <c r="L42" s="130"/>
      <c r="M42" s="130"/>
      <c r="N42" s="165">
        <v>20000</v>
      </c>
      <c r="O42" s="165">
        <v>61000</v>
      </c>
      <c r="P42" s="168">
        <f t="shared" si="14"/>
        <v>39000</v>
      </c>
      <c r="Q42" s="168">
        <f t="shared" si="12"/>
        <v>19500</v>
      </c>
      <c r="R42" s="168">
        <f t="shared" si="13"/>
        <v>19500</v>
      </c>
      <c r="S42" s="265"/>
      <c r="T42" s="114"/>
      <c r="U42" s="114"/>
      <c r="V42" s="114"/>
      <c r="W42" s="114">
        <f>P42</f>
        <v>39000</v>
      </c>
      <c r="X42" s="110" t="s">
        <v>232</v>
      </c>
    </row>
    <row r="43" spans="1:25" s="152" customFormat="1" ht="63.6" customHeight="1" x14ac:dyDescent="0.3">
      <c r="A43" s="149" t="s">
        <v>282</v>
      </c>
      <c r="B43" s="98" t="s">
        <v>134</v>
      </c>
      <c r="C43" s="100" t="s">
        <v>135</v>
      </c>
      <c r="D43" s="100" t="s">
        <v>136</v>
      </c>
      <c r="E43" s="100" t="s">
        <v>25</v>
      </c>
      <c r="F43" s="85">
        <v>13.1</v>
      </c>
      <c r="G43" s="85">
        <v>5.28</v>
      </c>
      <c r="H43" s="133">
        <v>3.5</v>
      </c>
      <c r="I43" s="114">
        <f>H43*G43*10000</f>
        <v>184800</v>
      </c>
      <c r="J43" s="115">
        <v>13.2</v>
      </c>
      <c r="K43" s="115"/>
      <c r="L43" s="115"/>
      <c r="M43" s="115"/>
      <c r="N43" s="161">
        <v>22000</v>
      </c>
      <c r="O43" s="161">
        <v>156000</v>
      </c>
      <c r="P43" s="168">
        <f t="shared" si="14"/>
        <v>6800</v>
      </c>
      <c r="Q43" s="168">
        <f t="shared" si="12"/>
        <v>3400</v>
      </c>
      <c r="R43" s="168">
        <f t="shared" si="13"/>
        <v>3400</v>
      </c>
      <c r="S43" s="265"/>
      <c r="T43" s="114"/>
      <c r="U43" s="114"/>
      <c r="V43" s="114">
        <f>P43</f>
        <v>6800</v>
      </c>
      <c r="W43" s="114"/>
      <c r="X43" s="110" t="s">
        <v>231</v>
      </c>
    </row>
    <row r="44" spans="1:25" s="151" customFormat="1" ht="22.5" customHeight="1" x14ac:dyDescent="0.3">
      <c r="A44" s="119">
        <v>3</v>
      </c>
      <c r="B44" s="118" t="s">
        <v>108</v>
      </c>
      <c r="C44" s="119"/>
      <c r="D44" s="120"/>
      <c r="E44" s="119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274">
        <f>P45+P46</f>
        <v>69999.999999999985</v>
      </c>
      <c r="Q44" s="274">
        <f t="shared" ref="Q44:W44" si="15">Q45+Q46</f>
        <v>20999.999999999993</v>
      </c>
      <c r="R44" s="274">
        <f t="shared" si="15"/>
        <v>48999.999999999985</v>
      </c>
      <c r="S44" s="274">
        <f t="shared" si="15"/>
        <v>0</v>
      </c>
      <c r="T44" s="274">
        <f t="shared" si="15"/>
        <v>21000</v>
      </c>
      <c r="U44" s="274"/>
      <c r="V44" s="274">
        <f t="shared" si="15"/>
        <v>20000</v>
      </c>
      <c r="W44" s="274">
        <f t="shared" si="15"/>
        <v>28999.999999999985</v>
      </c>
      <c r="X44" s="120"/>
    </row>
    <row r="45" spans="1:25" s="148" customFormat="1" ht="34.5" customHeight="1" x14ac:dyDescent="0.3">
      <c r="A45" s="149" t="s">
        <v>146</v>
      </c>
      <c r="B45" s="154" t="s">
        <v>144</v>
      </c>
      <c r="C45" s="100" t="s">
        <v>135</v>
      </c>
      <c r="D45" s="100" t="s">
        <v>55</v>
      </c>
      <c r="E45" s="100" t="s">
        <v>145</v>
      </c>
      <c r="F45" s="85">
        <v>3.09</v>
      </c>
      <c r="G45" s="85">
        <v>3</v>
      </c>
      <c r="H45" s="86">
        <v>2.5</v>
      </c>
      <c r="I45" s="86">
        <f>G45*H45*10000</f>
        <v>75000</v>
      </c>
      <c r="J45" s="85">
        <v>3.09</v>
      </c>
      <c r="K45" s="115"/>
      <c r="L45" s="115"/>
      <c r="M45" s="115"/>
      <c r="N45" s="86">
        <v>7000</v>
      </c>
      <c r="O45" s="86">
        <v>47000</v>
      </c>
      <c r="P45" s="86">
        <f>I45-N45-O45</f>
        <v>21000</v>
      </c>
      <c r="Q45" s="86">
        <f>P45*30%</f>
        <v>6300</v>
      </c>
      <c r="R45" s="86">
        <f>P45*70%</f>
        <v>14699.999999999998</v>
      </c>
      <c r="S45" s="262"/>
      <c r="T45" s="114">
        <f>P45</f>
        <v>21000</v>
      </c>
      <c r="U45" s="114">
        <f>T45*0.3</f>
        <v>6300</v>
      </c>
      <c r="V45" s="114"/>
      <c r="W45" s="114"/>
      <c r="X45" s="110" t="s">
        <v>235</v>
      </c>
    </row>
    <row r="46" spans="1:25" s="148" customFormat="1" ht="24" customHeight="1" x14ac:dyDescent="0.3">
      <c r="A46" s="149" t="s">
        <v>148</v>
      </c>
      <c r="B46" s="154" t="s">
        <v>172</v>
      </c>
      <c r="C46" s="100" t="s">
        <v>173</v>
      </c>
      <c r="D46" s="100" t="s">
        <v>55</v>
      </c>
      <c r="E46" s="100"/>
      <c r="F46" s="85"/>
      <c r="G46" s="96">
        <v>4.3</v>
      </c>
      <c r="H46" s="86">
        <v>3</v>
      </c>
      <c r="I46" s="86">
        <f>G46*H46*10000</f>
        <v>128999.99999999999</v>
      </c>
      <c r="J46" s="85">
        <v>4.3</v>
      </c>
      <c r="K46" s="115"/>
      <c r="L46" s="115"/>
      <c r="M46" s="115"/>
      <c r="N46" s="86">
        <v>30000</v>
      </c>
      <c r="O46" s="86">
        <v>50000</v>
      </c>
      <c r="P46" s="86">
        <f>I46-N46-O46</f>
        <v>48999.999999999985</v>
      </c>
      <c r="Q46" s="86">
        <f t="shared" ref="Q46:Q48" si="16">P46*30%</f>
        <v>14699.999999999995</v>
      </c>
      <c r="R46" s="86">
        <f t="shared" ref="R46:R48" si="17">P46*70%</f>
        <v>34299.999999999985</v>
      </c>
      <c r="S46" s="262"/>
      <c r="T46" s="114"/>
      <c r="U46" s="114"/>
      <c r="V46" s="114">
        <v>20000</v>
      </c>
      <c r="W46" s="114">
        <f>P46-V46</f>
        <v>28999.999999999985</v>
      </c>
      <c r="X46" s="111"/>
    </row>
    <row r="47" spans="1:25" s="151" customFormat="1" ht="35.25" customHeight="1" x14ac:dyDescent="0.3">
      <c r="A47" s="119">
        <v>4</v>
      </c>
      <c r="B47" s="102" t="s">
        <v>109</v>
      </c>
      <c r="C47" s="112"/>
      <c r="D47" s="112"/>
      <c r="E47" s="112"/>
      <c r="F47" s="93"/>
      <c r="G47" s="93"/>
      <c r="H47" s="94"/>
      <c r="I47" s="94"/>
      <c r="J47" s="93"/>
      <c r="K47" s="163"/>
      <c r="L47" s="163"/>
      <c r="M47" s="163"/>
      <c r="N47" s="94"/>
      <c r="O47" s="94"/>
      <c r="P47" s="94"/>
      <c r="Q47" s="86">
        <f t="shared" si="16"/>
        <v>0</v>
      </c>
      <c r="R47" s="86">
        <f t="shared" si="17"/>
        <v>0</v>
      </c>
      <c r="S47" s="264"/>
      <c r="T47" s="114"/>
      <c r="U47" s="114"/>
      <c r="V47" s="114"/>
      <c r="W47" s="114"/>
      <c r="X47" s="135"/>
    </row>
    <row r="48" spans="1:25" s="148" customFormat="1" ht="31.2" x14ac:dyDescent="0.3">
      <c r="A48" s="95"/>
      <c r="B48" s="87" t="s">
        <v>141</v>
      </c>
      <c r="C48" s="88">
        <v>2025</v>
      </c>
      <c r="D48" s="88" t="s">
        <v>168</v>
      </c>
      <c r="E48" s="88"/>
      <c r="F48" s="96">
        <v>11.2</v>
      </c>
      <c r="G48" s="96">
        <v>3.5</v>
      </c>
      <c r="H48" s="97">
        <v>3</v>
      </c>
      <c r="I48" s="114">
        <f>H48*G48*10000</f>
        <v>105000</v>
      </c>
      <c r="J48" s="96">
        <v>11.2</v>
      </c>
      <c r="K48" s="91"/>
      <c r="L48" s="91"/>
      <c r="M48" s="91"/>
      <c r="N48" s="267">
        <v>20000</v>
      </c>
      <c r="O48" s="267">
        <v>30000</v>
      </c>
      <c r="P48" s="86">
        <f>I48-N48-O48</f>
        <v>55000</v>
      </c>
      <c r="Q48" s="86">
        <f t="shared" si="16"/>
        <v>16500</v>
      </c>
      <c r="R48" s="86">
        <f t="shared" si="17"/>
        <v>38500</v>
      </c>
      <c r="S48" s="262"/>
      <c r="T48" s="114"/>
      <c r="U48" s="114"/>
      <c r="V48" s="114">
        <v>20000</v>
      </c>
      <c r="W48" s="114">
        <f>P48-V48</f>
        <v>35000</v>
      </c>
      <c r="X48" s="110" t="s">
        <v>234</v>
      </c>
    </row>
    <row r="49" spans="1:24" s="151" customFormat="1" ht="29.25" customHeight="1" x14ac:dyDescent="0.3">
      <c r="A49" s="155">
        <v>5</v>
      </c>
      <c r="B49" s="136" t="s">
        <v>106</v>
      </c>
      <c r="C49" s="137"/>
      <c r="D49" s="137"/>
      <c r="E49" s="137"/>
      <c r="F49" s="138"/>
      <c r="G49" s="139"/>
      <c r="H49" s="140"/>
      <c r="I49" s="141"/>
      <c r="J49" s="166"/>
      <c r="K49" s="166"/>
      <c r="L49" s="166"/>
      <c r="M49" s="166"/>
      <c r="N49" s="166"/>
      <c r="O49" s="166"/>
      <c r="P49" s="170"/>
      <c r="Q49" s="170"/>
      <c r="R49" s="170"/>
      <c r="S49" s="264"/>
      <c r="T49" s="114"/>
      <c r="U49" s="114"/>
      <c r="V49" s="114"/>
      <c r="W49" s="114"/>
      <c r="X49" s="142"/>
    </row>
    <row r="50" spans="1:24" s="148" customFormat="1" ht="39.75" customHeight="1" x14ac:dyDescent="0.3">
      <c r="A50" s="149"/>
      <c r="B50" s="294" t="s">
        <v>258</v>
      </c>
      <c r="C50" s="100" t="s">
        <v>173</v>
      </c>
      <c r="D50" s="100" t="s">
        <v>170</v>
      </c>
      <c r="E50" s="156"/>
      <c r="F50" s="99">
        <v>8.5500000000000007</v>
      </c>
      <c r="G50" s="99">
        <v>2.5</v>
      </c>
      <c r="H50" s="99">
        <v>4</v>
      </c>
      <c r="I50" s="86">
        <f>G50*H50*10000</f>
        <v>100000</v>
      </c>
      <c r="J50" s="99">
        <v>8.5500000000000007</v>
      </c>
      <c r="K50" s="99"/>
      <c r="L50" s="99"/>
      <c r="M50" s="99"/>
      <c r="N50" s="114">
        <v>50000</v>
      </c>
      <c r="O50" s="99"/>
      <c r="P50" s="86">
        <f>I50-N50-O50</f>
        <v>50000</v>
      </c>
      <c r="Q50" s="86">
        <f>P50*50%</f>
        <v>25000</v>
      </c>
      <c r="R50" s="86">
        <f>P50*50%</f>
        <v>25000</v>
      </c>
      <c r="S50" s="262"/>
      <c r="T50" s="114"/>
      <c r="U50" s="114"/>
      <c r="V50" s="114">
        <v>20000</v>
      </c>
      <c r="W50" s="114">
        <f>P50-V50</f>
        <v>30000</v>
      </c>
      <c r="X50" s="143"/>
    </row>
    <row r="51" spans="1:24" s="151" customFormat="1" ht="30.75" customHeight="1" x14ac:dyDescent="0.3">
      <c r="A51" s="155">
        <v>6</v>
      </c>
      <c r="B51" s="136" t="s">
        <v>110</v>
      </c>
      <c r="C51" s="137"/>
      <c r="D51" s="137"/>
      <c r="E51" s="137"/>
      <c r="F51" s="138"/>
      <c r="G51" s="139"/>
      <c r="H51" s="140"/>
      <c r="I51" s="141"/>
      <c r="J51" s="166"/>
      <c r="K51" s="166"/>
      <c r="L51" s="166"/>
      <c r="M51" s="166"/>
      <c r="N51" s="166"/>
      <c r="O51" s="166"/>
      <c r="P51" s="170"/>
      <c r="Q51" s="170"/>
      <c r="R51" s="170"/>
      <c r="S51" s="264"/>
      <c r="T51" s="114"/>
      <c r="U51" s="114"/>
      <c r="V51" s="114"/>
      <c r="W51" s="114"/>
      <c r="X51" s="142"/>
    </row>
    <row r="52" spans="1:24" s="148" customFormat="1" ht="31.2" x14ac:dyDescent="0.3">
      <c r="A52" s="242"/>
      <c r="B52" s="243" t="s">
        <v>243</v>
      </c>
      <c r="C52" s="244" t="s">
        <v>175</v>
      </c>
      <c r="D52" s="244" t="s">
        <v>176</v>
      </c>
      <c r="E52" s="245"/>
      <c r="F52" s="246">
        <v>2</v>
      </c>
      <c r="G52" s="246">
        <v>2</v>
      </c>
      <c r="H52" s="246">
        <v>2</v>
      </c>
      <c r="I52" s="247">
        <f>H52*G52*10000</f>
        <v>40000</v>
      </c>
      <c r="J52" s="246">
        <v>2</v>
      </c>
      <c r="K52" s="246"/>
      <c r="L52" s="246"/>
      <c r="M52" s="246"/>
      <c r="N52" s="247">
        <v>10000</v>
      </c>
      <c r="O52" s="246"/>
      <c r="P52" s="248">
        <f>I52-N52-O52</f>
        <v>30000</v>
      </c>
      <c r="Q52" s="248">
        <f>P52*30%</f>
        <v>9000</v>
      </c>
      <c r="R52" s="248">
        <f>P52*70%</f>
        <v>21000</v>
      </c>
      <c r="S52" s="266"/>
      <c r="T52" s="247"/>
      <c r="U52" s="247"/>
      <c r="V52" s="247">
        <f>15000</f>
        <v>15000</v>
      </c>
      <c r="W52" s="247">
        <f>P52-V52</f>
        <v>15000</v>
      </c>
      <c r="X52" s="249"/>
    </row>
    <row r="53" spans="1:24" ht="27" customHeight="1" x14ac:dyDescent="0.3"/>
    <row r="54" spans="1:24" ht="27.75" customHeight="1" x14ac:dyDescent="0.3"/>
    <row r="55" spans="1:24" ht="30.75" customHeight="1" x14ac:dyDescent="0.3"/>
  </sheetData>
  <mergeCells count="30">
    <mergeCell ref="A1:B1"/>
    <mergeCell ref="A5:A7"/>
    <mergeCell ref="E5:F5"/>
    <mergeCell ref="G5:G7"/>
    <mergeCell ref="H5:H7"/>
    <mergeCell ref="X5:X7"/>
    <mergeCell ref="E6:E7"/>
    <mergeCell ref="F6:F7"/>
    <mergeCell ref="J6:J7"/>
    <mergeCell ref="K6:K7"/>
    <mergeCell ref="P5:P7"/>
    <mergeCell ref="N6:N7"/>
    <mergeCell ref="O6:O7"/>
    <mergeCell ref="L6:L7"/>
    <mergeCell ref="A2:W2"/>
    <mergeCell ref="A3:W3"/>
    <mergeCell ref="Q5:R5"/>
    <mergeCell ref="Q6:Q7"/>
    <mergeCell ref="R6:R7"/>
    <mergeCell ref="S5:W5"/>
    <mergeCell ref="S6:S7"/>
    <mergeCell ref="T6:T7"/>
    <mergeCell ref="V6:V7"/>
    <mergeCell ref="W6:W7"/>
    <mergeCell ref="I5:I7"/>
    <mergeCell ref="J5:O5"/>
    <mergeCell ref="C5:C7"/>
    <mergeCell ref="M6:M7"/>
    <mergeCell ref="B5:B7"/>
    <mergeCell ref="D5:D7"/>
  </mergeCells>
  <conditionalFormatting sqref="B35">
    <cfRule type="duplicateValues" priority="12" stopIfTrue="1"/>
  </conditionalFormatting>
  <conditionalFormatting sqref="B41:B42">
    <cfRule type="duplicateValues" priority="11" stopIfTrue="1"/>
  </conditionalFormatting>
  <conditionalFormatting sqref="B19:B22">
    <cfRule type="expression" dxfId="5" priority="10" stopIfTrue="1">
      <formula>AND(COUNTIF(#REF!, B19)&gt;1,NOT(ISBLANK(B19)))</formula>
    </cfRule>
  </conditionalFormatting>
  <conditionalFormatting sqref="B36:B39">
    <cfRule type="duplicateValues" priority="124" stopIfTrue="1"/>
  </conditionalFormatting>
  <conditionalFormatting sqref="B49">
    <cfRule type="duplicateValues" priority="125" stopIfTrue="1"/>
  </conditionalFormatting>
  <conditionalFormatting sqref="B52">
    <cfRule type="expression" dxfId="4" priority="4" stopIfTrue="1">
      <formula>AND(COUNTIF(#REF!, B52)&gt;1,NOT(ISBLANK(B52)))</formula>
    </cfRule>
  </conditionalFormatting>
  <conditionalFormatting sqref="B51">
    <cfRule type="duplicateValues" priority="5" stopIfTrue="1"/>
  </conditionalFormatting>
  <conditionalFormatting sqref="B50">
    <cfRule type="expression" dxfId="3" priority="1" stopIfTrue="1">
      <formula>AND(COUNTIF(#REF!, B50)&gt;1,NOT(ISBLANK(B50)))</formula>
    </cfRule>
  </conditionalFormatting>
  <pageMargins left="0.24" right="0.16" top="0.45" bottom="0.38" header="0.31496062992125984" footer="0.2"/>
  <pageSetup paperSize="9" scale="42" fitToHeight="0" orientation="landscape" verticalDpi="4294967295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XFD1"/>
    </sheetView>
  </sheetViews>
  <sheetFormatPr defaultRowHeight="15.6" x14ac:dyDescent="0.3"/>
  <cols>
    <col min="1" max="1" width="7.3984375" style="227" customWidth="1"/>
    <col min="2" max="2" width="33" style="227" customWidth="1"/>
    <col min="3" max="3" width="15.8984375" style="227" customWidth="1"/>
    <col min="4" max="4" width="14.5" style="227" customWidth="1"/>
    <col min="5" max="5" width="13.3984375" style="227" customWidth="1"/>
    <col min="6" max="6" width="12.8984375" style="227" customWidth="1"/>
    <col min="7" max="7" width="14.09765625" style="227" customWidth="1"/>
    <col min="8" max="8" width="13" style="227" customWidth="1"/>
    <col min="9" max="9" width="13.8984375" style="227" customWidth="1"/>
    <col min="10" max="10" width="13.59765625" style="227" customWidth="1"/>
    <col min="11" max="259" width="9" style="227"/>
    <col min="260" max="260" width="48.59765625" style="227" customWidth="1"/>
    <col min="261" max="261" width="12.3984375" style="227" customWidth="1"/>
    <col min="262" max="262" width="15" style="227" customWidth="1"/>
    <col min="263" max="263" width="12" style="227" customWidth="1"/>
    <col min="264" max="264" width="12.09765625" style="227" customWidth="1"/>
    <col min="265" max="266" width="12.59765625" style="227" customWidth="1"/>
    <col min="267" max="515" width="9" style="227"/>
    <col min="516" max="516" width="48.59765625" style="227" customWidth="1"/>
    <col min="517" max="517" width="12.3984375" style="227" customWidth="1"/>
    <col min="518" max="518" width="15" style="227" customWidth="1"/>
    <col min="519" max="519" width="12" style="227" customWidth="1"/>
    <col min="520" max="520" width="12.09765625" style="227" customWidth="1"/>
    <col min="521" max="522" width="12.59765625" style="227" customWidth="1"/>
    <col min="523" max="771" width="9" style="227"/>
    <col min="772" max="772" width="48.59765625" style="227" customWidth="1"/>
    <col min="773" max="773" width="12.3984375" style="227" customWidth="1"/>
    <col min="774" max="774" width="15" style="227" customWidth="1"/>
    <col min="775" max="775" width="12" style="227" customWidth="1"/>
    <col min="776" max="776" width="12.09765625" style="227" customWidth="1"/>
    <col min="777" max="778" width="12.59765625" style="227" customWidth="1"/>
    <col min="779" max="1027" width="9" style="227"/>
    <col min="1028" max="1028" width="48.59765625" style="227" customWidth="1"/>
    <col min="1029" max="1029" width="12.3984375" style="227" customWidth="1"/>
    <col min="1030" max="1030" width="15" style="227" customWidth="1"/>
    <col min="1031" max="1031" width="12" style="227" customWidth="1"/>
    <col min="1032" max="1032" width="12.09765625" style="227" customWidth="1"/>
    <col min="1033" max="1034" width="12.59765625" style="227" customWidth="1"/>
    <col min="1035" max="1283" width="9" style="227"/>
    <col min="1284" max="1284" width="48.59765625" style="227" customWidth="1"/>
    <col min="1285" max="1285" width="12.3984375" style="227" customWidth="1"/>
    <col min="1286" max="1286" width="15" style="227" customWidth="1"/>
    <col min="1287" max="1287" width="12" style="227" customWidth="1"/>
    <col min="1288" max="1288" width="12.09765625" style="227" customWidth="1"/>
    <col min="1289" max="1290" width="12.59765625" style="227" customWidth="1"/>
    <col min="1291" max="1539" width="9" style="227"/>
    <col min="1540" max="1540" width="48.59765625" style="227" customWidth="1"/>
    <col min="1541" max="1541" width="12.3984375" style="227" customWidth="1"/>
    <col min="1542" max="1542" width="15" style="227" customWidth="1"/>
    <col min="1543" max="1543" width="12" style="227" customWidth="1"/>
    <col min="1544" max="1544" width="12.09765625" style="227" customWidth="1"/>
    <col min="1545" max="1546" width="12.59765625" style="227" customWidth="1"/>
    <col min="1547" max="1795" width="9" style="227"/>
    <col min="1796" max="1796" width="48.59765625" style="227" customWidth="1"/>
    <col min="1797" max="1797" width="12.3984375" style="227" customWidth="1"/>
    <col min="1798" max="1798" width="15" style="227" customWidth="1"/>
    <col min="1799" max="1799" width="12" style="227" customWidth="1"/>
    <col min="1800" max="1800" width="12.09765625" style="227" customWidth="1"/>
    <col min="1801" max="1802" width="12.59765625" style="227" customWidth="1"/>
    <col min="1803" max="2051" width="9" style="227"/>
    <col min="2052" max="2052" width="48.59765625" style="227" customWidth="1"/>
    <col min="2053" max="2053" width="12.3984375" style="227" customWidth="1"/>
    <col min="2054" max="2054" width="15" style="227" customWidth="1"/>
    <col min="2055" max="2055" width="12" style="227" customWidth="1"/>
    <col min="2056" max="2056" width="12.09765625" style="227" customWidth="1"/>
    <col min="2057" max="2058" width="12.59765625" style="227" customWidth="1"/>
    <col min="2059" max="2307" width="9" style="227"/>
    <col min="2308" max="2308" width="48.59765625" style="227" customWidth="1"/>
    <col min="2309" max="2309" width="12.3984375" style="227" customWidth="1"/>
    <col min="2310" max="2310" width="15" style="227" customWidth="1"/>
    <col min="2311" max="2311" width="12" style="227" customWidth="1"/>
    <col min="2312" max="2312" width="12.09765625" style="227" customWidth="1"/>
    <col min="2313" max="2314" width="12.59765625" style="227" customWidth="1"/>
    <col min="2315" max="2563" width="9" style="227"/>
    <col min="2564" max="2564" width="48.59765625" style="227" customWidth="1"/>
    <col min="2565" max="2565" width="12.3984375" style="227" customWidth="1"/>
    <col min="2566" max="2566" width="15" style="227" customWidth="1"/>
    <col min="2567" max="2567" width="12" style="227" customWidth="1"/>
    <col min="2568" max="2568" width="12.09765625" style="227" customWidth="1"/>
    <col min="2569" max="2570" width="12.59765625" style="227" customWidth="1"/>
    <col min="2571" max="2819" width="9" style="227"/>
    <col min="2820" max="2820" width="48.59765625" style="227" customWidth="1"/>
    <col min="2821" max="2821" width="12.3984375" style="227" customWidth="1"/>
    <col min="2822" max="2822" width="15" style="227" customWidth="1"/>
    <col min="2823" max="2823" width="12" style="227" customWidth="1"/>
    <col min="2824" max="2824" width="12.09765625" style="227" customWidth="1"/>
    <col min="2825" max="2826" width="12.59765625" style="227" customWidth="1"/>
    <col min="2827" max="3075" width="9" style="227"/>
    <col min="3076" max="3076" width="48.59765625" style="227" customWidth="1"/>
    <col min="3077" max="3077" width="12.3984375" style="227" customWidth="1"/>
    <col min="3078" max="3078" width="15" style="227" customWidth="1"/>
    <col min="3079" max="3079" width="12" style="227" customWidth="1"/>
    <col min="3080" max="3080" width="12.09765625" style="227" customWidth="1"/>
    <col min="3081" max="3082" width="12.59765625" style="227" customWidth="1"/>
    <col min="3083" max="3331" width="9" style="227"/>
    <col min="3332" max="3332" width="48.59765625" style="227" customWidth="1"/>
    <col min="3333" max="3333" width="12.3984375" style="227" customWidth="1"/>
    <col min="3334" max="3334" width="15" style="227" customWidth="1"/>
    <col min="3335" max="3335" width="12" style="227" customWidth="1"/>
    <col min="3336" max="3336" width="12.09765625" style="227" customWidth="1"/>
    <col min="3337" max="3338" width="12.59765625" style="227" customWidth="1"/>
    <col min="3339" max="3587" width="9" style="227"/>
    <col min="3588" max="3588" width="48.59765625" style="227" customWidth="1"/>
    <col min="3589" max="3589" width="12.3984375" style="227" customWidth="1"/>
    <col min="3590" max="3590" width="15" style="227" customWidth="1"/>
    <col min="3591" max="3591" width="12" style="227" customWidth="1"/>
    <col min="3592" max="3592" width="12.09765625" style="227" customWidth="1"/>
    <col min="3593" max="3594" width="12.59765625" style="227" customWidth="1"/>
    <col min="3595" max="3843" width="9" style="227"/>
    <col min="3844" max="3844" width="48.59765625" style="227" customWidth="1"/>
    <col min="3845" max="3845" width="12.3984375" style="227" customWidth="1"/>
    <col min="3846" max="3846" width="15" style="227" customWidth="1"/>
    <col min="3847" max="3847" width="12" style="227" customWidth="1"/>
    <col min="3848" max="3848" width="12.09765625" style="227" customWidth="1"/>
    <col min="3849" max="3850" width="12.59765625" style="227" customWidth="1"/>
    <col min="3851" max="4099" width="9" style="227"/>
    <col min="4100" max="4100" width="48.59765625" style="227" customWidth="1"/>
    <col min="4101" max="4101" width="12.3984375" style="227" customWidth="1"/>
    <col min="4102" max="4102" width="15" style="227" customWidth="1"/>
    <col min="4103" max="4103" width="12" style="227" customWidth="1"/>
    <col min="4104" max="4104" width="12.09765625" style="227" customWidth="1"/>
    <col min="4105" max="4106" width="12.59765625" style="227" customWidth="1"/>
    <col min="4107" max="4355" width="9" style="227"/>
    <col min="4356" max="4356" width="48.59765625" style="227" customWidth="1"/>
    <col min="4357" max="4357" width="12.3984375" style="227" customWidth="1"/>
    <col min="4358" max="4358" width="15" style="227" customWidth="1"/>
    <col min="4359" max="4359" width="12" style="227" customWidth="1"/>
    <col min="4360" max="4360" width="12.09765625" style="227" customWidth="1"/>
    <col min="4361" max="4362" width="12.59765625" style="227" customWidth="1"/>
    <col min="4363" max="4611" width="9" style="227"/>
    <col min="4612" max="4612" width="48.59765625" style="227" customWidth="1"/>
    <col min="4613" max="4613" width="12.3984375" style="227" customWidth="1"/>
    <col min="4614" max="4614" width="15" style="227" customWidth="1"/>
    <col min="4615" max="4615" width="12" style="227" customWidth="1"/>
    <col min="4616" max="4616" width="12.09765625" style="227" customWidth="1"/>
    <col min="4617" max="4618" width="12.59765625" style="227" customWidth="1"/>
    <col min="4619" max="4867" width="9" style="227"/>
    <col min="4868" max="4868" width="48.59765625" style="227" customWidth="1"/>
    <col min="4869" max="4869" width="12.3984375" style="227" customWidth="1"/>
    <col min="4870" max="4870" width="15" style="227" customWidth="1"/>
    <col min="4871" max="4871" width="12" style="227" customWidth="1"/>
    <col min="4872" max="4872" width="12.09765625" style="227" customWidth="1"/>
    <col min="4873" max="4874" width="12.59765625" style="227" customWidth="1"/>
    <col min="4875" max="5123" width="9" style="227"/>
    <col min="5124" max="5124" width="48.59765625" style="227" customWidth="1"/>
    <col min="5125" max="5125" width="12.3984375" style="227" customWidth="1"/>
    <col min="5126" max="5126" width="15" style="227" customWidth="1"/>
    <col min="5127" max="5127" width="12" style="227" customWidth="1"/>
    <col min="5128" max="5128" width="12.09765625" style="227" customWidth="1"/>
    <col min="5129" max="5130" width="12.59765625" style="227" customWidth="1"/>
    <col min="5131" max="5379" width="9" style="227"/>
    <col min="5380" max="5380" width="48.59765625" style="227" customWidth="1"/>
    <col min="5381" max="5381" width="12.3984375" style="227" customWidth="1"/>
    <col min="5382" max="5382" width="15" style="227" customWidth="1"/>
    <col min="5383" max="5383" width="12" style="227" customWidth="1"/>
    <col min="5384" max="5384" width="12.09765625" style="227" customWidth="1"/>
    <col min="5385" max="5386" width="12.59765625" style="227" customWidth="1"/>
    <col min="5387" max="5635" width="9" style="227"/>
    <col min="5636" max="5636" width="48.59765625" style="227" customWidth="1"/>
    <col min="5637" max="5637" width="12.3984375" style="227" customWidth="1"/>
    <col min="5638" max="5638" width="15" style="227" customWidth="1"/>
    <col min="5639" max="5639" width="12" style="227" customWidth="1"/>
    <col min="5640" max="5640" width="12.09765625" style="227" customWidth="1"/>
    <col min="5641" max="5642" width="12.59765625" style="227" customWidth="1"/>
    <col min="5643" max="5891" width="9" style="227"/>
    <col min="5892" max="5892" width="48.59765625" style="227" customWidth="1"/>
    <col min="5893" max="5893" width="12.3984375" style="227" customWidth="1"/>
    <col min="5894" max="5894" width="15" style="227" customWidth="1"/>
    <col min="5895" max="5895" width="12" style="227" customWidth="1"/>
    <col min="5896" max="5896" width="12.09765625" style="227" customWidth="1"/>
    <col min="5897" max="5898" width="12.59765625" style="227" customWidth="1"/>
    <col min="5899" max="6147" width="9" style="227"/>
    <col min="6148" max="6148" width="48.59765625" style="227" customWidth="1"/>
    <col min="6149" max="6149" width="12.3984375" style="227" customWidth="1"/>
    <col min="6150" max="6150" width="15" style="227" customWidth="1"/>
    <col min="6151" max="6151" width="12" style="227" customWidth="1"/>
    <col min="6152" max="6152" width="12.09765625" style="227" customWidth="1"/>
    <col min="6153" max="6154" width="12.59765625" style="227" customWidth="1"/>
    <col min="6155" max="6403" width="9" style="227"/>
    <col min="6404" max="6404" width="48.59765625" style="227" customWidth="1"/>
    <col min="6405" max="6405" width="12.3984375" style="227" customWidth="1"/>
    <col min="6406" max="6406" width="15" style="227" customWidth="1"/>
    <col min="6407" max="6407" width="12" style="227" customWidth="1"/>
    <col min="6408" max="6408" width="12.09765625" style="227" customWidth="1"/>
    <col min="6409" max="6410" width="12.59765625" style="227" customWidth="1"/>
    <col min="6411" max="6659" width="9" style="227"/>
    <col min="6660" max="6660" width="48.59765625" style="227" customWidth="1"/>
    <col min="6661" max="6661" width="12.3984375" style="227" customWidth="1"/>
    <col min="6662" max="6662" width="15" style="227" customWidth="1"/>
    <col min="6663" max="6663" width="12" style="227" customWidth="1"/>
    <col min="6664" max="6664" width="12.09765625" style="227" customWidth="1"/>
    <col min="6665" max="6666" width="12.59765625" style="227" customWidth="1"/>
    <col min="6667" max="6915" width="9" style="227"/>
    <col min="6916" max="6916" width="48.59765625" style="227" customWidth="1"/>
    <col min="6917" max="6917" width="12.3984375" style="227" customWidth="1"/>
    <col min="6918" max="6918" width="15" style="227" customWidth="1"/>
    <col min="6919" max="6919" width="12" style="227" customWidth="1"/>
    <col min="6920" max="6920" width="12.09765625" style="227" customWidth="1"/>
    <col min="6921" max="6922" width="12.59765625" style="227" customWidth="1"/>
    <col min="6923" max="7171" width="9" style="227"/>
    <col min="7172" max="7172" width="48.59765625" style="227" customWidth="1"/>
    <col min="7173" max="7173" width="12.3984375" style="227" customWidth="1"/>
    <col min="7174" max="7174" width="15" style="227" customWidth="1"/>
    <col min="7175" max="7175" width="12" style="227" customWidth="1"/>
    <col min="7176" max="7176" width="12.09765625" style="227" customWidth="1"/>
    <col min="7177" max="7178" width="12.59765625" style="227" customWidth="1"/>
    <col min="7179" max="7427" width="9" style="227"/>
    <col min="7428" max="7428" width="48.59765625" style="227" customWidth="1"/>
    <col min="7429" max="7429" width="12.3984375" style="227" customWidth="1"/>
    <col min="7430" max="7430" width="15" style="227" customWidth="1"/>
    <col min="7431" max="7431" width="12" style="227" customWidth="1"/>
    <col min="7432" max="7432" width="12.09765625" style="227" customWidth="1"/>
    <col min="7433" max="7434" width="12.59765625" style="227" customWidth="1"/>
    <col min="7435" max="7683" width="9" style="227"/>
    <col min="7684" max="7684" width="48.59765625" style="227" customWidth="1"/>
    <col min="7685" max="7685" width="12.3984375" style="227" customWidth="1"/>
    <col min="7686" max="7686" width="15" style="227" customWidth="1"/>
    <col min="7687" max="7687" width="12" style="227" customWidth="1"/>
    <col min="7688" max="7688" width="12.09765625" style="227" customWidth="1"/>
    <col min="7689" max="7690" width="12.59765625" style="227" customWidth="1"/>
    <col min="7691" max="7939" width="9" style="227"/>
    <col min="7940" max="7940" width="48.59765625" style="227" customWidth="1"/>
    <col min="7941" max="7941" width="12.3984375" style="227" customWidth="1"/>
    <col min="7942" max="7942" width="15" style="227" customWidth="1"/>
    <col min="7943" max="7943" width="12" style="227" customWidth="1"/>
    <col min="7944" max="7944" width="12.09765625" style="227" customWidth="1"/>
    <col min="7945" max="7946" width="12.59765625" style="227" customWidth="1"/>
    <col min="7947" max="8195" width="9" style="227"/>
    <col min="8196" max="8196" width="48.59765625" style="227" customWidth="1"/>
    <col min="8197" max="8197" width="12.3984375" style="227" customWidth="1"/>
    <col min="8198" max="8198" width="15" style="227" customWidth="1"/>
    <col min="8199" max="8199" width="12" style="227" customWidth="1"/>
    <col min="8200" max="8200" width="12.09765625" style="227" customWidth="1"/>
    <col min="8201" max="8202" width="12.59765625" style="227" customWidth="1"/>
    <col min="8203" max="8451" width="9" style="227"/>
    <col min="8452" max="8452" width="48.59765625" style="227" customWidth="1"/>
    <col min="8453" max="8453" width="12.3984375" style="227" customWidth="1"/>
    <col min="8454" max="8454" width="15" style="227" customWidth="1"/>
    <col min="8455" max="8455" width="12" style="227" customWidth="1"/>
    <col min="8456" max="8456" width="12.09765625" style="227" customWidth="1"/>
    <col min="8457" max="8458" width="12.59765625" style="227" customWidth="1"/>
    <col min="8459" max="8707" width="9" style="227"/>
    <col min="8708" max="8708" width="48.59765625" style="227" customWidth="1"/>
    <col min="8709" max="8709" width="12.3984375" style="227" customWidth="1"/>
    <col min="8710" max="8710" width="15" style="227" customWidth="1"/>
    <col min="8711" max="8711" width="12" style="227" customWidth="1"/>
    <col min="8712" max="8712" width="12.09765625" style="227" customWidth="1"/>
    <col min="8713" max="8714" width="12.59765625" style="227" customWidth="1"/>
    <col min="8715" max="8963" width="9" style="227"/>
    <col min="8964" max="8964" width="48.59765625" style="227" customWidth="1"/>
    <col min="8965" max="8965" width="12.3984375" style="227" customWidth="1"/>
    <col min="8966" max="8966" width="15" style="227" customWidth="1"/>
    <col min="8967" max="8967" width="12" style="227" customWidth="1"/>
    <col min="8968" max="8968" width="12.09765625" style="227" customWidth="1"/>
    <col min="8969" max="8970" width="12.59765625" style="227" customWidth="1"/>
    <col min="8971" max="9219" width="9" style="227"/>
    <col min="9220" max="9220" width="48.59765625" style="227" customWidth="1"/>
    <col min="9221" max="9221" width="12.3984375" style="227" customWidth="1"/>
    <col min="9222" max="9222" width="15" style="227" customWidth="1"/>
    <col min="9223" max="9223" width="12" style="227" customWidth="1"/>
    <col min="9224" max="9224" width="12.09765625" style="227" customWidth="1"/>
    <col min="9225" max="9226" width="12.59765625" style="227" customWidth="1"/>
    <col min="9227" max="9475" width="9" style="227"/>
    <col min="9476" max="9476" width="48.59765625" style="227" customWidth="1"/>
    <col min="9477" max="9477" width="12.3984375" style="227" customWidth="1"/>
    <col min="9478" max="9478" width="15" style="227" customWidth="1"/>
    <col min="9479" max="9479" width="12" style="227" customWidth="1"/>
    <col min="9480" max="9480" width="12.09765625" style="227" customWidth="1"/>
    <col min="9481" max="9482" width="12.59765625" style="227" customWidth="1"/>
    <col min="9483" max="9731" width="9" style="227"/>
    <col min="9732" max="9732" width="48.59765625" style="227" customWidth="1"/>
    <col min="9733" max="9733" width="12.3984375" style="227" customWidth="1"/>
    <col min="9734" max="9734" width="15" style="227" customWidth="1"/>
    <col min="9735" max="9735" width="12" style="227" customWidth="1"/>
    <col min="9736" max="9736" width="12.09765625" style="227" customWidth="1"/>
    <col min="9737" max="9738" width="12.59765625" style="227" customWidth="1"/>
    <col min="9739" max="9987" width="9" style="227"/>
    <col min="9988" max="9988" width="48.59765625" style="227" customWidth="1"/>
    <col min="9989" max="9989" width="12.3984375" style="227" customWidth="1"/>
    <col min="9990" max="9990" width="15" style="227" customWidth="1"/>
    <col min="9991" max="9991" width="12" style="227" customWidth="1"/>
    <col min="9992" max="9992" width="12.09765625" style="227" customWidth="1"/>
    <col min="9993" max="9994" width="12.59765625" style="227" customWidth="1"/>
    <col min="9995" max="10243" width="9" style="227"/>
    <col min="10244" max="10244" width="48.59765625" style="227" customWidth="1"/>
    <col min="10245" max="10245" width="12.3984375" style="227" customWidth="1"/>
    <col min="10246" max="10246" width="15" style="227" customWidth="1"/>
    <col min="10247" max="10247" width="12" style="227" customWidth="1"/>
    <col min="10248" max="10248" width="12.09765625" style="227" customWidth="1"/>
    <col min="10249" max="10250" width="12.59765625" style="227" customWidth="1"/>
    <col min="10251" max="10499" width="9" style="227"/>
    <col min="10500" max="10500" width="48.59765625" style="227" customWidth="1"/>
    <col min="10501" max="10501" width="12.3984375" style="227" customWidth="1"/>
    <col min="10502" max="10502" width="15" style="227" customWidth="1"/>
    <col min="10503" max="10503" width="12" style="227" customWidth="1"/>
    <col min="10504" max="10504" width="12.09765625" style="227" customWidth="1"/>
    <col min="10505" max="10506" width="12.59765625" style="227" customWidth="1"/>
    <col min="10507" max="10755" width="9" style="227"/>
    <col min="10756" max="10756" width="48.59765625" style="227" customWidth="1"/>
    <col min="10757" max="10757" width="12.3984375" style="227" customWidth="1"/>
    <col min="10758" max="10758" width="15" style="227" customWidth="1"/>
    <col min="10759" max="10759" width="12" style="227" customWidth="1"/>
    <col min="10760" max="10760" width="12.09765625" style="227" customWidth="1"/>
    <col min="10761" max="10762" width="12.59765625" style="227" customWidth="1"/>
    <col min="10763" max="11011" width="9" style="227"/>
    <col min="11012" max="11012" width="48.59765625" style="227" customWidth="1"/>
    <col min="11013" max="11013" width="12.3984375" style="227" customWidth="1"/>
    <col min="11014" max="11014" width="15" style="227" customWidth="1"/>
    <col min="11015" max="11015" width="12" style="227" customWidth="1"/>
    <col min="11016" max="11016" width="12.09765625" style="227" customWidth="1"/>
    <col min="11017" max="11018" width="12.59765625" style="227" customWidth="1"/>
    <col min="11019" max="11267" width="9" style="227"/>
    <col min="11268" max="11268" width="48.59765625" style="227" customWidth="1"/>
    <col min="11269" max="11269" width="12.3984375" style="227" customWidth="1"/>
    <col min="11270" max="11270" width="15" style="227" customWidth="1"/>
    <col min="11271" max="11271" width="12" style="227" customWidth="1"/>
    <col min="11272" max="11272" width="12.09765625" style="227" customWidth="1"/>
    <col min="11273" max="11274" width="12.59765625" style="227" customWidth="1"/>
    <col min="11275" max="11523" width="9" style="227"/>
    <col min="11524" max="11524" width="48.59765625" style="227" customWidth="1"/>
    <col min="11525" max="11525" width="12.3984375" style="227" customWidth="1"/>
    <col min="11526" max="11526" width="15" style="227" customWidth="1"/>
    <col min="11527" max="11527" width="12" style="227" customWidth="1"/>
    <col min="11528" max="11528" width="12.09765625" style="227" customWidth="1"/>
    <col min="11529" max="11530" width="12.59765625" style="227" customWidth="1"/>
    <col min="11531" max="11779" width="9" style="227"/>
    <col min="11780" max="11780" width="48.59765625" style="227" customWidth="1"/>
    <col min="11781" max="11781" width="12.3984375" style="227" customWidth="1"/>
    <col min="11782" max="11782" width="15" style="227" customWidth="1"/>
    <col min="11783" max="11783" width="12" style="227" customWidth="1"/>
    <col min="11784" max="11784" width="12.09765625" style="227" customWidth="1"/>
    <col min="11785" max="11786" width="12.59765625" style="227" customWidth="1"/>
    <col min="11787" max="12035" width="9" style="227"/>
    <col min="12036" max="12036" width="48.59765625" style="227" customWidth="1"/>
    <col min="12037" max="12037" width="12.3984375" style="227" customWidth="1"/>
    <col min="12038" max="12038" width="15" style="227" customWidth="1"/>
    <col min="12039" max="12039" width="12" style="227" customWidth="1"/>
    <col min="12040" max="12040" width="12.09765625" style="227" customWidth="1"/>
    <col min="12041" max="12042" width="12.59765625" style="227" customWidth="1"/>
    <col min="12043" max="12291" width="9" style="227"/>
    <col min="12292" max="12292" width="48.59765625" style="227" customWidth="1"/>
    <col min="12293" max="12293" width="12.3984375" style="227" customWidth="1"/>
    <col min="12294" max="12294" width="15" style="227" customWidth="1"/>
    <col min="12295" max="12295" width="12" style="227" customWidth="1"/>
    <col min="12296" max="12296" width="12.09765625" style="227" customWidth="1"/>
    <col min="12297" max="12298" width="12.59765625" style="227" customWidth="1"/>
    <col min="12299" max="12547" width="9" style="227"/>
    <col min="12548" max="12548" width="48.59765625" style="227" customWidth="1"/>
    <col min="12549" max="12549" width="12.3984375" style="227" customWidth="1"/>
    <col min="12550" max="12550" width="15" style="227" customWidth="1"/>
    <col min="12551" max="12551" width="12" style="227" customWidth="1"/>
    <col min="12552" max="12552" width="12.09765625" style="227" customWidth="1"/>
    <col min="12553" max="12554" width="12.59765625" style="227" customWidth="1"/>
    <col min="12555" max="12803" width="9" style="227"/>
    <col min="12804" max="12804" width="48.59765625" style="227" customWidth="1"/>
    <col min="12805" max="12805" width="12.3984375" style="227" customWidth="1"/>
    <col min="12806" max="12806" width="15" style="227" customWidth="1"/>
    <col min="12807" max="12807" width="12" style="227" customWidth="1"/>
    <col min="12808" max="12808" width="12.09765625" style="227" customWidth="1"/>
    <col min="12809" max="12810" width="12.59765625" style="227" customWidth="1"/>
    <col min="12811" max="13059" width="9" style="227"/>
    <col min="13060" max="13060" width="48.59765625" style="227" customWidth="1"/>
    <col min="13061" max="13061" width="12.3984375" style="227" customWidth="1"/>
    <col min="13062" max="13062" width="15" style="227" customWidth="1"/>
    <col min="13063" max="13063" width="12" style="227" customWidth="1"/>
    <col min="13064" max="13064" width="12.09765625" style="227" customWidth="1"/>
    <col min="13065" max="13066" width="12.59765625" style="227" customWidth="1"/>
    <col min="13067" max="13315" width="9" style="227"/>
    <col min="13316" max="13316" width="48.59765625" style="227" customWidth="1"/>
    <col min="13317" max="13317" width="12.3984375" style="227" customWidth="1"/>
    <col min="13318" max="13318" width="15" style="227" customWidth="1"/>
    <col min="13319" max="13319" width="12" style="227" customWidth="1"/>
    <col min="13320" max="13320" width="12.09765625" style="227" customWidth="1"/>
    <col min="13321" max="13322" width="12.59765625" style="227" customWidth="1"/>
    <col min="13323" max="13571" width="9" style="227"/>
    <col min="13572" max="13572" width="48.59765625" style="227" customWidth="1"/>
    <col min="13573" max="13573" width="12.3984375" style="227" customWidth="1"/>
    <col min="13574" max="13574" width="15" style="227" customWidth="1"/>
    <col min="13575" max="13575" width="12" style="227" customWidth="1"/>
    <col min="13576" max="13576" width="12.09765625" style="227" customWidth="1"/>
    <col min="13577" max="13578" width="12.59765625" style="227" customWidth="1"/>
    <col min="13579" max="13827" width="9" style="227"/>
    <col min="13828" max="13828" width="48.59765625" style="227" customWidth="1"/>
    <col min="13829" max="13829" width="12.3984375" style="227" customWidth="1"/>
    <col min="13830" max="13830" width="15" style="227" customWidth="1"/>
    <col min="13831" max="13831" width="12" style="227" customWidth="1"/>
    <col min="13832" max="13832" width="12.09765625" style="227" customWidth="1"/>
    <col min="13833" max="13834" width="12.59765625" style="227" customWidth="1"/>
    <col min="13835" max="14083" width="9" style="227"/>
    <col min="14084" max="14084" width="48.59765625" style="227" customWidth="1"/>
    <col min="14085" max="14085" width="12.3984375" style="227" customWidth="1"/>
    <col min="14086" max="14086" width="15" style="227" customWidth="1"/>
    <col min="14087" max="14087" width="12" style="227" customWidth="1"/>
    <col min="14088" max="14088" width="12.09765625" style="227" customWidth="1"/>
    <col min="14089" max="14090" width="12.59765625" style="227" customWidth="1"/>
    <col min="14091" max="14339" width="9" style="227"/>
    <col min="14340" max="14340" width="48.59765625" style="227" customWidth="1"/>
    <col min="14341" max="14341" width="12.3984375" style="227" customWidth="1"/>
    <col min="14342" max="14342" width="15" style="227" customWidth="1"/>
    <col min="14343" max="14343" width="12" style="227" customWidth="1"/>
    <col min="14344" max="14344" width="12.09765625" style="227" customWidth="1"/>
    <col min="14345" max="14346" width="12.59765625" style="227" customWidth="1"/>
    <col min="14347" max="14595" width="9" style="227"/>
    <col min="14596" max="14596" width="48.59765625" style="227" customWidth="1"/>
    <col min="14597" max="14597" width="12.3984375" style="227" customWidth="1"/>
    <col min="14598" max="14598" width="15" style="227" customWidth="1"/>
    <col min="14599" max="14599" width="12" style="227" customWidth="1"/>
    <col min="14600" max="14600" width="12.09765625" style="227" customWidth="1"/>
    <col min="14601" max="14602" width="12.59765625" style="227" customWidth="1"/>
    <col min="14603" max="14851" width="9" style="227"/>
    <col min="14852" max="14852" width="48.59765625" style="227" customWidth="1"/>
    <col min="14853" max="14853" width="12.3984375" style="227" customWidth="1"/>
    <col min="14854" max="14854" width="15" style="227" customWidth="1"/>
    <col min="14855" max="14855" width="12" style="227" customWidth="1"/>
    <col min="14856" max="14856" width="12.09765625" style="227" customWidth="1"/>
    <col min="14857" max="14858" width="12.59765625" style="227" customWidth="1"/>
    <col min="14859" max="15107" width="9" style="227"/>
    <col min="15108" max="15108" width="48.59765625" style="227" customWidth="1"/>
    <col min="15109" max="15109" width="12.3984375" style="227" customWidth="1"/>
    <col min="15110" max="15110" width="15" style="227" customWidth="1"/>
    <col min="15111" max="15111" width="12" style="227" customWidth="1"/>
    <col min="15112" max="15112" width="12.09765625" style="227" customWidth="1"/>
    <col min="15113" max="15114" width="12.59765625" style="227" customWidth="1"/>
    <col min="15115" max="15363" width="9" style="227"/>
    <col min="15364" max="15364" width="48.59765625" style="227" customWidth="1"/>
    <col min="15365" max="15365" width="12.3984375" style="227" customWidth="1"/>
    <col min="15366" max="15366" width="15" style="227" customWidth="1"/>
    <col min="15367" max="15367" width="12" style="227" customWidth="1"/>
    <col min="15368" max="15368" width="12.09765625" style="227" customWidth="1"/>
    <col min="15369" max="15370" width="12.59765625" style="227" customWidth="1"/>
    <col min="15371" max="15619" width="9" style="227"/>
    <col min="15620" max="15620" width="48.59765625" style="227" customWidth="1"/>
    <col min="15621" max="15621" width="12.3984375" style="227" customWidth="1"/>
    <col min="15622" max="15622" width="15" style="227" customWidth="1"/>
    <col min="15623" max="15623" width="12" style="227" customWidth="1"/>
    <col min="15624" max="15624" width="12.09765625" style="227" customWidth="1"/>
    <col min="15625" max="15626" width="12.59765625" style="227" customWidth="1"/>
    <col min="15627" max="15875" width="9" style="227"/>
    <col min="15876" max="15876" width="48.59765625" style="227" customWidth="1"/>
    <col min="15877" max="15877" width="12.3984375" style="227" customWidth="1"/>
    <col min="15878" max="15878" width="15" style="227" customWidth="1"/>
    <col min="15879" max="15879" width="12" style="227" customWidth="1"/>
    <col min="15880" max="15880" width="12.09765625" style="227" customWidth="1"/>
    <col min="15881" max="15882" width="12.59765625" style="227" customWidth="1"/>
    <col min="15883" max="16131" width="9" style="227"/>
    <col min="16132" max="16132" width="48.59765625" style="227" customWidth="1"/>
    <col min="16133" max="16133" width="12.3984375" style="227" customWidth="1"/>
    <col min="16134" max="16134" width="15" style="227" customWidth="1"/>
    <col min="16135" max="16135" width="12" style="227" customWidth="1"/>
    <col min="16136" max="16136" width="12.09765625" style="227" customWidth="1"/>
    <col min="16137" max="16138" width="12.59765625" style="227" customWidth="1"/>
    <col min="16139" max="16384" width="9" style="227"/>
  </cols>
  <sheetData>
    <row r="1" spans="1:10" ht="17.399999999999999" x14ac:dyDescent="0.3">
      <c r="A1" s="409" t="s">
        <v>285</v>
      </c>
      <c r="B1" s="409"/>
    </row>
    <row r="2" spans="1:10" ht="17.399999999999999" x14ac:dyDescent="0.3">
      <c r="A2" s="387" t="s">
        <v>220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8" x14ac:dyDescent="0.35">
      <c r="A3" s="388" t="s">
        <v>221</v>
      </c>
      <c r="B3" s="388"/>
      <c r="C3" s="388"/>
      <c r="D3" s="388"/>
      <c r="E3" s="388"/>
      <c r="F3" s="388"/>
      <c r="G3" s="388"/>
      <c r="H3" s="388"/>
      <c r="I3" s="388"/>
      <c r="J3" s="388"/>
    </row>
    <row r="4" spans="1:10" ht="18" x14ac:dyDescent="0.35">
      <c r="I4" s="237" t="s">
        <v>206</v>
      </c>
      <c r="J4" s="229"/>
    </row>
    <row r="5" spans="1:10" s="268" customFormat="1" ht="16.8" x14ac:dyDescent="0.3">
      <c r="A5" s="382" t="s">
        <v>207</v>
      </c>
      <c r="B5" s="382" t="s">
        <v>208</v>
      </c>
      <c r="C5" s="382" t="s">
        <v>199</v>
      </c>
      <c r="D5" s="389" t="s">
        <v>240</v>
      </c>
      <c r="E5" s="390"/>
      <c r="F5" s="384" t="s">
        <v>246</v>
      </c>
      <c r="G5" s="385"/>
      <c r="H5" s="385"/>
      <c r="I5" s="385"/>
      <c r="J5" s="386"/>
    </row>
    <row r="6" spans="1:10" s="268" customFormat="1" ht="50.4" x14ac:dyDescent="0.3">
      <c r="A6" s="383"/>
      <c r="B6" s="383"/>
      <c r="C6" s="383"/>
      <c r="D6" s="271" t="s">
        <v>245</v>
      </c>
      <c r="E6" s="271" t="s">
        <v>247</v>
      </c>
      <c r="F6" s="269" t="s">
        <v>222</v>
      </c>
      <c r="G6" s="270" t="s">
        <v>223</v>
      </c>
      <c r="H6" s="269" t="s">
        <v>183</v>
      </c>
      <c r="I6" s="269" t="s">
        <v>184</v>
      </c>
      <c r="J6" s="269" t="s">
        <v>185</v>
      </c>
    </row>
    <row r="7" spans="1:10" s="228" customFormat="1" ht="17.399999999999999" x14ac:dyDescent="0.3">
      <c r="A7" s="230"/>
      <c r="B7" s="231" t="s">
        <v>147</v>
      </c>
      <c r="C7" s="273">
        <f>SUM(C8:C15)</f>
        <v>467663.71045499993</v>
      </c>
      <c r="D7" s="273">
        <f>SUM(D8:D15)</f>
        <v>36622.951816200002</v>
      </c>
      <c r="E7" s="273">
        <f>SUM(E8:E15)</f>
        <v>431040.75863879995</v>
      </c>
      <c r="F7" s="232">
        <f t="shared" ref="F7:J7" si="0">F8+F12+F14+F9+F11+F10+F13+F15</f>
        <v>118860.71045500001</v>
      </c>
      <c r="G7" s="232">
        <f t="shared" si="0"/>
        <v>104668</v>
      </c>
      <c r="H7" s="232">
        <f t="shared" si="0"/>
        <v>75633</v>
      </c>
      <c r="I7" s="232">
        <f t="shared" si="0"/>
        <v>81500</v>
      </c>
      <c r="J7" s="232">
        <f t="shared" si="0"/>
        <v>87000</v>
      </c>
    </row>
    <row r="8" spans="1:10" s="228" customFormat="1" ht="18" x14ac:dyDescent="0.35">
      <c r="A8" s="235">
        <v>1</v>
      </c>
      <c r="B8" s="236" t="s">
        <v>211</v>
      </c>
      <c r="C8" s="272">
        <f>SUM(F8:J8)+2</f>
        <v>338804.505412</v>
      </c>
      <c r="D8" s="272">
        <f>C8*10%</f>
        <v>33880.4505412</v>
      </c>
      <c r="E8" s="272">
        <f>C8*90%</f>
        <v>304924.0548708</v>
      </c>
      <c r="F8" s="233">
        <v>80363.505411999999</v>
      </c>
      <c r="G8" s="233">
        <f>140000-'Biểu 2b'!H39</f>
        <v>78439</v>
      </c>
      <c r="H8" s="233">
        <v>55000</v>
      </c>
      <c r="I8" s="233">
        <v>60000</v>
      </c>
      <c r="J8" s="233">
        <v>65000</v>
      </c>
    </row>
    <row r="9" spans="1:10" s="228" customFormat="1" ht="18" x14ac:dyDescent="0.35">
      <c r="A9" s="235">
        <v>2</v>
      </c>
      <c r="B9" s="236" t="s">
        <v>215</v>
      </c>
      <c r="C9" s="272">
        <f t="shared" ref="C9:C15" si="1">SUM(F9:J9)</f>
        <v>27425.012750000002</v>
      </c>
      <c r="D9" s="272">
        <f>C9*10%</f>
        <v>2742.5012750000005</v>
      </c>
      <c r="E9" s="272">
        <f>C9*90%</f>
        <v>24682.511475000003</v>
      </c>
      <c r="F9" s="233">
        <v>10221.01275</v>
      </c>
      <c r="G9" s="233">
        <f>32000-'Biểu 2b'!H34</f>
        <v>3704</v>
      </c>
      <c r="H9" s="233">
        <v>4000</v>
      </c>
      <c r="I9" s="233">
        <v>4500</v>
      </c>
      <c r="J9" s="233">
        <v>5000</v>
      </c>
    </row>
    <row r="10" spans="1:10" s="228" customFormat="1" ht="18" x14ac:dyDescent="0.35">
      <c r="A10" s="235">
        <v>3</v>
      </c>
      <c r="B10" s="236" t="s">
        <v>217</v>
      </c>
      <c r="C10" s="272">
        <f t="shared" si="1"/>
        <v>13877.510699999999</v>
      </c>
      <c r="D10" s="236"/>
      <c r="E10" s="272">
        <f>C10</f>
        <v>13877.510699999999</v>
      </c>
      <c r="F10" s="233">
        <v>377.51069999999999</v>
      </c>
      <c r="G10" s="233">
        <v>4500</v>
      </c>
      <c r="H10" s="233">
        <v>3000</v>
      </c>
      <c r="I10" s="233">
        <v>3000</v>
      </c>
      <c r="J10" s="233">
        <v>3000</v>
      </c>
    </row>
    <row r="11" spans="1:10" s="228" customFormat="1" ht="18" x14ac:dyDescent="0.35">
      <c r="A11" s="235">
        <v>4</v>
      </c>
      <c r="B11" s="236" t="s">
        <v>216</v>
      </c>
      <c r="C11" s="272">
        <f t="shared" si="1"/>
        <v>2325.1710000000003</v>
      </c>
      <c r="D11" s="236"/>
      <c r="E11" s="272">
        <f>C11</f>
        <v>2325.1710000000003</v>
      </c>
      <c r="F11" s="233">
        <v>625.17100000000005</v>
      </c>
      <c r="G11" s="233">
        <v>300</v>
      </c>
      <c r="H11" s="233">
        <v>400</v>
      </c>
      <c r="I11" s="233">
        <v>500</v>
      </c>
      <c r="J11" s="233">
        <v>500</v>
      </c>
    </row>
    <row r="12" spans="1:10" s="228" customFormat="1" ht="18" x14ac:dyDescent="0.35">
      <c r="A12" s="235">
        <v>5</v>
      </c>
      <c r="B12" s="236" t="s">
        <v>213</v>
      </c>
      <c r="C12" s="272">
        <f t="shared" si="1"/>
        <v>15098.8552</v>
      </c>
      <c r="D12" s="236"/>
      <c r="E12" s="272">
        <f>C12</f>
        <v>15098.8552</v>
      </c>
      <c r="F12" s="233">
        <v>2398.8552</v>
      </c>
      <c r="G12" s="233">
        <v>5100</v>
      </c>
      <c r="H12" s="233">
        <v>2600</v>
      </c>
      <c r="I12" s="233">
        <v>2500</v>
      </c>
      <c r="J12" s="233">
        <v>2500</v>
      </c>
    </row>
    <row r="13" spans="1:10" s="228" customFormat="1" ht="18" x14ac:dyDescent="0.35">
      <c r="A13" s="235">
        <v>6</v>
      </c>
      <c r="B13" s="236" t="s">
        <v>218</v>
      </c>
      <c r="C13" s="272">
        <f t="shared" si="1"/>
        <v>33314.671499999997</v>
      </c>
      <c r="D13" s="236"/>
      <c r="E13" s="272">
        <f>C13</f>
        <v>33314.671499999997</v>
      </c>
      <c r="F13" s="233">
        <v>18214.6715</v>
      </c>
      <c r="G13" s="233">
        <v>3100</v>
      </c>
      <c r="H13" s="288">
        <v>4000</v>
      </c>
      <c r="I13" s="288">
        <v>4000</v>
      </c>
      <c r="J13" s="288">
        <v>4000</v>
      </c>
    </row>
    <row r="14" spans="1:10" s="228" customFormat="1" ht="18" x14ac:dyDescent="0.35">
      <c r="A14" s="235">
        <v>7</v>
      </c>
      <c r="B14" s="236" t="s">
        <v>214</v>
      </c>
      <c r="C14" s="272">
        <f t="shared" si="1"/>
        <v>16210.600817999999</v>
      </c>
      <c r="D14" s="236"/>
      <c r="E14" s="272">
        <f t="shared" ref="E14:E15" si="2">C14</f>
        <v>16210.600817999999</v>
      </c>
      <c r="F14" s="234">
        <v>2910.6008179999999</v>
      </c>
      <c r="G14" s="233">
        <v>4300</v>
      </c>
      <c r="H14" s="233">
        <v>3000</v>
      </c>
      <c r="I14" s="233">
        <v>3000</v>
      </c>
      <c r="J14" s="233">
        <v>3000</v>
      </c>
    </row>
    <row r="15" spans="1:10" s="228" customFormat="1" ht="18" x14ac:dyDescent="0.35">
      <c r="A15" s="235">
        <v>8</v>
      </c>
      <c r="B15" s="236" t="s">
        <v>219</v>
      </c>
      <c r="C15" s="272">
        <f t="shared" si="1"/>
        <v>20607.383074999998</v>
      </c>
      <c r="D15" s="236"/>
      <c r="E15" s="272">
        <f t="shared" si="2"/>
        <v>20607.383074999998</v>
      </c>
      <c r="F15" s="233">
        <v>3749.3830750000002</v>
      </c>
      <c r="G15" s="233">
        <f>6800-'Biểu 2b'!H16-'Biểu 2b'!H26</f>
        <v>5225</v>
      </c>
      <c r="H15" s="233">
        <f>4000-367</f>
        <v>3633</v>
      </c>
      <c r="I15" s="233">
        <v>4000</v>
      </c>
      <c r="J15" s="233">
        <v>4000</v>
      </c>
    </row>
    <row r="17" spans="1:10" x14ac:dyDescent="0.3">
      <c r="A17" s="381"/>
      <c r="B17" s="381"/>
      <c r="C17" s="381"/>
      <c r="D17" s="381"/>
      <c r="E17" s="381"/>
      <c r="F17" s="381"/>
      <c r="G17" s="381"/>
      <c r="H17" s="381"/>
      <c r="I17" s="381"/>
      <c r="J17" s="381"/>
    </row>
  </sheetData>
  <mergeCells count="9">
    <mergeCell ref="A1:B1"/>
    <mergeCell ref="A17:J17"/>
    <mergeCell ref="C5:C6"/>
    <mergeCell ref="F5:J5"/>
    <mergeCell ref="A2:J2"/>
    <mergeCell ref="A3:J3"/>
    <mergeCell ref="A5:A6"/>
    <mergeCell ref="B5:B6"/>
    <mergeCell ref="D5:E5"/>
  </mergeCells>
  <pageMargins left="0.7" right="0.7" top="0.75" bottom="0.75" header="0.3" footer="0.3"/>
  <pageSetup paperSize="9" scale="81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4" workbookViewId="0">
      <pane xSplit="2" ySplit="6" topLeftCell="C37" activePane="bottomRight" state="frozen"/>
      <selection activeCell="A4" sqref="A4"/>
      <selection pane="topRight" activeCell="C4" sqref="C4"/>
      <selection pane="bottomLeft" activeCell="A10" sqref="A10"/>
      <selection pane="bottomRight" activeCell="B26" sqref="B26"/>
    </sheetView>
  </sheetViews>
  <sheetFormatPr defaultColWidth="9" defaultRowHeight="15.6" x14ac:dyDescent="0.3"/>
  <cols>
    <col min="1" max="1" width="5.3984375" style="209" customWidth="1"/>
    <col min="2" max="2" width="50.59765625" style="209" customWidth="1"/>
    <col min="3" max="3" width="12.09765625" style="209" customWidth="1"/>
    <col min="4" max="4" width="17" style="209" customWidth="1"/>
    <col min="5" max="5" width="13.69921875" style="209" customWidth="1"/>
    <col min="6" max="6" width="14.3984375" style="209" customWidth="1"/>
    <col min="7" max="7" width="10.69921875" style="209" customWidth="1"/>
    <col min="8" max="8" width="12.69921875" style="209" customWidth="1"/>
    <col min="9" max="9" width="11.3984375" style="209" customWidth="1"/>
    <col min="10" max="10" width="10.59765625" style="209" customWidth="1"/>
    <col min="11" max="11" width="12.09765625" style="209" customWidth="1"/>
    <col min="12" max="13" width="9" style="209"/>
    <col min="14" max="14" width="11.5" style="209" customWidth="1"/>
    <col min="15" max="16" width="9" style="209"/>
    <col min="17" max="17" width="11.59765625" style="209" customWidth="1"/>
    <col min="18" max="16384" width="9" style="209"/>
  </cols>
  <sheetData>
    <row r="1" spans="1:17" ht="17.399999999999999" x14ac:dyDescent="0.3">
      <c r="A1" s="399" t="s">
        <v>180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17" ht="17.399999999999999" x14ac:dyDescent="0.3">
      <c r="A2" s="399" t="s">
        <v>181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x14ac:dyDescent="0.3">
      <c r="A3" s="398">
        <f>'Biểu 5'!A3:X3</f>
        <v>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5" spans="1:17" ht="24" customHeight="1" x14ac:dyDescent="0.3">
      <c r="A5" s="400" t="s">
        <v>0</v>
      </c>
      <c r="B5" s="400" t="s">
        <v>96</v>
      </c>
      <c r="C5" s="400" t="s">
        <v>111</v>
      </c>
      <c r="D5" s="400" t="s">
        <v>188</v>
      </c>
      <c r="E5" s="395" t="s">
        <v>236</v>
      </c>
      <c r="F5" s="397"/>
      <c r="G5" s="402" t="s">
        <v>189</v>
      </c>
      <c r="H5" s="405" t="s">
        <v>205</v>
      </c>
      <c r="I5" s="401" t="s">
        <v>182</v>
      </c>
      <c r="J5" s="401"/>
      <c r="K5" s="401"/>
      <c r="L5" s="401"/>
      <c r="M5" s="401"/>
      <c r="N5" s="401"/>
      <c r="O5" s="401"/>
      <c r="P5" s="401"/>
      <c r="Q5" s="401"/>
    </row>
    <row r="6" spans="1:17" s="210" customFormat="1" ht="18.75" customHeight="1" x14ac:dyDescent="0.3">
      <c r="A6" s="400"/>
      <c r="B6" s="400"/>
      <c r="C6" s="400"/>
      <c r="D6" s="400"/>
      <c r="E6" s="402" t="s">
        <v>237</v>
      </c>
      <c r="F6" s="402" t="s">
        <v>238</v>
      </c>
      <c r="G6" s="403"/>
      <c r="H6" s="406"/>
      <c r="I6" s="395" t="s">
        <v>183</v>
      </c>
      <c r="J6" s="396"/>
      <c r="K6" s="397"/>
      <c r="L6" s="395" t="s">
        <v>184</v>
      </c>
      <c r="M6" s="396"/>
      <c r="N6" s="397"/>
      <c r="O6" s="395" t="s">
        <v>185</v>
      </c>
      <c r="P6" s="396"/>
      <c r="Q6" s="397"/>
    </row>
    <row r="7" spans="1:17" s="210" customFormat="1" ht="109.2" x14ac:dyDescent="0.3">
      <c r="A7" s="400"/>
      <c r="B7" s="400"/>
      <c r="C7" s="400"/>
      <c r="D7" s="400"/>
      <c r="E7" s="404"/>
      <c r="F7" s="404"/>
      <c r="G7" s="404"/>
      <c r="H7" s="407"/>
      <c r="I7" s="171" t="s">
        <v>186</v>
      </c>
      <c r="J7" s="171" t="s">
        <v>187</v>
      </c>
      <c r="K7" s="171" t="s">
        <v>192</v>
      </c>
      <c r="L7" s="171" t="s">
        <v>186</v>
      </c>
      <c r="M7" s="171" t="s">
        <v>187</v>
      </c>
      <c r="N7" s="171" t="s">
        <v>192</v>
      </c>
      <c r="O7" s="171" t="s">
        <v>186</v>
      </c>
      <c r="P7" s="171" t="s">
        <v>187</v>
      </c>
      <c r="Q7" s="171" t="s">
        <v>192</v>
      </c>
    </row>
    <row r="8" spans="1:17" s="210" customFormat="1" ht="18" customHeight="1" x14ac:dyDescent="0.3">
      <c r="A8" s="172" t="s">
        <v>11</v>
      </c>
      <c r="B8" s="172" t="s">
        <v>45</v>
      </c>
      <c r="C8" s="172" t="s">
        <v>59</v>
      </c>
      <c r="D8" s="172" t="s">
        <v>190</v>
      </c>
      <c r="E8" s="174"/>
      <c r="F8" s="174"/>
      <c r="G8" s="174">
        <v>2</v>
      </c>
      <c r="H8" s="173">
        <v>3</v>
      </c>
      <c r="I8" s="174" t="s">
        <v>191</v>
      </c>
      <c r="J8" s="173">
        <v>5</v>
      </c>
      <c r="K8" s="173">
        <v>6</v>
      </c>
      <c r="L8" s="174" t="s">
        <v>193</v>
      </c>
      <c r="M8" s="173">
        <v>8</v>
      </c>
      <c r="N8" s="173">
        <v>9</v>
      </c>
      <c r="O8" s="174" t="s">
        <v>194</v>
      </c>
      <c r="P8" s="173">
        <v>11</v>
      </c>
      <c r="Q8" s="173">
        <v>12</v>
      </c>
    </row>
    <row r="9" spans="1:17" s="241" customFormat="1" ht="19.5" customHeight="1" x14ac:dyDescent="0.3">
      <c r="A9" s="238"/>
      <c r="B9" s="238" t="s">
        <v>147</v>
      </c>
      <c r="C9" s="239"/>
      <c r="D9" s="240">
        <f>SUM(D22:D57)</f>
        <v>2517990.1105060172</v>
      </c>
      <c r="E9" s="240"/>
      <c r="F9" s="240"/>
      <c r="G9" s="240">
        <f t="shared" ref="G9:Q9" si="0">SUM(G22:G57)</f>
        <v>761345.89857099997</v>
      </c>
      <c r="H9" s="240">
        <f t="shared" si="0"/>
        <v>90457</v>
      </c>
      <c r="I9" s="240">
        <f t="shared" si="0"/>
        <v>691224.33333333337</v>
      </c>
      <c r="J9" s="240">
        <f t="shared" si="0"/>
        <v>863603.33333333337</v>
      </c>
      <c r="K9" s="240">
        <f t="shared" si="0"/>
        <v>172379</v>
      </c>
      <c r="L9" s="240">
        <f t="shared" si="0"/>
        <v>422935.20480084192</v>
      </c>
      <c r="M9" s="240">
        <f t="shared" si="0"/>
        <v>451693.38858634193</v>
      </c>
      <c r="N9" s="240">
        <f t="shared" si="0"/>
        <v>28758.183785500001</v>
      </c>
      <c r="O9" s="240">
        <f t="shared" si="0"/>
        <v>696235.20480084198</v>
      </c>
      <c r="P9" s="240">
        <f t="shared" si="0"/>
        <v>1126693.3885863416</v>
      </c>
      <c r="Q9" s="240">
        <f t="shared" si="0"/>
        <v>430458.1837855</v>
      </c>
    </row>
    <row r="10" spans="1:17" ht="25.5" customHeight="1" x14ac:dyDescent="0.3">
      <c r="A10" s="104" t="s">
        <v>13</v>
      </c>
      <c r="B10" s="175" t="s">
        <v>224</v>
      </c>
      <c r="C10" s="134"/>
      <c r="D10" s="146"/>
      <c r="E10" s="146"/>
      <c r="F10" s="146"/>
      <c r="G10" s="146"/>
      <c r="H10" s="211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1:17" s="213" customFormat="1" ht="22.5" customHeight="1" x14ac:dyDescent="0.3">
      <c r="A11" s="176">
        <v>1</v>
      </c>
      <c r="B11" s="177" t="s">
        <v>105</v>
      </c>
      <c r="C11" s="134"/>
      <c r="D11" s="146"/>
      <c r="E11" s="146"/>
      <c r="F11" s="146"/>
      <c r="G11" s="146"/>
      <c r="H11" s="211"/>
      <c r="I11" s="180"/>
      <c r="J11" s="211"/>
      <c r="K11" s="211"/>
      <c r="L11" s="180"/>
      <c r="M11" s="211"/>
      <c r="N11" s="211"/>
      <c r="O11" s="180"/>
      <c r="P11" s="211"/>
      <c r="Q11" s="211"/>
    </row>
    <row r="12" spans="1:17" s="213" customFormat="1" ht="23.25" customHeight="1" x14ac:dyDescent="0.3">
      <c r="A12" s="178" t="s">
        <v>137</v>
      </c>
      <c r="B12" s="179" t="s">
        <v>112</v>
      </c>
      <c r="C12" s="186" t="s">
        <v>173</v>
      </c>
      <c r="D12" s="201">
        <f>'Biểu 5'!I12</f>
        <v>75000</v>
      </c>
      <c r="E12" s="201"/>
      <c r="F12" s="201"/>
      <c r="G12" s="201">
        <f>'Biểu 5'!N12+'Biểu 5'!O12</f>
        <v>61000</v>
      </c>
      <c r="H12" s="202"/>
      <c r="I12" s="203"/>
      <c r="J12" s="203"/>
      <c r="K12" s="203"/>
      <c r="L12" s="203">
        <f>M12-N12</f>
        <v>14000</v>
      </c>
      <c r="M12" s="203">
        <f>D12</f>
        <v>75000</v>
      </c>
      <c r="N12" s="203">
        <f>G12</f>
        <v>61000</v>
      </c>
      <c r="O12" s="203"/>
      <c r="P12" s="203"/>
      <c r="Q12" s="203"/>
    </row>
    <row r="13" spans="1:17" s="213" customFormat="1" ht="21.75" customHeight="1" x14ac:dyDescent="0.3">
      <c r="A13" s="176">
        <v>2</v>
      </c>
      <c r="B13" s="177" t="s">
        <v>109</v>
      </c>
      <c r="C13" s="134"/>
      <c r="D13" s="146"/>
      <c r="E13" s="146"/>
      <c r="F13" s="146"/>
      <c r="G13" s="146"/>
      <c r="H13" s="204"/>
      <c r="I13" s="180"/>
      <c r="J13" s="181"/>
      <c r="K13" s="181"/>
      <c r="L13" s="180"/>
      <c r="M13" s="181"/>
      <c r="N13" s="181"/>
      <c r="O13" s="180"/>
      <c r="P13" s="181"/>
      <c r="Q13" s="181"/>
    </row>
    <row r="14" spans="1:17" s="215" customFormat="1" ht="24" customHeight="1" x14ac:dyDescent="0.3">
      <c r="A14" s="194" t="s">
        <v>143</v>
      </c>
      <c r="B14" s="207" t="s">
        <v>115</v>
      </c>
      <c r="C14" s="186" t="s">
        <v>173</v>
      </c>
      <c r="D14" s="185">
        <v>75000</v>
      </c>
      <c r="E14" s="185"/>
      <c r="F14" s="185"/>
      <c r="G14" s="185">
        <v>98000</v>
      </c>
      <c r="H14" s="214"/>
      <c r="I14" s="208"/>
      <c r="J14" s="208"/>
      <c r="K14" s="208"/>
      <c r="L14" s="208">
        <f>M14</f>
        <v>37500</v>
      </c>
      <c r="M14" s="208">
        <f>D14/2</f>
        <v>37500</v>
      </c>
      <c r="N14" s="208">
        <f>G14/2</f>
        <v>49000</v>
      </c>
      <c r="O14" s="208">
        <v>37500</v>
      </c>
      <c r="P14" s="208">
        <v>37500</v>
      </c>
      <c r="Q14" s="208">
        <v>0</v>
      </c>
    </row>
    <row r="15" spans="1:17" s="215" customFormat="1" x14ac:dyDescent="0.3">
      <c r="A15" s="194"/>
      <c r="B15" s="177" t="s">
        <v>219</v>
      </c>
      <c r="C15" s="186"/>
      <c r="D15" s="185"/>
      <c r="E15" s="185"/>
      <c r="F15" s="185"/>
      <c r="G15" s="185"/>
      <c r="H15" s="214"/>
      <c r="I15" s="208"/>
      <c r="J15" s="208"/>
      <c r="K15" s="208"/>
      <c r="L15" s="208"/>
      <c r="M15" s="208"/>
      <c r="N15" s="208"/>
      <c r="O15" s="208"/>
      <c r="P15" s="208"/>
      <c r="Q15" s="208"/>
    </row>
    <row r="16" spans="1:17" s="215" customFormat="1" ht="31.2" x14ac:dyDescent="0.3">
      <c r="A16" s="194"/>
      <c r="B16" s="257" t="s">
        <v>226</v>
      </c>
      <c r="C16" s="186"/>
      <c r="D16" s="185"/>
      <c r="E16" s="185"/>
      <c r="F16" s="185"/>
      <c r="G16" s="185"/>
      <c r="H16" s="214">
        <v>975</v>
      </c>
      <c r="I16" s="208"/>
      <c r="J16" s="208"/>
      <c r="K16" s="208"/>
      <c r="L16" s="208"/>
      <c r="M16" s="208"/>
      <c r="N16" s="208"/>
      <c r="O16" s="208"/>
      <c r="P16" s="208"/>
      <c r="Q16" s="208"/>
    </row>
    <row r="17" spans="1:17" x14ac:dyDescent="0.3">
      <c r="A17" s="176">
        <v>5</v>
      </c>
      <c r="B17" s="177" t="s">
        <v>106</v>
      </c>
      <c r="C17" s="134"/>
      <c r="D17" s="146"/>
      <c r="E17" s="146"/>
      <c r="F17" s="146"/>
      <c r="G17" s="14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7" x14ac:dyDescent="0.3">
      <c r="A18" s="178" t="s">
        <v>161</v>
      </c>
      <c r="B18" s="183" t="s">
        <v>150</v>
      </c>
      <c r="C18" s="134" t="s">
        <v>175</v>
      </c>
      <c r="D18" s="116">
        <v>70000</v>
      </c>
      <c r="E18" s="116"/>
      <c r="F18" s="116"/>
      <c r="G18" s="116">
        <v>0</v>
      </c>
      <c r="H18" s="216"/>
      <c r="I18" s="216">
        <f>J18-K18</f>
        <v>23333.333333333332</v>
      </c>
      <c r="J18" s="216">
        <f>D18/3</f>
        <v>23333.333333333332</v>
      </c>
      <c r="K18" s="216">
        <f>G18/3</f>
        <v>0</v>
      </c>
      <c r="L18" s="216">
        <f>I18</f>
        <v>23333.333333333332</v>
      </c>
      <c r="M18" s="216">
        <f t="shared" ref="M18:M20" si="1">J18</f>
        <v>23333.333333333332</v>
      </c>
      <c r="N18" s="216">
        <f t="shared" ref="N18:N20" si="2">K18</f>
        <v>0</v>
      </c>
      <c r="O18" s="216">
        <f>L18</f>
        <v>23333.333333333332</v>
      </c>
      <c r="P18" s="216">
        <f t="shared" ref="P18:P20" si="3">M18</f>
        <v>23333.333333333332</v>
      </c>
      <c r="Q18" s="216">
        <f t="shared" ref="Q18:Q20" si="4">N18</f>
        <v>0</v>
      </c>
    </row>
    <row r="19" spans="1:17" x14ac:dyDescent="0.3">
      <c r="A19" s="178" t="s">
        <v>162</v>
      </c>
      <c r="B19" s="183" t="s">
        <v>152</v>
      </c>
      <c r="C19" s="134" t="s">
        <v>123</v>
      </c>
      <c r="D19" s="116">
        <v>44000</v>
      </c>
      <c r="E19" s="116"/>
      <c r="F19" s="116"/>
      <c r="G19" s="116">
        <v>0</v>
      </c>
      <c r="H19" s="216">
        <v>28296</v>
      </c>
      <c r="I19" s="216">
        <f>J19-K19</f>
        <v>14666.666666666666</v>
      </c>
      <c r="J19" s="216">
        <f>D19/3</f>
        <v>14666.666666666666</v>
      </c>
      <c r="K19" s="216">
        <f>G19/3</f>
        <v>0</v>
      </c>
      <c r="L19" s="216">
        <f>I19</f>
        <v>14666.666666666666</v>
      </c>
      <c r="M19" s="216">
        <f t="shared" si="1"/>
        <v>14666.666666666666</v>
      </c>
      <c r="N19" s="216">
        <f t="shared" si="2"/>
        <v>0</v>
      </c>
      <c r="O19" s="216">
        <f>L19</f>
        <v>14666.666666666666</v>
      </c>
      <c r="P19" s="216">
        <f t="shared" si="3"/>
        <v>14666.666666666666</v>
      </c>
      <c r="Q19" s="216">
        <f t="shared" si="4"/>
        <v>0</v>
      </c>
    </row>
    <row r="20" spans="1:17" ht="31.2" x14ac:dyDescent="0.3">
      <c r="A20" s="178" t="s">
        <v>163</v>
      </c>
      <c r="B20" s="184" t="s">
        <v>153</v>
      </c>
      <c r="C20" s="134" t="s">
        <v>123</v>
      </c>
      <c r="D20" s="393">
        <v>286000</v>
      </c>
      <c r="E20" s="225"/>
      <c r="F20" s="225"/>
      <c r="G20" s="116">
        <v>0</v>
      </c>
      <c r="H20" s="216"/>
      <c r="I20" s="391">
        <f>J20-K20</f>
        <v>95333.333333333328</v>
      </c>
      <c r="J20" s="391">
        <f>D20/3</f>
        <v>95333.333333333328</v>
      </c>
      <c r="K20" s="391">
        <f>G20/3</f>
        <v>0</v>
      </c>
      <c r="L20" s="391">
        <f>I20</f>
        <v>95333.333333333328</v>
      </c>
      <c r="M20" s="391">
        <f t="shared" si="1"/>
        <v>95333.333333333328</v>
      </c>
      <c r="N20" s="391">
        <f t="shared" si="2"/>
        <v>0</v>
      </c>
      <c r="O20" s="391">
        <f>L20</f>
        <v>95333.333333333328</v>
      </c>
      <c r="P20" s="391">
        <f t="shared" si="3"/>
        <v>95333.333333333328</v>
      </c>
      <c r="Q20" s="391">
        <f t="shared" si="4"/>
        <v>0</v>
      </c>
    </row>
    <row r="21" spans="1:17" ht="31.2" x14ac:dyDescent="0.3">
      <c r="A21" s="178" t="s">
        <v>167</v>
      </c>
      <c r="B21" s="185" t="s">
        <v>165</v>
      </c>
      <c r="C21" s="186" t="s">
        <v>123</v>
      </c>
      <c r="D21" s="394"/>
      <c r="E21" s="226"/>
      <c r="F21" s="226"/>
      <c r="G21" s="116">
        <v>51250.531000000003</v>
      </c>
      <c r="H21" s="216"/>
      <c r="I21" s="392"/>
      <c r="J21" s="392"/>
      <c r="K21" s="392"/>
      <c r="L21" s="392"/>
      <c r="M21" s="392"/>
      <c r="N21" s="392"/>
      <c r="O21" s="392"/>
      <c r="P21" s="392"/>
      <c r="Q21" s="392"/>
    </row>
    <row r="22" spans="1:17" ht="23.25" customHeight="1" x14ac:dyDescent="0.3">
      <c r="A22" s="104" t="s">
        <v>18</v>
      </c>
      <c r="B22" s="175" t="s">
        <v>225</v>
      </c>
      <c r="C22" s="134"/>
      <c r="D22" s="146"/>
      <c r="E22" s="146"/>
      <c r="F22" s="146"/>
      <c r="G22" s="146"/>
      <c r="H22" s="211"/>
      <c r="I22" s="212"/>
      <c r="J22" s="212"/>
      <c r="K22" s="212"/>
      <c r="L22" s="212"/>
      <c r="M22" s="212"/>
      <c r="N22" s="212"/>
      <c r="O22" s="212"/>
      <c r="P22" s="212"/>
      <c r="Q22" s="212"/>
    </row>
    <row r="23" spans="1:17" s="213" customFormat="1" ht="17.25" customHeight="1" x14ac:dyDescent="0.3">
      <c r="A23" s="176">
        <v>1</v>
      </c>
      <c r="B23" s="177" t="s">
        <v>105</v>
      </c>
      <c r="C23" s="134"/>
      <c r="D23" s="146"/>
      <c r="E23" s="146"/>
      <c r="F23" s="146"/>
      <c r="G23" s="146"/>
      <c r="H23" s="211"/>
      <c r="I23" s="180"/>
      <c r="J23" s="211"/>
      <c r="K23" s="211"/>
      <c r="L23" s="180"/>
      <c r="M23" s="211"/>
      <c r="N23" s="211"/>
      <c r="O23" s="180"/>
      <c r="P23" s="211"/>
      <c r="Q23" s="211"/>
    </row>
    <row r="24" spans="1:17" s="213" customFormat="1" ht="31.2" x14ac:dyDescent="0.3">
      <c r="A24" s="178" t="s">
        <v>138</v>
      </c>
      <c r="B24" s="179" t="s">
        <v>113</v>
      </c>
      <c r="C24" s="134" t="s">
        <v>173</v>
      </c>
      <c r="D24" s="116">
        <v>15000</v>
      </c>
      <c r="E24" s="116"/>
      <c r="F24" s="116"/>
      <c r="G24" s="116">
        <v>6000</v>
      </c>
      <c r="H24" s="212"/>
      <c r="I24" s="203"/>
      <c r="J24" s="203"/>
      <c r="K24" s="203"/>
      <c r="L24" s="203">
        <f>M24-N24</f>
        <v>4500</v>
      </c>
      <c r="M24" s="203">
        <f>D24/2</f>
        <v>7500</v>
      </c>
      <c r="N24" s="203">
        <f>G24/2</f>
        <v>3000</v>
      </c>
      <c r="O24" s="203">
        <v>3000</v>
      </c>
      <c r="P24" s="203">
        <v>7500</v>
      </c>
      <c r="Q24" s="203">
        <v>4500</v>
      </c>
    </row>
    <row r="25" spans="1:17" s="215" customFormat="1" x14ac:dyDescent="0.3">
      <c r="A25" s="194"/>
      <c r="B25" s="177" t="s">
        <v>219</v>
      </c>
      <c r="C25" s="186"/>
      <c r="D25" s="185"/>
      <c r="E25" s="185"/>
      <c r="F25" s="185"/>
      <c r="G25" s="185"/>
      <c r="H25" s="214"/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7" s="215" customFormat="1" ht="31.2" x14ac:dyDescent="0.3">
      <c r="A26" s="194"/>
      <c r="B26" s="257" t="s">
        <v>227</v>
      </c>
      <c r="C26" s="186"/>
      <c r="D26" s="185"/>
      <c r="E26" s="185"/>
      <c r="F26" s="185"/>
      <c r="G26" s="185"/>
      <c r="H26" s="214">
        <v>600</v>
      </c>
      <c r="I26" s="208"/>
      <c r="J26" s="208"/>
      <c r="K26" s="208"/>
      <c r="L26" s="208"/>
      <c r="M26" s="208"/>
      <c r="N26" s="208"/>
      <c r="O26" s="208"/>
      <c r="P26" s="208"/>
      <c r="Q26" s="208"/>
    </row>
    <row r="27" spans="1:17" s="213" customFormat="1" x14ac:dyDescent="0.3">
      <c r="A27" s="176">
        <v>3</v>
      </c>
      <c r="B27" s="177" t="s">
        <v>107</v>
      </c>
      <c r="C27" s="134"/>
      <c r="D27" s="146"/>
      <c r="E27" s="146"/>
      <c r="F27" s="146"/>
      <c r="G27" s="146"/>
      <c r="H27" s="212"/>
      <c r="I27" s="203"/>
      <c r="J27" s="203"/>
      <c r="K27" s="203"/>
      <c r="L27" s="203"/>
      <c r="M27" s="203"/>
      <c r="N27" s="203"/>
      <c r="O27" s="203"/>
      <c r="P27" s="203"/>
      <c r="Q27" s="203"/>
    </row>
    <row r="28" spans="1:17" ht="34.5" customHeight="1" x14ac:dyDescent="0.3">
      <c r="A28" s="178" t="s">
        <v>146</v>
      </c>
      <c r="B28" s="182" t="s">
        <v>117</v>
      </c>
      <c r="C28" s="134" t="s">
        <v>173</v>
      </c>
      <c r="D28" s="116">
        <v>3448.6105060172122</v>
      </c>
      <c r="E28" s="116"/>
      <c r="F28" s="116"/>
      <c r="G28" s="116">
        <v>2469.3675710000002</v>
      </c>
      <c r="H28" s="180"/>
      <c r="I28" s="180"/>
      <c r="J28" s="180"/>
      <c r="K28" s="180"/>
      <c r="L28" s="216">
        <f>M28-N28</f>
        <v>489.62146750860597</v>
      </c>
      <c r="M28" s="216">
        <f>D28/2</f>
        <v>1724.3052530086061</v>
      </c>
      <c r="N28" s="216">
        <f>G28/2</f>
        <v>1234.6837855000001</v>
      </c>
      <c r="O28" s="216">
        <f>P28-Q28</f>
        <v>489.62146750860597</v>
      </c>
      <c r="P28" s="216">
        <f>M28</f>
        <v>1724.3052530086061</v>
      </c>
      <c r="Q28" s="216">
        <f>N28</f>
        <v>1234.6837855000001</v>
      </c>
    </row>
    <row r="29" spans="1:17" ht="31.2" x14ac:dyDescent="0.3">
      <c r="A29" s="178" t="s">
        <v>148</v>
      </c>
      <c r="B29" s="182" t="s">
        <v>121</v>
      </c>
      <c r="C29" s="134" t="s">
        <v>173</v>
      </c>
      <c r="D29" s="116">
        <v>4231.5</v>
      </c>
      <c r="E29" s="116"/>
      <c r="F29" s="116"/>
      <c r="G29" s="116">
        <v>2273</v>
      </c>
      <c r="H29" s="180"/>
      <c r="I29" s="180"/>
      <c r="J29" s="180"/>
      <c r="K29" s="180"/>
      <c r="L29" s="216">
        <f>M29-N29</f>
        <v>979.25</v>
      </c>
      <c r="M29" s="216">
        <f>D29/2</f>
        <v>2115.75</v>
      </c>
      <c r="N29" s="216">
        <f>G29/2</f>
        <v>1136.5</v>
      </c>
      <c r="O29" s="216">
        <f>P29-Q29</f>
        <v>979.25</v>
      </c>
      <c r="P29" s="216">
        <f>M29</f>
        <v>2115.75</v>
      </c>
      <c r="Q29" s="216">
        <f>N29</f>
        <v>1136.5</v>
      </c>
    </row>
    <row r="30" spans="1:17" x14ac:dyDescent="0.3">
      <c r="A30" s="176">
        <v>4</v>
      </c>
      <c r="B30" s="177" t="s">
        <v>108</v>
      </c>
      <c r="C30" s="134"/>
      <c r="D30" s="146"/>
      <c r="E30" s="146"/>
      <c r="F30" s="146"/>
      <c r="G30" s="14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x14ac:dyDescent="0.3">
      <c r="A31" s="178" t="s">
        <v>149</v>
      </c>
      <c r="B31" s="182" t="s">
        <v>142</v>
      </c>
      <c r="C31" s="134" t="s">
        <v>175</v>
      </c>
      <c r="D31" s="116">
        <v>28560</v>
      </c>
      <c r="E31" s="116"/>
      <c r="F31" s="116"/>
      <c r="G31" s="116">
        <v>17661</v>
      </c>
      <c r="H31" s="216"/>
      <c r="I31" s="216">
        <f>J31-K31</f>
        <v>3633</v>
      </c>
      <c r="J31" s="216">
        <f>D31/3</f>
        <v>9520</v>
      </c>
      <c r="K31" s="216">
        <f>G31/3</f>
        <v>5887</v>
      </c>
      <c r="L31" s="216">
        <f>I31</f>
        <v>3633</v>
      </c>
      <c r="M31" s="216">
        <f t="shared" ref="M31:N31" si="5">J31</f>
        <v>9520</v>
      </c>
      <c r="N31" s="216">
        <f t="shared" si="5"/>
        <v>5887</v>
      </c>
      <c r="O31" s="216">
        <f>L31</f>
        <v>3633</v>
      </c>
      <c r="P31" s="216">
        <f t="shared" ref="P31:Q31" si="6">M31</f>
        <v>9520</v>
      </c>
      <c r="Q31" s="216">
        <f t="shared" si="6"/>
        <v>5887</v>
      </c>
    </row>
    <row r="32" spans="1:17" x14ac:dyDescent="0.3">
      <c r="A32" s="176">
        <v>5</v>
      </c>
      <c r="B32" s="177" t="s">
        <v>106</v>
      </c>
      <c r="C32" s="134"/>
      <c r="D32" s="146"/>
      <c r="E32" s="146"/>
      <c r="F32" s="146"/>
      <c r="G32" s="14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1:17" x14ac:dyDescent="0.3">
      <c r="A33" s="178" t="s">
        <v>161</v>
      </c>
      <c r="B33" s="183" t="s">
        <v>150</v>
      </c>
      <c r="C33" s="134" t="s">
        <v>175</v>
      </c>
      <c r="D33" s="116">
        <v>70000</v>
      </c>
      <c r="E33" s="116"/>
      <c r="F33" s="116"/>
      <c r="G33" s="116">
        <v>0</v>
      </c>
      <c r="H33" s="216"/>
      <c r="I33" s="216">
        <f>J33-K33</f>
        <v>23333.333333333332</v>
      </c>
      <c r="J33" s="216">
        <f>D33/3</f>
        <v>23333.333333333332</v>
      </c>
      <c r="K33" s="216">
        <f>G33/3</f>
        <v>0</v>
      </c>
      <c r="L33" s="216">
        <f>I33</f>
        <v>23333.333333333332</v>
      </c>
      <c r="M33" s="216">
        <f t="shared" ref="M33" si="7">J33</f>
        <v>23333.333333333332</v>
      </c>
      <c r="N33" s="216">
        <f t="shared" ref="N33" si="8">K33</f>
        <v>0</v>
      </c>
      <c r="O33" s="216">
        <f>L33</f>
        <v>23333.333333333332</v>
      </c>
      <c r="P33" s="216">
        <f t="shared" ref="P33" si="9">M33</f>
        <v>23333.333333333332</v>
      </c>
      <c r="Q33" s="216">
        <f t="shared" ref="Q33" si="10">N33</f>
        <v>0</v>
      </c>
    </row>
    <row r="34" spans="1:17" x14ac:dyDescent="0.3">
      <c r="A34" s="178" t="s">
        <v>162</v>
      </c>
      <c r="B34" s="183" t="s">
        <v>152</v>
      </c>
      <c r="C34" s="134" t="s">
        <v>123</v>
      </c>
      <c r="D34" s="116">
        <v>44000</v>
      </c>
      <c r="E34" s="116"/>
      <c r="F34" s="116"/>
      <c r="G34" s="116">
        <v>0</v>
      </c>
      <c r="H34" s="216">
        <v>28296</v>
      </c>
      <c r="I34" s="216">
        <f>J34-K34</f>
        <v>14666.666666666666</v>
      </c>
      <c r="J34" s="216">
        <f>D34/3</f>
        <v>14666.666666666666</v>
      </c>
      <c r="K34" s="216">
        <f>G34/3</f>
        <v>0</v>
      </c>
      <c r="L34" s="216">
        <f>I34</f>
        <v>14666.666666666666</v>
      </c>
      <c r="M34" s="216">
        <f t="shared" ref="M34:M35" si="11">J34</f>
        <v>14666.666666666666</v>
      </c>
      <c r="N34" s="216">
        <f t="shared" ref="N34:N35" si="12">K34</f>
        <v>0</v>
      </c>
      <c r="O34" s="216">
        <f>L34</f>
        <v>14666.666666666666</v>
      </c>
      <c r="P34" s="216">
        <f t="shared" ref="P34:P35" si="13">M34</f>
        <v>14666.666666666666</v>
      </c>
      <c r="Q34" s="216">
        <f t="shared" ref="Q34:Q35" si="14">N34</f>
        <v>0</v>
      </c>
    </row>
    <row r="35" spans="1:17" ht="31.2" x14ac:dyDescent="0.3">
      <c r="A35" s="178" t="s">
        <v>163</v>
      </c>
      <c r="B35" s="184" t="s">
        <v>153</v>
      </c>
      <c r="C35" s="134" t="s">
        <v>123</v>
      </c>
      <c r="D35" s="393">
        <v>286000</v>
      </c>
      <c r="E35" s="225"/>
      <c r="F35" s="225"/>
      <c r="G35" s="116">
        <v>0</v>
      </c>
      <c r="H35" s="216"/>
      <c r="I35" s="391">
        <f>J35-K35</f>
        <v>95333.333333333328</v>
      </c>
      <c r="J35" s="391">
        <f>D35/3</f>
        <v>95333.333333333328</v>
      </c>
      <c r="K35" s="391">
        <f>G35/3</f>
        <v>0</v>
      </c>
      <c r="L35" s="391">
        <f>I35</f>
        <v>95333.333333333328</v>
      </c>
      <c r="M35" s="391">
        <f t="shared" si="11"/>
        <v>95333.333333333328</v>
      </c>
      <c r="N35" s="391">
        <f t="shared" si="12"/>
        <v>0</v>
      </c>
      <c r="O35" s="391">
        <f>L35</f>
        <v>95333.333333333328</v>
      </c>
      <c r="P35" s="391">
        <f t="shared" si="13"/>
        <v>95333.333333333328</v>
      </c>
      <c r="Q35" s="391">
        <f t="shared" si="14"/>
        <v>0</v>
      </c>
    </row>
    <row r="36" spans="1:17" ht="31.2" x14ac:dyDescent="0.3">
      <c r="A36" s="178" t="s">
        <v>167</v>
      </c>
      <c r="B36" s="185" t="s">
        <v>165</v>
      </c>
      <c r="C36" s="186" t="s">
        <v>123</v>
      </c>
      <c r="D36" s="394"/>
      <c r="E36" s="226"/>
      <c r="F36" s="226"/>
      <c r="G36" s="116">
        <v>51250.531000000003</v>
      </c>
      <c r="H36" s="216"/>
      <c r="I36" s="392"/>
      <c r="J36" s="392"/>
      <c r="K36" s="392"/>
      <c r="L36" s="392"/>
      <c r="M36" s="392"/>
      <c r="N36" s="392"/>
      <c r="O36" s="392"/>
      <c r="P36" s="392"/>
      <c r="Q36" s="392"/>
    </row>
    <row r="37" spans="1:17" x14ac:dyDescent="0.3">
      <c r="A37" s="176" t="s">
        <v>18</v>
      </c>
      <c r="B37" s="187" t="s">
        <v>102</v>
      </c>
      <c r="C37" s="176"/>
      <c r="D37" s="146"/>
      <c r="E37" s="146"/>
      <c r="F37" s="146"/>
      <c r="G37" s="146">
        <v>0</v>
      </c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x14ac:dyDescent="0.3">
      <c r="A38" s="176">
        <v>1</v>
      </c>
      <c r="B38" s="177" t="s">
        <v>104</v>
      </c>
      <c r="C38" s="134"/>
      <c r="D38" s="205"/>
      <c r="E38" s="205"/>
      <c r="F38" s="205"/>
      <c r="G38" s="205">
        <v>0</v>
      </c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ht="31.2" x14ac:dyDescent="0.3">
      <c r="A39" s="176"/>
      <c r="B39" s="188" t="s">
        <v>212</v>
      </c>
      <c r="C39" s="134"/>
      <c r="D39" s="205"/>
      <c r="E39" s="205"/>
      <c r="F39" s="205"/>
      <c r="G39" s="205"/>
      <c r="H39" s="216">
        <v>61561</v>
      </c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ht="31.2" x14ac:dyDescent="0.3">
      <c r="A40" s="178" t="s">
        <v>137</v>
      </c>
      <c r="B40" s="188" t="s">
        <v>159</v>
      </c>
      <c r="C40" s="219" t="s">
        <v>195</v>
      </c>
      <c r="D40" s="116">
        <v>480000</v>
      </c>
      <c r="E40" s="116"/>
      <c r="F40" s="116"/>
      <c r="G40" s="116">
        <v>400200</v>
      </c>
      <c r="H40" s="216"/>
      <c r="I40" s="216"/>
      <c r="J40" s="216"/>
      <c r="K40" s="216"/>
      <c r="L40" s="216"/>
      <c r="M40" s="216"/>
      <c r="N40" s="216"/>
      <c r="O40" s="216">
        <f>P40-Q40</f>
        <v>79800</v>
      </c>
      <c r="P40" s="116">
        <v>480000</v>
      </c>
      <c r="Q40" s="116">
        <v>400200</v>
      </c>
    </row>
    <row r="41" spans="1:17" x14ac:dyDescent="0.3">
      <c r="A41" s="178" t="s">
        <v>138</v>
      </c>
      <c r="B41" s="190" t="s">
        <v>127</v>
      </c>
      <c r="C41" s="219" t="s">
        <v>195</v>
      </c>
      <c r="D41" s="116">
        <v>90000</v>
      </c>
      <c r="E41" s="116"/>
      <c r="F41" s="116"/>
      <c r="G41" s="116">
        <v>0</v>
      </c>
      <c r="H41" s="216"/>
      <c r="I41" s="216"/>
      <c r="J41" s="216"/>
      <c r="K41" s="216"/>
      <c r="L41" s="216"/>
      <c r="M41" s="216"/>
      <c r="N41" s="216"/>
      <c r="O41" s="216">
        <f>P41-Q41</f>
        <v>90000</v>
      </c>
      <c r="P41" s="116">
        <v>90000</v>
      </c>
      <c r="Q41" s="116">
        <v>0</v>
      </c>
    </row>
    <row r="42" spans="1:17" x14ac:dyDescent="0.3">
      <c r="A42" s="178" t="s">
        <v>139</v>
      </c>
      <c r="B42" s="191" t="s">
        <v>124</v>
      </c>
      <c r="C42" s="189" t="s">
        <v>125</v>
      </c>
      <c r="D42" s="116">
        <v>11500.000000000002</v>
      </c>
      <c r="E42" s="116"/>
      <c r="F42" s="116"/>
      <c r="G42" s="116">
        <v>0</v>
      </c>
      <c r="H42" s="216"/>
      <c r="I42" s="216">
        <f>J42</f>
        <v>11500.000000000002</v>
      </c>
      <c r="J42" s="116">
        <v>11500.000000000002</v>
      </c>
      <c r="K42" s="116">
        <v>0</v>
      </c>
      <c r="L42" s="216"/>
      <c r="M42" s="216"/>
      <c r="N42" s="216"/>
      <c r="O42" s="216"/>
      <c r="P42" s="216"/>
      <c r="Q42" s="216"/>
    </row>
    <row r="43" spans="1:17" x14ac:dyDescent="0.3">
      <c r="A43" s="178" t="s">
        <v>140</v>
      </c>
      <c r="B43" s="190" t="s">
        <v>126</v>
      </c>
      <c r="C43" s="189" t="s">
        <v>175</v>
      </c>
      <c r="D43" s="116">
        <v>78000</v>
      </c>
      <c r="E43" s="116"/>
      <c r="F43" s="116"/>
      <c r="G43" s="116">
        <v>0</v>
      </c>
      <c r="H43" s="216"/>
      <c r="I43" s="216">
        <f>J43</f>
        <v>78000</v>
      </c>
      <c r="J43" s="216">
        <f>D43</f>
        <v>78000</v>
      </c>
      <c r="K43" s="216"/>
      <c r="L43" s="216"/>
      <c r="M43" s="216"/>
      <c r="N43" s="216"/>
      <c r="O43" s="216"/>
      <c r="P43" s="216"/>
      <c r="Q43" s="216"/>
    </row>
    <row r="44" spans="1:17" x14ac:dyDescent="0.3">
      <c r="A44" s="178" t="s">
        <v>154</v>
      </c>
      <c r="B44" s="190" t="s">
        <v>160</v>
      </c>
      <c r="C44" s="189" t="s">
        <v>175</v>
      </c>
      <c r="D44" s="116">
        <v>440000</v>
      </c>
      <c r="E44" s="116"/>
      <c r="F44" s="116"/>
      <c r="G44" s="116">
        <v>0</v>
      </c>
      <c r="H44" s="216"/>
      <c r="I44" s="216">
        <f>J44</f>
        <v>146666.66666666666</v>
      </c>
      <c r="J44" s="216">
        <f>D44/3</f>
        <v>146666.66666666666</v>
      </c>
      <c r="K44" s="216"/>
      <c r="L44" s="216">
        <f>M44</f>
        <v>146666.66666666666</v>
      </c>
      <c r="M44" s="216">
        <f>J44</f>
        <v>146666.66666666666</v>
      </c>
      <c r="N44" s="216"/>
      <c r="O44" s="216">
        <f>P44</f>
        <v>146666.66666666666</v>
      </c>
      <c r="P44" s="216">
        <f>M44</f>
        <v>146666.66666666666</v>
      </c>
      <c r="Q44" s="216"/>
    </row>
    <row r="45" spans="1:17" ht="31.2" x14ac:dyDescent="0.3">
      <c r="A45" s="178" t="s">
        <v>155</v>
      </c>
      <c r="B45" s="192" t="s">
        <v>39</v>
      </c>
      <c r="C45" s="117" t="s">
        <v>128</v>
      </c>
      <c r="D45" s="116">
        <v>76000</v>
      </c>
      <c r="E45" s="116"/>
      <c r="F45" s="116"/>
      <c r="G45" s="116">
        <v>80000</v>
      </c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x14ac:dyDescent="0.3">
      <c r="A46" s="178" t="s">
        <v>156</v>
      </c>
      <c r="B46" s="188" t="s">
        <v>130</v>
      </c>
      <c r="C46" s="189" t="s">
        <v>131</v>
      </c>
      <c r="D46" s="116">
        <v>154000.00000000003</v>
      </c>
      <c r="E46" s="116"/>
      <c r="F46" s="116"/>
      <c r="G46" s="116">
        <v>90000</v>
      </c>
      <c r="H46" s="216"/>
      <c r="I46" s="216">
        <f>J46-K46</f>
        <v>64000.000000000029</v>
      </c>
      <c r="J46" s="216">
        <f>D46</f>
        <v>154000.00000000003</v>
      </c>
      <c r="K46" s="216">
        <f>G46</f>
        <v>90000</v>
      </c>
      <c r="L46" s="216"/>
      <c r="M46" s="216"/>
      <c r="N46" s="216"/>
      <c r="O46" s="216"/>
      <c r="P46" s="216"/>
      <c r="Q46" s="216"/>
    </row>
    <row r="47" spans="1:17" x14ac:dyDescent="0.3">
      <c r="A47" s="178" t="s">
        <v>157</v>
      </c>
      <c r="B47" s="188" t="s">
        <v>132</v>
      </c>
      <c r="C47" s="189" t="s">
        <v>173</v>
      </c>
      <c r="D47" s="116">
        <v>150000</v>
      </c>
      <c r="E47" s="116"/>
      <c r="F47" s="116"/>
      <c r="G47" s="116">
        <v>35000</v>
      </c>
      <c r="H47" s="216"/>
      <c r="I47" s="216"/>
      <c r="J47" s="216"/>
      <c r="K47" s="216"/>
      <c r="L47" s="216">
        <f>M47-N47</f>
        <v>57500</v>
      </c>
      <c r="M47" s="216">
        <f>D47/2</f>
        <v>75000</v>
      </c>
      <c r="N47" s="216">
        <f>G47/2</f>
        <v>17500</v>
      </c>
      <c r="O47" s="216">
        <f>L47</f>
        <v>57500</v>
      </c>
      <c r="P47" s="216">
        <f t="shared" ref="P47:Q47" si="15">M47</f>
        <v>75000</v>
      </c>
      <c r="Q47" s="216">
        <f t="shared" si="15"/>
        <v>17500</v>
      </c>
    </row>
    <row r="48" spans="1:17" ht="31.2" x14ac:dyDescent="0.3">
      <c r="A48" s="178" t="s">
        <v>158</v>
      </c>
      <c r="B48" s="182" t="s">
        <v>134</v>
      </c>
      <c r="C48" s="134" t="s">
        <v>135</v>
      </c>
      <c r="D48" s="116">
        <v>240000</v>
      </c>
      <c r="E48" s="116"/>
      <c r="F48" s="116"/>
      <c r="G48" s="116">
        <v>21225</v>
      </c>
      <c r="H48" s="216"/>
      <c r="I48" s="216">
        <f>J48-K48</f>
        <v>218775</v>
      </c>
      <c r="J48" s="216">
        <f>D48</f>
        <v>240000</v>
      </c>
      <c r="K48" s="216">
        <f>G48</f>
        <v>21225</v>
      </c>
      <c r="L48" s="216"/>
      <c r="M48" s="216"/>
      <c r="N48" s="216"/>
      <c r="O48" s="216"/>
      <c r="P48" s="216"/>
      <c r="Q48" s="216"/>
    </row>
    <row r="49" spans="1:17" x14ac:dyDescent="0.3">
      <c r="A49" s="176">
        <v>2</v>
      </c>
      <c r="B49" s="187" t="s">
        <v>108</v>
      </c>
      <c r="C49" s="176"/>
      <c r="D49" s="217"/>
      <c r="E49" s="217"/>
      <c r="F49" s="217"/>
      <c r="G49" s="217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 ht="31.2" x14ac:dyDescent="0.3">
      <c r="A50" s="178" t="s">
        <v>143</v>
      </c>
      <c r="B50" s="193" t="s">
        <v>144</v>
      </c>
      <c r="C50" s="134" t="s">
        <v>135</v>
      </c>
      <c r="D50" s="182">
        <v>77250</v>
      </c>
      <c r="E50" s="182"/>
      <c r="F50" s="182"/>
      <c r="G50" s="182">
        <v>55267</v>
      </c>
      <c r="H50" s="216"/>
      <c r="I50" s="216">
        <f>J50-K50</f>
        <v>21983</v>
      </c>
      <c r="J50" s="182">
        <v>77250</v>
      </c>
      <c r="K50" s="182">
        <v>55267</v>
      </c>
      <c r="L50" s="216"/>
      <c r="M50" s="216"/>
      <c r="N50" s="216"/>
      <c r="O50" s="216"/>
      <c r="P50" s="216"/>
      <c r="Q50" s="216"/>
    </row>
    <row r="51" spans="1:17" ht="21" customHeight="1" x14ac:dyDescent="0.3">
      <c r="A51" s="178" t="s">
        <v>171</v>
      </c>
      <c r="B51" s="193" t="s">
        <v>172</v>
      </c>
      <c r="C51" s="134" t="s">
        <v>173</v>
      </c>
      <c r="D51" s="182"/>
      <c r="E51" s="182"/>
      <c r="F51" s="182"/>
      <c r="G51" s="182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1:17" x14ac:dyDescent="0.3">
      <c r="A52" s="176">
        <v>3</v>
      </c>
      <c r="B52" s="175" t="s">
        <v>109</v>
      </c>
      <c r="C52" s="135"/>
      <c r="D52" s="206"/>
      <c r="E52" s="206"/>
      <c r="F52" s="206"/>
      <c r="G52" s="20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1:17" x14ac:dyDescent="0.3">
      <c r="A53" s="194" t="s">
        <v>146</v>
      </c>
      <c r="B53" s="195" t="s">
        <v>141</v>
      </c>
      <c r="C53" s="220" t="s">
        <v>195</v>
      </c>
      <c r="D53" s="182">
        <v>105000</v>
      </c>
      <c r="E53" s="182"/>
      <c r="F53" s="182"/>
      <c r="G53" s="182">
        <v>0</v>
      </c>
      <c r="H53" s="216"/>
      <c r="I53" s="216"/>
      <c r="J53" s="216"/>
      <c r="K53" s="216"/>
      <c r="L53" s="216"/>
      <c r="M53" s="216"/>
      <c r="N53" s="216"/>
      <c r="O53" s="216">
        <f>P53-Q53</f>
        <v>105000</v>
      </c>
      <c r="P53" s="216">
        <f>D53</f>
        <v>105000</v>
      </c>
      <c r="Q53" s="216">
        <f>G53</f>
        <v>0</v>
      </c>
    </row>
    <row r="54" spans="1:17" x14ac:dyDescent="0.3">
      <c r="A54" s="196">
        <v>4</v>
      </c>
      <c r="B54" s="197" t="s">
        <v>106</v>
      </c>
      <c r="C54" s="198"/>
      <c r="D54" s="146"/>
      <c r="E54" s="146"/>
      <c r="F54" s="146"/>
      <c r="G54" s="14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t="31.2" x14ac:dyDescent="0.3">
      <c r="A55" s="178" t="s">
        <v>149</v>
      </c>
      <c r="B55" s="182" t="s">
        <v>169</v>
      </c>
      <c r="C55" s="134" t="s">
        <v>173</v>
      </c>
      <c r="D55" s="182">
        <v>125000</v>
      </c>
      <c r="E55" s="182"/>
      <c r="F55" s="182"/>
      <c r="G55" s="182">
        <v>0</v>
      </c>
      <c r="H55" s="216"/>
      <c r="I55" s="216"/>
      <c r="J55" s="216"/>
      <c r="K55" s="216"/>
      <c r="L55" s="216">
        <f>M55</f>
        <v>62500</v>
      </c>
      <c r="M55" s="216">
        <f>D55/2</f>
        <v>62500</v>
      </c>
      <c r="N55" s="216"/>
      <c r="O55" s="216">
        <f>P55</f>
        <v>62500</v>
      </c>
      <c r="P55" s="216">
        <f>M55</f>
        <v>62500</v>
      </c>
      <c r="Q55" s="216"/>
    </row>
    <row r="56" spans="1:17" x14ac:dyDescent="0.3">
      <c r="A56" s="196">
        <v>5</v>
      </c>
      <c r="B56" s="197" t="s">
        <v>110</v>
      </c>
      <c r="C56" s="198"/>
      <c r="D56" s="146"/>
      <c r="E56" s="146"/>
      <c r="F56" s="146"/>
      <c r="G56" s="14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x14ac:dyDescent="0.3">
      <c r="A57" s="199" t="s">
        <v>161</v>
      </c>
      <c r="B57" s="200" t="s">
        <v>174</v>
      </c>
      <c r="C57" s="134" t="s">
        <v>175</v>
      </c>
      <c r="D57" s="200">
        <v>40000</v>
      </c>
      <c r="E57" s="200"/>
      <c r="F57" s="200"/>
      <c r="G57" s="200">
        <v>0</v>
      </c>
      <c r="H57" s="218"/>
      <c r="I57" s="218">
        <f>J57</f>
        <v>13333.333333333334</v>
      </c>
      <c r="J57" s="218">
        <f>D57/3</f>
        <v>13333.333333333334</v>
      </c>
      <c r="K57" s="218"/>
      <c r="L57" s="218">
        <f>I57</f>
        <v>13333.333333333334</v>
      </c>
      <c r="M57" s="218">
        <f>L57</f>
        <v>13333.333333333334</v>
      </c>
      <c r="N57" s="218"/>
      <c r="O57" s="218">
        <f>L57</f>
        <v>13333.333333333334</v>
      </c>
      <c r="P57" s="218">
        <f>O57</f>
        <v>13333.333333333334</v>
      </c>
      <c r="Q57" s="218"/>
    </row>
  </sheetData>
  <mergeCells count="36">
    <mergeCell ref="M35:M36"/>
    <mergeCell ref="N35:N36"/>
    <mergeCell ref="O35:O36"/>
    <mergeCell ref="P35:P36"/>
    <mergeCell ref="Q35:Q36"/>
    <mergeCell ref="D35:D36"/>
    <mergeCell ref="I35:I36"/>
    <mergeCell ref="J35:J36"/>
    <mergeCell ref="K35:K36"/>
    <mergeCell ref="L35:L36"/>
    <mergeCell ref="O6:Q6"/>
    <mergeCell ref="A3:Q3"/>
    <mergeCell ref="A1:Q1"/>
    <mergeCell ref="A2:Q2"/>
    <mergeCell ref="A5:A7"/>
    <mergeCell ref="B5:B7"/>
    <mergeCell ref="C5:C7"/>
    <mergeCell ref="D5:D7"/>
    <mergeCell ref="I5:Q5"/>
    <mergeCell ref="I6:K6"/>
    <mergeCell ref="L6:N6"/>
    <mergeCell ref="G5:G7"/>
    <mergeCell ref="H5:H7"/>
    <mergeCell ref="E5:F5"/>
    <mergeCell ref="E6:E7"/>
    <mergeCell ref="F6:F7"/>
    <mergeCell ref="O20:O21"/>
    <mergeCell ref="P20:P21"/>
    <mergeCell ref="Q20:Q21"/>
    <mergeCell ref="D20:D21"/>
    <mergeCell ref="I20:I21"/>
    <mergeCell ref="J20:J21"/>
    <mergeCell ref="K20:K21"/>
    <mergeCell ref="L20:L21"/>
    <mergeCell ref="M20:M21"/>
    <mergeCell ref="N20:N21"/>
  </mergeCells>
  <conditionalFormatting sqref="B57">
    <cfRule type="expression" dxfId="2" priority="3" stopIfTrue="1">
      <formula>AND(COUNTIF(#REF!, B57)&gt;1,NOT(ISBLANK(B57)))</formula>
    </cfRule>
  </conditionalFormatting>
  <conditionalFormatting sqref="B40">
    <cfRule type="duplicateValues" priority="7" stopIfTrue="1"/>
  </conditionalFormatting>
  <conditionalFormatting sqref="B46:B47">
    <cfRule type="duplicateValues" priority="6" stopIfTrue="1"/>
  </conditionalFormatting>
  <conditionalFormatting sqref="B55 B33:B36">
    <cfRule type="expression" dxfId="1" priority="5" stopIfTrue="1">
      <formula>AND(COUNTIF(#REF!, B33)&gt;1,NOT(ISBLANK(B33)))</formula>
    </cfRule>
  </conditionalFormatting>
  <conditionalFormatting sqref="B41:B44">
    <cfRule type="duplicateValues" priority="8" stopIfTrue="1"/>
  </conditionalFormatting>
  <conditionalFormatting sqref="B54">
    <cfRule type="duplicateValues" priority="9" stopIfTrue="1"/>
  </conditionalFormatting>
  <conditionalFormatting sqref="B56">
    <cfRule type="duplicateValues" priority="4" stopIfTrue="1"/>
  </conditionalFormatting>
  <conditionalFormatting sqref="B39">
    <cfRule type="duplicateValues" priority="2" stopIfTrue="1"/>
  </conditionalFormatting>
  <conditionalFormatting sqref="B18:B21">
    <cfRule type="expression" dxfId="0" priority="1" stopIfTrue="1">
      <formula>AND(COUNTIF(#REF!, B18)&gt;1,NOT(ISBLANK(B18)))</formula>
    </cfRule>
  </conditionalFormatting>
  <pageMargins left="0.24" right="0.3" top="0.75" bottom="0.75" header="0.3" footer="0.3"/>
  <pageSetup paperSize="9" scale="70" fitToHeight="0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a9be5fa392da76f1</MaTinBai>
    <_dlc_DocId xmlns="ae4e42cd-c673-4541-a17d-d353a4125f5e">DDYPFUVZ5X6F-6-4675</_dlc_DocId>
    <_dlc_DocIdUrl xmlns="ae4e42cd-c673-4541-a17d-d353a4125f5e">
      <Url>https://dbdc.backan.gov.vn/_layouts/15/DocIdRedir.aspx?ID=DDYPFUVZ5X6F-6-4675</Url>
      <Description>DDYPFUVZ5X6F-6-4675</Description>
    </_dlc_DocIdUrl>
  </documentManagement>
</p:properties>
</file>

<file path=customXml/itemProps1.xml><?xml version="1.0" encoding="utf-8"?>
<ds:datastoreItem xmlns:ds="http://schemas.openxmlformats.org/officeDocument/2006/customXml" ds:itemID="{F0467177-89E7-4268-858F-F067A039BE79}"/>
</file>

<file path=customXml/itemProps2.xml><?xml version="1.0" encoding="utf-8"?>
<ds:datastoreItem xmlns:ds="http://schemas.openxmlformats.org/officeDocument/2006/customXml" ds:itemID="{74C9342D-F0BC-4964-8026-A650634DB8F6}"/>
</file>

<file path=customXml/itemProps3.xml><?xml version="1.0" encoding="utf-8"?>
<ds:datastoreItem xmlns:ds="http://schemas.openxmlformats.org/officeDocument/2006/customXml" ds:itemID="{48721609-A6AE-490F-BA68-EEA29F88C1D7}"/>
</file>

<file path=customXml/itemProps4.xml><?xml version="1.0" encoding="utf-8"?>
<ds:datastoreItem xmlns:ds="http://schemas.openxmlformats.org/officeDocument/2006/customXml" ds:itemID="{8CCC120B-EF33-4FD2-93BF-CEEC273E1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biểu 4</vt:lpstr>
      <vt:lpstr>Biểu 5</vt:lpstr>
      <vt:lpstr>Biểu 6</vt:lpstr>
      <vt:lpstr>Biểu 2b</vt:lpstr>
      <vt:lpstr>'Biểu 2b'!Print_Area</vt:lpstr>
      <vt:lpstr>'Biểu 5'!Print_Area</vt:lpstr>
      <vt:lpstr>'Biểu 5'!Print_Titles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KHDT-T2A</cp:lastModifiedBy>
  <cp:lastPrinted>2022-11-24T15:09:36Z</cp:lastPrinted>
  <dcterms:created xsi:type="dcterms:W3CDTF">2022-09-23T09:23:09Z</dcterms:created>
  <dcterms:modified xsi:type="dcterms:W3CDTF">2022-11-24T16:28:18Z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50a4d996-98ac-4a61-855c-1103dac87240</vt:lpwstr>
  </property>
</Properties>
</file>