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firstSheet="1" activeTab="8"/>
  </bookViews>
  <sheets>
    <sheet name="2022-PN" sheetId="2" r:id="rId1"/>
    <sheet name="2022 -BB" sheetId="5" r:id="rId2"/>
    <sheet name="2022-CD" sheetId="6" r:id="rId3"/>
    <sheet name="2022-NR" sheetId="7" r:id="rId4"/>
    <sheet name="2022-CM" sheetId="8" r:id="rId5"/>
    <sheet name="2022-NS" sheetId="9" r:id="rId6"/>
    <sheet name="2022-TP" sheetId="10" r:id="rId7"/>
    <sheet name="2022-BT" sheetId="11" r:id="rId8"/>
    <sheet name="2022-So" sheetId="12" r:id="rId9"/>
  </sheets>
  <definedNames>
    <definedName name="_xlnm._FilterDatabase" localSheetId="1" hidden="1">'2022 -BB'!$A$6:$U$304</definedName>
    <definedName name="_xlnm._FilterDatabase" localSheetId="7" hidden="1">'2022-BT'!$A$6:$U$53</definedName>
    <definedName name="_xlnm._FilterDatabase" localSheetId="2" hidden="1">'2022-CD'!$A$6:$U$259</definedName>
    <definedName name="_xlnm._FilterDatabase" localSheetId="4" hidden="1">'2022-CM'!$A$6:$AB$166</definedName>
    <definedName name="_xlnm._FilterDatabase" localSheetId="3" hidden="1">'2022-NR'!$A$6:$U$210</definedName>
    <definedName name="_xlnm._FilterDatabase" localSheetId="5" hidden="1">'2022-NS'!$A$6:$U$115</definedName>
    <definedName name="_xlnm._FilterDatabase" localSheetId="0" hidden="1">'2022-PN'!$A$6:$AB$341</definedName>
    <definedName name="_xlnm._FilterDatabase" localSheetId="8" hidden="1">'2022-So'!$A$6:$X$22</definedName>
    <definedName name="_xlnm._FilterDatabase" localSheetId="6" hidden="1">'2022-TP'!$A$6:$U$28</definedName>
    <definedName name="_xlnm.Print_Titles" localSheetId="1">'2022 -BB'!$4:$6</definedName>
    <definedName name="_xlnm.Print_Titles" localSheetId="7">'2022-BT'!$4:$6</definedName>
    <definedName name="_xlnm.Print_Titles" localSheetId="2">'2022-CD'!$4:$6</definedName>
    <definedName name="_xlnm.Print_Titles" localSheetId="4">'2022-CM'!$4:$6</definedName>
    <definedName name="_xlnm.Print_Titles" localSheetId="3">'2022-NR'!$4:$6</definedName>
    <definedName name="_xlnm.Print_Titles" localSheetId="5">'2022-NS'!$4:$6</definedName>
    <definedName name="_xlnm.Print_Titles" localSheetId="0">'2022-PN'!$4:$6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2"/>
  <c r="G8"/>
  <c r="G9"/>
  <c r="G10"/>
  <c r="G11"/>
  <c r="G12"/>
  <c r="G13"/>
  <c r="G14"/>
  <c r="G15"/>
  <c r="G16"/>
  <c r="G17"/>
  <c r="G18"/>
  <c r="G19"/>
  <c r="G20"/>
  <c r="G21"/>
  <c r="G7"/>
  <c r="D53" i="11"/>
  <c r="E53"/>
  <c r="F53"/>
  <c r="G53"/>
  <c r="H53"/>
  <c r="I53"/>
  <c r="J53"/>
  <c r="K53"/>
  <c r="L53"/>
  <c r="M53"/>
  <c r="N53"/>
  <c r="O53"/>
  <c r="P53"/>
  <c r="Q53"/>
  <c r="R53"/>
  <c r="S53"/>
  <c r="T53"/>
  <c r="U53"/>
  <c r="C5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7"/>
  <c r="G29" i="1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7"/>
  <c r="G8" i="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7"/>
  <c r="G46" i="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7"/>
  <c r="G49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7"/>
  <c r="G54" i="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7"/>
  <c r="G8" i="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7"/>
  <c r="H16" i="12"/>
  <c r="E16"/>
  <c r="G38" i="9" l="1"/>
  <c r="T7" i="11"/>
  <c r="U7" s="1"/>
  <c r="E52"/>
  <c r="S46"/>
  <c r="R46"/>
  <c r="Q46"/>
  <c r="P46"/>
  <c r="O46"/>
  <c r="N46"/>
  <c r="M46"/>
  <c r="L46"/>
  <c r="K46"/>
  <c r="J46"/>
  <c r="I46"/>
  <c r="H46"/>
  <c r="F46"/>
  <c r="E46"/>
  <c r="D46"/>
  <c r="C46"/>
  <c r="F45"/>
  <c r="F43" s="1"/>
  <c r="F44"/>
  <c r="E44"/>
  <c r="S43"/>
  <c r="R43"/>
  <c r="Q43"/>
  <c r="P43"/>
  <c r="O43"/>
  <c r="N43"/>
  <c r="M43"/>
  <c r="L43"/>
  <c r="K43"/>
  <c r="J43"/>
  <c r="I43"/>
  <c r="H43"/>
  <c r="E43"/>
  <c r="D43"/>
  <c r="C43"/>
  <c r="E42"/>
  <c r="E41"/>
  <c r="E40" s="1"/>
  <c r="S40"/>
  <c r="R40"/>
  <c r="Q40"/>
  <c r="P40"/>
  <c r="O40"/>
  <c r="N40"/>
  <c r="M40"/>
  <c r="L40"/>
  <c r="K40"/>
  <c r="J40"/>
  <c r="I40"/>
  <c r="H40"/>
  <c r="D40"/>
  <c r="C40"/>
  <c r="S37"/>
  <c r="R37"/>
  <c r="Q37"/>
  <c r="P37"/>
  <c r="O37"/>
  <c r="N37"/>
  <c r="M37"/>
  <c r="L37"/>
  <c r="K37"/>
  <c r="J37"/>
  <c r="I37"/>
  <c r="H37"/>
  <c r="F37"/>
  <c r="E37"/>
  <c r="D37"/>
  <c r="C37"/>
  <c r="S34"/>
  <c r="R34"/>
  <c r="Q34"/>
  <c r="P34"/>
  <c r="O34"/>
  <c r="N34"/>
  <c r="M34"/>
  <c r="L34"/>
  <c r="K34"/>
  <c r="J34"/>
  <c r="I34"/>
  <c r="H34"/>
  <c r="E34"/>
  <c r="D34"/>
  <c r="C34"/>
  <c r="S31"/>
  <c r="R31"/>
  <c r="Q31"/>
  <c r="P31"/>
  <c r="O31"/>
  <c r="N31"/>
  <c r="M31"/>
  <c r="L31"/>
  <c r="K31"/>
  <c r="J31"/>
  <c r="I31"/>
  <c r="H31"/>
  <c r="F31"/>
  <c r="E31"/>
  <c r="D31"/>
  <c r="C31"/>
  <c r="S28"/>
  <c r="R28"/>
  <c r="Q28"/>
  <c r="P28"/>
  <c r="O28"/>
  <c r="N28"/>
  <c r="M28"/>
  <c r="L28"/>
  <c r="K28"/>
  <c r="J28"/>
  <c r="I28"/>
  <c r="H28"/>
  <c r="F28"/>
  <c r="E28"/>
  <c r="D28"/>
  <c r="C28"/>
  <c r="H26"/>
  <c r="E26" s="1"/>
  <c r="H23"/>
  <c r="F21"/>
  <c r="E21"/>
  <c r="F20"/>
  <c r="P19"/>
  <c r="F19"/>
  <c r="E17"/>
  <c r="F16"/>
  <c r="E16"/>
  <c r="E12"/>
  <c r="H9"/>
  <c r="E9" l="1"/>
  <c r="T18" i="12"/>
  <c r="H18"/>
  <c r="X14" l="1"/>
  <c r="V18" l="1"/>
  <c r="V19"/>
  <c r="V20"/>
  <c r="X21"/>
  <c r="V21"/>
  <c r="T20"/>
  <c r="U20" s="1"/>
  <c r="T21"/>
  <c r="W21" s="1"/>
  <c r="U21" l="1"/>
  <c r="T17" l="1"/>
  <c r="U17" s="1"/>
  <c r="X8" l="1"/>
  <c r="X9"/>
  <c r="X10"/>
  <c r="X11"/>
  <c r="X12"/>
  <c r="X13"/>
  <c r="V8"/>
  <c r="V9"/>
  <c r="V10"/>
  <c r="T8"/>
  <c r="U8" s="1"/>
  <c r="W9"/>
  <c r="T10"/>
  <c r="W10" s="1"/>
  <c r="U9" l="1"/>
  <c r="W8"/>
  <c r="U10"/>
  <c r="T14"/>
  <c r="U14" s="1"/>
  <c r="E14" s="1"/>
  <c r="T50" i="5" l="1"/>
  <c r="U50" s="1"/>
  <c r="F50"/>
  <c r="G50" s="1"/>
  <c r="T49"/>
  <c r="U49" s="1"/>
  <c r="F49"/>
  <c r="G49" s="1"/>
  <c r="S48"/>
  <c r="T48" s="1"/>
  <c r="H48"/>
  <c r="F48"/>
  <c r="G48" s="1"/>
  <c r="M47"/>
  <c r="T47" s="1"/>
  <c r="U47" s="1"/>
  <c r="F47"/>
  <c r="E47"/>
  <c r="T46"/>
  <c r="U46" s="1"/>
  <c r="F46"/>
  <c r="G46" s="1"/>
  <c r="S45"/>
  <c r="T45" s="1"/>
  <c r="H45"/>
  <c r="F45"/>
  <c r="G45" s="1"/>
  <c r="T44"/>
  <c r="U44" s="1"/>
  <c r="F44"/>
  <c r="G44" s="1"/>
  <c r="T43"/>
  <c r="U43" s="1"/>
  <c r="F43"/>
  <c r="G43" s="1"/>
  <c r="M42"/>
  <c r="T42" s="1"/>
  <c r="U42" s="1"/>
  <c r="F42"/>
  <c r="G42" s="1"/>
  <c r="T41"/>
  <c r="U41" s="1"/>
  <c r="F41"/>
  <c r="G41" s="1"/>
  <c r="T40"/>
  <c r="U40" s="1"/>
  <c r="F40"/>
  <c r="G40" s="1"/>
  <c r="M39"/>
  <c r="T39" s="1"/>
  <c r="U39" s="1"/>
  <c r="F39"/>
  <c r="G39" s="1"/>
  <c r="T38"/>
  <c r="U38" s="1"/>
  <c r="F38"/>
  <c r="G38" s="1"/>
  <c r="U37"/>
  <c r="T37"/>
  <c r="F37"/>
  <c r="G37" s="1"/>
  <c r="T36"/>
  <c r="U36" s="1"/>
  <c r="F36"/>
  <c r="G36" s="1"/>
  <c r="T35"/>
  <c r="U35" s="1"/>
  <c r="F35"/>
  <c r="G35" s="1"/>
  <c r="T34"/>
  <c r="U34" s="1"/>
  <c r="F34"/>
  <c r="G34" s="1"/>
  <c r="S33"/>
  <c r="T33" s="1"/>
  <c r="H33"/>
  <c r="F33"/>
  <c r="G33" s="1"/>
  <c r="T32"/>
  <c r="U32" s="1"/>
  <c r="F32"/>
  <c r="G32" s="1"/>
  <c r="T31"/>
  <c r="U31" s="1"/>
  <c r="F31"/>
  <c r="G31" s="1"/>
  <c r="S30"/>
  <c r="Q30"/>
  <c r="P30"/>
  <c r="O30"/>
  <c r="M30"/>
  <c r="K30"/>
  <c r="F30"/>
  <c r="G30" s="1"/>
  <c r="T29"/>
  <c r="U29" s="1"/>
  <c r="F29"/>
  <c r="G29" s="1"/>
  <c r="T28"/>
  <c r="U28" s="1"/>
  <c r="F28"/>
  <c r="G28" s="1"/>
  <c r="S27"/>
  <c r="M27"/>
  <c r="F27"/>
  <c r="G27" s="1"/>
  <c r="T26"/>
  <c r="U26" s="1"/>
  <c r="F26"/>
  <c r="G26" s="1"/>
  <c r="T25"/>
  <c r="U25" s="1"/>
  <c r="F25"/>
  <c r="G25" s="1"/>
  <c r="T24"/>
  <c r="U24" s="1"/>
  <c r="M24"/>
  <c r="F24"/>
  <c r="G24" s="1"/>
  <c r="T23"/>
  <c r="U23" s="1"/>
  <c r="F23"/>
  <c r="G23" s="1"/>
  <c r="T22"/>
  <c r="U22" s="1"/>
  <c r="F22"/>
  <c r="G22" s="1"/>
  <c r="T21"/>
  <c r="U21" s="1"/>
  <c r="F21"/>
  <c r="G21" s="1"/>
  <c r="T20"/>
  <c r="U20" s="1"/>
  <c r="F20"/>
  <c r="G20" s="1"/>
  <c r="T19"/>
  <c r="U19" s="1"/>
  <c r="F19"/>
  <c r="G19" s="1"/>
  <c r="S18"/>
  <c r="T18" s="1"/>
  <c r="H18"/>
  <c r="F18"/>
  <c r="G18" s="1"/>
  <c r="T17"/>
  <c r="U17" s="1"/>
  <c r="F17"/>
  <c r="G17" s="1"/>
  <c r="T16"/>
  <c r="U16" s="1"/>
  <c r="F16"/>
  <c r="G16" s="1"/>
  <c r="T15"/>
  <c r="H15"/>
  <c r="F15"/>
  <c r="G15" s="1"/>
  <c r="T14"/>
  <c r="U14" s="1"/>
  <c r="F14"/>
  <c r="G14" s="1"/>
  <c r="M13"/>
  <c r="T13" s="1"/>
  <c r="U13" s="1"/>
  <c r="F13"/>
  <c r="G13" s="1"/>
  <c r="T12"/>
  <c r="U12" s="1"/>
  <c r="F12"/>
  <c r="G12" s="1"/>
  <c r="T11"/>
  <c r="U11" s="1"/>
  <c r="F11"/>
  <c r="G11" s="1"/>
  <c r="M10"/>
  <c r="T10" s="1"/>
  <c r="U10" s="1"/>
  <c r="F10"/>
  <c r="G10" s="1"/>
  <c r="T9"/>
  <c r="U9" s="1"/>
  <c r="F9"/>
  <c r="G9" s="1"/>
  <c r="T8"/>
  <c r="U8" s="1"/>
  <c r="F8"/>
  <c r="G8" s="1"/>
  <c r="T7"/>
  <c r="U7" s="1"/>
  <c r="F7"/>
  <c r="G7" s="1"/>
  <c r="G47" l="1"/>
  <c r="G51" s="1"/>
  <c r="U33"/>
  <c r="U48"/>
  <c r="U15"/>
  <c r="U18"/>
  <c r="T27"/>
  <c r="U27" s="1"/>
  <c r="T30"/>
  <c r="U30" s="1"/>
  <c r="U45"/>
  <c r="X15" i="12"/>
  <c r="X16"/>
  <c r="X17"/>
  <c r="X18"/>
  <c r="X19"/>
  <c r="X7"/>
  <c r="F33" i="7" l="1"/>
  <c r="E33"/>
  <c r="F45" i="8" l="1"/>
  <c r="Y45" s="1"/>
  <c r="F44"/>
  <c r="Y44" s="1"/>
  <c r="F43"/>
  <c r="Y43" s="1"/>
  <c r="F42"/>
  <c r="Y42" s="1"/>
  <c r="F41"/>
  <c r="Y41" s="1"/>
  <c r="F40"/>
  <c r="Y40" s="1"/>
  <c r="F39"/>
  <c r="Y39" s="1"/>
  <c r="F38"/>
  <c r="Y38" s="1"/>
  <c r="F37"/>
  <c r="Y37" s="1"/>
  <c r="F36"/>
  <c r="Y36" s="1"/>
  <c r="F35"/>
  <c r="Y35" s="1"/>
  <c r="F34"/>
  <c r="Y34" s="1"/>
  <c r="F33"/>
  <c r="Y33" s="1"/>
  <c r="H32"/>
  <c r="F32"/>
  <c r="Y32" s="1"/>
  <c r="F31"/>
  <c r="Y31" s="1"/>
  <c r="H30"/>
  <c r="F30"/>
  <c r="Y30" s="1"/>
  <c r="S29"/>
  <c r="Q29"/>
  <c r="O29"/>
  <c r="N29"/>
  <c r="M29"/>
  <c r="K29"/>
  <c r="J29"/>
  <c r="H29"/>
  <c r="F29"/>
  <c r="Y29" s="1"/>
  <c r="F28"/>
  <c r="Y28" s="1"/>
  <c r="F27"/>
  <c r="Y27" s="1"/>
  <c r="S26"/>
  <c r="F26"/>
  <c r="Y26" s="1"/>
  <c r="F25"/>
  <c r="Y25" s="1"/>
  <c r="S24"/>
  <c r="H24"/>
  <c r="F24"/>
  <c r="Y24" s="1"/>
  <c r="F23"/>
  <c r="Y23" s="1"/>
  <c r="F22"/>
  <c r="Y22" s="1"/>
  <c r="F21"/>
  <c r="Y21" s="1"/>
  <c r="L20"/>
  <c r="J20"/>
  <c r="F20"/>
  <c r="Y20" s="1"/>
  <c r="F19"/>
  <c r="Y19" s="1"/>
  <c r="F18"/>
  <c r="Y18" s="1"/>
  <c r="F17"/>
  <c r="Y17" s="1"/>
  <c r="H16"/>
  <c r="F16"/>
  <c r="Y16" s="1"/>
  <c r="F15"/>
  <c r="Y15" s="1"/>
  <c r="F14"/>
  <c r="Y14" s="1"/>
  <c r="F13"/>
  <c r="Y13" s="1"/>
  <c r="F12"/>
  <c r="Y12" s="1"/>
  <c r="F11"/>
  <c r="Y11" s="1"/>
  <c r="F10"/>
  <c r="Y10" s="1"/>
  <c r="S9"/>
  <c r="F9"/>
  <c r="Y9" s="1"/>
  <c r="F8"/>
  <c r="Y8" s="1"/>
  <c r="F7"/>
  <c r="Y7" s="1"/>
  <c r="F53" i="6" l="1"/>
  <c r="F52"/>
  <c r="F51"/>
  <c r="F50"/>
  <c r="F49"/>
  <c r="F48"/>
  <c r="F47"/>
  <c r="F46"/>
  <c r="I45"/>
  <c r="H45"/>
  <c r="F44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T7" i="9" l="1"/>
  <c r="R38"/>
  <c r="Q38"/>
  <c r="P38"/>
  <c r="O38"/>
  <c r="N38"/>
  <c r="M38"/>
  <c r="L38"/>
  <c r="K38"/>
  <c r="F38"/>
  <c r="E38"/>
  <c r="D38"/>
  <c r="C38"/>
  <c r="T37"/>
  <c r="S36"/>
  <c r="T36" s="1"/>
  <c r="H36"/>
  <c r="I35"/>
  <c r="T35" s="1"/>
  <c r="H35"/>
  <c r="T34"/>
  <c r="T33"/>
  <c r="T32"/>
  <c r="T31"/>
  <c r="T30"/>
  <c r="T29"/>
  <c r="S28"/>
  <c r="T28" s="1"/>
  <c r="H28"/>
  <c r="S27"/>
  <c r="T27" s="1"/>
  <c r="H27"/>
  <c r="T26"/>
  <c r="I25"/>
  <c r="T25" s="1"/>
  <c r="T24"/>
  <c r="T22"/>
  <c r="T20"/>
  <c r="T19"/>
  <c r="U19" s="1"/>
  <c r="T18"/>
  <c r="T17"/>
  <c r="U17" s="1"/>
  <c r="T16"/>
  <c r="T15"/>
  <c r="U15" s="1"/>
  <c r="J14"/>
  <c r="T14" s="1"/>
  <c r="H14"/>
  <c r="T13"/>
  <c r="U13" s="1"/>
  <c r="T11"/>
  <c r="U11" s="1"/>
  <c r="T9"/>
  <c r="U9" s="1"/>
  <c r="T8"/>
  <c r="I38" l="1"/>
  <c r="S38"/>
  <c r="U7"/>
  <c r="U8"/>
  <c r="U16"/>
  <c r="U18"/>
  <c r="U20"/>
  <c r="U22"/>
  <c r="U24"/>
  <c r="H38"/>
  <c r="T38"/>
  <c r="U14"/>
  <c r="J38"/>
  <c r="U25"/>
  <c r="U26"/>
  <c r="U27"/>
  <c r="U28"/>
  <c r="U29"/>
  <c r="U30"/>
  <c r="U31"/>
  <c r="U32"/>
  <c r="U33"/>
  <c r="U34"/>
  <c r="U35"/>
  <c r="U36"/>
  <c r="U37"/>
  <c r="U38" l="1"/>
  <c r="T8" i="2"/>
  <c r="U8" s="1"/>
  <c r="V8"/>
  <c r="T9"/>
  <c r="U9" s="1"/>
  <c r="V9"/>
  <c r="T10"/>
  <c r="U10" s="1"/>
  <c r="V10"/>
  <c r="T11"/>
  <c r="U11" s="1"/>
  <c r="V11"/>
  <c r="T12"/>
  <c r="U12" s="1"/>
  <c r="V12"/>
  <c r="T13"/>
  <c r="U13" s="1"/>
  <c r="V13"/>
  <c r="T14"/>
  <c r="U14" s="1"/>
  <c r="V14"/>
  <c r="T15"/>
  <c r="U15" s="1"/>
  <c r="V15"/>
  <c r="T16"/>
  <c r="U16" s="1"/>
  <c r="V16"/>
  <c r="T17"/>
  <c r="U17" s="1"/>
  <c r="V17"/>
  <c r="T18"/>
  <c r="U18" s="1"/>
  <c r="V18"/>
  <c r="T19"/>
  <c r="U19" s="1"/>
  <c r="V19"/>
  <c r="T20"/>
  <c r="U20" s="1"/>
  <c r="V20"/>
  <c r="T21"/>
  <c r="U21" s="1"/>
  <c r="V21"/>
  <c r="T22"/>
  <c r="U22" s="1"/>
  <c r="V22"/>
  <c r="T23"/>
  <c r="U23" s="1"/>
  <c r="V23"/>
  <c r="T24"/>
  <c r="U24" s="1"/>
  <c r="V24"/>
  <c r="T25"/>
  <c r="U25" s="1"/>
  <c r="V25"/>
  <c r="T26"/>
  <c r="U26" s="1"/>
  <c r="V26"/>
  <c r="T27"/>
  <c r="U27" s="1"/>
  <c r="V27"/>
  <c r="T28"/>
  <c r="U28" s="1"/>
  <c r="V28"/>
  <c r="T29"/>
  <c r="U29" s="1"/>
  <c r="V29"/>
  <c r="T30"/>
  <c r="U30" s="1"/>
  <c r="V30"/>
  <c r="T31"/>
  <c r="U31" s="1"/>
  <c r="V31"/>
  <c r="T32"/>
  <c r="U32" s="1"/>
  <c r="V32"/>
  <c r="T33"/>
  <c r="U33" s="1"/>
  <c r="V33"/>
  <c r="T34"/>
  <c r="U34" s="1"/>
  <c r="V34"/>
  <c r="T35"/>
  <c r="U35" s="1"/>
  <c r="V35"/>
  <c r="T36"/>
  <c r="U36" s="1"/>
  <c r="V36"/>
  <c r="T37"/>
  <c r="U37" s="1"/>
  <c r="V37"/>
  <c r="T38"/>
  <c r="U38" s="1"/>
  <c r="V38"/>
  <c r="T39"/>
  <c r="U39" s="1"/>
  <c r="V39"/>
  <c r="T40"/>
  <c r="U40" s="1"/>
  <c r="V40"/>
  <c r="V7"/>
  <c r="T7"/>
  <c r="W7" s="1"/>
  <c r="T8" i="8"/>
  <c r="U8" s="1"/>
  <c r="T9"/>
  <c r="U9" s="1"/>
  <c r="T10"/>
  <c r="U10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V20"/>
  <c r="T21"/>
  <c r="U21" s="1"/>
  <c r="T22"/>
  <c r="U22" s="1"/>
  <c r="T23"/>
  <c r="U23" s="1"/>
  <c r="V23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/>
  <c r="T39"/>
  <c r="U39" s="1"/>
  <c r="V39"/>
  <c r="T40"/>
  <c r="U40"/>
  <c r="T41"/>
  <c r="U41" s="1"/>
  <c r="T42"/>
  <c r="U42" s="1"/>
  <c r="T43"/>
  <c r="U43" s="1"/>
  <c r="T44"/>
  <c r="U44" s="1"/>
  <c r="T45"/>
  <c r="U45" s="1"/>
  <c r="T7"/>
  <c r="U7" s="1"/>
  <c r="T8" i="6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/>
  <c r="T39"/>
  <c r="U39" s="1"/>
  <c r="T40"/>
  <c r="U40" s="1"/>
  <c r="T41"/>
  <c r="T42"/>
  <c r="U42" s="1"/>
  <c r="T43"/>
  <c r="T44"/>
  <c r="U44" s="1"/>
  <c r="T45"/>
  <c r="T46"/>
  <c r="U46" s="1"/>
  <c r="T47"/>
  <c r="T48"/>
  <c r="U48" s="1"/>
  <c r="T49"/>
  <c r="T50"/>
  <c r="U50" s="1"/>
  <c r="T51"/>
  <c r="T52"/>
  <c r="U52" s="1"/>
  <c r="T53"/>
  <c r="T7"/>
  <c r="E15" i="10"/>
  <c r="T8" i="7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7"/>
  <c r="T8" i="10"/>
  <c r="U8" s="1"/>
  <c r="T9"/>
  <c r="U9" s="1"/>
  <c r="T11"/>
  <c r="U11" s="1"/>
  <c r="T13"/>
  <c r="T16"/>
  <c r="U16" s="1"/>
  <c r="T17"/>
  <c r="U17" s="1"/>
  <c r="T19"/>
  <c r="U19" s="1"/>
  <c r="T23"/>
  <c r="U23" s="1"/>
  <c r="T25"/>
  <c r="U25" s="1"/>
  <c r="T26"/>
  <c r="U26" s="1"/>
  <c r="T27"/>
  <c r="U27" s="1"/>
  <c r="T7"/>
  <c r="T8" i="11"/>
  <c r="U8" s="1"/>
  <c r="T9"/>
  <c r="F9" s="1"/>
  <c r="T10"/>
  <c r="U10" s="1"/>
  <c r="T11"/>
  <c r="U11" s="1"/>
  <c r="T12"/>
  <c r="U12" s="1"/>
  <c r="T13"/>
  <c r="U13" s="1"/>
  <c r="T14"/>
  <c r="U14" s="1"/>
  <c r="T15"/>
  <c r="T16"/>
  <c r="T17"/>
  <c r="F17" s="1"/>
  <c r="T18"/>
  <c r="T19"/>
  <c r="T20"/>
  <c r="T21"/>
  <c r="T22"/>
  <c r="T23"/>
  <c r="T24"/>
  <c r="T25"/>
  <c r="T26"/>
  <c r="F26" s="1"/>
  <c r="T27"/>
  <c r="T28"/>
  <c r="T29"/>
  <c r="T30"/>
  <c r="T31"/>
  <c r="T32"/>
  <c r="T33"/>
  <c r="T34"/>
  <c r="U34" s="1"/>
  <c r="T35"/>
  <c r="U35" s="1"/>
  <c r="F35" s="1"/>
  <c r="T36"/>
  <c r="U36" s="1"/>
  <c r="F36" s="1"/>
  <c r="T37"/>
  <c r="T38"/>
  <c r="T39"/>
  <c r="T40"/>
  <c r="U40" s="1"/>
  <c r="T41"/>
  <c r="F41" s="1"/>
  <c r="T42"/>
  <c r="F42" s="1"/>
  <c r="T43"/>
  <c r="T44"/>
  <c r="T45"/>
  <c r="T46"/>
  <c r="T47"/>
  <c r="T48"/>
  <c r="T49"/>
  <c r="T50"/>
  <c r="T51"/>
  <c r="T52"/>
  <c r="F52" s="1"/>
  <c r="V11" i="12"/>
  <c r="T12"/>
  <c r="V12"/>
  <c r="V13"/>
  <c r="W13"/>
  <c r="V14"/>
  <c r="W14"/>
  <c r="V15"/>
  <c r="W15"/>
  <c r="T16"/>
  <c r="U16" s="1"/>
  <c r="V16"/>
  <c r="V17"/>
  <c r="V7"/>
  <c r="T7"/>
  <c r="W7" s="1"/>
  <c r="T19"/>
  <c r="W19" s="1"/>
  <c r="U9" i="11" l="1"/>
  <c r="W40" i="2"/>
  <c r="X40" s="1"/>
  <c r="W38"/>
  <c r="X38" s="1"/>
  <c r="W36"/>
  <c r="X36" s="1"/>
  <c r="W34"/>
  <c r="X34" s="1"/>
  <c r="W32"/>
  <c r="X32" s="1"/>
  <c r="W30"/>
  <c r="X30" s="1"/>
  <c r="W28"/>
  <c r="X28" s="1"/>
  <c r="W26"/>
  <c r="X26" s="1"/>
  <c r="W24"/>
  <c r="X24" s="1"/>
  <c r="W22"/>
  <c r="X22" s="1"/>
  <c r="W20"/>
  <c r="X20" s="1"/>
  <c r="W18"/>
  <c r="X18" s="1"/>
  <c r="W16"/>
  <c r="X16" s="1"/>
  <c r="W14"/>
  <c r="X14" s="1"/>
  <c r="W12"/>
  <c r="X12" s="1"/>
  <c r="W10"/>
  <c r="X10" s="1"/>
  <c r="W8"/>
  <c r="X8" s="1"/>
  <c r="X7"/>
  <c r="U7"/>
  <c r="F34" i="11"/>
  <c r="F40"/>
  <c r="U52"/>
  <c r="U51"/>
  <c r="U50"/>
  <c r="U49"/>
  <c r="U48"/>
  <c r="U47"/>
  <c r="U46"/>
  <c r="U45"/>
  <c r="U44"/>
  <c r="U43"/>
  <c r="U42"/>
  <c r="U41"/>
  <c r="U39"/>
  <c r="U38"/>
  <c r="U37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8" i="12"/>
  <c r="W18"/>
  <c r="U12"/>
  <c r="W12"/>
  <c r="U11"/>
  <c r="W11"/>
  <c r="U19"/>
  <c r="W17"/>
  <c r="W16"/>
  <c r="W39" i="2"/>
  <c r="X39" s="1"/>
  <c r="W37"/>
  <c r="X37" s="1"/>
  <c r="W35"/>
  <c r="X35" s="1"/>
  <c r="W33"/>
  <c r="X33" s="1"/>
  <c r="W31"/>
  <c r="X31" s="1"/>
  <c r="W29"/>
  <c r="X29" s="1"/>
  <c r="W27"/>
  <c r="X27" s="1"/>
  <c r="W25"/>
  <c r="X25" s="1"/>
  <c r="W23"/>
  <c r="X23" s="1"/>
  <c r="W21"/>
  <c r="X21" s="1"/>
  <c r="W19"/>
  <c r="X19" s="1"/>
  <c r="W17"/>
  <c r="X17" s="1"/>
  <c r="W15"/>
  <c r="X15" s="1"/>
  <c r="W13"/>
  <c r="X13" s="1"/>
  <c r="W11"/>
  <c r="X11" s="1"/>
  <c r="W9"/>
  <c r="X9" s="1"/>
  <c r="U51" i="6"/>
  <c r="U47"/>
  <c r="U43"/>
  <c r="U53"/>
  <c r="U49"/>
  <c r="U45"/>
  <c r="U41"/>
  <c r="U7"/>
  <c r="U7" i="7"/>
  <c r="U7" i="12"/>
  <c r="F20" l="1"/>
  <c r="W20" s="1"/>
  <c r="X20" l="1"/>
  <c r="W22"/>
  <c r="R29" i="10"/>
  <c r="P29"/>
  <c r="O29"/>
  <c r="N29"/>
  <c r="M29"/>
  <c r="L29"/>
  <c r="K29"/>
  <c r="J29"/>
  <c r="I29"/>
  <c r="F29"/>
  <c r="D29"/>
  <c r="C29"/>
  <c r="S28"/>
  <c r="T28" s="1"/>
  <c r="E28"/>
  <c r="E27"/>
  <c r="E26"/>
  <c r="E25"/>
  <c r="S24"/>
  <c r="T24" s="1"/>
  <c r="E23"/>
  <c r="S22"/>
  <c r="Q22"/>
  <c r="E22"/>
  <c r="S21"/>
  <c r="T21" s="1"/>
  <c r="S20"/>
  <c r="T20" s="1"/>
  <c r="E20"/>
  <c r="E19"/>
  <c r="S18"/>
  <c r="T18" s="1"/>
  <c r="E18"/>
  <c r="E17"/>
  <c r="E16"/>
  <c r="S15"/>
  <c r="T15" s="1"/>
  <c r="H15"/>
  <c r="S14"/>
  <c r="T14" s="1"/>
  <c r="E14"/>
  <c r="H13"/>
  <c r="E13"/>
  <c r="S12"/>
  <c r="E12"/>
  <c r="E11"/>
  <c r="Q10"/>
  <c r="E10"/>
  <c r="E9"/>
  <c r="E8"/>
  <c r="H7"/>
  <c r="U7" s="1"/>
  <c r="E7"/>
  <c r="S29" l="1"/>
  <c r="T12"/>
  <c r="H29"/>
  <c r="U13"/>
  <c r="U14"/>
  <c r="U20"/>
  <c r="U24"/>
  <c r="Q29"/>
  <c r="T10"/>
  <c r="U15"/>
  <c r="U18"/>
  <c r="U21"/>
  <c r="T22"/>
  <c r="U28"/>
  <c r="E24"/>
  <c r="E21"/>
  <c r="U10" l="1"/>
  <c r="U12"/>
  <c r="U22"/>
  <c r="T29"/>
  <c r="E29"/>
  <c r="U29" l="1"/>
  <c r="T49" i="7" l="1"/>
  <c r="S49"/>
  <c r="R49"/>
  <c r="Q49"/>
  <c r="P49"/>
  <c r="O49"/>
  <c r="N49"/>
  <c r="M49"/>
  <c r="L49"/>
  <c r="K49"/>
  <c r="J49"/>
  <c r="I49"/>
  <c r="H49"/>
  <c r="D49"/>
  <c r="C49"/>
  <c r="F49"/>
  <c r="E49"/>
  <c r="U49" l="1"/>
  <c r="S54" i="6" l="1"/>
  <c r="R54"/>
  <c r="Q54"/>
  <c r="P54"/>
  <c r="O54"/>
  <c r="N54"/>
  <c r="M54"/>
  <c r="L54"/>
  <c r="K54"/>
  <c r="J54"/>
  <c r="E54"/>
  <c r="D54"/>
  <c r="C54"/>
  <c r="I54"/>
  <c r="H54"/>
  <c r="F54"/>
  <c r="T54" l="1"/>
  <c r="U54"/>
  <c r="R51" i="5" l="1"/>
  <c r="N51"/>
  <c r="L51"/>
  <c r="J51"/>
  <c r="I51"/>
  <c r="F51"/>
  <c r="E51"/>
  <c r="D51"/>
  <c r="C51"/>
  <c r="Q51"/>
  <c r="P51"/>
  <c r="O51"/>
  <c r="K51"/>
  <c r="S51"/>
  <c r="H51"/>
  <c r="M51"/>
  <c r="U51" l="1"/>
  <c r="T51"/>
  <c r="V22" i="12" l="1"/>
  <c r="W8" i="8" l="1"/>
  <c r="W10"/>
  <c r="W11"/>
  <c r="W12"/>
  <c r="W13"/>
  <c r="W14"/>
  <c r="W15"/>
  <c r="W17"/>
  <c r="W18"/>
  <c r="W19"/>
  <c r="W21"/>
  <c r="W22"/>
  <c r="W23"/>
  <c r="X23" s="1"/>
  <c r="W25"/>
  <c r="W27"/>
  <c r="W28"/>
  <c r="W30"/>
  <c r="W31"/>
  <c r="W32"/>
  <c r="W33"/>
  <c r="W34"/>
  <c r="W35"/>
  <c r="W36"/>
  <c r="W37"/>
  <c r="W38"/>
  <c r="W39"/>
  <c r="X39" s="1"/>
  <c r="W40"/>
  <c r="W41"/>
  <c r="W42"/>
  <c r="W43"/>
  <c r="W44"/>
  <c r="W45"/>
  <c r="E22" i="12"/>
  <c r="W7" i="8" l="1"/>
  <c r="C22" i="12"/>
  <c r="D22" l="1"/>
  <c r="I22"/>
  <c r="R22"/>
  <c r="D46" i="8"/>
  <c r="I46"/>
  <c r="P46"/>
  <c r="R46"/>
  <c r="C46"/>
  <c r="Q22" i="12"/>
  <c r="O22"/>
  <c r="N22"/>
  <c r="L22"/>
  <c r="V45" i="8"/>
  <c r="X45" s="1"/>
  <c r="V43"/>
  <c r="X43" s="1"/>
  <c r="V41"/>
  <c r="X41" s="1"/>
  <c r="V38"/>
  <c r="X38" s="1"/>
  <c r="V35"/>
  <c r="X35" s="1"/>
  <c r="V33"/>
  <c r="X33" s="1"/>
  <c r="Q46"/>
  <c r="O46"/>
  <c r="N46"/>
  <c r="M46"/>
  <c r="K46"/>
  <c r="V27"/>
  <c r="X27" s="1"/>
  <c r="V21"/>
  <c r="X21" s="1"/>
  <c r="L46"/>
  <c r="V18"/>
  <c r="X18" s="1"/>
  <c r="V14"/>
  <c r="X14" s="1"/>
  <c r="V12"/>
  <c r="X12" s="1"/>
  <c r="V10"/>
  <c r="X10" s="1"/>
  <c r="V7" l="1"/>
  <c r="W16"/>
  <c r="V16"/>
  <c r="W24"/>
  <c r="V32"/>
  <c r="X32" s="1"/>
  <c r="H22" i="12"/>
  <c r="J46" i="8"/>
  <c r="S46"/>
  <c r="F22" i="12"/>
  <c r="P22"/>
  <c r="J22"/>
  <c r="M22"/>
  <c r="S22"/>
  <c r="K22"/>
  <c r="V24" i="8"/>
  <c r="V30"/>
  <c r="X30" s="1"/>
  <c r="V36"/>
  <c r="X36" s="1"/>
  <c r="V8"/>
  <c r="X8" s="1"/>
  <c r="V11"/>
  <c r="X11" s="1"/>
  <c r="V13"/>
  <c r="X13" s="1"/>
  <c r="V15"/>
  <c r="X15" s="1"/>
  <c r="V17"/>
  <c r="X17" s="1"/>
  <c r="V19"/>
  <c r="X19" s="1"/>
  <c r="V22"/>
  <c r="X22" s="1"/>
  <c r="V25"/>
  <c r="X25" s="1"/>
  <c r="V28"/>
  <c r="X28" s="1"/>
  <c r="V31"/>
  <c r="X31" s="1"/>
  <c r="V34"/>
  <c r="X34" s="1"/>
  <c r="V37"/>
  <c r="X37" s="1"/>
  <c r="V40"/>
  <c r="X40" s="1"/>
  <c r="V42"/>
  <c r="X42" s="1"/>
  <c r="V44"/>
  <c r="X44" s="1"/>
  <c r="X7" l="1"/>
  <c r="X24"/>
  <c r="X16"/>
  <c r="U22" i="12"/>
  <c r="T22"/>
  <c r="W9" i="8"/>
  <c r="T46"/>
  <c r="W29"/>
  <c r="V29"/>
  <c r="W20"/>
  <c r="X20" s="1"/>
  <c r="W26"/>
  <c r="V26"/>
  <c r="X26" l="1"/>
  <c r="W46"/>
  <c r="X29"/>
  <c r="V9"/>
  <c r="V46" s="1"/>
  <c r="F46"/>
  <c r="X9" l="1"/>
  <c r="E46" l="1"/>
  <c r="U46" l="1"/>
  <c r="H46"/>
</calcChain>
</file>

<file path=xl/sharedStrings.xml><?xml version="1.0" encoding="utf-8"?>
<sst xmlns="http://schemas.openxmlformats.org/spreadsheetml/2006/main" count="606" uniqueCount="350">
  <si>
    <t>STT</t>
  </si>
  <si>
    <t>Biên chế, HĐ 68</t>
  </si>
  <si>
    <t>Số được giao</t>
  </si>
  <si>
    <t>Số có mặt</t>
  </si>
  <si>
    <t>Kinh phí được giao thực hiện tự chủ</t>
  </si>
  <si>
    <t>Kinh phí đã sử dụng</t>
  </si>
  <si>
    <t>Chi lương, phụ cấp và các khoản đóng góp theo lương</t>
  </si>
  <si>
    <t>Chi thanh toán hàng hoá dịch vụ</t>
  </si>
  <si>
    <t>Chi thanh toán dịch vụ công cộng</t>
  </si>
  <si>
    <t>Chi văn phòng phẩm</t>
  </si>
  <si>
    <t>Chi thông tin tuyên tuyền liên lạc</t>
  </si>
  <si>
    <t>Chi công tác phí</t>
  </si>
  <si>
    <t>Chi thuê mướn</t>
  </si>
  <si>
    <t>Sửa chữa, duy trì tài sản phục vụ chuyên môn</t>
  </si>
  <si>
    <t>Mua sắm tài sản phục vụ chuyên môn</t>
  </si>
  <si>
    <t>Chi phí nghiệp vụ chuyên môn</t>
  </si>
  <si>
    <t>Chi khác</t>
  </si>
  <si>
    <t>Chi cho công tác đào tạo bồi dưỡng</t>
  </si>
  <si>
    <t>Đơn vị</t>
  </si>
  <si>
    <t>Tổng cộng</t>
  </si>
  <si>
    <t>Đơn vị tính: Triệu đồng</t>
  </si>
  <si>
    <t>TH Phương Viên</t>
  </si>
  <si>
    <t>THCS Phương Viên</t>
  </si>
  <si>
    <t>THCS Thị trấn Bằng Lũng</t>
  </si>
  <si>
    <t>THCS Hoàng Văn Thụ</t>
  </si>
  <si>
    <t>THCS Đồng Lạc</t>
  </si>
  <si>
    <t>THCS Nam Cường</t>
  </si>
  <si>
    <t>Bán Trú THCS Xuân Lạc</t>
  </si>
  <si>
    <t>PTDT Nội trú</t>
  </si>
  <si>
    <t>TH&amp;THCS Bằng Phúc</t>
  </si>
  <si>
    <t>TH&amp;THCS Đồng Thắng</t>
  </si>
  <si>
    <t>TH&amp;THCS Đại Sảo</t>
  </si>
  <si>
    <t>TH&amp;THCS Yên Mỹ</t>
  </si>
  <si>
    <t>TH&amp;THCS Yên Phong</t>
  </si>
  <si>
    <t>TH&amp;THCS Nghĩa Tá</t>
  </si>
  <si>
    <t>TH&amp;THCS Lương Bằng</t>
  </si>
  <si>
    <t>TH&amp;THCS Yên Thịnh</t>
  </si>
  <si>
    <t>17.85</t>
  </si>
  <si>
    <t>47.6</t>
  </si>
  <si>
    <t>51.46</t>
  </si>
  <si>
    <t xml:space="preserve"> </t>
  </si>
  <si>
    <t>0</t>
  </si>
  <si>
    <t>THPT Phủ Thông</t>
  </si>
  <si>
    <t>MN Quốc lập Nà Khoang</t>
  </si>
  <si>
    <t>TPTDTBT THCS Cốc Đán</t>
  </si>
  <si>
    <t xml:space="preserve">THCS Bằng Vân </t>
  </si>
  <si>
    <t xml:space="preserve">THCS  Vân Tùng </t>
  </si>
  <si>
    <t xml:space="preserve">TPTDTBT THCS Thuần Mang  </t>
  </si>
  <si>
    <t xml:space="preserve">TPTDTBTTHCS Lãng Ngâm  </t>
  </si>
  <si>
    <t>PT Dân tộc nội trú</t>
  </si>
  <si>
    <t>THCS Xuất Hóa</t>
  </si>
  <si>
    <t>THCS Nông Thượng</t>
  </si>
  <si>
    <t>THCS Huyền Tụng</t>
  </si>
  <si>
    <t xml:space="preserve">THCS Đức Xuân </t>
  </si>
  <si>
    <t>THCS Bắc Kạn</t>
  </si>
  <si>
    <t>THCS Dương Quang</t>
  </si>
  <si>
    <t>THPT Bắc Kạn</t>
  </si>
  <si>
    <t>THPT Chuyên Bắc Kạn</t>
  </si>
  <si>
    <t>THPT Chợ Đồn</t>
  </si>
  <si>
    <t>THCS và THPT Nà Phặc</t>
  </si>
  <si>
    <t xml:space="preserve">THPT Ngân Sơn </t>
  </si>
  <si>
    <t>PTDT Nội trú Bắc Kạn</t>
  </si>
  <si>
    <t>THPT Quảng Khê</t>
  </si>
  <si>
    <t>THPT Chợ Mới</t>
  </si>
  <si>
    <t>THPT Yên Hân</t>
  </si>
  <si>
    <t>Tiểu học Cao Tân</t>
  </si>
  <si>
    <t>Tiểu học Cổ Linh</t>
  </si>
  <si>
    <t>PTDTBT TH Công Bằng</t>
  </si>
  <si>
    <t>TH&amp;THCS Giáo Hiệu ( TH)</t>
  </si>
  <si>
    <t>Tiểu học Bộc Bố</t>
  </si>
  <si>
    <t>PTDTBT TH&amp;THCS Nhạn Môn (TH)</t>
  </si>
  <si>
    <t>Tiểu học Bằng Thành I</t>
  </si>
  <si>
    <t>PTDTBT TH Bằng Thành II</t>
  </si>
  <si>
    <t>Tiểu học Xuân La</t>
  </si>
  <si>
    <t>Tiểu học Nghiên Loan I</t>
  </si>
  <si>
    <t>Tiểu học Nghiên Loan II</t>
  </si>
  <si>
    <t>PTDTBT THCS Cao Tân</t>
  </si>
  <si>
    <t>PTDTBT THCS Cổ Linh</t>
  </si>
  <si>
    <t>PTDTBT THCS Công Bằng</t>
  </si>
  <si>
    <t>PTDTBT TH&amp;THCS Giáo Hiệu ( THCS)</t>
  </si>
  <si>
    <t>THCS Bộc Bố</t>
  </si>
  <si>
    <t>PTDTBT TH&amp;THCS Nhạn Môn (THCS)</t>
  </si>
  <si>
    <t>PTDTBT THCS Bằng Thành</t>
  </si>
  <si>
    <t>PTDTBT THCS Xuân La</t>
  </si>
  <si>
    <t>PTDTBT THCS Nghiên Loan</t>
  </si>
  <si>
    <t>PTDT Nội trú Pác Nặm</t>
  </si>
  <si>
    <t>Mầm non Bành Trạch</t>
  </si>
  <si>
    <t xml:space="preserve">Mầm non Cao Thượng </t>
  </si>
  <si>
    <t>Mầm non Chu Hương</t>
  </si>
  <si>
    <t>Mầm non Địa Linh</t>
  </si>
  <si>
    <t>Mầm non Đồng Phúc</t>
  </si>
  <si>
    <t>Mầm non Hà Hiệu</t>
  </si>
  <si>
    <t>Mầm non Hoàng Trĩ</t>
  </si>
  <si>
    <t>Mầm non Khang Ninh</t>
  </si>
  <si>
    <t xml:space="preserve">Mầm non Nam Mẫu </t>
  </si>
  <si>
    <t>Mầm non Phúc Lộc</t>
  </si>
  <si>
    <t>Mầm non Quảng Khê</t>
  </si>
  <si>
    <t xml:space="preserve">Mầm non TT Chợ Rã </t>
  </si>
  <si>
    <t>Mầm non Thượng Giáo</t>
  </si>
  <si>
    <t>Mầm non Yến Dương</t>
  </si>
  <si>
    <t>Tiểu học Bành Trạch</t>
  </si>
  <si>
    <t xml:space="preserve">Tiểu học Cao Thượng </t>
  </si>
  <si>
    <t>Tiểu học Chu Hương</t>
  </si>
  <si>
    <t>Tiểu học Địa Linh</t>
  </si>
  <si>
    <t>Tiểu học Đồng Phúc</t>
  </si>
  <si>
    <t>Tiểu học Hà Hiệu</t>
  </si>
  <si>
    <t>TH&amp;THCS Hoàng Trĩ (TH)</t>
  </si>
  <si>
    <t>Tiểu học Khang Ninh</t>
  </si>
  <si>
    <t>Tiểu học Mỹ Phương</t>
  </si>
  <si>
    <t>TH&amp;THCS Nam Mẫu (TH)</t>
  </si>
  <si>
    <t>PTDTBT Tiểu học Phúc Lộc</t>
  </si>
  <si>
    <t>Tiểu học Quảng Khê</t>
  </si>
  <si>
    <t xml:space="preserve">Tiểu học Thị trấn Chợ Rã </t>
  </si>
  <si>
    <t>Tiểu học Thượng Giáo</t>
  </si>
  <si>
    <t>Tiểu học Yến Dương</t>
  </si>
  <si>
    <t>THCS Bành Trạch</t>
  </si>
  <si>
    <t xml:space="preserve">PTDTBT THCS Cao Thượng </t>
  </si>
  <si>
    <t>THCS Chu Hương</t>
  </si>
  <si>
    <t>THCS Địa Linh</t>
  </si>
  <si>
    <t>THCS Đồng Phúc</t>
  </si>
  <si>
    <t>THCS Hà Hiệu</t>
  </si>
  <si>
    <t>TH&amp;THCS Hoàng Trĩ (THCS)</t>
  </si>
  <si>
    <t>THCS Khang Ninh</t>
  </si>
  <si>
    <t>THCS Mỹ Phương</t>
  </si>
  <si>
    <t>TH&amp;THCS Nam Mẫu (THCS)</t>
  </si>
  <si>
    <t>THCS Phúc Lộc</t>
  </si>
  <si>
    <t>PTDT Nội trú Ba Bể</t>
  </si>
  <si>
    <t xml:space="preserve">THCS Thị trấn Chợ Rã </t>
  </si>
  <si>
    <t>THCS Thượng Giáo</t>
  </si>
  <si>
    <t>THCS Yến Dương</t>
  </si>
  <si>
    <t>PTDTBT Tiểu học Đổng Xá</t>
  </si>
  <si>
    <t>Tiểu học Trần Phú</t>
  </si>
  <si>
    <t>Tiểu học Yến Lạc</t>
  </si>
  <si>
    <t>PTDTBT Tiểu học Văn Vũ</t>
  </si>
  <si>
    <t>PTDTBT THCS Đổng Xá</t>
  </si>
  <si>
    <t xml:space="preserve"> THCS Trần Phú</t>
  </si>
  <si>
    <t xml:space="preserve"> THCS Yến Lạc</t>
  </si>
  <si>
    <t>PTDTBT THCS Văn Vũ</t>
  </si>
  <si>
    <t>PTDT Nội Trú</t>
  </si>
  <si>
    <t>TH&amp;THCS Liêm Thủy</t>
  </si>
  <si>
    <t>TH&amp;THCS Xuân Dương</t>
  </si>
  <si>
    <t>TH&amp;THCS Dương Sơn</t>
  </si>
  <si>
    <t>TH&amp;THCS Côn Minh</t>
  </si>
  <si>
    <t>TH&amp;THCS Quang Phong</t>
  </si>
  <si>
    <t>TH&amp;THCS Cư Lễ</t>
  </si>
  <si>
    <t>TH&amp;THCS Lam Sơn</t>
  </si>
  <si>
    <t>TH&amp;THCS Kim Lư</t>
  </si>
  <si>
    <t>TH&amp;THCS Cường Lợi</t>
  </si>
  <si>
    <t>TH&amp;THCS Văn Minh</t>
  </si>
  <si>
    <t>TH&amp;THCS Lương Thành</t>
  </si>
  <si>
    <t>TH&amp;THCS Lạng San</t>
  </si>
  <si>
    <t>TH&amp;THCS Lương Thượng</t>
  </si>
  <si>
    <t>PTDTBT TH&amp;THCS Kim Hỷ</t>
  </si>
  <si>
    <t>TH&amp;THCS Ân Tình</t>
  </si>
  <si>
    <t>TH&amp;THCS Thanh Bình (TH)</t>
  </si>
  <si>
    <t>TH&amp;THCS Mai Lạp (TH)</t>
  </si>
  <si>
    <t>PTDT NT THCS Chợ Mới</t>
  </si>
  <si>
    <t>THCS Nông Hạ</t>
  </si>
  <si>
    <t>THCS Cao Kỳ</t>
  </si>
  <si>
    <t>THCS Như Cố</t>
  </si>
  <si>
    <t>THCS Quảng Chu</t>
  </si>
  <si>
    <t>TH&amp;THCS Thanh Bình (THCS)</t>
  </si>
  <si>
    <t>TH&amp;THCS Thanh Mai (THCS)</t>
  </si>
  <si>
    <t>TH&amp;THCS Mai Lạp (THCS)</t>
  </si>
  <si>
    <t>TH&amp;THCS Thanh Mai (TH)</t>
  </si>
  <si>
    <t>THCS  Đồng Tâm</t>
  </si>
  <si>
    <t>PTDTBT TH&amp;THCS An Thắng ( TH)</t>
  </si>
  <si>
    <t>PTDTBT TH&amp;THCS An Thắng ( THCS)</t>
  </si>
  <si>
    <t>TH&amp;THCS Tân sơn (TH)</t>
  </si>
  <si>
    <t>TH&amp;THCS Tân sơn (THCS)</t>
  </si>
  <si>
    <t>THPT Bình Trung</t>
  </si>
  <si>
    <t>THPT Bộc Bố</t>
  </si>
  <si>
    <t>THPT Na Rì</t>
  </si>
  <si>
    <t>TT GDTEKT tỉnh Bắc Kạn</t>
  </si>
  <si>
    <t>Tiểu học (072)</t>
  </si>
  <si>
    <t>THCS (073)</t>
  </si>
  <si>
    <t>THCS Quân Hà</t>
  </si>
  <si>
    <t>TH&amp;THCS Vũ Muộn</t>
  </si>
  <si>
    <t>TH&amp;THCS Sỹ Bình</t>
  </si>
  <si>
    <t>TH&amp;THCS Mỹ Thanh</t>
  </si>
  <si>
    <t>TH&amp;THCS Quang Thuận</t>
  </si>
  <si>
    <t xml:space="preserve">TH&amp;THCS Vi Hương </t>
  </si>
  <si>
    <t>THCS Cẩm Giàng</t>
  </si>
  <si>
    <t>THCS Đôn Phong</t>
  </si>
  <si>
    <t>THCS phủ Thông</t>
  </si>
  <si>
    <t>TH&amp;THCS Cao Sơn</t>
  </si>
  <si>
    <t xml:space="preserve">Cộng </t>
  </si>
  <si>
    <t>Tiểu học Tân Tiến</t>
  </si>
  <si>
    <t xml:space="preserve">TH&amp;THCS Dương Phong </t>
  </si>
  <si>
    <t>KP chi trả lương</t>
  </si>
  <si>
    <t>Chi phục vụ hoạt động thường xuyên</t>
  </si>
  <si>
    <t>KP chi phục vụ hoạt động thường xuyên</t>
  </si>
  <si>
    <t>THPT Ba Bể</t>
  </si>
  <si>
    <t>Tổng</t>
  </si>
  <si>
    <t>So sánh</t>
  </si>
  <si>
    <t>BẢNG TỔNG HỢP SỬ DỤNG KINH PHÍ ĐƯỢC GIAO THỰC HIỆN TỰ CHỦ NĂM 2022 (DỰ KIẾN THỰC HIỆN) - HUYỆN PÁC NẶM</t>
  </si>
  <si>
    <t>Mầm non Cao Tân</t>
  </si>
  <si>
    <t>Mầm non Cổ Linh</t>
  </si>
  <si>
    <t>Mầm non Công Bằng</t>
  </si>
  <si>
    <t>Mầm non Giáo Hiệu</t>
  </si>
  <si>
    <t>Mầm non Bộc Bố</t>
  </si>
  <si>
    <t>Mầm non Nhạn Môn</t>
  </si>
  <si>
    <t>Mầm non Bằng Thành</t>
  </si>
  <si>
    <t>Mầm non Xuân La</t>
  </si>
  <si>
    <t>Mầm non Nghiên Loan I</t>
  </si>
  <si>
    <t>Mầm non Nghiên Loan II</t>
  </si>
  <si>
    <t>Mầm non An Thắng</t>
  </si>
  <si>
    <t>BẢNG TỔNG HỢP SỬ DỤNG KINH PHÍ ĐƯỢC GIAO THỰC HIỆN TỰ CHỦ NĂM 2022 (DỰ KIẾN THỰC HIỆN) - HUYỆN BA BỂ</t>
  </si>
  <si>
    <t>BẢNG TỔNG HỢP SỬ DỤNG KINH PHÍ ĐƯỢC GIAO THỰC HIỆN TỰ CHỦ NĂM 2022 (DỰ KIẾN THỰC HIỆN) - HUYỆN CHỢ ĐỒN</t>
  </si>
  <si>
    <t>Mầm non Bằng Phúc</t>
  </si>
  <si>
    <t>Mầm non Phương Viên</t>
  </si>
  <si>
    <t xml:space="preserve">Mầm non Đồng Thắng </t>
  </si>
  <si>
    <t>Mầm non Đại Sảo</t>
  </si>
  <si>
    <t>Mầm non Yên Mỹ</t>
  </si>
  <si>
    <t>Mầm non Yên Phong</t>
  </si>
  <si>
    <t>Mầm non Bình Trung</t>
  </si>
  <si>
    <t>Mầm non Nghĩa Tá</t>
  </si>
  <si>
    <t>Mầm non Lương Bằng</t>
  </si>
  <si>
    <t>Mầm non Bằng Lãng</t>
  </si>
  <si>
    <t>Mầm non Thị trấn Bằng Lũng</t>
  </si>
  <si>
    <t>Mầm non Ngọc Phái</t>
  </si>
  <si>
    <t>Mầm non Quảng Bạch</t>
  </si>
  <si>
    <t>Mầm non Tân Lập</t>
  </si>
  <si>
    <t>Mầm non Đồng Lạc</t>
  </si>
  <si>
    <t>Mầm non Nam Cường</t>
  </si>
  <si>
    <t>Mầm non Xuân Lạc</t>
  </si>
  <si>
    <t>Mầm non Yên Thượng</t>
  </si>
  <si>
    <t>Mầm non Yên Thịnh</t>
  </si>
  <si>
    <t>Mầm non Bản Thi</t>
  </si>
  <si>
    <t>Tiểu học Bình Trung</t>
  </si>
  <si>
    <t>Tiểu học Bằng Lãng</t>
  </si>
  <si>
    <t>Tiểu học Ngọc Phái</t>
  </si>
  <si>
    <t>Tiểu học Quảng Bạch</t>
  </si>
  <si>
    <t>Tiểu học Tân Lập</t>
  </si>
  <si>
    <t>Tiểu học Đồng Lạc</t>
  </si>
  <si>
    <t>Tiểu học Nam Cường</t>
  </si>
  <si>
    <t>Tiểu học Xuân Lạc</t>
  </si>
  <si>
    <t>Tiểu học Thị trấn Bằng Lũng</t>
  </si>
  <si>
    <t>Tiểu học Yên Thượng</t>
  </si>
  <si>
    <t>Tiểu học Bản Thi</t>
  </si>
  <si>
    <t>Mầm non Liêm Thủy</t>
  </si>
  <si>
    <t xml:space="preserve">Mầm non Đổng Xá </t>
  </si>
  <si>
    <t xml:space="preserve">Mầm non Xuân Dương </t>
  </si>
  <si>
    <t>Mầm non Dương Sơn</t>
  </si>
  <si>
    <t>Mầm non Côn Minh</t>
  </si>
  <si>
    <t>Mầm non Quang Phong</t>
  </si>
  <si>
    <t>Mầm non Trần Phú</t>
  </si>
  <si>
    <t>Mầm non Cư Lễ</t>
  </si>
  <si>
    <t>Mầm non Yến Lạc</t>
  </si>
  <si>
    <t>Mầm non Kim Lư</t>
  </si>
  <si>
    <t>Mầm non Cường Lợi</t>
  </si>
  <si>
    <t>Mầm non Vũ Loan</t>
  </si>
  <si>
    <t>Mầm non Văn Học</t>
  </si>
  <si>
    <t>Mầm non Văn Minh</t>
  </si>
  <si>
    <t>Mầm non Sơn Thành</t>
  </si>
  <si>
    <t>Mầm non Văn Lang</t>
  </si>
  <si>
    <t>Mầm non Lương Thượng</t>
  </si>
  <si>
    <t>Mầm non Kim Hỷ</t>
  </si>
  <si>
    <t>BẢNG TỔNG HỢP SỬ DỤNG KINH PHÍ ĐƯỢC GIAO THỰC HIỆN TỰ CHỦ NĂM 2022 (DỰ KIẾN THỰC HIỆN) - HUYỆN NA RÌ</t>
  </si>
  <si>
    <t>BẢNG TỔNG HỢP SỬ DỤNG KINH PHÍ ĐƯỢC GIAO THỰC HIỆN TỰ CHỦ NĂM 2022 (DỰ KIẾN THỰC HIỆN) - HUYỆN CHỢ MỚI</t>
  </si>
  <si>
    <t>Mầm non Bình Văn</t>
  </si>
  <si>
    <t>Mầm non Cao Kỳ</t>
  </si>
  <si>
    <t>Mầm non Hoà Mục</t>
  </si>
  <si>
    <t>Mầm non Mai Lạp</t>
  </si>
  <si>
    <t>Mầm non Nông Hạ</t>
  </si>
  <si>
    <t>Mầm non Quảng Chu</t>
  </si>
  <si>
    <t>Mầm non Tân Sơn</t>
  </si>
  <si>
    <t>Mầm non Thanh Vận</t>
  </si>
  <si>
    <t>Mầm non Thanh Thịnh</t>
  </si>
  <si>
    <t>Mầm non Yên Hân</t>
  </si>
  <si>
    <t>Mầm non Thanh Mai</t>
  </si>
  <si>
    <t>Mầm non Như Cố</t>
  </si>
  <si>
    <t>Mầm non Yên Cư</t>
  </si>
  <si>
    <t>Mầm non  Đồng Tâm</t>
  </si>
  <si>
    <t>Tiểu học Bình Văn</t>
  </si>
  <si>
    <t>Tiểu học Cao Kỳ</t>
  </si>
  <si>
    <t>Tiểu học Đồng Tâm</t>
  </si>
  <si>
    <t>Tiểu học Hoà Mục</t>
  </si>
  <si>
    <t>Tiểu học Như Cố</t>
  </si>
  <si>
    <t>Tiểu học Nông Hạ</t>
  </si>
  <si>
    <t>Tiểu học Quảng Chu</t>
  </si>
  <si>
    <t>Tiểu học Thanh Vận</t>
  </si>
  <si>
    <t>Tiểu học Yên Hân</t>
  </si>
  <si>
    <t>Tiểu học Nông Thịnh</t>
  </si>
  <si>
    <t>Tiểu học Yên Cư</t>
  </si>
  <si>
    <t>BẢNG TỔNG HỢP SỬ DỤNG KINH PHÍ ĐƯỢC GIAO THỰC HIỆN TỰ CHỦ NĂM 2022 (DỰ KIẾN THỰC HIỆN) - HUYỆN NGÂN SƠN</t>
  </si>
  <si>
    <t>Mầm non Cốc Đán</t>
  </si>
  <si>
    <t>Mầm non Thượng Ân</t>
  </si>
  <si>
    <t>Mầm non Bằng Vân</t>
  </si>
  <si>
    <t>Mầm non Đức Vân</t>
  </si>
  <si>
    <t>Mầm non Vân Tùng</t>
  </si>
  <si>
    <t>Mầm non Thượng Quan</t>
  </si>
  <si>
    <t>Mầm non Thuần Mang</t>
  </si>
  <si>
    <t>Mầm non Hiệp lực</t>
  </si>
  <si>
    <t>Mầm non Trung Hòa</t>
  </si>
  <si>
    <t>Mầm non Nà Phặc</t>
  </si>
  <si>
    <t xml:space="preserve">Tiểu học Bằng Vân </t>
  </si>
  <si>
    <t>Tiểu học Đức Vân</t>
  </si>
  <si>
    <t xml:space="preserve">Tiểu học Vân Tùng  </t>
  </si>
  <si>
    <t xml:space="preserve">Tiểu học Thượng Quan  </t>
  </si>
  <si>
    <t>Tiểu học Thuần Mang</t>
  </si>
  <si>
    <t>Tiểu học Hiệp Lực</t>
  </si>
  <si>
    <t>Tiểu học Trung Hòa</t>
  </si>
  <si>
    <t>Tiểu học Nà Phặc</t>
  </si>
  <si>
    <t>Tiểu học Cốc Đán</t>
  </si>
  <si>
    <t>Tiểu học và THCS T. Ân</t>
  </si>
  <si>
    <t>Tiểu học và THCS Nà Khoang</t>
  </si>
  <si>
    <t>TH và THCS Thượng Ân</t>
  </si>
  <si>
    <t>TPTDTBT THCS Thượng Quan</t>
  </si>
  <si>
    <t>TH và THCS  Nà Khoang</t>
  </si>
  <si>
    <t>BẢNG TỔNG HỢP SỬ DỤNG KINH PHÍ ĐƯỢC GIAO THỰC HIỆN TỰ CHỦ NĂM 2022 (DỰ KIẾN THỰC HIỆN) - THÀNH PHỐ BẮC KẠN</t>
  </si>
  <si>
    <t>Mầm non Đức Xuân</t>
  </si>
  <si>
    <t>Mầm non Dương Quang</t>
  </si>
  <si>
    <t>Mầm non Huyền Tụng</t>
  </si>
  <si>
    <t>Mầm non Nông Thượng</t>
  </si>
  <si>
    <t>Mầm non NT Minh Khai</t>
  </si>
  <si>
    <t>Mầm non Phùng Chí Kiên</t>
  </si>
  <si>
    <t>Mầm non Sông Cầu</t>
  </si>
  <si>
    <t>Mầm non Xuất Hóa</t>
  </si>
  <si>
    <t>Tiểu học Đức Xuân</t>
  </si>
  <si>
    <t>Tiểu học Dương Quang</t>
  </si>
  <si>
    <t>Tiểu học Huyền Tụng</t>
  </si>
  <si>
    <t>Tiểu học Nguyễn Thị Minh Khai</t>
  </si>
  <si>
    <t>Tiểu học Nông Thượng</t>
  </si>
  <si>
    <t>Tiểu học Phùng Chí Kiên</t>
  </si>
  <si>
    <t>Tiểu học Sông Câu</t>
  </si>
  <si>
    <t>Tiểu học Xuất Hóa</t>
  </si>
  <si>
    <t>Mầm non Đôn Phong</t>
  </si>
  <si>
    <t>Mầm non Lục Bình</t>
  </si>
  <si>
    <t>Mầm non Quân Bình</t>
  </si>
  <si>
    <t>Mầm non Phương Thông</t>
  </si>
  <si>
    <t>Mầm non Sỹ Bình</t>
  </si>
  <si>
    <t>Mầm non Vũ Muộn</t>
  </si>
  <si>
    <t>Mầm non Cẩm Giàng</t>
  </si>
  <si>
    <t>Mầm non Cao Sơn</t>
  </si>
  <si>
    <t>Mầm non Nguyên Phúc</t>
  </si>
  <si>
    <t>Mầm non Tân Tú</t>
  </si>
  <si>
    <t>Mầm non Quang Thuận</t>
  </si>
  <si>
    <t>Mầm non Mỹ Thanh</t>
  </si>
  <si>
    <t>Mầm non Dương Phong</t>
  </si>
  <si>
    <t>Mầm non Vi Hương</t>
  </si>
  <si>
    <t>Tiểu học Cẩm Giàng</t>
  </si>
  <si>
    <t>Tiểu học Nguyên Phúc</t>
  </si>
  <si>
    <t>Tiểu học Lục Bình</t>
  </si>
  <si>
    <t>Tiểu học Phương Thông</t>
  </si>
  <si>
    <t>Tiểu học Quân Hà</t>
  </si>
  <si>
    <t>Tiểu học  Đôn Phong</t>
  </si>
  <si>
    <t>BẢNG TỔNG HỢP SỬ DỤNG KINH PHÍ ĐƯỢC GIAO THỰC HIỆN TỰ CHỦ NĂM 2022 (DỰ KIẾN THỰC HIỆN) - HUYỆN BẠCH THÔNG</t>
  </si>
  <si>
    <t>BẢNG TỔNG HỢP SỬ DỤNG KINH PHÍ ĐƯỢC GIAO THỰC HIỆN TỰ CHỦ NĂM 2022 (DỰ KIẾN THỰC HIỆN) - TRỰC THUỘC SỞ GD&amp;ĐT</t>
  </si>
  <si>
    <t>(Kèm theo Báo cáo số 1291/BC-SGDĐT ngày 10/6/2022 của Sở GD&amp;ĐT)</t>
  </si>
</sst>
</file>

<file path=xl/styles.xml><?xml version="1.0" encoding="utf-8"?>
<styleSheet xmlns="http://schemas.openxmlformats.org/spreadsheetml/2006/main">
  <numFmts count="1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.0_);_(* \(#,##0.0\);_(* &quot;-&quot;??_);_(@_)"/>
    <numFmt numFmtId="168" formatCode="_(* #,##0.0_);_(* \(#,##0.0\);_(* &quot;-&quot;_);_(@_)"/>
    <numFmt numFmtId="169" formatCode="_-* #,##0.0000_-;\-* #,##0.0000_-;_-* &quot;-&quot;??_-;_-@_-"/>
    <numFmt numFmtId="170" formatCode="_-* #,##0_-;\-* #,##0_-;_-* &quot;-&quot;??_-;_-@"/>
    <numFmt numFmtId="171" formatCode="_-* #,##0.0000_-;\-* #,##0.0000_-;_-* &quot;-&quot;??.0000_-;_-@"/>
    <numFmt numFmtId="172" formatCode="d\.m"/>
    <numFmt numFmtId="173" formatCode="_-* #,##0.000_-;\-* #,##0.000_-;_-* &quot;-&quot;??.000_-;_-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sz val="7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D7D31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980000"/>
      </patternFill>
    </fill>
    <fill>
      <patternFill patternType="solid">
        <fgColor theme="0"/>
        <bgColor rgb="FFFF99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Alignment="1">
      <alignment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1" fontId="4" fillId="0" borderId="1" xfId="4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hidden="1"/>
    </xf>
    <xf numFmtId="166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Fill="1" applyBorder="1" applyAlignment="1" applyProtection="1">
      <alignment horizontal="left" vertical="center" shrinkToFit="1"/>
      <protection hidden="1"/>
    </xf>
    <xf numFmtId="3" fontId="4" fillId="0" borderId="1" xfId="1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9" fontId="4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170" fontId="4" fillId="3" borderId="13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right" vertical="center"/>
    </xf>
    <xf numFmtId="170" fontId="4" fillId="2" borderId="13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horizontal="right" vertical="center"/>
    </xf>
    <xf numFmtId="170" fontId="4" fillId="4" borderId="13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right" vertical="center"/>
    </xf>
    <xf numFmtId="170" fontId="4" fillId="6" borderId="13" xfId="0" applyNumberFormat="1" applyFont="1" applyFill="1" applyBorder="1" applyAlignment="1">
      <alignment vertical="center"/>
    </xf>
    <xf numFmtId="0" fontId="4" fillId="7" borderId="13" xfId="0" applyFont="1" applyFill="1" applyBorder="1" applyAlignment="1">
      <alignment horizontal="right" vertical="center"/>
    </xf>
    <xf numFmtId="170" fontId="4" fillId="7" borderId="13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170" fontId="4" fillId="8" borderId="13" xfId="0" applyNumberFormat="1" applyFont="1" applyFill="1" applyBorder="1" applyAlignment="1">
      <alignment vertical="center"/>
    </xf>
    <xf numFmtId="0" fontId="4" fillId="9" borderId="13" xfId="0" applyFont="1" applyFill="1" applyBorder="1" applyAlignment="1">
      <alignment horizontal="left" vertical="center"/>
    </xf>
    <xf numFmtId="170" fontId="4" fillId="9" borderId="13" xfId="0" applyNumberFormat="1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right" vertical="center"/>
    </xf>
    <xf numFmtId="170" fontId="4" fillId="5" borderId="13" xfId="0" applyNumberFormat="1" applyFont="1" applyFill="1" applyBorder="1" applyAlignment="1">
      <alignment vertical="center"/>
    </xf>
    <xf numFmtId="172" fontId="4" fillId="5" borderId="13" xfId="0" applyNumberFormat="1" applyFont="1" applyFill="1" applyBorder="1" applyAlignment="1">
      <alignment vertical="center"/>
    </xf>
    <xf numFmtId="170" fontId="4" fillId="3" borderId="13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right" vertical="center"/>
    </xf>
    <xf numFmtId="170" fontId="4" fillId="9" borderId="13" xfId="0" applyNumberFormat="1" applyFont="1" applyFill="1" applyBorder="1" applyAlignment="1">
      <alignment horizontal="right" vertical="center"/>
    </xf>
    <xf numFmtId="170" fontId="4" fillId="9" borderId="13" xfId="0" applyNumberFormat="1" applyFont="1" applyFill="1" applyBorder="1" applyAlignment="1">
      <alignment vertical="center"/>
    </xf>
    <xf numFmtId="170" fontId="4" fillId="2" borderId="1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left" vertical="center" wrapText="1"/>
    </xf>
    <xf numFmtId="170" fontId="4" fillId="6" borderId="13" xfId="0" applyNumberFormat="1" applyFont="1" applyFill="1" applyBorder="1" applyAlignment="1">
      <alignment horizontal="right" vertical="center"/>
    </xf>
    <xf numFmtId="0" fontId="4" fillId="9" borderId="13" xfId="0" applyFont="1" applyFill="1" applyBorder="1" applyAlignment="1">
      <alignment horizontal="left" vertical="center" wrapText="1"/>
    </xf>
    <xf numFmtId="171" fontId="4" fillId="9" borderId="13" xfId="0" applyNumberFormat="1" applyFont="1" applyFill="1" applyBorder="1" applyAlignment="1">
      <alignment horizontal="right" vertical="center"/>
    </xf>
    <xf numFmtId="173" fontId="4" fillId="9" borderId="1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 shrinkToFit="1"/>
    </xf>
    <xf numFmtId="170" fontId="4" fillId="2" borderId="13" xfId="0" applyNumberFormat="1" applyFont="1" applyFill="1" applyBorder="1" applyAlignment="1">
      <alignment horizontal="right" vertical="center" shrinkToFit="1"/>
    </xf>
    <xf numFmtId="0" fontId="7" fillId="2" borderId="13" xfId="0" applyFont="1" applyFill="1" applyBorder="1" applyAlignment="1">
      <alignment horizontal="center" vertical="center"/>
    </xf>
    <xf numFmtId="170" fontId="7" fillId="2" borderId="13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4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/>
    </xf>
    <xf numFmtId="164" fontId="7" fillId="0" borderId="0" xfId="1" applyFont="1" applyFill="1" applyAlignment="1">
      <alignment vertical="center"/>
    </xf>
    <xf numFmtId="164" fontId="4" fillId="0" borderId="0" xfId="1" applyFont="1" applyFill="1" applyAlignment="1">
      <alignment horizontal="center" vertical="center" wrapText="1"/>
    </xf>
    <xf numFmtId="3" fontId="11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8" fontId="4" fillId="0" borderId="1" xfId="1" applyNumberFormat="1" applyFont="1" applyFill="1" applyBorder="1" applyAlignment="1">
      <alignment vertical="center"/>
    </xf>
    <xf numFmtId="168" fontId="4" fillId="0" borderId="1" xfId="4" applyNumberFormat="1" applyFont="1" applyFill="1" applyBorder="1" applyAlignment="1">
      <alignment vertical="center"/>
    </xf>
    <xf numFmtId="170" fontId="4" fillId="2" borderId="15" xfId="0" applyNumberFormat="1" applyFont="1" applyFill="1" applyBorder="1" applyAlignment="1">
      <alignment vertical="center"/>
    </xf>
    <xf numFmtId="170" fontId="4" fillId="5" borderId="14" xfId="0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171" fontId="4" fillId="4" borderId="14" xfId="0" applyNumberFormat="1" applyFont="1" applyFill="1" applyBorder="1" applyAlignment="1">
      <alignment vertical="center"/>
    </xf>
    <xf numFmtId="170" fontId="4" fillId="4" borderId="14" xfId="0" applyNumberFormat="1" applyFont="1" applyFill="1" applyBorder="1" applyAlignment="1">
      <alignment vertical="center"/>
    </xf>
    <xf numFmtId="170" fontId="4" fillId="6" borderId="14" xfId="0" applyNumberFormat="1" applyFont="1" applyFill="1" applyBorder="1" applyAlignment="1">
      <alignment vertical="center"/>
    </xf>
    <xf numFmtId="170" fontId="4" fillId="2" borderId="14" xfId="0" applyNumberFormat="1" applyFont="1" applyFill="1" applyBorder="1" applyAlignment="1">
      <alignment vertical="center"/>
    </xf>
    <xf numFmtId="171" fontId="4" fillId="9" borderId="13" xfId="0" applyNumberFormat="1" applyFont="1" applyFill="1" applyBorder="1" applyAlignment="1">
      <alignment vertical="center"/>
    </xf>
    <xf numFmtId="170" fontId="4" fillId="9" borderId="14" xfId="0" applyNumberFormat="1" applyFont="1" applyFill="1" applyBorder="1" applyAlignment="1">
      <alignment vertical="center"/>
    </xf>
    <xf numFmtId="173" fontId="4" fillId="9" borderId="14" xfId="0" applyNumberFormat="1" applyFont="1" applyFill="1" applyBorder="1" applyAlignment="1">
      <alignment vertical="center"/>
    </xf>
    <xf numFmtId="170" fontId="4" fillId="9" borderId="14" xfId="0" applyNumberFormat="1" applyFont="1" applyFill="1" applyBorder="1" applyAlignment="1">
      <alignment horizontal="center" vertical="center"/>
    </xf>
    <xf numFmtId="173" fontId="4" fillId="9" borderId="13" xfId="0" applyNumberFormat="1" applyFont="1" applyFill="1" applyBorder="1" applyAlignment="1">
      <alignment vertical="center"/>
    </xf>
    <xf numFmtId="170" fontId="4" fillId="2" borderId="16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right" vertical="center"/>
    </xf>
    <xf numFmtId="170" fontId="4" fillId="3" borderId="1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" fontId="9" fillId="0" borderId="1" xfId="6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right" vertical="center"/>
    </xf>
    <xf numFmtId="41" fontId="4" fillId="0" borderId="1" xfId="4" applyFont="1" applyFill="1" applyBorder="1" applyAlignment="1">
      <alignment horizontal="right" vertical="center"/>
    </xf>
    <xf numFmtId="41" fontId="4" fillId="0" borderId="1" xfId="4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right" vertical="center"/>
    </xf>
    <xf numFmtId="166" fontId="4" fillId="0" borderId="1" xfId="7" applyNumberFormat="1" applyFont="1" applyFill="1" applyBorder="1" applyAlignment="1">
      <alignment vertical="center"/>
    </xf>
    <xf numFmtId="166" fontId="4" fillId="0" borderId="1" xfId="7" applyNumberFormat="1" applyFont="1" applyFill="1" applyBorder="1" applyAlignment="1">
      <alignment horizontal="right" vertical="center"/>
    </xf>
    <xf numFmtId="167" fontId="4" fillId="0" borderId="1" xfId="7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8">
    <cellStyle name="Chuẩn 2" xfId="2"/>
    <cellStyle name="Comma" xfId="1" builtinId="3"/>
    <cellStyle name="Comma [0]" xfId="4" builtinId="6"/>
    <cellStyle name="Comma 2" xfId="7"/>
    <cellStyle name="Dấu_phảy 2" xfId="5"/>
    <cellStyle name="Normal" xfId="0" builtinId="0"/>
    <cellStyle name="Normal 16" xfId="3"/>
    <cellStyle name="Normal 2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1"/>
  <sheetViews>
    <sheetView workbookViewId="0">
      <selection activeCell="A2" sqref="A2:U2"/>
    </sheetView>
  </sheetViews>
  <sheetFormatPr defaultColWidth="9.140625" defaultRowHeight="12"/>
  <cols>
    <col min="1" max="1" width="4.5703125" style="25" bestFit="1" customWidth="1"/>
    <col min="2" max="2" width="25.85546875" style="17" customWidth="1"/>
    <col min="3" max="4" width="6.85546875" style="17" bestFit="1" customWidth="1"/>
    <col min="5" max="5" width="7.7109375" style="17" customWidth="1"/>
    <col min="6" max="7" width="9.140625" style="17" customWidth="1"/>
    <col min="8" max="8" width="10.5703125" style="17" customWidth="1"/>
    <col min="9" max="9" width="8.140625" style="17" bestFit="1" customWidth="1"/>
    <col min="10" max="10" width="8.42578125" style="17" bestFit="1" customWidth="1"/>
    <col min="11" max="11" width="7.28515625" style="17" customWidth="1"/>
    <col min="12" max="12" width="8.7109375" style="17" customWidth="1"/>
    <col min="13" max="13" width="6.7109375" style="17" customWidth="1"/>
    <col min="14" max="14" width="6.5703125" style="17" customWidth="1"/>
    <col min="15" max="16" width="9.28515625" style="17" bestFit="1" customWidth="1"/>
    <col min="17" max="17" width="9.5703125" style="17" bestFit="1" customWidth="1"/>
    <col min="18" max="18" width="10.28515625" style="17" bestFit="1" customWidth="1"/>
    <col min="19" max="19" width="6.28515625" style="17" customWidth="1"/>
    <col min="20" max="20" width="8.28515625" style="17" customWidth="1"/>
    <col min="21" max="21" width="9.7109375" style="17" customWidth="1"/>
    <col min="22" max="16384" width="9.140625" style="17"/>
  </cols>
  <sheetData>
    <row r="1" spans="1:24" ht="19.899999999999999" customHeight="1">
      <c r="A1" s="159" t="s">
        <v>195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39"/>
      <c r="W1" s="39"/>
    </row>
    <row r="2" spans="1:24" ht="20.45" customHeight="1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39"/>
      <c r="W2" s="39"/>
    </row>
    <row r="3" spans="1:24" ht="18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4" t="s">
        <v>20</v>
      </c>
      <c r="V3" s="39"/>
      <c r="W3" s="39"/>
    </row>
    <row r="4" spans="1:24" ht="21.75" customHeight="1">
      <c r="A4" s="158" t="s">
        <v>0</v>
      </c>
      <c r="B4" s="158" t="s">
        <v>18</v>
      </c>
      <c r="C4" s="161" t="s">
        <v>1</v>
      </c>
      <c r="D4" s="162"/>
      <c r="E4" s="165" t="s">
        <v>4</v>
      </c>
      <c r="F4" s="165"/>
      <c r="G4" s="165"/>
      <c r="H4" s="158" t="s">
        <v>5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66" t="s">
        <v>194</v>
      </c>
      <c r="W4" s="167"/>
    </row>
    <row r="5" spans="1:24" ht="21.75" customHeight="1">
      <c r="A5" s="158"/>
      <c r="B5" s="158"/>
      <c r="C5" s="163"/>
      <c r="D5" s="164"/>
      <c r="E5" s="165"/>
      <c r="F5" s="165"/>
      <c r="G5" s="165"/>
      <c r="H5" s="165" t="s">
        <v>6</v>
      </c>
      <c r="I5" s="158" t="s">
        <v>190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65" t="s">
        <v>19</v>
      </c>
      <c r="V5" s="168" t="s">
        <v>189</v>
      </c>
      <c r="W5" s="157" t="s">
        <v>191</v>
      </c>
    </row>
    <row r="6" spans="1:24" ht="78" customHeight="1">
      <c r="A6" s="158"/>
      <c r="B6" s="158"/>
      <c r="C6" s="26" t="s">
        <v>2</v>
      </c>
      <c r="D6" s="26" t="s">
        <v>3</v>
      </c>
      <c r="E6" s="26" t="s">
        <v>189</v>
      </c>
      <c r="F6" s="27" t="s">
        <v>191</v>
      </c>
      <c r="G6" s="104" t="s">
        <v>19</v>
      </c>
      <c r="H6" s="165"/>
      <c r="I6" s="27" t="s">
        <v>7</v>
      </c>
      <c r="J6" s="27" t="s">
        <v>8</v>
      </c>
      <c r="K6" s="27" t="s">
        <v>9</v>
      </c>
      <c r="L6" s="27" t="s">
        <v>10</v>
      </c>
      <c r="M6" s="27" t="s">
        <v>11</v>
      </c>
      <c r="N6" s="27" t="s">
        <v>12</v>
      </c>
      <c r="O6" s="27" t="s">
        <v>13</v>
      </c>
      <c r="P6" s="27" t="s">
        <v>14</v>
      </c>
      <c r="Q6" s="27" t="s">
        <v>15</v>
      </c>
      <c r="R6" s="27" t="s">
        <v>17</v>
      </c>
      <c r="S6" s="27" t="s">
        <v>16</v>
      </c>
      <c r="T6" s="27" t="s">
        <v>193</v>
      </c>
      <c r="U6" s="165"/>
      <c r="V6" s="168"/>
      <c r="W6" s="157"/>
    </row>
    <row r="7" spans="1:24" ht="18.75" customHeight="1">
      <c r="A7" s="40">
        <v>1</v>
      </c>
      <c r="B7" s="22" t="s">
        <v>196</v>
      </c>
      <c r="C7" s="40">
        <v>23</v>
      </c>
      <c r="D7" s="40">
        <v>23</v>
      </c>
      <c r="E7" s="29">
        <v>2698.299</v>
      </c>
      <c r="F7" s="29">
        <v>465.52</v>
      </c>
      <c r="G7" s="29">
        <f>E7+F7</f>
        <v>3163.819</v>
      </c>
      <c r="H7" s="29">
        <v>2698.299</v>
      </c>
      <c r="I7" s="29"/>
      <c r="J7" s="29">
        <v>36.090584</v>
      </c>
      <c r="K7" s="29">
        <v>90</v>
      </c>
      <c r="L7" s="29">
        <v>4.2203999999999997</v>
      </c>
      <c r="M7" s="29">
        <v>75.507999999999996</v>
      </c>
      <c r="N7" s="29">
        <v>24</v>
      </c>
      <c r="O7" s="29">
        <v>10</v>
      </c>
      <c r="P7" s="29">
        <v>20</v>
      </c>
      <c r="Q7" s="29">
        <v>94</v>
      </c>
      <c r="R7" s="29"/>
      <c r="S7" s="29">
        <v>112</v>
      </c>
      <c r="T7" s="29">
        <f>SUM(I7:S7)</f>
        <v>465.818984</v>
      </c>
      <c r="U7" s="29">
        <f>T7+H7</f>
        <v>3164.117984</v>
      </c>
      <c r="V7" s="28">
        <f>E7-H7</f>
        <v>0</v>
      </c>
      <c r="W7" s="28">
        <f>F7-T7</f>
        <v>-0.29898400000001857</v>
      </c>
      <c r="X7" s="28">
        <f>SUM(V7:W7)</f>
        <v>-0.29898400000001857</v>
      </c>
    </row>
    <row r="8" spans="1:24" ht="18.75" customHeight="1">
      <c r="A8" s="40">
        <v>2</v>
      </c>
      <c r="B8" s="22" t="s">
        <v>197</v>
      </c>
      <c r="C8" s="40">
        <v>25</v>
      </c>
      <c r="D8" s="40">
        <v>24</v>
      </c>
      <c r="E8" s="29">
        <v>2821.8009999999999</v>
      </c>
      <c r="F8" s="29">
        <v>506</v>
      </c>
      <c r="G8" s="29">
        <f t="shared" ref="G8:G40" si="0">E8+F8</f>
        <v>3327.8009999999999</v>
      </c>
      <c r="H8" s="29">
        <v>2821.8009999999999</v>
      </c>
      <c r="I8" s="29"/>
      <c r="J8" s="29">
        <v>25.840548999999999</v>
      </c>
      <c r="K8" s="29">
        <v>117.329128</v>
      </c>
      <c r="L8" s="29">
        <v>7.6672080000000005</v>
      </c>
      <c r="M8" s="29">
        <v>106</v>
      </c>
      <c r="N8" s="29">
        <v>18.600000000000001</v>
      </c>
      <c r="O8" s="29">
        <v>2.9</v>
      </c>
      <c r="P8" s="29"/>
      <c r="Q8" s="29">
        <v>18.274999999999999</v>
      </c>
      <c r="R8" s="29"/>
      <c r="S8" s="29">
        <v>209.3</v>
      </c>
      <c r="T8" s="29">
        <f t="shared" ref="T8:T40" si="1">SUM(I8:S8)</f>
        <v>505.91188499999998</v>
      </c>
      <c r="U8" s="29">
        <f t="shared" ref="U8:U40" si="2">T8+H8</f>
        <v>3327.7128849999999</v>
      </c>
      <c r="V8" s="28">
        <f t="shared" ref="V8:V40" si="3">E8-H8</f>
        <v>0</v>
      </c>
      <c r="W8" s="28">
        <f t="shared" ref="W8:W40" si="4">F8-T8</f>
        <v>8.8115000000016153E-2</v>
      </c>
      <c r="X8" s="28">
        <f t="shared" ref="X8:X40" si="5">SUM(V8:W8)</f>
        <v>8.8115000000016153E-2</v>
      </c>
    </row>
    <row r="9" spans="1:24" ht="18.75" customHeight="1">
      <c r="A9" s="40">
        <v>3</v>
      </c>
      <c r="B9" s="22" t="s">
        <v>198</v>
      </c>
      <c r="C9" s="40">
        <v>13</v>
      </c>
      <c r="D9" s="40">
        <v>13</v>
      </c>
      <c r="E9" s="29">
        <v>1691.164</v>
      </c>
      <c r="F9" s="29">
        <v>263.12</v>
      </c>
      <c r="G9" s="29">
        <f t="shared" si="0"/>
        <v>1954.2840000000001</v>
      </c>
      <c r="H9" s="29">
        <v>1691.164</v>
      </c>
      <c r="I9" s="29">
        <v>22</v>
      </c>
      <c r="J9" s="29">
        <v>15</v>
      </c>
      <c r="K9" s="29">
        <v>34</v>
      </c>
      <c r="L9" s="29">
        <v>2.2000000000000002</v>
      </c>
      <c r="M9" s="29">
        <v>50</v>
      </c>
      <c r="N9" s="29">
        <v>30</v>
      </c>
      <c r="O9" s="29">
        <v>10</v>
      </c>
      <c r="P9" s="29"/>
      <c r="Q9" s="29">
        <v>30</v>
      </c>
      <c r="R9" s="29"/>
      <c r="S9" s="29">
        <v>69.92</v>
      </c>
      <c r="T9" s="29">
        <f t="shared" si="1"/>
        <v>263.12</v>
      </c>
      <c r="U9" s="29">
        <f t="shared" si="2"/>
        <v>1954.2840000000001</v>
      </c>
      <c r="V9" s="28">
        <f t="shared" si="3"/>
        <v>0</v>
      </c>
      <c r="W9" s="28">
        <f t="shared" si="4"/>
        <v>0</v>
      </c>
      <c r="X9" s="28">
        <f t="shared" si="5"/>
        <v>0</v>
      </c>
    </row>
    <row r="10" spans="1:24" ht="18.75" customHeight="1">
      <c r="A10" s="40">
        <v>4</v>
      </c>
      <c r="B10" s="22" t="s">
        <v>199</v>
      </c>
      <c r="C10" s="40">
        <v>12</v>
      </c>
      <c r="D10" s="40">
        <v>12</v>
      </c>
      <c r="E10" s="29">
        <v>1573.9069999999999</v>
      </c>
      <c r="F10" s="29">
        <v>242.88</v>
      </c>
      <c r="G10" s="29">
        <f t="shared" si="0"/>
        <v>1816.7869999999998</v>
      </c>
      <c r="H10" s="29">
        <v>1573.9069999999999</v>
      </c>
      <c r="I10" s="29">
        <v>20.98</v>
      </c>
      <c r="J10" s="29">
        <v>13.825666999999999</v>
      </c>
      <c r="K10" s="29">
        <v>15</v>
      </c>
      <c r="L10" s="29">
        <v>7.6390000000000002</v>
      </c>
      <c r="M10" s="29">
        <v>20.23</v>
      </c>
      <c r="N10" s="29">
        <v>23.12</v>
      </c>
      <c r="O10" s="29">
        <v>20.3</v>
      </c>
      <c r="P10" s="29">
        <v>55.01</v>
      </c>
      <c r="Q10" s="29">
        <v>36.01</v>
      </c>
      <c r="R10" s="29"/>
      <c r="S10" s="29">
        <v>30.591999999999999</v>
      </c>
      <c r="T10" s="29">
        <f t="shared" si="1"/>
        <v>242.70666699999998</v>
      </c>
      <c r="U10" s="29">
        <f t="shared" si="2"/>
        <v>1816.6136669999999</v>
      </c>
      <c r="V10" s="28">
        <f t="shared" si="3"/>
        <v>0</v>
      </c>
      <c r="W10" s="28">
        <f t="shared" si="4"/>
        <v>0.17333300000001373</v>
      </c>
      <c r="X10" s="28">
        <f t="shared" si="5"/>
        <v>0.17333300000001373</v>
      </c>
    </row>
    <row r="11" spans="1:24" ht="18.75" customHeight="1">
      <c r="A11" s="40">
        <v>5</v>
      </c>
      <c r="B11" s="22" t="s">
        <v>200</v>
      </c>
      <c r="C11" s="40">
        <v>28</v>
      </c>
      <c r="D11" s="40">
        <v>27</v>
      </c>
      <c r="E11" s="50">
        <v>3537.85</v>
      </c>
      <c r="F11" s="50">
        <v>566.72</v>
      </c>
      <c r="G11" s="29">
        <f t="shared" si="0"/>
        <v>4104.57</v>
      </c>
      <c r="H11" s="50">
        <v>3537.85</v>
      </c>
      <c r="I11" s="50"/>
      <c r="J11" s="50">
        <v>24</v>
      </c>
      <c r="K11" s="50">
        <v>70</v>
      </c>
      <c r="L11" s="50">
        <v>4</v>
      </c>
      <c r="M11" s="50">
        <v>40</v>
      </c>
      <c r="N11" s="50">
        <v>2</v>
      </c>
      <c r="O11" s="50">
        <v>20</v>
      </c>
      <c r="P11" s="50">
        <v>70</v>
      </c>
      <c r="Q11" s="50">
        <v>200</v>
      </c>
      <c r="R11" s="50"/>
      <c r="S11" s="50">
        <v>136.38</v>
      </c>
      <c r="T11" s="29">
        <f t="shared" si="1"/>
        <v>566.38</v>
      </c>
      <c r="U11" s="29">
        <f t="shared" si="2"/>
        <v>4104.2299999999996</v>
      </c>
      <c r="V11" s="28">
        <f t="shared" si="3"/>
        <v>0</v>
      </c>
      <c r="W11" s="28">
        <f t="shared" si="4"/>
        <v>0.34000000000003183</v>
      </c>
      <c r="X11" s="28">
        <f t="shared" si="5"/>
        <v>0.34000000000003183</v>
      </c>
    </row>
    <row r="12" spans="1:24" ht="18.75" customHeight="1">
      <c r="A12" s="40">
        <v>6</v>
      </c>
      <c r="B12" s="22" t="s">
        <v>201</v>
      </c>
      <c r="C12" s="40">
        <v>13</v>
      </c>
      <c r="D12" s="40">
        <v>13</v>
      </c>
      <c r="E12" s="29">
        <v>1634.5260000000001</v>
      </c>
      <c r="F12" s="29">
        <v>263.12</v>
      </c>
      <c r="G12" s="29">
        <f t="shared" si="0"/>
        <v>1897.6460000000002</v>
      </c>
      <c r="H12" s="37">
        <v>1634.5260000000001</v>
      </c>
      <c r="I12" s="37">
        <v>60</v>
      </c>
      <c r="J12" s="37">
        <v>6</v>
      </c>
      <c r="K12" s="37">
        <v>40</v>
      </c>
      <c r="L12" s="37">
        <v>3</v>
      </c>
      <c r="M12" s="37">
        <v>10</v>
      </c>
      <c r="N12" s="37">
        <v>27</v>
      </c>
      <c r="O12" s="37">
        <v>10</v>
      </c>
      <c r="P12" s="37"/>
      <c r="Q12" s="37">
        <v>15</v>
      </c>
      <c r="R12" s="37"/>
      <c r="S12" s="37">
        <v>92.12</v>
      </c>
      <c r="T12" s="29">
        <f t="shared" si="1"/>
        <v>263.12</v>
      </c>
      <c r="U12" s="29">
        <f t="shared" si="2"/>
        <v>1897.6460000000002</v>
      </c>
      <c r="V12" s="28">
        <f t="shared" si="3"/>
        <v>0</v>
      </c>
      <c r="W12" s="28">
        <f t="shared" si="4"/>
        <v>0</v>
      </c>
      <c r="X12" s="28">
        <f t="shared" si="5"/>
        <v>0</v>
      </c>
    </row>
    <row r="13" spans="1:24" ht="18.75" customHeight="1">
      <c r="A13" s="40">
        <v>7</v>
      </c>
      <c r="B13" s="22" t="s">
        <v>202</v>
      </c>
      <c r="C13" s="40">
        <v>22</v>
      </c>
      <c r="D13" s="40">
        <v>22</v>
      </c>
      <c r="E13" s="29">
        <v>2473.913</v>
      </c>
      <c r="F13" s="29">
        <v>445.28</v>
      </c>
      <c r="G13" s="29">
        <f t="shared" si="0"/>
        <v>2919.1930000000002</v>
      </c>
      <c r="H13" s="29">
        <v>2473.913</v>
      </c>
      <c r="I13" s="29"/>
      <c r="J13" s="29">
        <v>12.726793000000001</v>
      </c>
      <c r="K13" s="29">
        <v>70.108000000000004</v>
      </c>
      <c r="L13" s="29">
        <v>9.3149999999999995</v>
      </c>
      <c r="M13" s="29">
        <v>55.211000000000006</v>
      </c>
      <c r="N13" s="29">
        <v>24</v>
      </c>
      <c r="O13" s="29">
        <v>15.645</v>
      </c>
      <c r="P13" s="29">
        <v>60</v>
      </c>
      <c r="Q13" s="29">
        <v>101.262</v>
      </c>
      <c r="R13" s="29"/>
      <c r="S13" s="29">
        <v>96.950999999999993</v>
      </c>
      <c r="T13" s="29">
        <f t="shared" si="1"/>
        <v>445.21879300000001</v>
      </c>
      <c r="U13" s="29">
        <f t="shared" si="2"/>
        <v>2919.131793</v>
      </c>
      <c r="V13" s="28">
        <f t="shared" si="3"/>
        <v>0</v>
      </c>
      <c r="W13" s="28">
        <f t="shared" si="4"/>
        <v>6.1206999999967593E-2</v>
      </c>
      <c r="X13" s="28">
        <f t="shared" si="5"/>
        <v>6.1206999999967593E-2</v>
      </c>
    </row>
    <row r="14" spans="1:24" ht="18.75" customHeight="1">
      <c r="A14" s="40">
        <v>8</v>
      </c>
      <c r="B14" s="22" t="s">
        <v>203</v>
      </c>
      <c r="C14" s="40">
        <v>13</v>
      </c>
      <c r="D14" s="40">
        <v>12</v>
      </c>
      <c r="E14" s="29">
        <v>1693.4290000000001</v>
      </c>
      <c r="F14" s="29">
        <v>263.12</v>
      </c>
      <c r="G14" s="29">
        <f t="shared" si="0"/>
        <v>1956.549</v>
      </c>
      <c r="H14" s="29">
        <v>1693.4290000000001</v>
      </c>
      <c r="I14" s="29">
        <v>41.695</v>
      </c>
      <c r="J14" s="29">
        <v>11.606782000000001</v>
      </c>
      <c r="K14" s="29"/>
      <c r="L14" s="29">
        <v>4.2023999999999999</v>
      </c>
      <c r="M14" s="29">
        <v>15.772</v>
      </c>
      <c r="N14" s="29">
        <v>30</v>
      </c>
      <c r="O14" s="29">
        <v>16.3</v>
      </c>
      <c r="P14" s="29">
        <v>10.5</v>
      </c>
      <c r="Q14" s="29">
        <v>76.945999999999998</v>
      </c>
      <c r="R14" s="29"/>
      <c r="S14" s="29">
        <v>56.547944000000001</v>
      </c>
      <c r="T14" s="29">
        <f t="shared" si="1"/>
        <v>263.57012600000002</v>
      </c>
      <c r="U14" s="29">
        <f t="shared" si="2"/>
        <v>1956.9991260000002</v>
      </c>
      <c r="V14" s="28">
        <f t="shared" si="3"/>
        <v>0</v>
      </c>
      <c r="W14" s="28">
        <f t="shared" si="4"/>
        <v>-0.45012600000001157</v>
      </c>
      <c r="X14" s="28">
        <f t="shared" si="5"/>
        <v>-0.45012600000001157</v>
      </c>
    </row>
    <row r="15" spans="1:24" ht="18.75" customHeight="1">
      <c r="A15" s="40">
        <v>9</v>
      </c>
      <c r="B15" s="22" t="s">
        <v>204</v>
      </c>
      <c r="C15" s="40">
        <v>16</v>
      </c>
      <c r="D15" s="40">
        <v>16</v>
      </c>
      <c r="E15" s="29">
        <v>2064.335</v>
      </c>
      <c r="F15" s="29">
        <v>323.83999999999997</v>
      </c>
      <c r="G15" s="29">
        <f t="shared" si="0"/>
        <v>2388.1750000000002</v>
      </c>
      <c r="H15" s="29">
        <v>2064.335</v>
      </c>
      <c r="I15" s="29">
        <v>42</v>
      </c>
      <c r="J15" s="29">
        <v>13</v>
      </c>
      <c r="K15" s="29">
        <v>10</v>
      </c>
      <c r="L15" s="29">
        <v>6.5</v>
      </c>
      <c r="M15" s="29">
        <v>55</v>
      </c>
      <c r="N15" s="29">
        <v>35</v>
      </c>
      <c r="O15" s="29">
        <v>17</v>
      </c>
      <c r="P15" s="29">
        <v>9</v>
      </c>
      <c r="Q15" s="29">
        <v>70</v>
      </c>
      <c r="R15" s="29"/>
      <c r="S15" s="29">
        <v>66.540999999999997</v>
      </c>
      <c r="T15" s="29">
        <f t="shared" si="1"/>
        <v>324.041</v>
      </c>
      <c r="U15" s="29">
        <f t="shared" si="2"/>
        <v>2388.3760000000002</v>
      </c>
      <c r="V15" s="28">
        <f t="shared" si="3"/>
        <v>0</v>
      </c>
      <c r="W15" s="28">
        <f t="shared" si="4"/>
        <v>-0.20100000000002183</v>
      </c>
      <c r="X15" s="28">
        <f t="shared" si="5"/>
        <v>-0.20100000000002183</v>
      </c>
    </row>
    <row r="16" spans="1:24" ht="18.75" customHeight="1">
      <c r="A16" s="40">
        <v>10</v>
      </c>
      <c r="B16" s="22" t="s">
        <v>205</v>
      </c>
      <c r="C16" s="40">
        <v>14</v>
      </c>
      <c r="D16" s="40">
        <v>14</v>
      </c>
      <c r="E16" s="29">
        <v>1673.88</v>
      </c>
      <c r="F16" s="29">
        <v>283.36</v>
      </c>
      <c r="G16" s="29">
        <f t="shared" si="0"/>
        <v>1957.2400000000002</v>
      </c>
      <c r="H16" s="29">
        <v>1673.88</v>
      </c>
      <c r="I16" s="29">
        <v>12</v>
      </c>
      <c r="J16" s="29">
        <v>9.3290000000000006</v>
      </c>
      <c r="K16" s="29">
        <v>7.5</v>
      </c>
      <c r="L16" s="29">
        <v>5.7</v>
      </c>
      <c r="M16" s="29">
        <v>70</v>
      </c>
      <c r="N16" s="29">
        <v>30</v>
      </c>
      <c r="O16" s="29">
        <v>15</v>
      </c>
      <c r="P16" s="29">
        <v>6</v>
      </c>
      <c r="Q16" s="29">
        <v>82</v>
      </c>
      <c r="R16" s="29"/>
      <c r="S16" s="29">
        <v>46</v>
      </c>
      <c r="T16" s="29">
        <f t="shared" si="1"/>
        <v>283.529</v>
      </c>
      <c r="U16" s="29">
        <f t="shared" si="2"/>
        <v>1957.4090000000001</v>
      </c>
      <c r="V16" s="28">
        <f t="shared" si="3"/>
        <v>0</v>
      </c>
      <c r="W16" s="28">
        <f t="shared" si="4"/>
        <v>-0.16899999999998272</v>
      </c>
      <c r="X16" s="28">
        <f t="shared" si="5"/>
        <v>-0.16899999999998272</v>
      </c>
    </row>
    <row r="17" spans="1:24" ht="18.75" customHeight="1">
      <c r="A17" s="40">
        <v>11</v>
      </c>
      <c r="B17" s="22" t="s">
        <v>206</v>
      </c>
      <c r="C17" s="40">
        <v>11</v>
      </c>
      <c r="D17" s="40">
        <v>11</v>
      </c>
      <c r="E17" s="29">
        <v>1298.538</v>
      </c>
      <c r="F17" s="29">
        <v>222.64</v>
      </c>
      <c r="G17" s="29">
        <f t="shared" si="0"/>
        <v>1521.1779999999999</v>
      </c>
      <c r="H17" s="29">
        <v>1298.538</v>
      </c>
      <c r="I17" s="29">
        <v>25</v>
      </c>
      <c r="J17" s="29">
        <v>3</v>
      </c>
      <c r="K17" s="29">
        <v>10</v>
      </c>
      <c r="L17" s="29">
        <v>1</v>
      </c>
      <c r="M17" s="29">
        <v>45</v>
      </c>
      <c r="N17" s="29">
        <v>19.2</v>
      </c>
      <c r="O17" s="29">
        <v>35</v>
      </c>
      <c r="P17" s="29">
        <v>30</v>
      </c>
      <c r="Q17" s="29">
        <v>25</v>
      </c>
      <c r="R17" s="29"/>
      <c r="S17" s="29">
        <v>29.878</v>
      </c>
      <c r="T17" s="29">
        <f t="shared" si="1"/>
        <v>223.07799999999997</v>
      </c>
      <c r="U17" s="29">
        <f t="shared" si="2"/>
        <v>1521.616</v>
      </c>
      <c r="V17" s="28">
        <f t="shared" si="3"/>
        <v>0</v>
      </c>
      <c r="W17" s="28">
        <f t="shared" si="4"/>
        <v>-0.43799999999998818</v>
      </c>
      <c r="X17" s="28">
        <f t="shared" si="5"/>
        <v>-0.43799999999998818</v>
      </c>
    </row>
    <row r="18" spans="1:24" ht="18.75" customHeight="1">
      <c r="A18" s="40">
        <v>12</v>
      </c>
      <c r="B18" s="22" t="s">
        <v>65</v>
      </c>
      <c r="C18" s="40">
        <v>40</v>
      </c>
      <c r="D18" s="40">
        <v>40</v>
      </c>
      <c r="E18" s="29">
        <v>5891.8689999999997</v>
      </c>
      <c r="F18" s="29">
        <v>844.8</v>
      </c>
      <c r="G18" s="29">
        <f t="shared" si="0"/>
        <v>6736.6689999999999</v>
      </c>
      <c r="H18" s="29">
        <v>5891.8689999999997</v>
      </c>
      <c r="I18" s="29"/>
      <c r="J18" s="29">
        <v>30</v>
      </c>
      <c r="K18" s="29">
        <v>155</v>
      </c>
      <c r="L18" s="29">
        <v>2.5</v>
      </c>
      <c r="M18" s="29">
        <v>145</v>
      </c>
      <c r="N18" s="29">
        <v>30</v>
      </c>
      <c r="O18" s="29">
        <v>17</v>
      </c>
      <c r="P18" s="29">
        <v>70</v>
      </c>
      <c r="Q18" s="29">
        <v>120</v>
      </c>
      <c r="R18" s="29"/>
      <c r="S18" s="29">
        <v>275.73699999999997</v>
      </c>
      <c r="T18" s="29">
        <f t="shared" si="1"/>
        <v>845.23699999999997</v>
      </c>
      <c r="U18" s="29">
        <f t="shared" si="2"/>
        <v>6737.1059999999998</v>
      </c>
      <c r="V18" s="28">
        <f t="shared" si="3"/>
        <v>0</v>
      </c>
      <c r="W18" s="28">
        <f t="shared" si="4"/>
        <v>-0.43700000000001182</v>
      </c>
      <c r="X18" s="28">
        <f t="shared" si="5"/>
        <v>-0.43700000000001182</v>
      </c>
    </row>
    <row r="19" spans="1:24" ht="18.75" customHeight="1">
      <c r="A19" s="40">
        <v>13</v>
      </c>
      <c r="B19" s="22" t="s">
        <v>66</v>
      </c>
      <c r="C19" s="40">
        <v>49</v>
      </c>
      <c r="D19" s="40">
        <v>47</v>
      </c>
      <c r="E19" s="29">
        <v>6638.8890000000001</v>
      </c>
      <c r="F19" s="29">
        <v>1034.8800000000001</v>
      </c>
      <c r="G19" s="29">
        <f t="shared" si="0"/>
        <v>7673.7690000000002</v>
      </c>
      <c r="H19" s="29">
        <v>6638.8890000000001</v>
      </c>
      <c r="I19" s="29"/>
      <c r="J19" s="29">
        <v>20.865439000000002</v>
      </c>
      <c r="K19" s="29">
        <v>200</v>
      </c>
      <c r="L19" s="29">
        <v>20.617153999999999</v>
      </c>
      <c r="M19" s="29">
        <v>151.25</v>
      </c>
      <c r="N19" s="29">
        <v>33.799999999999997</v>
      </c>
      <c r="O19" s="29">
        <v>100</v>
      </c>
      <c r="P19" s="29">
        <v>150</v>
      </c>
      <c r="Q19" s="29">
        <v>42.950200000000002</v>
      </c>
      <c r="R19" s="29"/>
      <c r="S19" s="29">
        <v>315.322</v>
      </c>
      <c r="T19" s="29">
        <f t="shared" si="1"/>
        <v>1034.804793</v>
      </c>
      <c r="U19" s="29">
        <f t="shared" si="2"/>
        <v>7673.6937930000004</v>
      </c>
      <c r="V19" s="28">
        <f t="shared" si="3"/>
        <v>0</v>
      </c>
      <c r="W19" s="28">
        <f t="shared" si="4"/>
        <v>7.5207000000091284E-2</v>
      </c>
      <c r="X19" s="28">
        <f t="shared" si="5"/>
        <v>7.5207000000091284E-2</v>
      </c>
    </row>
    <row r="20" spans="1:24" ht="18.75" customHeight="1">
      <c r="A20" s="40">
        <v>14</v>
      </c>
      <c r="B20" s="22" t="s">
        <v>67</v>
      </c>
      <c r="C20" s="40">
        <v>26</v>
      </c>
      <c r="D20" s="40">
        <v>24</v>
      </c>
      <c r="E20" s="29">
        <v>4062.125</v>
      </c>
      <c r="F20" s="29">
        <v>513.04</v>
      </c>
      <c r="G20" s="29">
        <f t="shared" si="0"/>
        <v>4575.165</v>
      </c>
      <c r="H20" s="29">
        <v>4062.125</v>
      </c>
      <c r="I20" s="29">
        <v>35</v>
      </c>
      <c r="J20" s="29">
        <v>22</v>
      </c>
      <c r="K20" s="29">
        <v>40</v>
      </c>
      <c r="L20" s="29">
        <v>8</v>
      </c>
      <c r="M20" s="29">
        <v>130</v>
      </c>
      <c r="N20" s="29">
        <v>46</v>
      </c>
      <c r="O20" s="29">
        <v>12</v>
      </c>
      <c r="P20" s="29">
        <v>20</v>
      </c>
      <c r="Q20" s="29">
        <v>60</v>
      </c>
      <c r="R20" s="29"/>
      <c r="S20" s="29">
        <v>140.48699999999999</v>
      </c>
      <c r="T20" s="29">
        <f t="shared" si="1"/>
        <v>513.48699999999997</v>
      </c>
      <c r="U20" s="29">
        <f t="shared" si="2"/>
        <v>4575.6120000000001</v>
      </c>
      <c r="V20" s="28">
        <f t="shared" si="3"/>
        <v>0</v>
      </c>
      <c r="W20" s="28">
        <f t="shared" si="4"/>
        <v>-0.44700000000000273</v>
      </c>
      <c r="X20" s="28">
        <f t="shared" si="5"/>
        <v>-0.44700000000000273</v>
      </c>
    </row>
    <row r="21" spans="1:24" ht="18.75" customHeight="1">
      <c r="A21" s="40">
        <v>15</v>
      </c>
      <c r="B21" s="22" t="s">
        <v>68</v>
      </c>
      <c r="C21" s="40">
        <v>18</v>
      </c>
      <c r="D21" s="40">
        <v>18</v>
      </c>
      <c r="E21" s="29">
        <v>3064.8090000000002</v>
      </c>
      <c r="F21" s="29">
        <v>380.16</v>
      </c>
      <c r="G21" s="29">
        <f t="shared" si="0"/>
        <v>3444.9690000000001</v>
      </c>
      <c r="H21" s="29">
        <v>3064.8090000000002</v>
      </c>
      <c r="I21" s="29">
        <v>65.012</v>
      </c>
      <c r="J21" s="29">
        <v>15.212999999999999</v>
      </c>
      <c r="K21" s="29">
        <v>18.285</v>
      </c>
      <c r="L21" s="29">
        <v>7.477779</v>
      </c>
      <c r="M21" s="29">
        <v>78.87</v>
      </c>
      <c r="N21" s="29">
        <v>25.32</v>
      </c>
      <c r="O21" s="29">
        <v>32.619</v>
      </c>
      <c r="P21" s="29">
        <v>53.599999999999994</v>
      </c>
      <c r="Q21" s="29">
        <v>45</v>
      </c>
      <c r="R21" s="29"/>
      <c r="S21" s="29">
        <v>38.600999999999999</v>
      </c>
      <c r="T21" s="29">
        <f t="shared" si="1"/>
        <v>379.99777899999998</v>
      </c>
      <c r="U21" s="29">
        <f t="shared" si="2"/>
        <v>3444.806779</v>
      </c>
      <c r="V21" s="28">
        <f t="shared" si="3"/>
        <v>0</v>
      </c>
      <c r="W21" s="28">
        <f t="shared" si="4"/>
        <v>0.16222100000004502</v>
      </c>
      <c r="X21" s="28">
        <f t="shared" si="5"/>
        <v>0.16222100000004502</v>
      </c>
    </row>
    <row r="22" spans="1:24" ht="18.75" customHeight="1">
      <c r="A22" s="40">
        <v>16</v>
      </c>
      <c r="B22" s="22" t="s">
        <v>69</v>
      </c>
      <c r="C22" s="40">
        <v>43</v>
      </c>
      <c r="D22" s="40">
        <v>40</v>
      </c>
      <c r="E22" s="50">
        <v>6891.9250000000002</v>
      </c>
      <c r="F22" s="50">
        <v>908.16</v>
      </c>
      <c r="G22" s="29">
        <f t="shared" si="0"/>
        <v>7800.085</v>
      </c>
      <c r="H22" s="50">
        <v>6891.9250000000002</v>
      </c>
      <c r="I22" s="50"/>
      <c r="J22" s="50">
        <v>34</v>
      </c>
      <c r="K22" s="50">
        <v>100.8905</v>
      </c>
      <c r="L22" s="50">
        <v>15</v>
      </c>
      <c r="M22" s="50">
        <v>150</v>
      </c>
      <c r="N22" s="50">
        <v>10</v>
      </c>
      <c r="O22" s="50">
        <v>70</v>
      </c>
      <c r="P22" s="50">
        <v>80</v>
      </c>
      <c r="Q22" s="50">
        <v>250</v>
      </c>
      <c r="R22" s="50"/>
      <c r="S22" s="50">
        <v>198.2955</v>
      </c>
      <c r="T22" s="29">
        <f t="shared" si="1"/>
        <v>908.18599999999992</v>
      </c>
      <c r="U22" s="29">
        <f t="shared" si="2"/>
        <v>7800.1109999999999</v>
      </c>
      <c r="V22" s="28">
        <f t="shared" si="3"/>
        <v>0</v>
      </c>
      <c r="W22" s="28">
        <f t="shared" si="4"/>
        <v>-2.5999999999953616E-2</v>
      </c>
      <c r="X22" s="28">
        <f t="shared" si="5"/>
        <v>-2.5999999999953616E-2</v>
      </c>
    </row>
    <row r="23" spans="1:24" ht="18.75" customHeight="1">
      <c r="A23" s="40">
        <v>17</v>
      </c>
      <c r="B23" s="51" t="s">
        <v>70</v>
      </c>
      <c r="C23" s="40">
        <v>21</v>
      </c>
      <c r="D23" s="40">
        <v>20</v>
      </c>
      <c r="E23" s="37">
        <v>2995.9609999999998</v>
      </c>
      <c r="F23" s="37">
        <v>428.56</v>
      </c>
      <c r="G23" s="29">
        <f t="shared" si="0"/>
        <v>3424.5209999999997</v>
      </c>
      <c r="H23" s="37">
        <v>2995.9609999999998</v>
      </c>
      <c r="I23" s="37">
        <v>80</v>
      </c>
      <c r="J23" s="37">
        <v>9</v>
      </c>
      <c r="K23" s="37">
        <v>40</v>
      </c>
      <c r="L23" s="37">
        <v>7</v>
      </c>
      <c r="M23" s="37">
        <v>80</v>
      </c>
      <c r="N23" s="37">
        <v>5</v>
      </c>
      <c r="O23" s="37">
        <v>20</v>
      </c>
      <c r="P23" s="37">
        <v>10</v>
      </c>
      <c r="Q23" s="37">
        <v>95.120900000000006</v>
      </c>
      <c r="R23" s="37"/>
      <c r="S23" s="37">
        <v>82.24</v>
      </c>
      <c r="T23" s="29">
        <f t="shared" si="1"/>
        <v>428.36090000000002</v>
      </c>
      <c r="U23" s="29">
        <f t="shared" si="2"/>
        <v>3424.3218999999999</v>
      </c>
      <c r="V23" s="28">
        <f t="shared" si="3"/>
        <v>0</v>
      </c>
      <c r="W23" s="28">
        <f t="shared" si="4"/>
        <v>0.19909999999998718</v>
      </c>
      <c r="X23" s="28">
        <f t="shared" si="5"/>
        <v>0.19909999999998718</v>
      </c>
    </row>
    <row r="24" spans="1:24" ht="18.75" customHeight="1">
      <c r="A24" s="40">
        <v>18</v>
      </c>
      <c r="B24" s="22" t="s">
        <v>71</v>
      </c>
      <c r="C24" s="40">
        <v>27</v>
      </c>
      <c r="D24" s="40">
        <v>26</v>
      </c>
      <c r="E24" s="29">
        <v>4057.3670000000002</v>
      </c>
      <c r="F24" s="29">
        <v>570.24</v>
      </c>
      <c r="G24" s="29">
        <f t="shared" si="0"/>
        <v>4627.607</v>
      </c>
      <c r="H24" s="29">
        <v>4057.3670000000002</v>
      </c>
      <c r="I24" s="29"/>
      <c r="J24" s="29">
        <v>18.687021999999999</v>
      </c>
      <c r="K24" s="29">
        <v>53.637999999999998</v>
      </c>
      <c r="L24" s="29">
        <v>7.8303039999999999</v>
      </c>
      <c r="M24" s="29">
        <v>140.11600000000001</v>
      </c>
      <c r="N24" s="29">
        <v>26.4</v>
      </c>
      <c r="O24" s="29">
        <v>35.156999999999996</v>
      </c>
      <c r="P24" s="29">
        <v>82</v>
      </c>
      <c r="Q24" s="29">
        <v>95.296599999999998</v>
      </c>
      <c r="R24" s="29"/>
      <c r="S24" s="29">
        <v>111.28500000000001</v>
      </c>
      <c r="T24" s="29">
        <f t="shared" si="1"/>
        <v>570.40992600000004</v>
      </c>
      <c r="U24" s="29">
        <f t="shared" si="2"/>
        <v>4627.7769260000005</v>
      </c>
      <c r="V24" s="28">
        <f t="shared" si="3"/>
        <v>0</v>
      </c>
      <c r="W24" s="28">
        <f t="shared" si="4"/>
        <v>-0.16992600000003222</v>
      </c>
      <c r="X24" s="28">
        <f t="shared" si="5"/>
        <v>-0.16992600000003222</v>
      </c>
    </row>
    <row r="25" spans="1:24" ht="18.75" customHeight="1">
      <c r="A25" s="40">
        <v>19</v>
      </c>
      <c r="B25" s="22" t="s">
        <v>72</v>
      </c>
      <c r="C25" s="40">
        <v>19</v>
      </c>
      <c r="D25" s="40">
        <v>17</v>
      </c>
      <c r="E25" s="29">
        <v>2324.5790000000002</v>
      </c>
      <c r="F25" s="29">
        <v>401.28</v>
      </c>
      <c r="G25" s="29">
        <f t="shared" si="0"/>
        <v>2725.8590000000004</v>
      </c>
      <c r="H25" s="29">
        <v>2324.5790000000002</v>
      </c>
      <c r="I25" s="29"/>
      <c r="J25" s="29">
        <v>37.141022999999997</v>
      </c>
      <c r="K25" s="29">
        <v>51.637999999999998</v>
      </c>
      <c r="L25" s="29">
        <v>2.9384000000000001</v>
      </c>
      <c r="M25" s="29">
        <v>90.841999999999999</v>
      </c>
      <c r="N25" s="29">
        <v>30</v>
      </c>
      <c r="O25" s="29">
        <v>2.5</v>
      </c>
      <c r="P25" s="29">
        <v>50</v>
      </c>
      <c r="Q25" s="29">
        <v>71.677000000000007</v>
      </c>
      <c r="R25" s="29"/>
      <c r="S25" s="29">
        <v>64.629000000000005</v>
      </c>
      <c r="T25" s="29">
        <f t="shared" si="1"/>
        <v>401.36542300000002</v>
      </c>
      <c r="U25" s="29">
        <f t="shared" si="2"/>
        <v>2725.9444230000004</v>
      </c>
      <c r="V25" s="28">
        <f t="shared" si="3"/>
        <v>0</v>
      </c>
      <c r="W25" s="28">
        <f t="shared" si="4"/>
        <v>-8.5423000000048432E-2</v>
      </c>
      <c r="X25" s="28">
        <f t="shared" si="5"/>
        <v>-8.5423000000048432E-2</v>
      </c>
    </row>
    <row r="26" spans="1:24" ht="18.75" customHeight="1">
      <c r="A26" s="40">
        <v>20</v>
      </c>
      <c r="B26" s="22" t="s">
        <v>73</v>
      </c>
      <c r="C26" s="40">
        <v>26</v>
      </c>
      <c r="D26" s="40">
        <v>26</v>
      </c>
      <c r="E26" s="29">
        <v>4272.3850000000002</v>
      </c>
      <c r="F26" s="29">
        <v>570.24</v>
      </c>
      <c r="G26" s="29">
        <f t="shared" si="0"/>
        <v>4842.625</v>
      </c>
      <c r="H26" s="29">
        <v>4272.3850000000002</v>
      </c>
      <c r="I26" s="29">
        <v>90</v>
      </c>
      <c r="J26" s="29">
        <v>21.277123</v>
      </c>
      <c r="K26" s="29"/>
      <c r="L26" s="29">
        <v>7.2097689999999997</v>
      </c>
      <c r="M26" s="29">
        <v>100.538</v>
      </c>
      <c r="N26" s="29">
        <v>56.06617</v>
      </c>
      <c r="O26" s="29">
        <v>47.143540000000002</v>
      </c>
      <c r="P26" s="29">
        <v>35.454000000000001</v>
      </c>
      <c r="Q26" s="29">
        <v>95.147999999999996</v>
      </c>
      <c r="R26" s="29"/>
      <c r="S26" s="29">
        <v>117.03035199999999</v>
      </c>
      <c r="T26" s="29">
        <f t="shared" si="1"/>
        <v>569.86695399999996</v>
      </c>
      <c r="U26" s="29">
        <f t="shared" si="2"/>
        <v>4842.2519540000003</v>
      </c>
      <c r="V26" s="28">
        <f t="shared" si="3"/>
        <v>0</v>
      </c>
      <c r="W26" s="28">
        <f t="shared" si="4"/>
        <v>0.37304600000004484</v>
      </c>
      <c r="X26" s="28">
        <f t="shared" si="5"/>
        <v>0.37304600000004484</v>
      </c>
    </row>
    <row r="27" spans="1:24" ht="18.75" customHeight="1">
      <c r="A27" s="40">
        <v>21</v>
      </c>
      <c r="B27" s="22" t="s">
        <v>74</v>
      </c>
      <c r="C27" s="40">
        <v>33</v>
      </c>
      <c r="D27" s="40">
        <v>32</v>
      </c>
      <c r="E27" s="29">
        <v>5369.1369999999997</v>
      </c>
      <c r="F27" s="29">
        <v>696.96</v>
      </c>
      <c r="G27" s="29">
        <f t="shared" si="0"/>
        <v>6066.0969999999998</v>
      </c>
      <c r="H27" s="29">
        <v>5369.1369999999997</v>
      </c>
      <c r="I27" s="29">
        <v>47</v>
      </c>
      <c r="J27" s="29">
        <v>25</v>
      </c>
      <c r="K27" s="29">
        <v>18</v>
      </c>
      <c r="L27" s="29">
        <v>12</v>
      </c>
      <c r="M27" s="29">
        <v>205.52</v>
      </c>
      <c r="N27" s="29">
        <v>36</v>
      </c>
      <c r="O27" s="29">
        <v>24</v>
      </c>
      <c r="P27" s="29">
        <v>25</v>
      </c>
      <c r="Q27" s="29">
        <v>106</v>
      </c>
      <c r="R27" s="29"/>
      <c r="S27" s="29">
        <v>198</v>
      </c>
      <c r="T27" s="29">
        <f t="shared" si="1"/>
        <v>696.52</v>
      </c>
      <c r="U27" s="29">
        <f t="shared" si="2"/>
        <v>6065.6569999999992</v>
      </c>
      <c r="V27" s="28">
        <f t="shared" si="3"/>
        <v>0</v>
      </c>
      <c r="W27" s="28">
        <f t="shared" si="4"/>
        <v>0.44000000000005457</v>
      </c>
      <c r="X27" s="28">
        <f t="shared" si="5"/>
        <v>0.44000000000005457</v>
      </c>
    </row>
    <row r="28" spans="1:24" ht="18.75" customHeight="1">
      <c r="A28" s="40">
        <v>22</v>
      </c>
      <c r="B28" s="22" t="s">
        <v>75</v>
      </c>
      <c r="C28" s="40">
        <v>22</v>
      </c>
      <c r="D28" s="40">
        <v>22</v>
      </c>
      <c r="E28" s="29">
        <v>3360.06</v>
      </c>
      <c r="F28" s="29">
        <v>464.64</v>
      </c>
      <c r="G28" s="29">
        <f t="shared" si="0"/>
        <v>3824.7</v>
      </c>
      <c r="H28" s="29">
        <v>3360.06</v>
      </c>
      <c r="I28" s="29">
        <v>39</v>
      </c>
      <c r="J28" s="29">
        <v>12</v>
      </c>
      <c r="K28" s="29">
        <v>9</v>
      </c>
      <c r="L28" s="29">
        <v>9</v>
      </c>
      <c r="M28" s="29">
        <v>113</v>
      </c>
      <c r="N28" s="29">
        <v>37</v>
      </c>
      <c r="O28" s="29">
        <v>23</v>
      </c>
      <c r="P28" s="29">
        <v>17</v>
      </c>
      <c r="Q28" s="29">
        <v>102</v>
      </c>
      <c r="R28" s="29"/>
      <c r="S28" s="29">
        <v>104</v>
      </c>
      <c r="T28" s="29">
        <f t="shared" si="1"/>
        <v>465</v>
      </c>
      <c r="U28" s="29">
        <f t="shared" si="2"/>
        <v>3825.06</v>
      </c>
      <c r="V28" s="28">
        <f t="shared" si="3"/>
        <v>0</v>
      </c>
      <c r="W28" s="28">
        <f t="shared" si="4"/>
        <v>-0.36000000000001364</v>
      </c>
      <c r="X28" s="28">
        <f t="shared" si="5"/>
        <v>-0.36000000000001364</v>
      </c>
    </row>
    <row r="29" spans="1:24" ht="18.75" customHeight="1">
      <c r="A29" s="40">
        <v>23</v>
      </c>
      <c r="B29" s="51" t="s">
        <v>166</v>
      </c>
      <c r="C29" s="40">
        <v>17</v>
      </c>
      <c r="D29" s="40">
        <v>16</v>
      </c>
      <c r="E29" s="29">
        <v>2208.1219999999998</v>
      </c>
      <c r="F29" s="29">
        <v>359.04</v>
      </c>
      <c r="G29" s="29">
        <f t="shared" si="0"/>
        <v>2567.1619999999998</v>
      </c>
      <c r="H29" s="29">
        <v>2208.1219999999998</v>
      </c>
      <c r="I29" s="29">
        <v>60</v>
      </c>
      <c r="J29" s="29">
        <v>3.573</v>
      </c>
      <c r="K29" s="29">
        <v>25</v>
      </c>
      <c r="L29" s="29">
        <v>1.82</v>
      </c>
      <c r="M29" s="29">
        <v>115</v>
      </c>
      <c r="N29" s="29">
        <v>37</v>
      </c>
      <c r="O29" s="29">
        <v>40</v>
      </c>
      <c r="P29" s="29"/>
      <c r="Q29" s="29">
        <v>35</v>
      </c>
      <c r="R29" s="29"/>
      <c r="S29" s="29">
        <v>41.469000000000001</v>
      </c>
      <c r="T29" s="29">
        <f t="shared" si="1"/>
        <v>358.86200000000002</v>
      </c>
      <c r="U29" s="29">
        <f t="shared" si="2"/>
        <v>2566.9839999999999</v>
      </c>
      <c r="V29" s="28">
        <f t="shared" si="3"/>
        <v>0</v>
      </c>
      <c r="W29" s="28">
        <f t="shared" si="4"/>
        <v>0.17799999999999727</v>
      </c>
      <c r="X29" s="28">
        <f t="shared" si="5"/>
        <v>0.17799999999999727</v>
      </c>
    </row>
    <row r="30" spans="1:24" ht="18.75" customHeight="1">
      <c r="A30" s="40">
        <v>24</v>
      </c>
      <c r="B30" s="22" t="s">
        <v>76</v>
      </c>
      <c r="C30" s="40">
        <v>21</v>
      </c>
      <c r="D30" s="40">
        <v>21</v>
      </c>
      <c r="E30" s="29">
        <v>3085.9789999999998</v>
      </c>
      <c r="F30" s="29">
        <v>443.52</v>
      </c>
      <c r="G30" s="29">
        <f t="shared" si="0"/>
        <v>3529.4989999999998</v>
      </c>
      <c r="H30" s="29">
        <v>3085.9789999999998</v>
      </c>
      <c r="I30" s="29"/>
      <c r="J30" s="29">
        <v>38.678303999999997</v>
      </c>
      <c r="K30" s="29">
        <v>53</v>
      </c>
      <c r="L30" s="29">
        <v>2.4179400000000002</v>
      </c>
      <c r="M30" s="29">
        <v>120.5</v>
      </c>
      <c r="N30" s="29">
        <v>31.2</v>
      </c>
      <c r="O30" s="29">
        <v>62.5</v>
      </c>
      <c r="P30" s="29">
        <v>34</v>
      </c>
      <c r="Q30" s="29">
        <v>55.599999999999994</v>
      </c>
      <c r="R30" s="29"/>
      <c r="S30" s="29">
        <v>45.292999999999992</v>
      </c>
      <c r="T30" s="29">
        <f t="shared" si="1"/>
        <v>443.18924400000003</v>
      </c>
      <c r="U30" s="29">
        <f t="shared" si="2"/>
        <v>3529.168244</v>
      </c>
      <c r="V30" s="28">
        <f t="shared" si="3"/>
        <v>0</v>
      </c>
      <c r="W30" s="28">
        <f t="shared" si="4"/>
        <v>0.3307559999999512</v>
      </c>
      <c r="X30" s="28">
        <f t="shared" si="5"/>
        <v>0.3307559999999512</v>
      </c>
    </row>
    <row r="31" spans="1:24" ht="18.75" customHeight="1">
      <c r="A31" s="40">
        <v>25</v>
      </c>
      <c r="B31" s="22" t="s">
        <v>77</v>
      </c>
      <c r="C31" s="40">
        <v>20</v>
      </c>
      <c r="D31" s="40">
        <v>20</v>
      </c>
      <c r="E31" s="29">
        <v>2668.8229999999999</v>
      </c>
      <c r="F31" s="29">
        <v>422.4</v>
      </c>
      <c r="G31" s="29">
        <f t="shared" si="0"/>
        <v>3091.223</v>
      </c>
      <c r="H31" s="29">
        <v>2668.8229999999999</v>
      </c>
      <c r="I31" s="29"/>
      <c r="J31" s="29">
        <v>27.633837</v>
      </c>
      <c r="K31" s="29">
        <v>90.221500000000006</v>
      </c>
      <c r="L31" s="29">
        <v>11.505000000000001</v>
      </c>
      <c r="M31" s="29">
        <v>100</v>
      </c>
      <c r="N31" s="29">
        <v>12.588000000000001</v>
      </c>
      <c r="O31" s="29">
        <v>8.85</v>
      </c>
      <c r="P31" s="29">
        <v>50</v>
      </c>
      <c r="Q31" s="29">
        <v>50</v>
      </c>
      <c r="R31" s="29"/>
      <c r="S31" s="29">
        <v>71.259999999999991</v>
      </c>
      <c r="T31" s="29">
        <f t="shared" si="1"/>
        <v>422.05833699999999</v>
      </c>
      <c r="U31" s="29">
        <f t="shared" si="2"/>
        <v>3090.8813369999998</v>
      </c>
      <c r="V31" s="28">
        <f t="shared" si="3"/>
        <v>0</v>
      </c>
      <c r="W31" s="28">
        <f t="shared" si="4"/>
        <v>0.34166299999998273</v>
      </c>
      <c r="X31" s="28">
        <f t="shared" si="5"/>
        <v>0.34166299999998273</v>
      </c>
    </row>
    <row r="32" spans="1:24" ht="18.75" customHeight="1">
      <c r="A32" s="40">
        <v>26</v>
      </c>
      <c r="B32" s="22" t="s">
        <v>78</v>
      </c>
      <c r="C32" s="40">
        <v>21</v>
      </c>
      <c r="D32" s="40">
        <v>21</v>
      </c>
      <c r="E32" s="29">
        <v>2931.277</v>
      </c>
      <c r="F32" s="29">
        <v>443.52</v>
      </c>
      <c r="G32" s="29">
        <f t="shared" si="0"/>
        <v>3374.797</v>
      </c>
      <c r="H32" s="29">
        <v>2931.277</v>
      </c>
      <c r="I32" s="29">
        <v>50</v>
      </c>
      <c r="J32" s="29">
        <v>15</v>
      </c>
      <c r="K32" s="29">
        <v>30</v>
      </c>
      <c r="L32" s="29">
        <v>6</v>
      </c>
      <c r="M32" s="29">
        <v>125</v>
      </c>
      <c r="N32" s="29">
        <v>38</v>
      </c>
      <c r="O32" s="29">
        <v>10</v>
      </c>
      <c r="P32" s="29">
        <v>20</v>
      </c>
      <c r="Q32" s="29">
        <v>78</v>
      </c>
      <c r="R32" s="29"/>
      <c r="S32" s="29">
        <v>71.957999999999998</v>
      </c>
      <c r="T32" s="29">
        <f t="shared" si="1"/>
        <v>443.95799999999997</v>
      </c>
      <c r="U32" s="29">
        <f t="shared" si="2"/>
        <v>3375.2350000000001</v>
      </c>
      <c r="V32" s="28">
        <f t="shared" si="3"/>
        <v>0</v>
      </c>
      <c r="W32" s="28">
        <f t="shared" si="4"/>
        <v>-0.43799999999998818</v>
      </c>
      <c r="X32" s="28">
        <f t="shared" si="5"/>
        <v>-0.43799999999998818</v>
      </c>
    </row>
    <row r="33" spans="1:24" ht="18.75" customHeight="1">
      <c r="A33" s="40">
        <v>27</v>
      </c>
      <c r="B33" s="51" t="s">
        <v>79</v>
      </c>
      <c r="C33" s="40">
        <v>11</v>
      </c>
      <c r="D33" s="40">
        <v>9</v>
      </c>
      <c r="E33" s="29">
        <v>1305.7380000000001</v>
      </c>
      <c r="F33" s="29">
        <v>232.32</v>
      </c>
      <c r="G33" s="29">
        <f t="shared" si="0"/>
        <v>1538.058</v>
      </c>
      <c r="H33" s="29">
        <v>1305.7380000000001</v>
      </c>
      <c r="I33" s="29">
        <v>42.680000000000007</v>
      </c>
      <c r="J33" s="29">
        <v>21.334765000000001</v>
      </c>
      <c r="K33" s="29">
        <v>16.655000000000001</v>
      </c>
      <c r="L33" s="29">
        <v>6.1282680000000003</v>
      </c>
      <c r="M33" s="29">
        <v>55.639000000000003</v>
      </c>
      <c r="N33" s="29">
        <v>12.51</v>
      </c>
      <c r="O33" s="29">
        <v>15.5</v>
      </c>
      <c r="P33" s="29">
        <v>10</v>
      </c>
      <c r="Q33" s="29">
        <v>25</v>
      </c>
      <c r="R33" s="29"/>
      <c r="S33" s="29">
        <v>26.655000000000001</v>
      </c>
      <c r="T33" s="29">
        <f t="shared" si="1"/>
        <v>232.10203300000001</v>
      </c>
      <c r="U33" s="29">
        <f t="shared" si="2"/>
        <v>1537.8400329999999</v>
      </c>
      <c r="V33" s="28">
        <f t="shared" si="3"/>
        <v>0</v>
      </c>
      <c r="W33" s="28">
        <f t="shared" si="4"/>
        <v>0.21796699999998737</v>
      </c>
      <c r="X33" s="28">
        <f t="shared" si="5"/>
        <v>0.21796699999998737</v>
      </c>
    </row>
    <row r="34" spans="1:24" ht="18.75" customHeight="1">
      <c r="A34" s="40">
        <v>28</v>
      </c>
      <c r="B34" s="22" t="s">
        <v>80</v>
      </c>
      <c r="C34" s="40">
        <v>22</v>
      </c>
      <c r="D34" s="40">
        <v>20</v>
      </c>
      <c r="E34" s="50">
        <v>3255.538</v>
      </c>
      <c r="F34" s="50">
        <v>464.64</v>
      </c>
      <c r="G34" s="29">
        <f t="shared" si="0"/>
        <v>3720.1779999999999</v>
      </c>
      <c r="H34" s="50">
        <v>3255.538</v>
      </c>
      <c r="I34" s="50"/>
      <c r="J34" s="50">
        <v>20.399999999999999</v>
      </c>
      <c r="K34" s="50">
        <v>60</v>
      </c>
      <c r="L34" s="50">
        <v>5</v>
      </c>
      <c r="M34" s="50">
        <v>80</v>
      </c>
      <c r="N34" s="50">
        <v>5</v>
      </c>
      <c r="O34" s="50">
        <v>20</v>
      </c>
      <c r="P34" s="50">
        <v>40</v>
      </c>
      <c r="Q34" s="50">
        <v>140</v>
      </c>
      <c r="R34" s="50"/>
      <c r="S34" s="50">
        <v>94.272999999999996</v>
      </c>
      <c r="T34" s="29">
        <f t="shared" si="1"/>
        <v>464.673</v>
      </c>
      <c r="U34" s="29">
        <f t="shared" si="2"/>
        <v>3720.2110000000002</v>
      </c>
      <c r="V34" s="28">
        <f t="shared" si="3"/>
        <v>0</v>
      </c>
      <c r="W34" s="28">
        <f t="shared" si="4"/>
        <v>-3.3000000000015461E-2</v>
      </c>
      <c r="X34" s="28">
        <f t="shared" si="5"/>
        <v>-3.3000000000015461E-2</v>
      </c>
    </row>
    <row r="35" spans="1:24" ht="18.75" customHeight="1">
      <c r="A35" s="40">
        <v>29</v>
      </c>
      <c r="B35" s="51" t="s">
        <v>81</v>
      </c>
      <c r="C35" s="40">
        <v>11</v>
      </c>
      <c r="D35" s="40">
        <v>10</v>
      </c>
      <c r="E35" s="37">
        <v>1650.4549999999999</v>
      </c>
      <c r="F35" s="37">
        <v>232.32</v>
      </c>
      <c r="G35" s="29">
        <f t="shared" si="0"/>
        <v>1882.7749999999999</v>
      </c>
      <c r="H35" s="37">
        <v>1650.4549999999999</v>
      </c>
      <c r="I35" s="37">
        <v>45</v>
      </c>
      <c r="J35" s="37">
        <v>7</v>
      </c>
      <c r="K35" s="37">
        <v>30</v>
      </c>
      <c r="L35" s="37">
        <v>3</v>
      </c>
      <c r="M35" s="37">
        <v>35</v>
      </c>
      <c r="N35" s="37"/>
      <c r="O35" s="37">
        <v>30</v>
      </c>
      <c r="P35" s="37">
        <v>10</v>
      </c>
      <c r="Q35" s="37">
        <v>30</v>
      </c>
      <c r="R35" s="37"/>
      <c r="S35" s="37">
        <v>41.992000000000004</v>
      </c>
      <c r="T35" s="29">
        <f t="shared" si="1"/>
        <v>231.99200000000002</v>
      </c>
      <c r="U35" s="29">
        <f t="shared" si="2"/>
        <v>1882.4469999999999</v>
      </c>
      <c r="V35" s="28">
        <f t="shared" si="3"/>
        <v>0</v>
      </c>
      <c r="W35" s="28">
        <f t="shared" si="4"/>
        <v>0.32799999999997453</v>
      </c>
      <c r="X35" s="28">
        <f t="shared" si="5"/>
        <v>0.32799999999997453</v>
      </c>
    </row>
    <row r="36" spans="1:24" ht="18.75" customHeight="1">
      <c r="A36" s="40">
        <v>30</v>
      </c>
      <c r="B36" s="22" t="s">
        <v>82</v>
      </c>
      <c r="C36" s="40">
        <v>19</v>
      </c>
      <c r="D36" s="40">
        <v>18</v>
      </c>
      <c r="E36" s="29">
        <v>2573.8620000000001</v>
      </c>
      <c r="F36" s="29">
        <v>401.28</v>
      </c>
      <c r="G36" s="29">
        <f t="shared" si="0"/>
        <v>2975.1419999999998</v>
      </c>
      <c r="H36" s="29">
        <v>2573.8620000000001</v>
      </c>
      <c r="I36" s="29"/>
      <c r="J36" s="29">
        <v>7.6112289999999998</v>
      </c>
      <c r="K36" s="29">
        <v>43.744999999999997</v>
      </c>
      <c r="L36" s="29">
        <v>9.5827390000000001</v>
      </c>
      <c r="M36" s="29">
        <v>74.876000000000005</v>
      </c>
      <c r="N36" s="29">
        <v>30</v>
      </c>
      <c r="O36" s="29">
        <v>12.321</v>
      </c>
      <c r="P36" s="29"/>
      <c r="Q36" s="29">
        <v>136.464</v>
      </c>
      <c r="R36" s="29"/>
      <c r="S36" s="29">
        <v>86.474000000000004</v>
      </c>
      <c r="T36" s="29">
        <f t="shared" si="1"/>
        <v>401.07396799999998</v>
      </c>
      <c r="U36" s="29">
        <f t="shared" si="2"/>
        <v>2974.9359680000002</v>
      </c>
      <c r="V36" s="28">
        <f t="shared" si="3"/>
        <v>0</v>
      </c>
      <c r="W36" s="28">
        <f t="shared" si="4"/>
        <v>0.20603199999999333</v>
      </c>
      <c r="X36" s="28">
        <f t="shared" si="5"/>
        <v>0.20603199999999333</v>
      </c>
    </row>
    <row r="37" spans="1:24" ht="18.75" customHeight="1">
      <c r="A37" s="40">
        <v>31</v>
      </c>
      <c r="B37" s="22" t="s">
        <v>83</v>
      </c>
      <c r="C37" s="40">
        <v>19</v>
      </c>
      <c r="D37" s="40">
        <v>17</v>
      </c>
      <c r="E37" s="29">
        <v>2441.1309999999999</v>
      </c>
      <c r="F37" s="29">
        <v>401.28</v>
      </c>
      <c r="G37" s="29">
        <f t="shared" si="0"/>
        <v>2842.4110000000001</v>
      </c>
      <c r="H37" s="29">
        <v>2441.1309999999999</v>
      </c>
      <c r="I37" s="29">
        <v>36.274999999999999</v>
      </c>
      <c r="J37" s="29">
        <v>26.086773000000001</v>
      </c>
      <c r="K37" s="29"/>
      <c r="L37" s="29">
        <v>6.746912</v>
      </c>
      <c r="M37" s="29">
        <v>83.546000000000006</v>
      </c>
      <c r="N37" s="29">
        <v>38.26</v>
      </c>
      <c r="O37" s="29">
        <v>21.25</v>
      </c>
      <c r="P37" s="29">
        <v>57.75</v>
      </c>
      <c r="Q37" s="29">
        <v>76.103099999999998</v>
      </c>
      <c r="R37" s="29"/>
      <c r="S37" s="29">
        <v>55.183</v>
      </c>
      <c r="T37" s="29">
        <f t="shared" si="1"/>
        <v>401.20078499999994</v>
      </c>
      <c r="U37" s="29">
        <f t="shared" si="2"/>
        <v>2842.3317849999999</v>
      </c>
      <c r="V37" s="28">
        <f t="shared" si="3"/>
        <v>0</v>
      </c>
      <c r="W37" s="28">
        <f t="shared" si="4"/>
        <v>7.9215000000033342E-2</v>
      </c>
      <c r="X37" s="28">
        <f t="shared" si="5"/>
        <v>7.9215000000033342E-2</v>
      </c>
    </row>
    <row r="38" spans="1:24" ht="18.75" customHeight="1">
      <c r="A38" s="40">
        <v>32</v>
      </c>
      <c r="B38" s="22" t="s">
        <v>84</v>
      </c>
      <c r="C38" s="40">
        <v>26</v>
      </c>
      <c r="D38" s="40">
        <v>25</v>
      </c>
      <c r="E38" s="29">
        <v>4064.84</v>
      </c>
      <c r="F38" s="29">
        <v>534.16</v>
      </c>
      <c r="G38" s="29">
        <f t="shared" si="0"/>
        <v>4599</v>
      </c>
      <c r="H38" s="29">
        <v>4064.84</v>
      </c>
      <c r="I38" s="29">
        <v>27</v>
      </c>
      <c r="J38" s="29">
        <v>13</v>
      </c>
      <c r="K38" s="29">
        <v>12</v>
      </c>
      <c r="L38" s="29">
        <v>7</v>
      </c>
      <c r="M38" s="29">
        <v>170</v>
      </c>
      <c r="N38" s="29">
        <v>48</v>
      </c>
      <c r="O38" s="29">
        <v>26</v>
      </c>
      <c r="P38" s="29">
        <v>20</v>
      </c>
      <c r="Q38" s="29">
        <v>69</v>
      </c>
      <c r="R38" s="29"/>
      <c r="S38" s="29">
        <v>142.55699999999999</v>
      </c>
      <c r="T38" s="29">
        <f t="shared" si="1"/>
        <v>534.55700000000002</v>
      </c>
      <c r="U38" s="29">
        <f t="shared" si="2"/>
        <v>4599.3969999999999</v>
      </c>
      <c r="V38" s="28">
        <f t="shared" si="3"/>
        <v>0</v>
      </c>
      <c r="W38" s="28">
        <f t="shared" si="4"/>
        <v>-0.3970000000000482</v>
      </c>
      <c r="X38" s="28">
        <f t="shared" si="5"/>
        <v>-0.3970000000000482</v>
      </c>
    </row>
    <row r="39" spans="1:24" ht="18.75" customHeight="1">
      <c r="A39" s="40">
        <v>33</v>
      </c>
      <c r="B39" s="51" t="s">
        <v>167</v>
      </c>
      <c r="C39" s="40">
        <v>11</v>
      </c>
      <c r="D39" s="40">
        <v>11</v>
      </c>
      <c r="E39" s="29">
        <v>1529.6210000000001</v>
      </c>
      <c r="F39" s="29">
        <v>232.32</v>
      </c>
      <c r="G39" s="29">
        <f t="shared" si="0"/>
        <v>1761.941</v>
      </c>
      <c r="H39" s="29">
        <v>1529.6210000000001</v>
      </c>
      <c r="I39" s="29">
        <v>45</v>
      </c>
      <c r="J39" s="29">
        <v>3.5590000000000002</v>
      </c>
      <c r="K39" s="29">
        <v>16</v>
      </c>
      <c r="L39" s="29">
        <v>1</v>
      </c>
      <c r="M39" s="29">
        <v>84</v>
      </c>
      <c r="N39" s="29">
        <v>3</v>
      </c>
      <c r="O39" s="29">
        <v>20</v>
      </c>
      <c r="P39" s="29"/>
      <c r="Q39" s="29">
        <v>35</v>
      </c>
      <c r="R39" s="29"/>
      <c r="S39" s="29">
        <v>24.520000000000003</v>
      </c>
      <c r="T39" s="29">
        <f t="shared" si="1"/>
        <v>232.07900000000001</v>
      </c>
      <c r="U39" s="29">
        <f t="shared" si="2"/>
        <v>1761.7</v>
      </c>
      <c r="V39" s="28">
        <f t="shared" si="3"/>
        <v>0</v>
      </c>
      <c r="W39" s="28">
        <f t="shared" si="4"/>
        <v>0.24099999999998545</v>
      </c>
      <c r="X39" s="28">
        <f t="shared" si="5"/>
        <v>0.24099999999998545</v>
      </c>
    </row>
    <row r="40" spans="1:24" ht="18.75" customHeight="1">
      <c r="A40" s="40">
        <v>34</v>
      </c>
      <c r="B40" s="22" t="s">
        <v>85</v>
      </c>
      <c r="C40" s="40">
        <v>33</v>
      </c>
      <c r="D40" s="40">
        <v>29</v>
      </c>
      <c r="E40" s="29">
        <v>3696.7950000000001</v>
      </c>
      <c r="F40" s="29">
        <v>592.24</v>
      </c>
      <c r="G40" s="29">
        <f t="shared" si="0"/>
        <v>4289.0349999999999</v>
      </c>
      <c r="H40" s="29">
        <v>3696.7950000000001</v>
      </c>
      <c r="I40" s="29">
        <v>2</v>
      </c>
      <c r="J40" s="29">
        <v>12</v>
      </c>
      <c r="K40" s="29">
        <v>18</v>
      </c>
      <c r="L40" s="29">
        <v>11</v>
      </c>
      <c r="M40" s="29">
        <v>139</v>
      </c>
      <c r="N40" s="29">
        <v>7.9539999999999997</v>
      </c>
      <c r="O40" s="29">
        <v>120</v>
      </c>
      <c r="P40" s="29">
        <v>70</v>
      </c>
      <c r="Q40" s="29">
        <v>90</v>
      </c>
      <c r="R40" s="29"/>
      <c r="S40" s="29">
        <v>122</v>
      </c>
      <c r="T40" s="29">
        <f t="shared" si="1"/>
        <v>591.95399999999995</v>
      </c>
      <c r="U40" s="29">
        <f t="shared" si="2"/>
        <v>4288.7489999999998</v>
      </c>
      <c r="V40" s="28">
        <f t="shared" si="3"/>
        <v>0</v>
      </c>
      <c r="W40" s="28">
        <f t="shared" si="4"/>
        <v>0.28600000000005821</v>
      </c>
      <c r="X40" s="28">
        <f t="shared" si="5"/>
        <v>0.28600000000005821</v>
      </c>
    </row>
    <row r="41" spans="1:24" s="35" customFormat="1" ht="18.75" customHeight="1">
      <c r="A41" s="158" t="s">
        <v>19</v>
      </c>
      <c r="B41" s="158"/>
      <c r="C41" s="33">
        <v>745</v>
      </c>
      <c r="D41" s="33">
        <v>716</v>
      </c>
      <c r="E41" s="33">
        <v>103502.929</v>
      </c>
      <c r="F41" s="33">
        <v>15417.600000000002</v>
      </c>
      <c r="G41" s="33">
        <v>15417.600000000002</v>
      </c>
      <c r="H41" s="33">
        <v>103502.929</v>
      </c>
      <c r="I41" s="33">
        <v>887.64199999999994</v>
      </c>
      <c r="J41" s="33">
        <v>611.47988999999984</v>
      </c>
      <c r="K41" s="33">
        <v>1545.0101279999999</v>
      </c>
      <c r="L41" s="33">
        <v>226.21827299999998</v>
      </c>
      <c r="M41" s="33">
        <v>3110.4180000000001</v>
      </c>
      <c r="N41" s="33">
        <v>862.01816999999994</v>
      </c>
      <c r="O41" s="33">
        <v>941.98554000000001</v>
      </c>
      <c r="P41" s="33">
        <v>1165.3139999999999</v>
      </c>
      <c r="Q41" s="33">
        <v>2651.8527999999992</v>
      </c>
      <c r="R41" s="33">
        <v>0</v>
      </c>
      <c r="S41" s="33">
        <v>3415.4907960000005</v>
      </c>
      <c r="T41" s="33">
        <v>15417.429596999998</v>
      </c>
      <c r="U41" s="33">
        <v>118920.358597</v>
      </c>
      <c r="V41" s="28">
        <v>0</v>
      </c>
      <c r="W41" s="28">
        <v>0.17040300000007846</v>
      </c>
    </row>
    <row r="42" spans="1:24" ht="18.75" customHeight="1">
      <c r="A42" s="1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4" ht="18.75" customHeight="1">
      <c r="A43" s="17"/>
    </row>
    <row r="44" spans="1:24" ht="18.75" customHeight="1">
      <c r="A44" s="17"/>
      <c r="F44" s="52"/>
      <c r="G44" s="52"/>
    </row>
    <row r="45" spans="1:24" ht="18.75" customHeight="1">
      <c r="A45" s="17"/>
      <c r="F45" s="52"/>
      <c r="G45" s="52"/>
    </row>
    <row r="46" spans="1:24" ht="18.75" customHeight="1">
      <c r="A46" s="17"/>
      <c r="F46" s="52"/>
      <c r="G46" s="52"/>
    </row>
    <row r="47" spans="1:24" ht="18.75" customHeight="1">
      <c r="A47" s="17"/>
      <c r="F47" s="52"/>
      <c r="G47" s="52"/>
    </row>
    <row r="48" spans="1:24" ht="18.75" customHeight="1">
      <c r="A48" s="17"/>
      <c r="F48" s="52"/>
      <c r="G48" s="52"/>
    </row>
    <row r="49" spans="1:7" ht="18.75" customHeight="1">
      <c r="A49" s="17"/>
      <c r="F49" s="52"/>
      <c r="G49" s="52"/>
    </row>
    <row r="50" spans="1:7" ht="18.75" customHeight="1">
      <c r="A50" s="17"/>
      <c r="F50" s="52"/>
      <c r="G50" s="52"/>
    </row>
    <row r="51" spans="1:7" ht="18.75" customHeight="1">
      <c r="A51" s="17"/>
      <c r="F51" s="52"/>
      <c r="G51" s="52"/>
    </row>
    <row r="52" spans="1:7" ht="18.75" customHeight="1">
      <c r="A52" s="17"/>
      <c r="F52" s="52"/>
      <c r="G52" s="52"/>
    </row>
    <row r="53" spans="1:7" ht="18.75" customHeight="1">
      <c r="A53" s="17"/>
      <c r="F53" s="52"/>
      <c r="G53" s="52"/>
    </row>
    <row r="54" spans="1:7" ht="18.75" customHeight="1">
      <c r="A54" s="17"/>
      <c r="F54" s="52"/>
      <c r="G54" s="52"/>
    </row>
    <row r="55" spans="1:7" ht="18.75" customHeight="1">
      <c r="A55" s="17"/>
      <c r="F55" s="52"/>
      <c r="G55" s="52"/>
    </row>
    <row r="56" spans="1:7" ht="18.75" customHeight="1">
      <c r="A56" s="17"/>
      <c r="F56" s="52"/>
      <c r="G56" s="52"/>
    </row>
    <row r="57" spans="1:7" ht="18.75" customHeight="1">
      <c r="A57" s="17"/>
      <c r="F57" s="52"/>
      <c r="G57" s="52"/>
    </row>
    <row r="58" spans="1:7" ht="18.75" customHeight="1">
      <c r="A58" s="17"/>
      <c r="F58" s="52"/>
      <c r="G58" s="52"/>
    </row>
    <row r="59" spans="1:7" ht="18.75" customHeight="1">
      <c r="A59" s="17"/>
      <c r="F59" s="52"/>
      <c r="G59" s="52"/>
    </row>
    <row r="60" spans="1:7" ht="18.75" customHeight="1">
      <c r="A60" s="17"/>
      <c r="F60" s="52"/>
      <c r="G60" s="52"/>
    </row>
    <row r="61" spans="1:7" ht="18.75" customHeight="1">
      <c r="A61" s="17"/>
      <c r="F61" s="52"/>
      <c r="G61" s="52"/>
    </row>
    <row r="62" spans="1:7" ht="18.75" customHeight="1">
      <c r="A62" s="17"/>
      <c r="F62" s="52"/>
      <c r="G62" s="52"/>
    </row>
    <row r="63" spans="1:7" ht="18.75" customHeight="1">
      <c r="A63" s="17"/>
      <c r="F63" s="52"/>
      <c r="G63" s="52"/>
    </row>
    <row r="64" spans="1:7" ht="18.75" customHeight="1">
      <c r="A64" s="17"/>
      <c r="F64" s="52"/>
      <c r="G64" s="52"/>
    </row>
    <row r="65" spans="1:23" ht="18.75" customHeight="1">
      <c r="A65" s="17"/>
      <c r="F65" s="52"/>
      <c r="G65" s="52"/>
    </row>
    <row r="66" spans="1:23" ht="18.75" customHeight="1">
      <c r="A66" s="17"/>
      <c r="F66" s="52"/>
      <c r="G66" s="52"/>
    </row>
    <row r="67" spans="1:23" ht="18.75" customHeight="1">
      <c r="A67" s="17"/>
      <c r="F67" s="52"/>
      <c r="G67" s="52"/>
    </row>
    <row r="68" spans="1:23" ht="18.75" customHeight="1">
      <c r="A68" s="17"/>
      <c r="F68" s="52"/>
      <c r="G68" s="52"/>
    </row>
    <row r="69" spans="1:23" ht="18.75" customHeight="1">
      <c r="A69" s="17"/>
      <c r="F69" s="52"/>
      <c r="G69" s="52"/>
    </row>
    <row r="70" spans="1:23" ht="18.75" customHeight="1">
      <c r="A70" s="17"/>
      <c r="F70" s="52"/>
      <c r="G70" s="52"/>
    </row>
    <row r="71" spans="1:23" ht="18.75" customHeight="1">
      <c r="A71" s="17"/>
      <c r="F71" s="52"/>
      <c r="G71" s="52"/>
    </row>
    <row r="72" spans="1:23" ht="18.75" customHeight="1">
      <c r="A72" s="17"/>
      <c r="F72" s="52"/>
      <c r="G72" s="52"/>
    </row>
    <row r="73" spans="1:23" ht="18.75" customHeight="1">
      <c r="A73" s="17"/>
      <c r="F73" s="52"/>
      <c r="G73" s="52"/>
    </row>
    <row r="74" spans="1:23" ht="18.75" customHeight="1">
      <c r="A74" s="17"/>
      <c r="F74" s="52"/>
      <c r="G74" s="52"/>
    </row>
    <row r="75" spans="1:23" ht="18.75" customHeight="1">
      <c r="A75" s="17"/>
      <c r="F75" s="52"/>
      <c r="G75" s="52"/>
    </row>
    <row r="76" spans="1:23" ht="18.75" customHeight="1">
      <c r="A76" s="17"/>
      <c r="F76" s="52"/>
      <c r="G76" s="52"/>
    </row>
    <row r="77" spans="1:23" ht="18.75" customHeight="1">
      <c r="A77" s="17"/>
      <c r="F77" s="52"/>
      <c r="G77" s="52"/>
    </row>
    <row r="78" spans="1:23" ht="18.75" customHeight="1">
      <c r="A78" s="17"/>
      <c r="F78" s="52"/>
      <c r="G78" s="52"/>
    </row>
    <row r="79" spans="1:23" ht="18.75" customHeight="1">
      <c r="A79" s="17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</row>
    <row r="80" spans="1:23" ht="18.75" customHeight="1">
      <c r="A80" s="17"/>
    </row>
    <row r="81" spans="1:1" ht="18.75" customHeight="1">
      <c r="A81" s="17"/>
    </row>
    <row r="82" spans="1:1" ht="18.75" customHeight="1">
      <c r="A82" s="17"/>
    </row>
    <row r="83" spans="1:1" ht="18.75" customHeight="1">
      <c r="A83" s="17"/>
    </row>
    <row r="84" spans="1:1" ht="18.75" customHeight="1">
      <c r="A84" s="17"/>
    </row>
    <row r="85" spans="1:1" ht="18.75" customHeight="1">
      <c r="A85" s="17"/>
    </row>
    <row r="86" spans="1:1" ht="18.75" customHeight="1">
      <c r="A86" s="17"/>
    </row>
    <row r="87" spans="1:1" s="35" customFormat="1" ht="18.75" customHeight="1">
      <c r="A87" s="17"/>
    </row>
    <row r="88" spans="1:1" ht="18.75" customHeight="1">
      <c r="A88" s="17"/>
    </row>
    <row r="89" spans="1:1" ht="18.75" customHeight="1">
      <c r="A89" s="17"/>
    </row>
    <row r="90" spans="1:1" ht="18.75" customHeight="1">
      <c r="A90" s="17"/>
    </row>
    <row r="91" spans="1:1" ht="18.75" customHeight="1">
      <c r="A91" s="17"/>
    </row>
    <row r="92" spans="1:1" ht="18.75" customHeight="1">
      <c r="A92" s="17"/>
    </row>
    <row r="93" spans="1:1" ht="18.75" customHeight="1">
      <c r="A93" s="17"/>
    </row>
    <row r="94" spans="1:1" ht="18.75" customHeight="1">
      <c r="A94" s="17"/>
    </row>
    <row r="95" spans="1:1" ht="18.75" customHeight="1">
      <c r="A95" s="17"/>
    </row>
    <row r="96" spans="1:1" ht="18.75" customHeight="1">
      <c r="A96" s="17"/>
    </row>
    <row r="97" spans="1:1" ht="18.75" customHeight="1">
      <c r="A97" s="17"/>
    </row>
    <row r="98" spans="1:1" ht="18.75" customHeight="1">
      <c r="A98" s="17"/>
    </row>
    <row r="99" spans="1:1" ht="18.75" customHeight="1">
      <c r="A99" s="17"/>
    </row>
    <row r="100" spans="1:1" ht="18.75" customHeight="1">
      <c r="A100" s="17"/>
    </row>
    <row r="101" spans="1:1" ht="18.75" customHeight="1">
      <c r="A101" s="17"/>
    </row>
    <row r="102" spans="1:1" ht="18.75" customHeight="1">
      <c r="A102" s="17"/>
    </row>
    <row r="103" spans="1:1" ht="18.75" customHeight="1">
      <c r="A103" s="17"/>
    </row>
    <row r="104" spans="1:1" ht="18.75" customHeight="1">
      <c r="A104" s="17"/>
    </row>
    <row r="105" spans="1:1" ht="18.75" customHeight="1">
      <c r="A105" s="17"/>
    </row>
    <row r="106" spans="1:1" ht="18.75" customHeight="1">
      <c r="A106" s="17"/>
    </row>
    <row r="107" spans="1:1" ht="18.75" customHeight="1">
      <c r="A107" s="17"/>
    </row>
    <row r="108" spans="1:1" ht="18.75" customHeight="1">
      <c r="A108" s="17"/>
    </row>
    <row r="109" spans="1:1" ht="18.75" customHeight="1">
      <c r="A109" s="17"/>
    </row>
    <row r="110" spans="1:1" ht="18.75" customHeight="1">
      <c r="A110" s="17"/>
    </row>
    <row r="111" spans="1:1" ht="18.75" customHeight="1">
      <c r="A111" s="17"/>
    </row>
    <row r="112" spans="1:1" ht="18.75" customHeight="1">
      <c r="A112" s="17"/>
    </row>
    <row r="113" spans="1:1" ht="18.75" customHeight="1">
      <c r="A113" s="17"/>
    </row>
    <row r="114" spans="1:1" ht="18.75" customHeight="1">
      <c r="A114" s="17"/>
    </row>
    <row r="115" spans="1:1" ht="18.75" customHeight="1">
      <c r="A115" s="17"/>
    </row>
    <row r="116" spans="1:1" ht="18.75" customHeight="1">
      <c r="A116" s="17"/>
    </row>
    <row r="117" spans="1:1" ht="18.75" customHeight="1">
      <c r="A117" s="17"/>
    </row>
    <row r="118" spans="1:1" ht="18.75" customHeight="1">
      <c r="A118" s="17"/>
    </row>
    <row r="119" spans="1:1" ht="18.75" customHeight="1">
      <c r="A119" s="17"/>
    </row>
    <row r="120" spans="1:1" ht="18.75" customHeight="1">
      <c r="A120" s="17"/>
    </row>
    <row r="121" spans="1:1" ht="18.75" customHeight="1">
      <c r="A121" s="17"/>
    </row>
    <row r="122" spans="1:1" ht="18.75" customHeight="1">
      <c r="A122" s="17"/>
    </row>
    <row r="123" spans="1:1" ht="18.75" customHeight="1">
      <c r="A123" s="17"/>
    </row>
    <row r="124" spans="1:1" ht="18.75" customHeight="1">
      <c r="A124" s="17"/>
    </row>
    <row r="125" spans="1:1" ht="18.75" customHeight="1">
      <c r="A125" s="17"/>
    </row>
    <row r="126" spans="1:1" ht="18.75" customHeight="1">
      <c r="A126" s="17"/>
    </row>
    <row r="127" spans="1:1" ht="18.75" customHeight="1">
      <c r="A127" s="17"/>
    </row>
    <row r="128" spans="1:1" ht="18.75" customHeight="1">
      <c r="A128" s="17"/>
    </row>
    <row r="129" spans="1:1" ht="18.75" customHeight="1">
      <c r="A129" s="17"/>
    </row>
    <row r="130" spans="1:1" ht="18.75" customHeight="1">
      <c r="A130" s="17"/>
    </row>
    <row r="131" spans="1:1" ht="18.75" customHeight="1">
      <c r="A131" s="17"/>
    </row>
    <row r="132" spans="1:1" ht="18.75" customHeight="1">
      <c r="A132" s="17"/>
    </row>
    <row r="133" spans="1:1" ht="18.75" customHeight="1">
      <c r="A133" s="17"/>
    </row>
    <row r="134" spans="1:1" ht="18.75" customHeight="1">
      <c r="A134" s="17"/>
    </row>
    <row r="135" spans="1:1" ht="18.75" customHeight="1">
      <c r="A135" s="17"/>
    </row>
    <row r="136" spans="1:1" ht="18.75" customHeight="1">
      <c r="A136" s="17"/>
    </row>
    <row r="137" spans="1:1" ht="18.75" customHeight="1">
      <c r="A137" s="17"/>
    </row>
    <row r="138" spans="1:1" ht="18.75" customHeight="1">
      <c r="A138" s="17"/>
    </row>
    <row r="139" spans="1:1" ht="18.75" customHeight="1">
      <c r="A139" s="17"/>
    </row>
    <row r="140" spans="1:1" ht="18.75" customHeight="1">
      <c r="A140" s="17"/>
    </row>
    <row r="141" spans="1:1" ht="18.75" customHeight="1">
      <c r="A141" s="17"/>
    </row>
    <row r="142" spans="1:1" ht="18.75" customHeight="1">
      <c r="A142" s="17"/>
    </row>
    <row r="143" spans="1:1" ht="18.75" customHeight="1">
      <c r="A143" s="17"/>
    </row>
    <row r="144" spans="1:1" ht="18.75" customHeight="1">
      <c r="A144" s="17"/>
    </row>
    <row r="145" spans="1:23" ht="18.75" customHeight="1">
      <c r="A145" s="17"/>
    </row>
    <row r="146" spans="1:23" ht="18.75" customHeight="1">
      <c r="A146" s="17"/>
    </row>
    <row r="147" spans="1:23" ht="18.75" customHeight="1">
      <c r="A147" s="17"/>
    </row>
    <row r="148" spans="1:23" ht="18.75" customHeight="1">
      <c r="A148" s="17"/>
    </row>
    <row r="149" spans="1:23" ht="18.75" customHeight="1">
      <c r="A149" s="17"/>
    </row>
    <row r="150" spans="1:23" ht="18.75" customHeight="1">
      <c r="A150" s="17"/>
    </row>
    <row r="151" spans="1:23" ht="18.75" customHeight="1">
      <c r="A151" s="17"/>
    </row>
    <row r="152" spans="1:23" ht="18.75" customHeight="1">
      <c r="A152" s="17"/>
    </row>
    <row r="153" spans="1:23" ht="18.75" customHeight="1">
      <c r="A153" s="17"/>
    </row>
    <row r="154" spans="1:23" ht="18.75" customHeight="1">
      <c r="A154" s="17"/>
    </row>
    <row r="155" spans="1:23" ht="18.75" customHeight="1">
      <c r="A155" s="17"/>
    </row>
    <row r="156" spans="1:23" ht="18.75" customHeight="1">
      <c r="A156" s="17"/>
    </row>
    <row r="157" spans="1:23" ht="18.75" customHeight="1">
      <c r="A157" s="17"/>
    </row>
    <row r="158" spans="1:23" ht="18.75" customHeight="1">
      <c r="A158" s="17"/>
    </row>
    <row r="159" spans="1:23" ht="18.75" customHeight="1">
      <c r="A159" s="17"/>
    </row>
    <row r="160" spans="1:23" ht="18.75" customHeight="1">
      <c r="A160" s="1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:23" ht="18.75" customHeight="1">
      <c r="A161" s="17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:23" ht="18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</row>
    <row r="163" spans="1:23" ht="18.75" customHeight="1">
      <c r="A163" s="17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ht="18.75" customHeight="1">
      <c r="A164" s="17"/>
    </row>
    <row r="165" spans="1:23" ht="18.75" customHeight="1">
      <c r="A165" s="17"/>
    </row>
    <row r="166" spans="1:23" ht="18.75" customHeight="1">
      <c r="A166" s="17"/>
    </row>
    <row r="167" spans="1:23" ht="18.75" customHeight="1">
      <c r="A167" s="17"/>
    </row>
    <row r="168" spans="1:23" ht="18.75" customHeight="1">
      <c r="A168" s="17"/>
    </row>
    <row r="169" spans="1:23" ht="18.75" customHeight="1">
      <c r="A169" s="17"/>
    </row>
    <row r="170" spans="1:23" ht="18.75" customHeight="1">
      <c r="A170" s="17"/>
    </row>
    <row r="171" spans="1:23" ht="18.75" customHeight="1">
      <c r="A171" s="17"/>
    </row>
    <row r="172" spans="1:23" ht="18.75" customHeight="1">
      <c r="A172" s="17"/>
    </row>
    <row r="173" spans="1:23" ht="18.75" customHeight="1">
      <c r="A173" s="17"/>
    </row>
    <row r="174" spans="1:23" ht="18.75" customHeight="1">
      <c r="A174" s="17"/>
    </row>
    <row r="175" spans="1:23" ht="18.75" customHeight="1">
      <c r="A175" s="17"/>
    </row>
    <row r="176" spans="1:23" ht="18.75" customHeight="1">
      <c r="A176" s="17"/>
    </row>
    <row r="177" spans="1:23" ht="18.75" customHeight="1">
      <c r="A177" s="17"/>
    </row>
    <row r="178" spans="1:23" ht="18.75" customHeight="1">
      <c r="A178" s="17"/>
    </row>
    <row r="179" spans="1:23" ht="18.75" customHeight="1">
      <c r="A179" s="17"/>
    </row>
    <row r="180" spans="1:23" s="35" customFormat="1" ht="18.75" customHeight="1"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8.75" customHeight="1">
      <c r="A181" s="17"/>
    </row>
    <row r="182" spans="1:23" ht="18.75" customHeight="1">
      <c r="A182" s="17"/>
    </row>
    <row r="183" spans="1:23" ht="18.75" customHeight="1">
      <c r="A183" s="17"/>
    </row>
    <row r="184" spans="1:23" ht="18.75" customHeight="1">
      <c r="A184" s="17"/>
    </row>
    <row r="185" spans="1:23" ht="18.75" customHeight="1">
      <c r="A185" s="17"/>
    </row>
    <row r="186" spans="1:23" ht="18.75" customHeight="1">
      <c r="A186" s="17"/>
    </row>
    <row r="187" spans="1:23" ht="18.75" customHeight="1">
      <c r="A187" s="17"/>
    </row>
    <row r="188" spans="1:23" ht="18.75" customHeight="1">
      <c r="A188" s="17"/>
    </row>
    <row r="189" spans="1:23" ht="18.75" customHeight="1">
      <c r="A189" s="17"/>
    </row>
    <row r="190" spans="1:23" ht="18.75" customHeight="1">
      <c r="A190" s="17"/>
    </row>
    <row r="191" spans="1:23" ht="18.75" customHeight="1">
      <c r="A191" s="17"/>
    </row>
    <row r="192" spans="1:23" ht="18.75" customHeight="1">
      <c r="A192" s="17"/>
    </row>
    <row r="193" spans="1:23" ht="18.75" customHeight="1">
      <c r="A193" s="17"/>
    </row>
    <row r="194" spans="1:23" ht="18.75" customHeight="1">
      <c r="A194" s="17"/>
    </row>
    <row r="195" spans="1:23" ht="18.75" customHeight="1">
      <c r="A195" s="17"/>
    </row>
    <row r="196" spans="1:23" ht="18.75" customHeight="1">
      <c r="A196" s="17"/>
    </row>
    <row r="197" spans="1:23" ht="18.75" customHeight="1">
      <c r="A197" s="17"/>
    </row>
    <row r="198" spans="1:23" ht="18.75" customHeight="1">
      <c r="A198" s="17"/>
    </row>
    <row r="199" spans="1:23" ht="18.75" customHeight="1">
      <c r="A199" s="17"/>
    </row>
    <row r="200" spans="1:23" ht="18.75" customHeight="1">
      <c r="A200" s="17"/>
    </row>
    <row r="201" spans="1:23" ht="18.75" customHeight="1">
      <c r="A201" s="17"/>
    </row>
    <row r="202" spans="1:23" ht="18.75" customHeight="1">
      <c r="A202" s="17"/>
    </row>
    <row r="203" spans="1:23" ht="18.75" customHeight="1">
      <c r="A203" s="17"/>
    </row>
    <row r="204" spans="1:23" ht="18.75" customHeight="1">
      <c r="A204" s="17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 ht="18.75" customHeight="1">
      <c r="A205" s="17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ht="18.75" customHeight="1">
      <c r="A206" s="17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 ht="18.75" customHeight="1">
      <c r="A207" s="17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ht="18.75" customHeight="1">
      <c r="A208" s="17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 ht="18.75" customHeight="1">
      <c r="A209" s="17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ht="18.75" customHeight="1">
      <c r="A210" s="17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:23" ht="18.75" customHeight="1">
      <c r="A211" s="17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:23" ht="18.75" customHeight="1">
      <c r="A212" s="17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:23" ht="18.75" customHeight="1">
      <c r="A213" s="17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ht="18.75" customHeight="1">
      <c r="A214" s="17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:23" ht="18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</row>
    <row r="216" spans="1:23" ht="18.75" customHeight="1">
      <c r="A216" s="17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 ht="18.75" customHeight="1">
      <c r="A217" s="17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ht="18.75" customHeight="1">
      <c r="A218" s="17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ht="18.75" customHeight="1">
      <c r="A219" s="17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 ht="18.75" customHeight="1">
      <c r="A220" s="17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 ht="18.75" customHeight="1">
      <c r="A221" s="17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ht="18.75" customHeight="1">
      <c r="A222" s="17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 ht="18.75" customHeight="1">
      <c r="A223" s="17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ht="18.75" customHeight="1">
      <c r="A224" s="17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ht="18.75" customHeight="1">
      <c r="A225" s="17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ht="18.75" customHeight="1">
      <c r="A226" s="17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ht="18.75" customHeight="1">
      <c r="A227" s="17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ht="18.75" customHeight="1">
      <c r="A228" s="17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ht="18.75" customHeight="1">
      <c r="A229" s="17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ht="18.75" customHeight="1">
      <c r="A230" s="17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:23" ht="18.75" customHeight="1">
      <c r="A231" s="17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ht="18.75" customHeight="1">
      <c r="A232" s="17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:23" s="35" customFormat="1" ht="18.75" customHeight="1">
      <c r="A233" s="17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:23" ht="18.75" customHeight="1">
      <c r="A234" s="17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:23" ht="18.75" customHeight="1">
      <c r="A235" s="17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:23" ht="18.75" customHeight="1">
      <c r="A236" s="17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ht="18.75" customHeight="1">
      <c r="A237" s="17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ht="18.75" customHeight="1">
      <c r="A238" s="17"/>
    </row>
    <row r="239" spans="1:23" ht="18.75" customHeight="1">
      <c r="A239" s="17"/>
    </row>
    <row r="240" spans="1:23" ht="18.75" customHeight="1">
      <c r="A240" s="17"/>
    </row>
    <row r="241" spans="1:1" ht="18.75" customHeight="1">
      <c r="A241" s="17"/>
    </row>
    <row r="242" spans="1:1" ht="18.75" customHeight="1">
      <c r="A242" s="17"/>
    </row>
    <row r="243" spans="1:1" ht="18.75" customHeight="1">
      <c r="A243" s="17"/>
    </row>
    <row r="244" spans="1:1" ht="18.75" customHeight="1">
      <c r="A244" s="17"/>
    </row>
    <row r="245" spans="1:1" ht="18.75" customHeight="1">
      <c r="A245" s="17"/>
    </row>
    <row r="246" spans="1:1" ht="18.75" customHeight="1">
      <c r="A246" s="17"/>
    </row>
    <row r="247" spans="1:1" ht="18.75" customHeight="1">
      <c r="A247" s="17"/>
    </row>
    <row r="248" spans="1:1" ht="18.75" customHeight="1">
      <c r="A248" s="17"/>
    </row>
    <row r="249" spans="1:1" ht="18.75" customHeight="1">
      <c r="A249" s="17"/>
    </row>
    <row r="250" spans="1:1" ht="18.75" customHeight="1">
      <c r="A250" s="17"/>
    </row>
    <row r="251" spans="1:1" ht="18.75" customHeight="1">
      <c r="A251" s="17"/>
    </row>
    <row r="252" spans="1:1" ht="18.75" customHeight="1">
      <c r="A252" s="17"/>
    </row>
    <row r="253" spans="1:1" ht="18.75" customHeight="1">
      <c r="A253" s="17"/>
    </row>
    <row r="254" spans="1:1" ht="18.75" customHeight="1">
      <c r="A254" s="17"/>
    </row>
    <row r="255" spans="1:1" ht="18.75" customHeight="1">
      <c r="A255" s="17"/>
    </row>
    <row r="256" spans="1:1" ht="18" customHeight="1">
      <c r="A256" s="17"/>
    </row>
    <row r="257" spans="1:23" ht="18" customHeight="1">
      <c r="A257" s="17"/>
    </row>
    <row r="258" spans="1:23" ht="18" customHeight="1">
      <c r="A258" s="17"/>
    </row>
    <row r="259" spans="1:23" ht="18" customHeight="1">
      <c r="A259" s="17"/>
    </row>
    <row r="260" spans="1:23" ht="18.75" customHeight="1">
      <c r="A260" s="17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ht="18.75" customHeight="1">
      <c r="A261" s="17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</row>
    <row r="262" spans="1:23" ht="18.75" customHeight="1">
      <c r="A262" s="17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</row>
    <row r="263" spans="1:23" ht="18.75" customHeight="1">
      <c r="A263" s="17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</row>
    <row r="264" spans="1:23" ht="18.75" customHeight="1">
      <c r="A264" s="17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</row>
    <row r="265" spans="1:23" ht="18.75" customHeight="1">
      <c r="A265" s="17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</row>
    <row r="266" spans="1:23" ht="18.75" customHeight="1">
      <c r="A266" s="17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</row>
    <row r="267" spans="1:23" ht="18.75" customHeight="1">
      <c r="A267" s="17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</row>
    <row r="268" spans="1:23" ht="18.75" customHeight="1">
      <c r="A268" s="17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</row>
    <row r="269" spans="1:23" ht="18.75" customHeight="1">
      <c r="A269" s="17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</row>
    <row r="270" spans="1:23" ht="18.75" customHeight="1">
      <c r="A270" s="17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</row>
    <row r="271" spans="1:23" ht="18.75" customHeight="1">
      <c r="A271" s="17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</row>
    <row r="272" spans="1:23" ht="18.75" customHeight="1">
      <c r="A272" s="17"/>
    </row>
    <row r="273" spans="1:23" ht="18.75" customHeight="1">
      <c r="A273" s="17"/>
    </row>
    <row r="274" spans="1:23" ht="18.75" customHeight="1">
      <c r="A274" s="17"/>
    </row>
    <row r="275" spans="1:23" ht="18.75" customHeight="1">
      <c r="A275" s="17"/>
    </row>
    <row r="276" spans="1:23" ht="18.75" customHeight="1">
      <c r="A276" s="17"/>
    </row>
    <row r="277" spans="1:23" ht="18.75" customHeight="1">
      <c r="A277" s="17"/>
    </row>
    <row r="278" spans="1:23" ht="18.75" customHeight="1">
      <c r="A278" s="17"/>
    </row>
    <row r="279" spans="1:23" ht="18.75" customHeight="1">
      <c r="A279" s="17"/>
    </row>
    <row r="280" spans="1:23" ht="18.75" customHeight="1">
      <c r="A280" s="17"/>
    </row>
    <row r="281" spans="1:23" ht="18.75" customHeight="1">
      <c r="A281" s="17"/>
    </row>
    <row r="282" spans="1:23" ht="18.75" customHeight="1">
      <c r="A282" s="17"/>
    </row>
    <row r="283" spans="1:23" ht="18.75" customHeight="1">
      <c r="A283" s="17"/>
    </row>
    <row r="284" spans="1:23" ht="18.75" customHeight="1">
      <c r="A284" s="17"/>
    </row>
    <row r="285" spans="1:23" ht="18.75" customHeight="1">
      <c r="A285" s="17"/>
    </row>
    <row r="286" spans="1:23" ht="18.75" customHeight="1">
      <c r="A286" s="17"/>
    </row>
    <row r="287" spans="1:23" ht="18.75" customHeight="1">
      <c r="A287" s="17"/>
    </row>
    <row r="288" spans="1:23" ht="18.75" customHeight="1">
      <c r="A288" s="17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ht="18.75" customHeight="1">
      <c r="A289" s="17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</row>
    <row r="290" spans="1:23" ht="18.75" customHeight="1">
      <c r="A290" s="17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</row>
    <row r="291" spans="1:23" ht="18.75" customHeight="1">
      <c r="A291" s="17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</row>
    <row r="292" spans="1:23" ht="18.75" customHeight="1">
      <c r="A292" s="17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ht="18.75" customHeight="1">
      <c r="A293" s="17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</row>
    <row r="294" spans="1:23" ht="18.75" customHeight="1">
      <c r="A294" s="17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</row>
    <row r="295" spans="1:23" ht="18.75" customHeight="1">
      <c r="A295" s="17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</row>
    <row r="296" spans="1:23" ht="18.75" customHeight="1">
      <c r="A296" s="17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ht="18.75" customHeight="1">
      <c r="A297" s="17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</row>
    <row r="298" spans="1:23" ht="18.75" customHeight="1">
      <c r="A298" s="17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ht="18.75" customHeight="1">
      <c r="A299" s="17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</row>
    <row r="300" spans="1:23" ht="18.75" customHeight="1">
      <c r="A300" s="17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</row>
    <row r="301" spans="1:23" ht="18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</row>
    <row r="302" spans="1:23" ht="18.75" customHeight="1">
      <c r="A302" s="17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</row>
    <row r="303" spans="1:23" ht="18.75" customHeight="1">
      <c r="A303" s="17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</row>
    <row r="304" spans="1:23" ht="18.75" customHeight="1">
      <c r="A304" s="17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</row>
    <row r="305" spans="1:23" ht="18.75" customHeight="1">
      <c r="A305" s="17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</row>
    <row r="306" spans="1:23" ht="18.75" customHeight="1">
      <c r="A306" s="17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ht="18.75" customHeight="1">
      <c r="A307" s="17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</row>
    <row r="308" spans="1:23" ht="18.75" customHeight="1">
      <c r="A308" s="17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</row>
    <row r="309" spans="1:23" ht="18.75" customHeight="1">
      <c r="A309" s="17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ht="18.75" customHeight="1">
      <c r="A310" s="17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</row>
    <row r="311" spans="1:23" ht="18.75" customHeight="1">
      <c r="A311" s="17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</row>
    <row r="312" spans="1:23" ht="18.75" customHeight="1">
      <c r="A312" s="17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ht="18.75" customHeight="1">
      <c r="A313" s="17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</row>
    <row r="314" spans="1:23" ht="18.75" customHeight="1">
      <c r="A314" s="17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</row>
    <row r="315" spans="1:23" ht="18.75" customHeight="1">
      <c r="A315" s="17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</row>
    <row r="316" spans="1:23" ht="18.75" customHeight="1">
      <c r="A316" s="17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ht="18.75" customHeight="1">
      <c r="A317" s="17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</row>
    <row r="318" spans="1:23" ht="18.75" customHeight="1">
      <c r="A318" s="17"/>
    </row>
    <row r="319" spans="1:23" s="35" customFormat="1" ht="18.75" customHeight="1">
      <c r="A319" s="17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</row>
    <row r="320" spans="1:23" ht="18.75" customHeight="1">
      <c r="A320" s="47"/>
      <c r="B320" s="47"/>
      <c r="C320" s="47"/>
      <c r="D320" s="47"/>
      <c r="E320" s="47"/>
      <c r="F320" s="47"/>
      <c r="G320" s="106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1:23" ht="18.75" customHeight="1">
      <c r="A321" s="17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</row>
    <row r="322" spans="1:23" ht="18.75" customHeight="1">
      <c r="A322" s="17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ht="18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</row>
    <row r="324" spans="1:23" ht="18.75" customHeight="1">
      <c r="A324" s="17"/>
    </row>
    <row r="325" spans="1:23" ht="18.75" customHeight="1">
      <c r="A325" s="17"/>
    </row>
    <row r="326" spans="1:23" ht="18.75" customHeight="1">
      <c r="A326" s="17"/>
    </row>
    <row r="327" spans="1:23" ht="18.75" customHeight="1">
      <c r="A327" s="17"/>
    </row>
    <row r="328" spans="1:23" ht="18.75" customHeight="1">
      <c r="A328" s="17"/>
    </row>
    <row r="329" spans="1:23" ht="18.75" customHeight="1">
      <c r="A329" s="17"/>
    </row>
    <row r="330" spans="1:23" ht="18.75" customHeight="1">
      <c r="A330" s="17"/>
    </row>
    <row r="331" spans="1:23" ht="18.75" customHeight="1">
      <c r="A331" s="17"/>
    </row>
    <row r="332" spans="1:23" ht="18.75" customHeight="1">
      <c r="A332" s="17"/>
    </row>
    <row r="333" spans="1:23" ht="18.75" customHeight="1">
      <c r="A333" s="17"/>
    </row>
    <row r="334" spans="1:23" ht="18.75" customHeight="1">
      <c r="A334" s="17"/>
    </row>
    <row r="335" spans="1:23" ht="18.75" customHeight="1">
      <c r="A335" s="17"/>
    </row>
    <row r="336" spans="1:23" ht="18.75" customHeight="1">
      <c r="A336" s="17"/>
    </row>
    <row r="337" spans="1:7" ht="18.75" customHeight="1">
      <c r="A337" s="17"/>
    </row>
    <row r="338" spans="1:7" s="47" customFormat="1" ht="18.75" customHeight="1">
      <c r="G338" s="106"/>
    </row>
    <row r="339" spans="1:7" ht="18.75" customHeight="1">
      <c r="A339" s="17"/>
    </row>
    <row r="340" spans="1:7" ht="18.75" customHeight="1">
      <c r="A340" s="17"/>
    </row>
    <row r="341" spans="1:7" s="35" customFormat="1" ht="18.75" customHeight="1"/>
  </sheetData>
  <autoFilter ref="A6:AB341"/>
  <mergeCells count="14">
    <mergeCell ref="W5:W6"/>
    <mergeCell ref="A41:B41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V4:W4"/>
    <mergeCell ref="V5:V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41"/>
  <sheetViews>
    <sheetView workbookViewId="0">
      <selection activeCell="A2" sqref="A2:U2"/>
    </sheetView>
  </sheetViews>
  <sheetFormatPr defaultColWidth="9.140625" defaultRowHeight="12"/>
  <cols>
    <col min="1" max="1" width="4.5703125" style="25" bestFit="1" customWidth="1"/>
    <col min="2" max="2" width="26.140625" style="17" customWidth="1"/>
    <col min="3" max="3" width="5.85546875" style="17" customWidth="1"/>
    <col min="4" max="4" width="5.140625" style="17" bestFit="1" customWidth="1"/>
    <col min="5" max="5" width="9.140625" style="17" customWidth="1"/>
    <col min="6" max="6" width="10.7109375" style="17" customWidth="1"/>
    <col min="7" max="7" width="8.5703125" style="17" customWidth="1"/>
    <col min="8" max="8" width="12.42578125" style="17" bestFit="1" customWidth="1"/>
    <col min="9" max="9" width="8" style="17" bestFit="1" customWidth="1"/>
    <col min="10" max="10" width="8.28515625" style="17" bestFit="1" customWidth="1"/>
    <col min="11" max="11" width="6.7109375" style="17" customWidth="1"/>
    <col min="12" max="12" width="8.7109375" style="17" customWidth="1"/>
    <col min="13" max="13" width="6.5703125" style="17" customWidth="1"/>
    <col min="14" max="14" width="7.140625" style="17" customWidth="1"/>
    <col min="15" max="16" width="9.140625" style="17" bestFit="1" customWidth="1"/>
    <col min="17" max="17" width="9.42578125" style="17" bestFit="1" customWidth="1"/>
    <col min="18" max="18" width="10.140625" style="17" bestFit="1" customWidth="1"/>
    <col min="19" max="19" width="7.5703125" style="17" customWidth="1"/>
    <col min="20" max="20" width="8.28515625" style="17" customWidth="1"/>
    <col min="21" max="21" width="9" style="17" customWidth="1"/>
    <col min="22" max="16384" width="9.140625" style="17"/>
  </cols>
  <sheetData>
    <row r="1" spans="1:21" ht="19.899999999999999" customHeight="1">
      <c r="A1" s="159" t="s">
        <v>207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20.45" customHeight="1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ht="18" customHeight="1">
      <c r="U3" s="24" t="s">
        <v>20</v>
      </c>
    </row>
    <row r="4" spans="1:21" ht="21.75" customHeight="1">
      <c r="A4" s="158" t="s">
        <v>0</v>
      </c>
      <c r="B4" s="158" t="s">
        <v>18</v>
      </c>
      <c r="C4" s="161" t="s">
        <v>1</v>
      </c>
      <c r="D4" s="162"/>
      <c r="E4" s="169" t="s">
        <v>4</v>
      </c>
      <c r="F4" s="170"/>
      <c r="G4" s="171"/>
      <c r="H4" s="158" t="s">
        <v>5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21.75" customHeight="1">
      <c r="A5" s="158"/>
      <c r="B5" s="158"/>
      <c r="C5" s="163"/>
      <c r="D5" s="164"/>
      <c r="E5" s="172"/>
      <c r="F5" s="173"/>
      <c r="G5" s="174"/>
      <c r="H5" s="165" t="s">
        <v>6</v>
      </c>
      <c r="I5" s="158" t="s">
        <v>190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65" t="s">
        <v>19</v>
      </c>
    </row>
    <row r="6" spans="1:21" ht="78" customHeight="1">
      <c r="A6" s="158"/>
      <c r="B6" s="158"/>
      <c r="C6" s="26" t="s">
        <v>2</v>
      </c>
      <c r="D6" s="26" t="s">
        <v>3</v>
      </c>
      <c r="E6" s="26" t="s">
        <v>189</v>
      </c>
      <c r="F6" s="27" t="s">
        <v>191</v>
      </c>
      <c r="G6" s="104" t="s">
        <v>19</v>
      </c>
      <c r="H6" s="165"/>
      <c r="I6" s="27" t="s">
        <v>7</v>
      </c>
      <c r="J6" s="27" t="s">
        <v>8</v>
      </c>
      <c r="K6" s="27" t="s">
        <v>9</v>
      </c>
      <c r="L6" s="27" t="s">
        <v>10</v>
      </c>
      <c r="M6" s="27" t="s">
        <v>11</v>
      </c>
      <c r="N6" s="27" t="s">
        <v>12</v>
      </c>
      <c r="O6" s="27" t="s">
        <v>13</v>
      </c>
      <c r="P6" s="27" t="s">
        <v>14</v>
      </c>
      <c r="Q6" s="27" t="s">
        <v>15</v>
      </c>
      <c r="R6" s="27" t="s">
        <v>17</v>
      </c>
      <c r="S6" s="27" t="s">
        <v>16</v>
      </c>
      <c r="T6" s="27" t="s">
        <v>193</v>
      </c>
      <c r="U6" s="165"/>
    </row>
    <row r="7" spans="1:21" ht="18.75" customHeight="1">
      <c r="A7" s="40">
        <v>1</v>
      </c>
      <c r="B7" s="48" t="s">
        <v>86</v>
      </c>
      <c r="C7" s="2">
        <v>17</v>
      </c>
      <c r="D7" s="2">
        <v>17</v>
      </c>
      <c r="E7" s="3">
        <v>2205.9180000000001</v>
      </c>
      <c r="F7" s="3">
        <f>C7*20.24</f>
        <v>344.08</v>
      </c>
      <c r="G7" s="3">
        <f>E7+F7</f>
        <v>2549.998</v>
      </c>
      <c r="H7" s="3">
        <v>2217.4140000000002</v>
      </c>
      <c r="I7" s="3">
        <v>10.5</v>
      </c>
      <c r="J7" s="3">
        <v>13.269</v>
      </c>
      <c r="K7" s="3">
        <v>74.853999999999999</v>
      </c>
      <c r="L7" s="3">
        <v>4.5229999999999997</v>
      </c>
      <c r="M7" s="3">
        <v>21.504999999999999</v>
      </c>
      <c r="N7" s="3">
        <v>10.122</v>
      </c>
      <c r="O7" s="3">
        <v>52.09</v>
      </c>
      <c r="P7" s="3">
        <v>50.1</v>
      </c>
      <c r="Q7" s="3">
        <v>80.52</v>
      </c>
      <c r="R7" s="3"/>
      <c r="S7" s="3">
        <v>15.102</v>
      </c>
      <c r="T7" s="60">
        <f>SUM(I7:S7)</f>
        <v>332.58499999999992</v>
      </c>
      <c r="U7" s="60">
        <f>T7+H7</f>
        <v>2549.9990000000003</v>
      </c>
    </row>
    <row r="8" spans="1:21" ht="18.75" customHeight="1">
      <c r="A8" s="40">
        <v>2</v>
      </c>
      <c r="B8" s="48" t="s">
        <v>87</v>
      </c>
      <c r="C8" s="2">
        <v>22</v>
      </c>
      <c r="D8" s="2">
        <v>22</v>
      </c>
      <c r="E8" s="3">
        <v>2566.817</v>
      </c>
      <c r="F8" s="3">
        <f t="shared" ref="F8:F20" si="0">C8*20.24</f>
        <v>445.28</v>
      </c>
      <c r="G8" s="3">
        <f t="shared" ref="G8:G50" si="1">E8+F8</f>
        <v>3012.0969999999998</v>
      </c>
      <c r="H8" s="3">
        <v>2602.6419999999998</v>
      </c>
      <c r="I8" s="3"/>
      <c r="J8" s="3">
        <v>19.306000000000001</v>
      </c>
      <c r="K8" s="3">
        <v>101.075</v>
      </c>
      <c r="L8" s="3">
        <v>7.7880000000000003</v>
      </c>
      <c r="M8" s="3">
        <v>42.601999999999997</v>
      </c>
      <c r="N8" s="3">
        <v>21.98</v>
      </c>
      <c r="O8" s="3">
        <v>108.429</v>
      </c>
      <c r="P8" s="3">
        <v>40</v>
      </c>
      <c r="Q8" s="3">
        <v>128.1</v>
      </c>
      <c r="R8" s="3"/>
      <c r="S8" s="3">
        <v>12.086</v>
      </c>
      <c r="T8" s="60">
        <f t="shared" ref="T8:T50" si="2">SUM(I8:S8)</f>
        <v>481.36599999999999</v>
      </c>
      <c r="U8" s="60">
        <f t="shared" ref="U8:U50" si="3">T8+H8</f>
        <v>3084.0079999999998</v>
      </c>
    </row>
    <row r="9" spans="1:21" ht="18.75" customHeight="1">
      <c r="A9" s="40">
        <v>3</v>
      </c>
      <c r="B9" s="49" t="s">
        <v>88</v>
      </c>
      <c r="C9" s="2">
        <v>17</v>
      </c>
      <c r="D9" s="2">
        <v>17</v>
      </c>
      <c r="E9" s="3">
        <v>2769.3969999999999</v>
      </c>
      <c r="F9" s="3">
        <f t="shared" si="0"/>
        <v>344.08</v>
      </c>
      <c r="G9" s="3">
        <f t="shared" si="1"/>
        <v>3113.4769999999999</v>
      </c>
      <c r="H9" s="3">
        <v>2769.3969999999999</v>
      </c>
      <c r="I9" s="3">
        <v>58.6</v>
      </c>
      <c r="J9" s="3">
        <v>14.8</v>
      </c>
      <c r="K9" s="3">
        <v>14.5</v>
      </c>
      <c r="L9" s="3">
        <v>3.2269999999999999</v>
      </c>
      <c r="M9" s="3">
        <v>20.5</v>
      </c>
      <c r="N9" s="3">
        <v>17.88</v>
      </c>
      <c r="O9" s="3">
        <v>50.9</v>
      </c>
      <c r="P9" s="3">
        <v>75.5</v>
      </c>
      <c r="Q9" s="3">
        <v>80.599999999999994</v>
      </c>
      <c r="R9" s="3"/>
      <c r="S9" s="3">
        <v>7.5730000000000004</v>
      </c>
      <c r="T9" s="60">
        <f t="shared" si="2"/>
        <v>344.08</v>
      </c>
      <c r="U9" s="60">
        <f t="shared" si="3"/>
        <v>3113.4769999999999</v>
      </c>
    </row>
    <row r="10" spans="1:21" ht="18.75" customHeight="1">
      <c r="A10" s="40">
        <v>4</v>
      </c>
      <c r="B10" s="48" t="s">
        <v>89</v>
      </c>
      <c r="C10" s="2">
        <v>17</v>
      </c>
      <c r="D10" s="2">
        <v>17</v>
      </c>
      <c r="E10" s="3">
        <v>1955.857</v>
      </c>
      <c r="F10" s="3">
        <f t="shared" si="0"/>
        <v>344.08</v>
      </c>
      <c r="G10" s="3">
        <f t="shared" si="1"/>
        <v>2299.9369999999999</v>
      </c>
      <c r="H10" s="3">
        <v>1955.856</v>
      </c>
      <c r="I10" s="3">
        <v>75.5</v>
      </c>
      <c r="J10" s="3">
        <v>8.5</v>
      </c>
      <c r="K10" s="3">
        <v>14.2</v>
      </c>
      <c r="L10" s="3">
        <v>1.8</v>
      </c>
      <c r="M10" s="3">
        <f>10.5+4.539+15</f>
        <v>30.039000000000001</v>
      </c>
      <c r="N10" s="3">
        <v>20</v>
      </c>
      <c r="O10" s="3">
        <v>25.2</v>
      </c>
      <c r="P10" s="3">
        <v>40.5</v>
      </c>
      <c r="Q10" s="3">
        <v>85.245000000000005</v>
      </c>
      <c r="R10" s="3"/>
      <c r="S10" s="3">
        <v>43.097000000000001</v>
      </c>
      <c r="T10" s="60">
        <f t="shared" si="2"/>
        <v>344.08099999999996</v>
      </c>
      <c r="U10" s="60">
        <f t="shared" si="3"/>
        <v>2299.9369999999999</v>
      </c>
    </row>
    <row r="11" spans="1:21" ht="18.75" customHeight="1">
      <c r="A11" s="40">
        <v>5</v>
      </c>
      <c r="B11" s="48" t="s">
        <v>90</v>
      </c>
      <c r="C11" s="2">
        <v>19</v>
      </c>
      <c r="D11" s="2">
        <v>19</v>
      </c>
      <c r="E11" s="3">
        <v>2272.7080000000001</v>
      </c>
      <c r="F11" s="3">
        <f t="shared" si="0"/>
        <v>384.55999999999995</v>
      </c>
      <c r="G11" s="3">
        <f t="shared" si="1"/>
        <v>2657.268</v>
      </c>
      <c r="H11" s="3">
        <v>2272.7080000000001</v>
      </c>
      <c r="I11" s="3">
        <v>25.7</v>
      </c>
      <c r="J11" s="3">
        <v>17.5</v>
      </c>
      <c r="K11" s="3">
        <v>30.5</v>
      </c>
      <c r="L11" s="3">
        <v>1.2</v>
      </c>
      <c r="M11" s="3">
        <v>50.75</v>
      </c>
      <c r="N11" s="3">
        <v>26.5</v>
      </c>
      <c r="O11" s="3">
        <v>25</v>
      </c>
      <c r="P11" s="3">
        <v>26</v>
      </c>
      <c r="Q11" s="3">
        <v>150</v>
      </c>
      <c r="R11" s="3"/>
      <c r="S11" s="3">
        <v>31.437999999999999</v>
      </c>
      <c r="T11" s="60">
        <f t="shared" si="2"/>
        <v>384.58799999999997</v>
      </c>
      <c r="U11" s="60">
        <f t="shared" si="3"/>
        <v>2657.2960000000003</v>
      </c>
    </row>
    <row r="12" spans="1:21" ht="18.75" customHeight="1">
      <c r="A12" s="40">
        <v>6</v>
      </c>
      <c r="B12" s="48" t="s">
        <v>91</v>
      </c>
      <c r="C12" s="2">
        <v>13</v>
      </c>
      <c r="D12" s="2">
        <v>13</v>
      </c>
      <c r="E12" s="3">
        <v>1463.37</v>
      </c>
      <c r="F12" s="3">
        <f t="shared" si="0"/>
        <v>263.12</v>
      </c>
      <c r="G12" s="3">
        <f t="shared" si="1"/>
        <v>1726.4899999999998</v>
      </c>
      <c r="H12" s="3">
        <v>1564.2560000000001</v>
      </c>
      <c r="I12" s="3"/>
      <c r="J12" s="3">
        <v>8.6199999999999992</v>
      </c>
      <c r="K12" s="3">
        <v>20.303999999999998</v>
      </c>
      <c r="L12" s="3">
        <v>1.5469999999999999</v>
      </c>
      <c r="M12" s="3">
        <v>22.808</v>
      </c>
      <c r="N12" s="3">
        <v>18.64</v>
      </c>
      <c r="O12" s="3">
        <v>30.466000000000001</v>
      </c>
      <c r="P12" s="3">
        <v>18.5</v>
      </c>
      <c r="Q12" s="3"/>
      <c r="R12" s="3"/>
      <c r="S12" s="3">
        <v>41.35</v>
      </c>
      <c r="T12" s="60">
        <f t="shared" si="2"/>
        <v>162.23499999999999</v>
      </c>
      <c r="U12" s="60">
        <f t="shared" si="3"/>
        <v>1726.491</v>
      </c>
    </row>
    <row r="13" spans="1:21" ht="18.75" customHeight="1">
      <c r="A13" s="40">
        <v>7</v>
      </c>
      <c r="B13" s="48" t="s">
        <v>92</v>
      </c>
      <c r="C13" s="2">
        <v>7</v>
      </c>
      <c r="D13" s="2">
        <v>7</v>
      </c>
      <c r="E13" s="3">
        <v>923.072</v>
      </c>
      <c r="F13" s="3">
        <f t="shared" si="0"/>
        <v>141.67999999999998</v>
      </c>
      <c r="G13" s="3">
        <f t="shared" si="1"/>
        <v>1064.752</v>
      </c>
      <c r="H13" s="3">
        <v>923.072</v>
      </c>
      <c r="I13" s="3">
        <v>10.4</v>
      </c>
      <c r="J13" s="3">
        <v>6.0759999999999996</v>
      </c>
      <c r="K13" s="3">
        <v>10.5</v>
      </c>
      <c r="L13" s="3">
        <v>5.4</v>
      </c>
      <c r="M13" s="3">
        <f>10.547+10</f>
        <v>20.547000000000001</v>
      </c>
      <c r="N13" s="3">
        <v>10.808</v>
      </c>
      <c r="O13" s="3">
        <v>15.3</v>
      </c>
      <c r="P13" s="3">
        <v>20.5</v>
      </c>
      <c r="Q13" s="3">
        <v>30.15</v>
      </c>
      <c r="R13" s="3"/>
      <c r="S13" s="3">
        <v>12</v>
      </c>
      <c r="T13" s="60">
        <f t="shared" si="2"/>
        <v>141.68100000000001</v>
      </c>
      <c r="U13" s="60">
        <f t="shared" si="3"/>
        <v>1064.7529999999999</v>
      </c>
    </row>
    <row r="14" spans="1:21" ht="18.75" customHeight="1">
      <c r="A14" s="40">
        <v>8</v>
      </c>
      <c r="B14" s="48" t="s">
        <v>93</v>
      </c>
      <c r="C14" s="2">
        <v>19</v>
      </c>
      <c r="D14" s="2">
        <v>19</v>
      </c>
      <c r="E14" s="3">
        <v>2150.2840000000001</v>
      </c>
      <c r="F14" s="3">
        <f t="shared" si="0"/>
        <v>384.55999999999995</v>
      </c>
      <c r="G14" s="3">
        <f t="shared" si="1"/>
        <v>2534.8440000000001</v>
      </c>
      <c r="H14" s="3">
        <v>2150.2849999999999</v>
      </c>
      <c r="I14" s="3"/>
      <c r="J14" s="3">
        <v>11.772</v>
      </c>
      <c r="K14" s="3">
        <v>85.287999999999997</v>
      </c>
      <c r="L14" s="3">
        <v>5.5620000000000003</v>
      </c>
      <c r="M14" s="3">
        <v>25.738</v>
      </c>
      <c r="N14" s="3">
        <v>31.731000000000002</v>
      </c>
      <c r="O14" s="3">
        <v>35.661000000000001</v>
      </c>
      <c r="P14" s="3"/>
      <c r="Q14" s="3">
        <v>135.47499999999999</v>
      </c>
      <c r="R14" s="3"/>
      <c r="S14" s="3">
        <v>53.332999999999998</v>
      </c>
      <c r="T14" s="60">
        <f t="shared" si="2"/>
        <v>384.55999999999995</v>
      </c>
      <c r="U14" s="60">
        <f t="shared" si="3"/>
        <v>2534.8449999999998</v>
      </c>
    </row>
    <row r="15" spans="1:21" ht="18.75" customHeight="1">
      <c r="A15" s="40">
        <v>9</v>
      </c>
      <c r="B15" s="48" t="s">
        <v>94</v>
      </c>
      <c r="C15" s="2">
        <v>14</v>
      </c>
      <c r="D15" s="2">
        <v>14</v>
      </c>
      <c r="E15" s="3">
        <v>1758.1759999999999</v>
      </c>
      <c r="F15" s="3">
        <f t="shared" si="0"/>
        <v>283.35999999999996</v>
      </c>
      <c r="G15" s="3">
        <f t="shared" si="1"/>
        <v>2041.5359999999998</v>
      </c>
      <c r="H15" s="3">
        <f>1758.175+58.165</f>
        <v>1816.34</v>
      </c>
      <c r="I15" s="3">
        <v>0</v>
      </c>
      <c r="J15" s="3">
        <v>8.5299999999999994</v>
      </c>
      <c r="K15" s="3">
        <v>62.75</v>
      </c>
      <c r="L15" s="3">
        <v>1.347</v>
      </c>
      <c r="M15" s="3">
        <v>12.496</v>
      </c>
      <c r="N15" s="3">
        <v>20.225000000000001</v>
      </c>
      <c r="O15" s="3">
        <v>9.4499999999999993</v>
      </c>
      <c r="P15" s="3">
        <v>19.55</v>
      </c>
      <c r="Q15" s="3">
        <v>62.22</v>
      </c>
      <c r="R15" s="3"/>
      <c r="S15" s="3">
        <v>45.917000000000002</v>
      </c>
      <c r="T15" s="60">
        <f t="shared" si="2"/>
        <v>242.48499999999999</v>
      </c>
      <c r="U15" s="60">
        <f t="shared" si="3"/>
        <v>2058.8249999999998</v>
      </c>
    </row>
    <row r="16" spans="1:21" ht="18.75" customHeight="1">
      <c r="A16" s="40">
        <v>10</v>
      </c>
      <c r="B16" s="48" t="s">
        <v>95</v>
      </c>
      <c r="C16" s="2">
        <v>20</v>
      </c>
      <c r="D16" s="2">
        <v>20</v>
      </c>
      <c r="E16" s="3">
        <v>2548.9540000000002</v>
      </c>
      <c r="F16" s="3">
        <f t="shared" si="0"/>
        <v>404.79999999999995</v>
      </c>
      <c r="G16" s="3">
        <f t="shared" si="1"/>
        <v>2953.7539999999999</v>
      </c>
      <c r="H16" s="3">
        <v>2548.9349999999999</v>
      </c>
      <c r="I16" s="3">
        <v>100</v>
      </c>
      <c r="J16" s="3">
        <v>8</v>
      </c>
      <c r="K16" s="3">
        <v>16</v>
      </c>
      <c r="L16" s="3">
        <v>6</v>
      </c>
      <c r="M16" s="3">
        <v>50</v>
      </c>
      <c r="N16" s="3">
        <v>30</v>
      </c>
      <c r="O16" s="3">
        <v>30</v>
      </c>
      <c r="P16" s="3">
        <v>20</v>
      </c>
      <c r="Q16" s="3">
        <v>120</v>
      </c>
      <c r="R16" s="3"/>
      <c r="S16" s="3">
        <v>24.82</v>
      </c>
      <c r="T16" s="60">
        <f t="shared" si="2"/>
        <v>404.82</v>
      </c>
      <c r="U16" s="60">
        <f t="shared" si="3"/>
        <v>2953.7550000000001</v>
      </c>
    </row>
    <row r="17" spans="1:21" ht="18.75" customHeight="1">
      <c r="A17" s="40">
        <v>11</v>
      </c>
      <c r="B17" s="48" t="s">
        <v>96</v>
      </c>
      <c r="C17" s="2">
        <v>18</v>
      </c>
      <c r="D17" s="2">
        <v>18</v>
      </c>
      <c r="E17" s="3">
        <v>2256.7240000000002</v>
      </c>
      <c r="F17" s="3">
        <f t="shared" si="0"/>
        <v>364.32</v>
      </c>
      <c r="G17" s="3">
        <f t="shared" si="1"/>
        <v>2621.0440000000003</v>
      </c>
      <c r="H17" s="3">
        <v>2200</v>
      </c>
      <c r="I17" s="3">
        <v>30</v>
      </c>
      <c r="J17" s="3">
        <v>10</v>
      </c>
      <c r="K17" s="3">
        <v>95</v>
      </c>
      <c r="L17" s="3">
        <v>2</v>
      </c>
      <c r="M17" s="3">
        <v>25</v>
      </c>
      <c r="N17" s="3">
        <v>23</v>
      </c>
      <c r="O17" s="3">
        <v>35</v>
      </c>
      <c r="P17" s="3">
        <v>30</v>
      </c>
      <c r="Q17" s="3">
        <v>55</v>
      </c>
      <c r="R17" s="3"/>
      <c r="S17" s="3">
        <v>133.71799999999999</v>
      </c>
      <c r="T17" s="60">
        <f t="shared" si="2"/>
        <v>438.71799999999996</v>
      </c>
      <c r="U17" s="60">
        <f t="shared" si="3"/>
        <v>2638.7179999999998</v>
      </c>
    </row>
    <row r="18" spans="1:21" ht="18.75" customHeight="1">
      <c r="A18" s="40">
        <v>12</v>
      </c>
      <c r="B18" s="48" t="s">
        <v>97</v>
      </c>
      <c r="C18" s="2">
        <v>21</v>
      </c>
      <c r="D18" s="2">
        <v>21</v>
      </c>
      <c r="E18" s="3">
        <v>2242.7060000000001</v>
      </c>
      <c r="F18" s="3">
        <f t="shared" si="0"/>
        <v>425.03999999999996</v>
      </c>
      <c r="G18" s="3">
        <f t="shared" si="1"/>
        <v>2667.7460000000001</v>
      </c>
      <c r="H18" s="3">
        <f>1165.375+892.907+334.898</f>
        <v>2393.1800000000003</v>
      </c>
      <c r="I18" s="3"/>
      <c r="J18" s="3">
        <v>45.156999999999996</v>
      </c>
      <c r="K18" s="3">
        <v>89.408000000000001</v>
      </c>
      <c r="L18" s="3">
        <v>22.661999999999999</v>
      </c>
      <c r="M18" s="3">
        <v>13.28</v>
      </c>
      <c r="N18" s="3">
        <v>32</v>
      </c>
      <c r="O18" s="3">
        <v>31.925000000000001</v>
      </c>
      <c r="P18" s="3"/>
      <c r="Q18" s="3">
        <v>144.321</v>
      </c>
      <c r="R18" s="3"/>
      <c r="S18" s="3">
        <f>48.982+1.824</f>
        <v>50.805999999999997</v>
      </c>
      <c r="T18" s="60">
        <f t="shared" si="2"/>
        <v>429.55900000000003</v>
      </c>
      <c r="U18" s="60">
        <f t="shared" si="3"/>
        <v>2822.7390000000005</v>
      </c>
    </row>
    <row r="19" spans="1:21" ht="18.75" customHeight="1">
      <c r="A19" s="40">
        <v>13</v>
      </c>
      <c r="B19" s="48" t="s">
        <v>98</v>
      </c>
      <c r="C19" s="2">
        <v>21</v>
      </c>
      <c r="D19" s="2">
        <v>21</v>
      </c>
      <c r="E19" s="3">
        <v>2390.893</v>
      </c>
      <c r="F19" s="3">
        <f t="shared" si="0"/>
        <v>425.03999999999996</v>
      </c>
      <c r="G19" s="3">
        <f t="shared" si="1"/>
        <v>2815.933</v>
      </c>
      <c r="H19" s="20">
        <v>2390.9</v>
      </c>
      <c r="I19" s="20">
        <v>90</v>
      </c>
      <c r="J19" s="20">
        <v>14.5</v>
      </c>
      <c r="K19" s="20">
        <v>10.8</v>
      </c>
      <c r="L19" s="20">
        <v>5</v>
      </c>
      <c r="M19" s="20">
        <v>10.199999999999999</v>
      </c>
      <c r="N19" s="20">
        <v>20</v>
      </c>
      <c r="O19" s="20">
        <v>6</v>
      </c>
      <c r="P19" s="20">
        <v>30</v>
      </c>
      <c r="Q19" s="20">
        <v>220.2</v>
      </c>
      <c r="R19" s="3"/>
      <c r="S19" s="20">
        <v>18.3</v>
      </c>
      <c r="T19" s="60">
        <f t="shared" si="2"/>
        <v>425</v>
      </c>
      <c r="U19" s="60">
        <f t="shared" si="3"/>
        <v>2815.9</v>
      </c>
    </row>
    <row r="20" spans="1:21" ht="18.75" customHeight="1">
      <c r="A20" s="40">
        <v>14</v>
      </c>
      <c r="B20" s="48" t="s">
        <v>99</v>
      </c>
      <c r="C20" s="2">
        <v>13</v>
      </c>
      <c r="D20" s="2">
        <v>13</v>
      </c>
      <c r="E20" s="3">
        <v>1740.9390000000001</v>
      </c>
      <c r="F20" s="3">
        <f t="shared" si="0"/>
        <v>263.12</v>
      </c>
      <c r="G20" s="3">
        <f t="shared" si="1"/>
        <v>2004.0590000000002</v>
      </c>
      <c r="H20" s="3">
        <v>1740.94</v>
      </c>
      <c r="I20" s="3">
        <v>34.549999999999997</v>
      </c>
      <c r="J20" s="3">
        <v>8.1999999999999993</v>
      </c>
      <c r="K20" s="3">
        <v>17</v>
      </c>
      <c r="L20" s="3">
        <v>3.5</v>
      </c>
      <c r="M20" s="3">
        <v>25.9</v>
      </c>
      <c r="N20" s="3">
        <v>18</v>
      </c>
      <c r="O20" s="3">
        <v>25</v>
      </c>
      <c r="P20" s="3">
        <v>35</v>
      </c>
      <c r="Q20" s="3">
        <v>41.2</v>
      </c>
      <c r="R20" s="3"/>
      <c r="S20" s="3">
        <v>54.77</v>
      </c>
      <c r="T20" s="60">
        <f t="shared" si="2"/>
        <v>263.12</v>
      </c>
      <c r="U20" s="60">
        <f t="shared" si="3"/>
        <v>2004.06</v>
      </c>
    </row>
    <row r="21" spans="1:21" ht="18.75" customHeight="1">
      <c r="A21" s="40">
        <v>15</v>
      </c>
      <c r="B21" s="48" t="s">
        <v>100</v>
      </c>
      <c r="C21" s="2">
        <v>36</v>
      </c>
      <c r="D21" s="2">
        <v>36</v>
      </c>
      <c r="E21" s="3">
        <v>6470.5029999999997</v>
      </c>
      <c r="F21" s="3">
        <f>C21*21.12</f>
        <v>760.32</v>
      </c>
      <c r="G21" s="3">
        <f t="shared" si="1"/>
        <v>7230.8229999999994</v>
      </c>
      <c r="H21" s="3">
        <v>6678.98</v>
      </c>
      <c r="I21" s="3"/>
      <c r="J21" s="3">
        <v>13.577999999999999</v>
      </c>
      <c r="K21" s="3">
        <v>131.57499999999999</v>
      </c>
      <c r="L21" s="3">
        <v>5.0019999999999998</v>
      </c>
      <c r="M21" s="3">
        <v>84.91</v>
      </c>
      <c r="N21" s="3">
        <v>35.6</v>
      </c>
      <c r="O21" s="3">
        <v>42.777000000000001</v>
      </c>
      <c r="P21" s="3">
        <v>50.112000000000002</v>
      </c>
      <c r="Q21" s="3">
        <v>142.55000000000001</v>
      </c>
      <c r="R21" s="3"/>
      <c r="S21" s="3">
        <v>45.74</v>
      </c>
      <c r="T21" s="60">
        <f t="shared" si="2"/>
        <v>551.84400000000005</v>
      </c>
      <c r="U21" s="60">
        <f t="shared" si="3"/>
        <v>7230.8239999999996</v>
      </c>
    </row>
    <row r="22" spans="1:21" ht="18.75" customHeight="1">
      <c r="A22" s="40">
        <v>16</v>
      </c>
      <c r="B22" s="48" t="s">
        <v>101</v>
      </c>
      <c r="C22" s="2">
        <v>36</v>
      </c>
      <c r="D22" s="2">
        <v>36</v>
      </c>
      <c r="E22" s="3">
        <v>5818.4949999999999</v>
      </c>
      <c r="F22" s="3">
        <f t="shared" ref="F22:F50" si="4">C22*21.12</f>
        <v>760.32</v>
      </c>
      <c r="G22" s="3">
        <f t="shared" si="1"/>
        <v>6578.8149999999996</v>
      </c>
      <c r="H22" s="3">
        <v>5947.7110000000002</v>
      </c>
      <c r="I22" s="3"/>
      <c r="J22" s="3">
        <v>16.68</v>
      </c>
      <c r="K22" s="3">
        <v>220.322</v>
      </c>
      <c r="L22" s="3">
        <v>6.2569999999999997</v>
      </c>
      <c r="M22" s="3">
        <v>92.040999999999997</v>
      </c>
      <c r="N22" s="3">
        <v>22.92</v>
      </c>
      <c r="O22" s="3">
        <v>37.725000000000001</v>
      </c>
      <c r="P22" s="3">
        <v>51</v>
      </c>
      <c r="Q22" s="3">
        <v>144.59</v>
      </c>
      <c r="R22" s="3"/>
      <c r="S22" s="3">
        <v>39.57</v>
      </c>
      <c r="T22" s="60">
        <f t="shared" si="2"/>
        <v>631.10500000000013</v>
      </c>
      <c r="U22" s="60">
        <f t="shared" si="3"/>
        <v>6578.8160000000007</v>
      </c>
    </row>
    <row r="23" spans="1:21" ht="18.75" customHeight="1">
      <c r="A23" s="40">
        <v>17</v>
      </c>
      <c r="B23" s="49" t="s">
        <v>102</v>
      </c>
      <c r="C23" s="2">
        <v>23</v>
      </c>
      <c r="D23" s="2">
        <v>23</v>
      </c>
      <c r="E23" s="3">
        <v>3746.9140000000002</v>
      </c>
      <c r="F23" s="3">
        <f t="shared" si="4"/>
        <v>485.76000000000005</v>
      </c>
      <c r="G23" s="3">
        <f t="shared" si="1"/>
        <v>4232.674</v>
      </c>
      <c r="H23" s="3">
        <v>3746.915</v>
      </c>
      <c r="I23" s="3">
        <v>45.5</v>
      </c>
      <c r="J23" s="3">
        <v>13.2</v>
      </c>
      <c r="K23" s="3">
        <v>26.5</v>
      </c>
      <c r="L23" s="3">
        <v>3.96</v>
      </c>
      <c r="M23" s="3">
        <v>90.4</v>
      </c>
      <c r="N23" s="3">
        <v>40</v>
      </c>
      <c r="O23" s="3">
        <v>42.6</v>
      </c>
      <c r="P23" s="3">
        <v>50.6</v>
      </c>
      <c r="Q23" s="3">
        <v>100.6</v>
      </c>
      <c r="R23" s="3"/>
      <c r="S23" s="3">
        <v>72.400000000000006</v>
      </c>
      <c r="T23" s="60">
        <f t="shared" si="2"/>
        <v>485.76</v>
      </c>
      <c r="U23" s="60">
        <f t="shared" si="3"/>
        <v>4232.6750000000002</v>
      </c>
    </row>
    <row r="24" spans="1:21" ht="18.75" customHeight="1">
      <c r="A24" s="40">
        <v>18</v>
      </c>
      <c r="B24" s="48" t="s">
        <v>103</v>
      </c>
      <c r="C24" s="2">
        <v>21</v>
      </c>
      <c r="D24" s="2">
        <v>21</v>
      </c>
      <c r="E24" s="3">
        <v>2815.8670000000002</v>
      </c>
      <c r="F24" s="3">
        <f t="shared" si="4"/>
        <v>443.52000000000004</v>
      </c>
      <c r="G24" s="3">
        <f t="shared" si="1"/>
        <v>3259.3870000000002</v>
      </c>
      <c r="H24" s="3">
        <v>2815.8679999999999</v>
      </c>
      <c r="I24" s="3">
        <v>140.76900000000001</v>
      </c>
      <c r="J24" s="3">
        <v>18.614000000000001</v>
      </c>
      <c r="K24" s="3">
        <v>12.068</v>
      </c>
      <c r="L24" s="3">
        <v>2.9220000000000002</v>
      </c>
      <c r="M24" s="3">
        <f>55.958+16.4</f>
        <v>72.358000000000004</v>
      </c>
      <c r="N24" s="3">
        <v>40.33</v>
      </c>
      <c r="O24" s="3">
        <v>28.64</v>
      </c>
      <c r="P24" s="3">
        <v>20</v>
      </c>
      <c r="Q24" s="3">
        <v>57.607999999999997</v>
      </c>
      <c r="R24" s="3"/>
      <c r="S24" s="3">
        <v>50.210999999999999</v>
      </c>
      <c r="T24" s="60">
        <f t="shared" si="2"/>
        <v>443.52000000000004</v>
      </c>
      <c r="U24" s="60">
        <f t="shared" si="3"/>
        <v>3259.3879999999999</v>
      </c>
    </row>
    <row r="25" spans="1:21" ht="18.75" customHeight="1">
      <c r="A25" s="40">
        <v>19</v>
      </c>
      <c r="B25" s="48" t="s">
        <v>104</v>
      </c>
      <c r="C25" s="2">
        <v>23</v>
      </c>
      <c r="D25" s="2">
        <v>23</v>
      </c>
      <c r="E25" s="3">
        <v>3943.29</v>
      </c>
      <c r="F25" s="3">
        <f t="shared" si="4"/>
        <v>485.76000000000005</v>
      </c>
      <c r="G25" s="3">
        <f t="shared" si="1"/>
        <v>4429.05</v>
      </c>
      <c r="H25" s="3">
        <v>3943.29</v>
      </c>
      <c r="I25" s="3">
        <v>85.5</v>
      </c>
      <c r="J25" s="3">
        <v>11.5</v>
      </c>
      <c r="K25" s="3">
        <v>23.5</v>
      </c>
      <c r="L25" s="3">
        <v>3.24</v>
      </c>
      <c r="M25" s="3">
        <v>120</v>
      </c>
      <c r="N25" s="3">
        <v>21</v>
      </c>
      <c r="O25" s="3">
        <v>46.75</v>
      </c>
      <c r="P25" s="3">
        <v>30</v>
      </c>
      <c r="Q25" s="3">
        <v>85</v>
      </c>
      <c r="R25" s="3"/>
      <c r="S25" s="3">
        <v>59.271000000000001</v>
      </c>
      <c r="T25" s="60">
        <f t="shared" si="2"/>
        <v>485.76100000000002</v>
      </c>
      <c r="U25" s="60">
        <f t="shared" si="3"/>
        <v>4429.0510000000004</v>
      </c>
    </row>
    <row r="26" spans="1:21" ht="18.75" customHeight="1">
      <c r="A26" s="40">
        <v>20</v>
      </c>
      <c r="B26" s="48" t="s">
        <v>105</v>
      </c>
      <c r="C26" s="2">
        <v>26</v>
      </c>
      <c r="D26" s="2">
        <v>26</v>
      </c>
      <c r="E26" s="3">
        <v>3550.6640000000002</v>
      </c>
      <c r="F26" s="3">
        <f t="shared" si="4"/>
        <v>549.12</v>
      </c>
      <c r="G26" s="3">
        <f t="shared" si="1"/>
        <v>4099.7840000000006</v>
      </c>
      <c r="H26" s="3">
        <v>3686.2510000000002</v>
      </c>
      <c r="I26" s="3"/>
      <c r="J26" s="3">
        <v>11.151999999999999</v>
      </c>
      <c r="K26" s="3">
        <v>20.876000000000001</v>
      </c>
      <c r="L26" s="3">
        <v>10.02</v>
      </c>
      <c r="M26" s="3">
        <v>112.218</v>
      </c>
      <c r="N26" s="3">
        <v>18</v>
      </c>
      <c r="O26" s="3">
        <v>50.292999999999999</v>
      </c>
      <c r="P26" s="3">
        <v>15</v>
      </c>
      <c r="Q26" s="3">
        <v>14.6</v>
      </c>
      <c r="R26" s="3"/>
      <c r="S26" s="3">
        <v>161.374</v>
      </c>
      <c r="T26" s="60">
        <f t="shared" si="2"/>
        <v>413.53300000000002</v>
      </c>
      <c r="U26" s="60">
        <f t="shared" si="3"/>
        <v>4099.7840000000006</v>
      </c>
    </row>
    <row r="27" spans="1:21" ht="18.75" customHeight="1">
      <c r="A27" s="40">
        <v>21</v>
      </c>
      <c r="B27" s="48" t="s">
        <v>106</v>
      </c>
      <c r="C27" s="2">
        <v>13</v>
      </c>
      <c r="D27" s="2">
        <v>13</v>
      </c>
      <c r="E27" s="3">
        <v>2132.547</v>
      </c>
      <c r="F27" s="3">
        <f t="shared" si="4"/>
        <v>274.56</v>
      </c>
      <c r="G27" s="3">
        <f t="shared" si="1"/>
        <v>2407.107</v>
      </c>
      <c r="H27" s="3">
        <v>2132.58</v>
      </c>
      <c r="I27" s="3">
        <v>37.043999999999997</v>
      </c>
      <c r="J27" s="3">
        <v>7.6230000000000002</v>
      </c>
      <c r="K27" s="3">
        <v>0.73</v>
      </c>
      <c r="L27" s="3">
        <v>2.1989999999999998</v>
      </c>
      <c r="M27" s="3">
        <f>63.156+12</f>
        <v>75.156000000000006</v>
      </c>
      <c r="N27" s="3">
        <v>9.6</v>
      </c>
      <c r="O27" s="3">
        <v>49.466999999999999</v>
      </c>
      <c r="P27" s="3">
        <v>35</v>
      </c>
      <c r="Q27" s="3">
        <v>44.558999999999997</v>
      </c>
      <c r="R27" s="3"/>
      <c r="S27" s="3">
        <f>13.15</f>
        <v>13.15</v>
      </c>
      <c r="T27" s="60">
        <f t="shared" si="2"/>
        <v>274.52800000000002</v>
      </c>
      <c r="U27" s="60">
        <f t="shared" si="3"/>
        <v>2407.1080000000002</v>
      </c>
    </row>
    <row r="28" spans="1:21" ht="18.75" customHeight="1">
      <c r="A28" s="40">
        <v>22</v>
      </c>
      <c r="B28" s="48" t="s">
        <v>107</v>
      </c>
      <c r="C28" s="2">
        <v>34</v>
      </c>
      <c r="D28" s="2">
        <v>34</v>
      </c>
      <c r="E28" s="3">
        <v>5384.8310000000001</v>
      </c>
      <c r="F28" s="3">
        <f t="shared" si="4"/>
        <v>718.08</v>
      </c>
      <c r="G28" s="3">
        <f t="shared" si="1"/>
        <v>6102.9110000000001</v>
      </c>
      <c r="H28" s="3">
        <v>5363.7120000000004</v>
      </c>
      <c r="I28" s="3"/>
      <c r="J28" s="3">
        <v>30.696000000000002</v>
      </c>
      <c r="K28" s="3">
        <v>158.21199999999999</v>
      </c>
      <c r="L28" s="3">
        <v>6.13</v>
      </c>
      <c r="M28" s="3">
        <v>98.528000000000006</v>
      </c>
      <c r="N28" s="3">
        <v>48.28</v>
      </c>
      <c r="O28" s="3">
        <v>67.858000000000004</v>
      </c>
      <c r="P28" s="3">
        <v>65.7</v>
      </c>
      <c r="Q28" s="3">
        <v>168.661</v>
      </c>
      <c r="R28" s="3"/>
      <c r="S28" s="3">
        <v>95.135000000000005</v>
      </c>
      <c r="T28" s="60">
        <f t="shared" si="2"/>
        <v>739.2</v>
      </c>
      <c r="U28" s="60">
        <f t="shared" si="3"/>
        <v>6102.9120000000003</v>
      </c>
    </row>
    <row r="29" spans="1:21" ht="18.75" customHeight="1">
      <c r="A29" s="40">
        <v>23</v>
      </c>
      <c r="B29" s="48" t="s">
        <v>108</v>
      </c>
      <c r="C29" s="2">
        <v>25</v>
      </c>
      <c r="D29" s="2">
        <v>25</v>
      </c>
      <c r="E29" s="3">
        <v>3815.395</v>
      </c>
      <c r="F29" s="3">
        <f t="shared" si="4"/>
        <v>528</v>
      </c>
      <c r="G29" s="3">
        <f t="shared" si="1"/>
        <v>4343.3950000000004</v>
      </c>
      <c r="H29" s="3">
        <v>3892.953</v>
      </c>
      <c r="I29" s="3"/>
      <c r="J29" s="3">
        <v>15.952999999999999</v>
      </c>
      <c r="K29" s="3">
        <v>35.741999999999997</v>
      </c>
      <c r="L29" s="3">
        <v>9.2889999999999997</v>
      </c>
      <c r="M29" s="3">
        <v>98.73</v>
      </c>
      <c r="N29" s="3">
        <v>35.857999999999997</v>
      </c>
      <c r="O29" s="3">
        <v>41.853999999999999</v>
      </c>
      <c r="P29" s="3">
        <v>30</v>
      </c>
      <c r="Q29" s="3">
        <v>85.864999999999995</v>
      </c>
      <c r="R29" s="3"/>
      <c r="S29" s="3">
        <v>72.680000000000007</v>
      </c>
      <c r="T29" s="60">
        <f t="shared" si="2"/>
        <v>425.971</v>
      </c>
      <c r="U29" s="60">
        <f t="shared" si="3"/>
        <v>4318.924</v>
      </c>
    </row>
    <row r="30" spans="1:21" ht="18.75" customHeight="1">
      <c r="A30" s="40">
        <v>24</v>
      </c>
      <c r="B30" s="48" t="s">
        <v>109</v>
      </c>
      <c r="C30" s="2">
        <v>25</v>
      </c>
      <c r="D30" s="2">
        <v>25</v>
      </c>
      <c r="E30" s="3">
        <v>3822.9279999999999</v>
      </c>
      <c r="F30" s="3">
        <f t="shared" si="4"/>
        <v>528</v>
      </c>
      <c r="G30" s="3">
        <f t="shared" si="1"/>
        <v>4350.9279999999999</v>
      </c>
      <c r="H30" s="3">
        <v>3797.9520000000002</v>
      </c>
      <c r="I30" s="3">
        <v>18.856999999999999</v>
      </c>
      <c r="J30" s="3"/>
      <c r="K30" s="3">
        <f>16.665+89.844+24.106</f>
        <v>130.61499999999998</v>
      </c>
      <c r="L30" s="3">
        <v>1.2470000000000001</v>
      </c>
      <c r="M30" s="3">
        <f>4.502+31.95+20.75+35.115</f>
        <v>92.317000000000007</v>
      </c>
      <c r="N30" s="3">
        <v>24</v>
      </c>
      <c r="O30" s="3">
        <f>40.85+18.7+11.585+8.165</f>
        <v>79.299999999999983</v>
      </c>
      <c r="P30" s="3">
        <f>66.665</f>
        <v>66.665000000000006</v>
      </c>
      <c r="Q30" s="3">
        <f>17.83+30</f>
        <v>47.83</v>
      </c>
      <c r="R30" s="3"/>
      <c r="S30" s="3">
        <f>61.145+3+28</f>
        <v>92.14500000000001</v>
      </c>
      <c r="T30" s="60">
        <f t="shared" si="2"/>
        <v>552.976</v>
      </c>
      <c r="U30" s="60">
        <f t="shared" si="3"/>
        <v>4350.9279999999999</v>
      </c>
    </row>
    <row r="31" spans="1:21" ht="18.75" customHeight="1">
      <c r="A31" s="40">
        <v>25</v>
      </c>
      <c r="B31" s="48" t="s">
        <v>110</v>
      </c>
      <c r="C31" s="2">
        <v>38</v>
      </c>
      <c r="D31" s="2">
        <v>38</v>
      </c>
      <c r="E31" s="3">
        <v>6775.3590000000004</v>
      </c>
      <c r="F31" s="3">
        <f t="shared" si="4"/>
        <v>802.56000000000006</v>
      </c>
      <c r="G31" s="3">
        <f t="shared" si="1"/>
        <v>7577.9190000000008</v>
      </c>
      <c r="H31" s="3">
        <v>6754.2380000000003</v>
      </c>
      <c r="I31" s="3">
        <v>102</v>
      </c>
      <c r="J31" s="3">
        <v>24</v>
      </c>
      <c r="K31" s="3">
        <v>15</v>
      </c>
      <c r="L31" s="3">
        <v>13</v>
      </c>
      <c r="M31" s="3">
        <v>103</v>
      </c>
      <c r="N31" s="3">
        <v>75</v>
      </c>
      <c r="O31" s="3">
        <v>96</v>
      </c>
      <c r="P31" s="3">
        <v>30</v>
      </c>
      <c r="Q31" s="3">
        <v>200</v>
      </c>
      <c r="R31" s="3"/>
      <c r="S31" s="3">
        <v>165.68100000000001</v>
      </c>
      <c r="T31" s="60">
        <f t="shared" si="2"/>
        <v>823.68100000000004</v>
      </c>
      <c r="U31" s="60">
        <f t="shared" si="3"/>
        <v>7577.9189999999999</v>
      </c>
    </row>
    <row r="32" spans="1:21" ht="18.75" customHeight="1">
      <c r="A32" s="40">
        <v>26</v>
      </c>
      <c r="B32" s="48" t="s">
        <v>111</v>
      </c>
      <c r="C32" s="2">
        <v>25</v>
      </c>
      <c r="D32" s="2">
        <v>25</v>
      </c>
      <c r="E32" s="3">
        <v>4325.3519999999999</v>
      </c>
      <c r="F32" s="3">
        <f t="shared" si="4"/>
        <v>528</v>
      </c>
      <c r="G32" s="3">
        <f t="shared" si="1"/>
        <v>4853.3519999999999</v>
      </c>
      <c r="H32" s="3">
        <v>4100</v>
      </c>
      <c r="I32" s="3"/>
      <c r="J32" s="3">
        <v>14</v>
      </c>
      <c r="K32" s="3">
        <v>85</v>
      </c>
      <c r="L32" s="3">
        <v>45</v>
      </c>
      <c r="M32" s="3">
        <v>90</v>
      </c>
      <c r="N32" s="3">
        <v>30</v>
      </c>
      <c r="O32" s="3">
        <v>85</v>
      </c>
      <c r="P32" s="3">
        <v>45</v>
      </c>
      <c r="Q32" s="3">
        <v>160</v>
      </c>
      <c r="R32" s="3"/>
      <c r="S32" s="3">
        <v>199.352</v>
      </c>
      <c r="T32" s="60">
        <f t="shared" si="2"/>
        <v>753.35199999999998</v>
      </c>
      <c r="U32" s="60">
        <f t="shared" si="3"/>
        <v>4853.3519999999999</v>
      </c>
    </row>
    <row r="33" spans="1:21" ht="18.75" customHeight="1">
      <c r="A33" s="40">
        <v>27</v>
      </c>
      <c r="B33" s="48" t="s">
        <v>112</v>
      </c>
      <c r="C33" s="2">
        <v>33</v>
      </c>
      <c r="D33" s="2">
        <v>33</v>
      </c>
      <c r="E33" s="3">
        <v>4210.4399999999996</v>
      </c>
      <c r="F33" s="3">
        <f t="shared" si="4"/>
        <v>696.96</v>
      </c>
      <c r="G33" s="3">
        <f t="shared" si="1"/>
        <v>4907.3999999999996</v>
      </c>
      <c r="H33" s="3">
        <f>1960.699+1559.887+558.573+153.224</f>
        <v>4232.3829999999998</v>
      </c>
      <c r="I33" s="3"/>
      <c r="J33" s="3">
        <v>70.918999999999997</v>
      </c>
      <c r="K33" s="3">
        <v>134.03299999999999</v>
      </c>
      <c r="L33" s="3">
        <v>34.447000000000003</v>
      </c>
      <c r="M33" s="3">
        <v>98.759</v>
      </c>
      <c r="N33" s="3">
        <v>72.760000000000005</v>
      </c>
      <c r="O33" s="3">
        <v>24.84</v>
      </c>
      <c r="P33" s="3">
        <v>34.99</v>
      </c>
      <c r="Q33" s="3">
        <v>126.899</v>
      </c>
      <c r="R33" s="3"/>
      <c r="S33" s="3">
        <f>27.594+18.952+4.8+34</f>
        <v>85.346000000000004</v>
      </c>
      <c r="T33" s="60">
        <f t="shared" si="2"/>
        <v>682.99299999999994</v>
      </c>
      <c r="U33" s="60">
        <f t="shared" si="3"/>
        <v>4915.3760000000002</v>
      </c>
    </row>
    <row r="34" spans="1:21" ht="18.75" customHeight="1">
      <c r="A34" s="40">
        <v>28</v>
      </c>
      <c r="B34" s="48" t="s">
        <v>113</v>
      </c>
      <c r="C34" s="2">
        <v>34</v>
      </c>
      <c r="D34" s="2">
        <v>34</v>
      </c>
      <c r="E34" s="3">
        <v>5030.4679999999998</v>
      </c>
      <c r="F34" s="3">
        <f t="shared" si="4"/>
        <v>718.08</v>
      </c>
      <c r="G34" s="3">
        <f t="shared" si="1"/>
        <v>5748.5479999999998</v>
      </c>
      <c r="H34" s="20">
        <v>5009.3999999999996</v>
      </c>
      <c r="I34" s="20">
        <v>110.2</v>
      </c>
      <c r="J34" s="20">
        <v>30</v>
      </c>
      <c r="K34" s="20">
        <v>20</v>
      </c>
      <c r="L34" s="20">
        <v>22</v>
      </c>
      <c r="M34" s="20">
        <v>68.2</v>
      </c>
      <c r="N34" s="20">
        <v>50.4</v>
      </c>
      <c r="O34" s="20">
        <v>75.2</v>
      </c>
      <c r="P34" s="20">
        <v>50</v>
      </c>
      <c r="Q34" s="20">
        <v>215.5</v>
      </c>
      <c r="R34" s="3"/>
      <c r="S34" s="20">
        <v>97.6</v>
      </c>
      <c r="T34" s="60">
        <f t="shared" si="2"/>
        <v>739.1</v>
      </c>
      <c r="U34" s="60">
        <f t="shared" si="3"/>
        <v>5748.5</v>
      </c>
    </row>
    <row r="35" spans="1:21" ht="18.75" customHeight="1">
      <c r="A35" s="40">
        <v>29</v>
      </c>
      <c r="B35" s="48" t="s">
        <v>114</v>
      </c>
      <c r="C35" s="2">
        <v>22</v>
      </c>
      <c r="D35" s="2">
        <v>22</v>
      </c>
      <c r="E35" s="3">
        <v>3519.5169999999998</v>
      </c>
      <c r="F35" s="3">
        <f t="shared" si="4"/>
        <v>464.64000000000004</v>
      </c>
      <c r="G35" s="3">
        <f t="shared" si="1"/>
        <v>3984.1569999999997</v>
      </c>
      <c r="H35" s="3">
        <v>3519.5169999999998</v>
      </c>
      <c r="I35" s="3">
        <v>95.58</v>
      </c>
      <c r="J35" s="3">
        <v>11.55</v>
      </c>
      <c r="K35" s="3">
        <v>36</v>
      </c>
      <c r="L35" s="3">
        <v>4.5</v>
      </c>
      <c r="M35" s="3">
        <v>85.6</v>
      </c>
      <c r="N35" s="3">
        <v>40</v>
      </c>
      <c r="O35" s="3">
        <v>25</v>
      </c>
      <c r="P35" s="3">
        <v>35</v>
      </c>
      <c r="Q35" s="3">
        <v>50</v>
      </c>
      <c r="R35" s="3"/>
      <c r="S35" s="3">
        <v>81.41</v>
      </c>
      <c r="T35" s="60">
        <f t="shared" si="2"/>
        <v>464.64</v>
      </c>
      <c r="U35" s="60">
        <f t="shared" si="3"/>
        <v>3984.1569999999997</v>
      </c>
    </row>
    <row r="36" spans="1:21" ht="18.75" customHeight="1">
      <c r="A36" s="40">
        <v>30</v>
      </c>
      <c r="B36" s="48" t="s">
        <v>115</v>
      </c>
      <c r="C36" s="2">
        <v>15</v>
      </c>
      <c r="D36" s="2">
        <v>15</v>
      </c>
      <c r="E36" s="3">
        <v>2660.3870000000002</v>
      </c>
      <c r="F36" s="3">
        <f t="shared" si="4"/>
        <v>316.8</v>
      </c>
      <c r="G36" s="3">
        <f t="shared" si="1"/>
        <v>2977.1870000000004</v>
      </c>
      <c r="H36" s="3">
        <v>2715.453</v>
      </c>
      <c r="I36" s="3"/>
      <c r="J36" s="3">
        <v>3.9820000000000002</v>
      </c>
      <c r="K36" s="3">
        <v>84.009</v>
      </c>
      <c r="L36" s="3">
        <v>5.1120000000000001</v>
      </c>
      <c r="M36" s="3">
        <v>14.55</v>
      </c>
      <c r="N36" s="3">
        <v>20.8</v>
      </c>
      <c r="O36" s="3">
        <v>25.222000000000001</v>
      </c>
      <c r="P36" s="3">
        <v>26</v>
      </c>
      <c r="Q36" s="3">
        <v>36.5</v>
      </c>
      <c r="R36" s="3"/>
      <c r="S36" s="3">
        <v>45.558999999999997</v>
      </c>
      <c r="T36" s="60">
        <f t="shared" si="2"/>
        <v>261.73400000000004</v>
      </c>
      <c r="U36" s="60">
        <f t="shared" si="3"/>
        <v>2977.1869999999999</v>
      </c>
    </row>
    <row r="37" spans="1:21" ht="18.75" customHeight="1">
      <c r="A37" s="40">
        <v>31</v>
      </c>
      <c r="B37" s="48" t="s">
        <v>116</v>
      </c>
      <c r="C37" s="2">
        <v>19</v>
      </c>
      <c r="D37" s="2">
        <v>19</v>
      </c>
      <c r="E37" s="3">
        <v>3332.0859999999998</v>
      </c>
      <c r="F37" s="3">
        <f t="shared" si="4"/>
        <v>401.28000000000003</v>
      </c>
      <c r="G37" s="3">
        <f t="shared" si="1"/>
        <v>3733.366</v>
      </c>
      <c r="H37" s="3">
        <v>3096.2069999999999</v>
      </c>
      <c r="I37" s="3"/>
      <c r="J37" s="3">
        <v>14.794</v>
      </c>
      <c r="K37" s="3">
        <v>110.033</v>
      </c>
      <c r="L37" s="3">
        <v>7.891</v>
      </c>
      <c r="M37" s="3">
        <v>76.338999999999999</v>
      </c>
      <c r="N37" s="3">
        <v>21.6</v>
      </c>
      <c r="O37" s="3">
        <v>101.721</v>
      </c>
      <c r="P37" s="3">
        <v>69.930000000000007</v>
      </c>
      <c r="Q37" s="3">
        <v>152.30600000000001</v>
      </c>
      <c r="R37" s="3"/>
      <c r="S37" s="3">
        <v>82.546000000000006</v>
      </c>
      <c r="T37" s="60">
        <f>SUM(I37:S37)</f>
        <v>637.16000000000008</v>
      </c>
      <c r="U37" s="60">
        <f t="shared" si="3"/>
        <v>3733.3670000000002</v>
      </c>
    </row>
    <row r="38" spans="1:21" ht="18.75" customHeight="1">
      <c r="A38" s="40">
        <v>32</v>
      </c>
      <c r="B38" s="21" t="s">
        <v>117</v>
      </c>
      <c r="C38" s="2">
        <v>14</v>
      </c>
      <c r="D38" s="2">
        <v>14</v>
      </c>
      <c r="E38" s="3">
        <v>2721.5050000000001</v>
      </c>
      <c r="F38" s="3">
        <f t="shared" si="4"/>
        <v>295.68</v>
      </c>
      <c r="G38" s="3">
        <f t="shared" si="1"/>
        <v>3017.1849999999999</v>
      </c>
      <c r="H38" s="3">
        <v>2637.0250000000001</v>
      </c>
      <c r="I38" s="3">
        <v>79.2</v>
      </c>
      <c r="J38" s="3">
        <v>6.2</v>
      </c>
      <c r="K38" s="3">
        <v>15.3</v>
      </c>
      <c r="L38" s="3">
        <v>3.98</v>
      </c>
      <c r="M38" s="3">
        <v>65.599999999999994</v>
      </c>
      <c r="N38" s="3">
        <v>25.3</v>
      </c>
      <c r="O38" s="3">
        <v>29.28</v>
      </c>
      <c r="P38" s="3">
        <v>50</v>
      </c>
      <c r="Q38" s="3">
        <v>85.3</v>
      </c>
      <c r="R38" s="3"/>
      <c r="S38" s="3">
        <v>20</v>
      </c>
      <c r="T38" s="60">
        <f t="shared" si="2"/>
        <v>380.16</v>
      </c>
      <c r="U38" s="60">
        <f t="shared" si="3"/>
        <v>3017.1849999999999</v>
      </c>
    </row>
    <row r="39" spans="1:21" ht="18.75" customHeight="1">
      <c r="A39" s="40">
        <v>33</v>
      </c>
      <c r="B39" s="48" t="s">
        <v>118</v>
      </c>
      <c r="C39" s="2">
        <v>13</v>
      </c>
      <c r="D39" s="2">
        <v>13</v>
      </c>
      <c r="E39" s="3">
        <v>2065.6779999999999</v>
      </c>
      <c r="F39" s="3">
        <f t="shared" si="4"/>
        <v>274.56</v>
      </c>
      <c r="G39" s="3">
        <f t="shared" si="1"/>
        <v>2340.2379999999998</v>
      </c>
      <c r="H39" s="3">
        <v>2065.6790000000001</v>
      </c>
      <c r="I39" s="3">
        <v>45.8</v>
      </c>
      <c r="J39" s="3">
        <v>16.475999999999999</v>
      </c>
      <c r="K39" s="3">
        <v>7.3250000000000002</v>
      </c>
      <c r="L39" s="3">
        <v>7.3179999999999996</v>
      </c>
      <c r="M39" s="3">
        <f>55.189+12</f>
        <v>67.188999999999993</v>
      </c>
      <c r="N39" s="3">
        <v>22.66</v>
      </c>
      <c r="O39" s="3">
        <v>23.672999999999998</v>
      </c>
      <c r="P39" s="3">
        <v>25</v>
      </c>
      <c r="Q39" s="3">
        <v>25.5</v>
      </c>
      <c r="R39" s="3"/>
      <c r="S39" s="3">
        <v>33.619</v>
      </c>
      <c r="T39" s="60">
        <f t="shared" si="2"/>
        <v>274.56</v>
      </c>
      <c r="U39" s="60">
        <f t="shared" si="3"/>
        <v>2340.239</v>
      </c>
    </row>
    <row r="40" spans="1:21" ht="18.75" customHeight="1">
      <c r="A40" s="40">
        <v>34</v>
      </c>
      <c r="B40" s="48" t="s">
        <v>119</v>
      </c>
      <c r="C40" s="2">
        <v>14</v>
      </c>
      <c r="D40" s="2">
        <v>14</v>
      </c>
      <c r="E40" s="3">
        <v>1842.989</v>
      </c>
      <c r="F40" s="3">
        <f t="shared" si="4"/>
        <v>295.68</v>
      </c>
      <c r="G40" s="3">
        <f t="shared" si="1"/>
        <v>2138.6689999999999</v>
      </c>
      <c r="H40" s="3">
        <v>1842.989</v>
      </c>
      <c r="I40" s="3">
        <v>40</v>
      </c>
      <c r="J40" s="3">
        <v>5.5</v>
      </c>
      <c r="K40" s="3">
        <v>18.649999999999999</v>
      </c>
      <c r="L40" s="3">
        <v>2.85</v>
      </c>
      <c r="M40" s="3">
        <v>82.5</v>
      </c>
      <c r="N40" s="3">
        <v>19</v>
      </c>
      <c r="O40" s="3">
        <v>45</v>
      </c>
      <c r="P40" s="3">
        <v>20</v>
      </c>
      <c r="Q40" s="3">
        <v>45.5</v>
      </c>
      <c r="R40" s="3"/>
      <c r="S40" s="3">
        <v>16.681000000000001</v>
      </c>
      <c r="T40" s="60">
        <f t="shared" si="2"/>
        <v>295.68099999999998</v>
      </c>
      <c r="U40" s="60">
        <f t="shared" si="3"/>
        <v>2138.67</v>
      </c>
    </row>
    <row r="41" spans="1:21" ht="18.75" customHeight="1">
      <c r="A41" s="40">
        <v>35</v>
      </c>
      <c r="B41" s="48" t="s">
        <v>120</v>
      </c>
      <c r="C41" s="2">
        <v>13</v>
      </c>
      <c r="D41" s="2">
        <v>13</v>
      </c>
      <c r="E41" s="3">
        <v>1753.048</v>
      </c>
      <c r="F41" s="3">
        <f t="shared" si="4"/>
        <v>274.56</v>
      </c>
      <c r="G41" s="3">
        <f t="shared" si="1"/>
        <v>2027.6079999999999</v>
      </c>
      <c r="H41" s="3">
        <v>1766.84</v>
      </c>
      <c r="I41" s="3"/>
      <c r="J41" s="3">
        <v>13.5</v>
      </c>
      <c r="K41" s="3">
        <v>36.195999999999998</v>
      </c>
      <c r="L41" s="3">
        <v>1.587</v>
      </c>
      <c r="M41" s="3">
        <v>67.56</v>
      </c>
      <c r="N41" s="3">
        <v>17.23</v>
      </c>
      <c r="O41" s="3">
        <v>16.917999999999999</v>
      </c>
      <c r="P41" s="3">
        <v>68.290000000000006</v>
      </c>
      <c r="Q41" s="3"/>
      <c r="R41" s="3"/>
      <c r="S41" s="3">
        <v>39.488</v>
      </c>
      <c r="T41" s="60">
        <f t="shared" si="2"/>
        <v>260.76900000000001</v>
      </c>
      <c r="U41" s="60">
        <f t="shared" si="3"/>
        <v>2027.6089999999999</v>
      </c>
    </row>
    <row r="42" spans="1:21" ht="18.75" customHeight="1">
      <c r="A42" s="40">
        <v>36</v>
      </c>
      <c r="B42" s="48" t="s">
        <v>121</v>
      </c>
      <c r="C42" s="2">
        <v>10</v>
      </c>
      <c r="D42" s="2">
        <v>10</v>
      </c>
      <c r="E42" s="3">
        <v>1688.0609999999999</v>
      </c>
      <c r="F42" s="3">
        <f t="shared" si="4"/>
        <v>211.20000000000002</v>
      </c>
      <c r="G42" s="3">
        <f t="shared" si="1"/>
        <v>1899.261</v>
      </c>
      <c r="H42" s="3">
        <v>1645.8219999999999</v>
      </c>
      <c r="I42" s="3">
        <v>24.495999999999999</v>
      </c>
      <c r="J42" s="3">
        <v>4</v>
      </c>
      <c r="K42" s="3">
        <v>3.5</v>
      </c>
      <c r="L42" s="3">
        <v>5.5</v>
      </c>
      <c r="M42" s="3">
        <f>65.45+13</f>
        <v>78.45</v>
      </c>
      <c r="N42" s="3">
        <v>8.5</v>
      </c>
      <c r="O42" s="3">
        <v>30.5</v>
      </c>
      <c r="P42" s="3">
        <v>35.450000000000003</v>
      </c>
      <c r="Q42" s="3">
        <v>40.676000000000002</v>
      </c>
      <c r="R42" s="3"/>
      <c r="S42" s="3">
        <v>22.367999999999999</v>
      </c>
      <c r="T42" s="60">
        <f t="shared" si="2"/>
        <v>253.44</v>
      </c>
      <c r="U42" s="60">
        <f t="shared" si="3"/>
        <v>1899.2619999999999</v>
      </c>
    </row>
    <row r="43" spans="1:21" ht="18.75" customHeight="1">
      <c r="A43" s="40">
        <v>37</v>
      </c>
      <c r="B43" s="48" t="s">
        <v>122</v>
      </c>
      <c r="C43" s="2">
        <v>19</v>
      </c>
      <c r="D43" s="2">
        <v>19</v>
      </c>
      <c r="E43" s="3">
        <v>2548.9229999999998</v>
      </c>
      <c r="F43" s="3">
        <f t="shared" si="4"/>
        <v>401.28000000000003</v>
      </c>
      <c r="G43" s="3">
        <f t="shared" si="1"/>
        <v>2950.203</v>
      </c>
      <c r="H43" s="3">
        <v>2506.683</v>
      </c>
      <c r="I43" s="3"/>
      <c r="J43" s="3">
        <v>13.032</v>
      </c>
      <c r="K43" s="3">
        <v>66.463999999999999</v>
      </c>
      <c r="L43" s="3">
        <v>14.618</v>
      </c>
      <c r="M43" s="3">
        <v>76.025999999999996</v>
      </c>
      <c r="N43" s="3">
        <v>25.791</v>
      </c>
      <c r="O43" s="3">
        <v>31.129000000000001</v>
      </c>
      <c r="P43" s="3">
        <v>43.469000000000001</v>
      </c>
      <c r="Q43" s="3">
        <v>121.194</v>
      </c>
      <c r="R43" s="3"/>
      <c r="S43" s="3">
        <v>51.796999999999997</v>
      </c>
      <c r="T43" s="60">
        <f t="shared" si="2"/>
        <v>443.52</v>
      </c>
      <c r="U43" s="60">
        <f t="shared" si="3"/>
        <v>2950.203</v>
      </c>
    </row>
    <row r="44" spans="1:21" ht="18.75" customHeight="1">
      <c r="A44" s="40">
        <v>38</v>
      </c>
      <c r="B44" s="48" t="s">
        <v>123</v>
      </c>
      <c r="C44" s="2">
        <v>13</v>
      </c>
      <c r="D44" s="2">
        <v>13</v>
      </c>
      <c r="E44" s="3">
        <v>2421.2570000000001</v>
      </c>
      <c r="F44" s="3">
        <f t="shared" si="4"/>
        <v>274.56</v>
      </c>
      <c r="G44" s="3">
        <f t="shared" si="1"/>
        <v>2695.817</v>
      </c>
      <c r="H44" s="3">
        <v>2402.8679999999999</v>
      </c>
      <c r="I44" s="3"/>
      <c r="J44" s="3">
        <v>7.1740000000000004</v>
      </c>
      <c r="K44" s="3">
        <v>9.8569999999999993</v>
      </c>
      <c r="L44" s="3">
        <v>4.6820000000000004</v>
      </c>
      <c r="M44" s="3">
        <v>65.853999999999999</v>
      </c>
      <c r="N44" s="3">
        <v>19.047999999999998</v>
      </c>
      <c r="O44" s="3">
        <v>45.009</v>
      </c>
      <c r="P44" s="3">
        <v>30</v>
      </c>
      <c r="Q44" s="3">
        <v>51.048999999999999</v>
      </c>
      <c r="R44" s="3"/>
      <c r="S44" s="3">
        <v>85.417000000000002</v>
      </c>
      <c r="T44" s="60">
        <f t="shared" si="2"/>
        <v>318.09000000000003</v>
      </c>
      <c r="U44" s="60">
        <f t="shared" si="3"/>
        <v>2720.9580000000001</v>
      </c>
    </row>
    <row r="45" spans="1:21" ht="18.75" customHeight="1">
      <c r="A45" s="40">
        <v>39</v>
      </c>
      <c r="B45" s="48" t="s">
        <v>124</v>
      </c>
      <c r="C45" s="2">
        <v>12</v>
      </c>
      <c r="D45" s="2">
        <v>12</v>
      </c>
      <c r="E45" s="3">
        <v>1766.5609999999999</v>
      </c>
      <c r="F45" s="3">
        <f t="shared" si="4"/>
        <v>253.44</v>
      </c>
      <c r="G45" s="3">
        <f t="shared" si="1"/>
        <v>2020.001</v>
      </c>
      <c r="H45" s="3">
        <f>1745.652</f>
        <v>1745.652</v>
      </c>
      <c r="I45" s="3"/>
      <c r="J45" s="3"/>
      <c r="K45" s="3">
        <v>25.236000000000001</v>
      </c>
      <c r="L45" s="3">
        <v>3.4569999999999999</v>
      </c>
      <c r="M45" s="3">
        <v>91.394999999999996</v>
      </c>
      <c r="N45" s="3">
        <v>2.5</v>
      </c>
      <c r="O45" s="3">
        <v>45.241</v>
      </c>
      <c r="P45" s="3">
        <v>26.6</v>
      </c>
      <c r="Q45" s="3">
        <v>43.642000000000003</v>
      </c>
      <c r="R45" s="3"/>
      <c r="S45" s="3">
        <f>21.521+24.484</f>
        <v>46.005000000000003</v>
      </c>
      <c r="T45" s="60">
        <f t="shared" si="2"/>
        <v>284.07600000000002</v>
      </c>
      <c r="U45" s="60">
        <f t="shared" si="3"/>
        <v>2029.7280000000001</v>
      </c>
    </row>
    <row r="46" spans="1:21" ht="18.75" customHeight="1">
      <c r="A46" s="40">
        <v>40</v>
      </c>
      <c r="B46" s="48" t="s">
        <v>125</v>
      </c>
      <c r="C46" s="2">
        <v>16</v>
      </c>
      <c r="D46" s="2">
        <v>16</v>
      </c>
      <c r="E46" s="3">
        <v>2891.5390000000002</v>
      </c>
      <c r="F46" s="3">
        <f t="shared" si="4"/>
        <v>337.92</v>
      </c>
      <c r="G46" s="3">
        <f t="shared" si="1"/>
        <v>3229.4590000000003</v>
      </c>
      <c r="H46" s="3">
        <v>2849.3</v>
      </c>
      <c r="I46" s="3">
        <v>20</v>
      </c>
      <c r="J46" s="3">
        <v>20</v>
      </c>
      <c r="K46" s="3">
        <v>28</v>
      </c>
      <c r="L46" s="3">
        <v>5</v>
      </c>
      <c r="M46" s="3">
        <v>80</v>
      </c>
      <c r="N46" s="3">
        <v>20</v>
      </c>
      <c r="O46" s="3">
        <v>75</v>
      </c>
      <c r="P46" s="3">
        <v>30</v>
      </c>
      <c r="Q46" s="3">
        <v>80</v>
      </c>
      <c r="R46" s="3"/>
      <c r="S46" s="3">
        <v>22.16</v>
      </c>
      <c r="T46" s="60">
        <f t="shared" si="2"/>
        <v>380.16</v>
      </c>
      <c r="U46" s="60">
        <f t="shared" si="3"/>
        <v>3229.46</v>
      </c>
    </row>
    <row r="47" spans="1:21" ht="18.75" customHeight="1">
      <c r="A47" s="40">
        <v>41</v>
      </c>
      <c r="B47" s="48" t="s">
        <v>126</v>
      </c>
      <c r="C47" s="2">
        <v>28</v>
      </c>
      <c r="D47" s="2">
        <v>28</v>
      </c>
      <c r="E47" s="3">
        <f>3966.767+550.9</f>
        <v>4517.6669999999995</v>
      </c>
      <c r="F47" s="3">
        <f t="shared" si="4"/>
        <v>591.36</v>
      </c>
      <c r="G47" s="3">
        <f t="shared" si="1"/>
        <v>5109.0269999999991</v>
      </c>
      <c r="H47" s="3">
        <v>4475.8760000000002</v>
      </c>
      <c r="I47" s="3">
        <v>80</v>
      </c>
      <c r="J47" s="3">
        <v>28</v>
      </c>
      <c r="K47" s="3">
        <v>22.29</v>
      </c>
      <c r="L47" s="3">
        <v>7.2</v>
      </c>
      <c r="M47" s="3">
        <f>65+20</f>
        <v>85</v>
      </c>
      <c r="N47" s="3">
        <v>11.5</v>
      </c>
      <c r="O47" s="3">
        <v>90</v>
      </c>
      <c r="P47" s="3">
        <v>75</v>
      </c>
      <c r="Q47" s="3">
        <v>185</v>
      </c>
      <c r="R47" s="3"/>
      <c r="S47" s="3">
        <v>85.093000000000004</v>
      </c>
      <c r="T47" s="60">
        <f t="shared" si="2"/>
        <v>669.08299999999997</v>
      </c>
      <c r="U47" s="60">
        <f t="shared" si="3"/>
        <v>5144.9589999999998</v>
      </c>
    </row>
    <row r="48" spans="1:21" ht="18.75" customHeight="1">
      <c r="A48" s="40">
        <v>42</v>
      </c>
      <c r="B48" s="48" t="s">
        <v>127</v>
      </c>
      <c r="C48" s="2">
        <v>21</v>
      </c>
      <c r="D48" s="2">
        <v>21</v>
      </c>
      <c r="E48" s="3">
        <v>2591.6889999999999</v>
      </c>
      <c r="F48" s="3">
        <f t="shared" si="4"/>
        <v>443.52000000000004</v>
      </c>
      <c r="G48" s="3">
        <f t="shared" si="1"/>
        <v>3035.2089999999998</v>
      </c>
      <c r="H48" s="3">
        <f>1339.841+836.898+382.374+125.321</f>
        <v>2684.4340000000002</v>
      </c>
      <c r="I48" s="3"/>
      <c r="J48" s="3">
        <v>42.256</v>
      </c>
      <c r="K48" s="3">
        <v>65.67</v>
      </c>
      <c r="L48" s="3">
        <v>24.431000000000001</v>
      </c>
      <c r="M48" s="3">
        <v>82.986999999999995</v>
      </c>
      <c r="N48" s="3">
        <v>47.52</v>
      </c>
      <c r="O48" s="3">
        <v>48.704000000000001</v>
      </c>
      <c r="P48" s="3">
        <v>27.802</v>
      </c>
      <c r="Q48" s="3">
        <v>103.94499999999999</v>
      </c>
      <c r="R48" s="3"/>
      <c r="S48" s="3">
        <f>23.315+3.301+22.428+42.56</f>
        <v>91.603999999999999</v>
      </c>
      <c r="T48" s="60">
        <f t="shared" si="2"/>
        <v>534.91899999999998</v>
      </c>
      <c r="U48" s="60">
        <f t="shared" si="3"/>
        <v>3219.3530000000001</v>
      </c>
    </row>
    <row r="49" spans="1:21" ht="18.75" customHeight="1">
      <c r="A49" s="40">
        <v>43</v>
      </c>
      <c r="B49" s="48" t="s">
        <v>128</v>
      </c>
      <c r="C49" s="2">
        <v>18</v>
      </c>
      <c r="D49" s="2">
        <v>18</v>
      </c>
      <c r="E49" s="3">
        <v>2704.7310000000002</v>
      </c>
      <c r="F49" s="3">
        <f t="shared" si="4"/>
        <v>380.16</v>
      </c>
      <c r="G49" s="3">
        <f t="shared" si="1"/>
        <v>3084.8910000000001</v>
      </c>
      <c r="H49" s="20">
        <v>2641.3</v>
      </c>
      <c r="I49" s="20">
        <v>42</v>
      </c>
      <c r="J49" s="20">
        <v>17</v>
      </c>
      <c r="K49" s="3">
        <v>15</v>
      </c>
      <c r="L49" s="20">
        <v>10</v>
      </c>
      <c r="M49" s="20">
        <v>75.5</v>
      </c>
      <c r="N49" s="20">
        <v>35.5</v>
      </c>
      <c r="O49" s="20">
        <v>98.8</v>
      </c>
      <c r="P49" s="3">
        <v>30</v>
      </c>
      <c r="Q49" s="20">
        <v>98.9</v>
      </c>
      <c r="R49" s="3"/>
      <c r="S49" s="20">
        <v>20.8</v>
      </c>
      <c r="T49" s="60">
        <f t="shared" si="2"/>
        <v>443.50000000000006</v>
      </c>
      <c r="U49" s="60">
        <f t="shared" si="3"/>
        <v>3084.8</v>
      </c>
    </row>
    <row r="50" spans="1:21" ht="18.75" customHeight="1">
      <c r="A50" s="40">
        <v>44</v>
      </c>
      <c r="B50" s="48" t="s">
        <v>129</v>
      </c>
      <c r="C50" s="2">
        <v>13</v>
      </c>
      <c r="D50" s="2">
        <v>13</v>
      </c>
      <c r="E50" s="3">
        <v>2079.2469999999998</v>
      </c>
      <c r="F50" s="3">
        <f t="shared" si="4"/>
        <v>274.56</v>
      </c>
      <c r="G50" s="3">
        <f t="shared" si="1"/>
        <v>2353.8069999999998</v>
      </c>
      <c r="H50" s="3">
        <v>2079.2469999999998</v>
      </c>
      <c r="I50" s="3">
        <v>6.5</v>
      </c>
      <c r="J50" s="3">
        <v>9.6</v>
      </c>
      <c r="K50" s="3">
        <v>18.55</v>
      </c>
      <c r="L50" s="3">
        <v>7</v>
      </c>
      <c r="M50" s="3">
        <v>50.5</v>
      </c>
      <c r="N50" s="3">
        <v>24</v>
      </c>
      <c r="O50" s="3">
        <v>15</v>
      </c>
      <c r="P50" s="3">
        <v>25.5</v>
      </c>
      <c r="Q50" s="3">
        <v>62</v>
      </c>
      <c r="R50" s="3"/>
      <c r="S50" s="3">
        <v>55.91</v>
      </c>
      <c r="T50" s="60">
        <f t="shared" si="2"/>
        <v>274.56</v>
      </c>
      <c r="U50" s="60">
        <f t="shared" si="3"/>
        <v>2353.8069999999998</v>
      </c>
    </row>
    <row r="51" spans="1:21" s="35" customFormat="1" ht="18.75" customHeight="1">
      <c r="A51" s="158" t="s">
        <v>19</v>
      </c>
      <c r="B51" s="158"/>
      <c r="C51" s="33">
        <f>SUM(C7:C50)</f>
        <v>890</v>
      </c>
      <c r="D51" s="33">
        <f t="shared" ref="D51:U51" si="5">SUM(D7:D50)</f>
        <v>890</v>
      </c>
      <c r="E51" s="33">
        <f>SUM(E7:E50)</f>
        <v>132193.75299999997</v>
      </c>
      <c r="F51" s="33">
        <f t="shared" si="5"/>
        <v>18587.359999999997</v>
      </c>
      <c r="G51" s="33">
        <f t="shared" si="5"/>
        <v>150781.11299999998</v>
      </c>
      <c r="H51" s="33">
        <f t="shared" si="5"/>
        <v>132323.04999999999</v>
      </c>
      <c r="I51" s="33">
        <f t="shared" si="5"/>
        <v>1408.6960000000001</v>
      </c>
      <c r="J51" s="33">
        <f t="shared" si="5"/>
        <v>685.20899999999995</v>
      </c>
      <c r="K51" s="33">
        <f t="shared" si="5"/>
        <v>2218.4319999999998</v>
      </c>
      <c r="L51" s="33">
        <f t="shared" si="5"/>
        <v>351.39499999999992</v>
      </c>
      <c r="M51" s="33">
        <f t="shared" si="5"/>
        <v>2813.0319999999997</v>
      </c>
      <c r="N51" s="33">
        <f t="shared" si="5"/>
        <v>1185.5829999999999</v>
      </c>
      <c r="O51" s="33">
        <f t="shared" si="5"/>
        <v>1994.9219999999998</v>
      </c>
      <c r="P51" s="33">
        <f t="shared" si="5"/>
        <v>1597.758</v>
      </c>
      <c r="Q51" s="33">
        <f t="shared" si="5"/>
        <v>4108.8049999999994</v>
      </c>
      <c r="R51" s="33">
        <f t="shared" si="5"/>
        <v>0</v>
      </c>
      <c r="S51" s="33">
        <f t="shared" si="5"/>
        <v>2594.4219999999996</v>
      </c>
      <c r="T51" s="33">
        <f t="shared" si="5"/>
        <v>18958.254000000008</v>
      </c>
      <c r="U51" s="33">
        <f t="shared" si="5"/>
        <v>151281.304</v>
      </c>
    </row>
    <row r="52" spans="1:21" ht="18.75" customHeight="1">
      <c r="A52" s="17"/>
    </row>
    <row r="53" spans="1:21" ht="18.75" customHeight="1">
      <c r="A53" s="17"/>
    </row>
    <row r="54" spans="1:21" ht="18.75" customHeight="1">
      <c r="A54" s="17"/>
    </row>
    <row r="55" spans="1:21" ht="18.75" customHeight="1">
      <c r="A55" s="17"/>
    </row>
    <row r="56" spans="1:21" ht="18.75" customHeight="1">
      <c r="A56" s="17"/>
    </row>
    <row r="57" spans="1:21" ht="18.75" customHeight="1">
      <c r="A57" s="17"/>
    </row>
    <row r="58" spans="1:21" ht="18.75" customHeight="1">
      <c r="A58" s="17"/>
    </row>
    <row r="59" spans="1:21" ht="18.75" customHeight="1">
      <c r="A59" s="17"/>
    </row>
    <row r="60" spans="1:21" ht="18.75" customHeight="1">
      <c r="A60" s="17"/>
    </row>
    <row r="61" spans="1:21" ht="18.75" customHeight="1">
      <c r="A61" s="17"/>
    </row>
    <row r="62" spans="1:21" ht="18.75" customHeight="1">
      <c r="A62" s="17"/>
    </row>
    <row r="63" spans="1:21" ht="18.75" customHeight="1">
      <c r="A63" s="17"/>
    </row>
    <row r="64" spans="1:21" ht="18.75" customHeight="1">
      <c r="A64" s="17"/>
    </row>
    <row r="65" spans="1:1" ht="18.75" customHeight="1">
      <c r="A65" s="17"/>
    </row>
    <row r="66" spans="1:1" ht="18.75" customHeight="1">
      <c r="A66" s="17"/>
    </row>
    <row r="67" spans="1:1" ht="18.75" customHeight="1">
      <c r="A67" s="17"/>
    </row>
    <row r="68" spans="1:1" ht="18.75" customHeight="1">
      <c r="A68" s="17"/>
    </row>
    <row r="69" spans="1:1" ht="18.75" customHeight="1">
      <c r="A69" s="17"/>
    </row>
    <row r="70" spans="1:1" ht="18.75" customHeight="1">
      <c r="A70" s="17"/>
    </row>
    <row r="71" spans="1:1" ht="18.75" customHeight="1">
      <c r="A71" s="17"/>
    </row>
    <row r="72" spans="1:1" ht="18.75" customHeight="1">
      <c r="A72" s="17"/>
    </row>
    <row r="73" spans="1:1" ht="18.75" customHeight="1">
      <c r="A73" s="17"/>
    </row>
    <row r="74" spans="1:1" ht="18.75" customHeight="1">
      <c r="A74" s="17"/>
    </row>
    <row r="75" spans="1:1" ht="18.75" customHeight="1">
      <c r="A75" s="17"/>
    </row>
    <row r="76" spans="1:1" ht="18.75" customHeight="1">
      <c r="A76" s="17"/>
    </row>
    <row r="77" spans="1:1" ht="18.75" customHeight="1">
      <c r="A77" s="17"/>
    </row>
    <row r="78" spans="1:1" ht="18.75" customHeight="1">
      <c r="A78" s="17"/>
    </row>
    <row r="79" spans="1:1" ht="18.75" customHeight="1">
      <c r="A79" s="17"/>
    </row>
    <row r="80" spans="1:1" ht="18.75" customHeight="1">
      <c r="A80" s="17"/>
    </row>
    <row r="81" spans="1:1" ht="18.75" customHeight="1">
      <c r="A81" s="17"/>
    </row>
    <row r="82" spans="1:1" ht="18.75" customHeight="1">
      <c r="A82" s="17"/>
    </row>
    <row r="83" spans="1:1" ht="18.75" customHeight="1">
      <c r="A83" s="17"/>
    </row>
    <row r="84" spans="1:1" ht="18.75" customHeight="1">
      <c r="A84" s="17"/>
    </row>
    <row r="85" spans="1:1" ht="18.75" customHeight="1">
      <c r="A85" s="17"/>
    </row>
    <row r="86" spans="1:1" ht="18.75" customHeight="1">
      <c r="A86" s="17"/>
    </row>
    <row r="87" spans="1:1" ht="18.75" customHeight="1">
      <c r="A87" s="17"/>
    </row>
    <row r="88" spans="1:1" ht="18.75" customHeight="1">
      <c r="A88" s="17"/>
    </row>
    <row r="89" spans="1:1" ht="18.75" customHeight="1">
      <c r="A89" s="17"/>
    </row>
    <row r="90" spans="1:1" ht="18.75" customHeight="1">
      <c r="A90" s="17"/>
    </row>
    <row r="91" spans="1:1" ht="18.75" customHeight="1">
      <c r="A91" s="17"/>
    </row>
    <row r="92" spans="1:1" ht="18.75" customHeight="1">
      <c r="A92" s="17"/>
    </row>
    <row r="93" spans="1:1" ht="18.75" customHeight="1">
      <c r="A93" s="17"/>
    </row>
    <row r="94" spans="1:1" ht="18.75" customHeight="1">
      <c r="A94" s="17"/>
    </row>
    <row r="95" spans="1:1" ht="18.75" customHeight="1">
      <c r="A95" s="17"/>
    </row>
    <row r="96" spans="1:1" ht="18.75" customHeight="1">
      <c r="A96" s="17"/>
    </row>
    <row r="97" spans="1:1" ht="18.75" customHeight="1">
      <c r="A97" s="17"/>
    </row>
    <row r="98" spans="1:1" ht="18.75" customHeight="1">
      <c r="A98" s="17"/>
    </row>
    <row r="99" spans="1:1" ht="18.75" customHeight="1">
      <c r="A99" s="17"/>
    </row>
    <row r="100" spans="1:1" ht="18.75" customHeight="1">
      <c r="A100" s="17"/>
    </row>
    <row r="101" spans="1:1" ht="18.75" customHeight="1">
      <c r="A101" s="17"/>
    </row>
    <row r="102" spans="1:1" ht="18.75" customHeight="1">
      <c r="A102" s="17"/>
    </row>
    <row r="103" spans="1:1" ht="18.75" customHeight="1">
      <c r="A103" s="17"/>
    </row>
    <row r="104" spans="1:1" ht="18.75" customHeight="1">
      <c r="A104" s="17"/>
    </row>
    <row r="105" spans="1:1" ht="18.75" customHeight="1">
      <c r="A105" s="17"/>
    </row>
    <row r="106" spans="1:1" ht="18.75" customHeight="1">
      <c r="A106" s="17"/>
    </row>
    <row r="107" spans="1:1" ht="18.75" customHeight="1">
      <c r="A107" s="17"/>
    </row>
    <row r="108" spans="1:1" ht="18.75" customHeight="1">
      <c r="A108" s="17"/>
    </row>
    <row r="109" spans="1:1" ht="18.75" customHeight="1">
      <c r="A109" s="17"/>
    </row>
    <row r="110" spans="1:1" ht="18.75" customHeight="1">
      <c r="A110" s="17"/>
    </row>
    <row r="111" spans="1:1" ht="18.75" customHeight="1">
      <c r="A111" s="17"/>
    </row>
    <row r="112" spans="1:1" ht="18.75" customHeight="1">
      <c r="A112" s="17"/>
    </row>
    <row r="113" spans="1:1" ht="18.75" customHeight="1">
      <c r="A113" s="17"/>
    </row>
    <row r="114" spans="1:1" ht="18.75" customHeight="1">
      <c r="A114" s="17"/>
    </row>
    <row r="115" spans="1:1" ht="18.75" customHeight="1">
      <c r="A115" s="17"/>
    </row>
    <row r="116" spans="1:1" ht="18.75" customHeight="1">
      <c r="A116" s="17"/>
    </row>
    <row r="117" spans="1:1" ht="18.75" customHeight="1">
      <c r="A117" s="17"/>
    </row>
    <row r="118" spans="1:1" ht="18.75" customHeight="1">
      <c r="A118" s="17"/>
    </row>
    <row r="119" spans="1:1" ht="18.75" customHeight="1">
      <c r="A119" s="17"/>
    </row>
    <row r="120" spans="1:1" ht="18.75" customHeight="1">
      <c r="A120" s="17"/>
    </row>
    <row r="121" spans="1:1" ht="18.75" customHeight="1">
      <c r="A121" s="17"/>
    </row>
    <row r="122" spans="1:1" ht="18.75" customHeight="1">
      <c r="A122" s="17"/>
    </row>
    <row r="123" spans="1:1" ht="18.75" customHeight="1">
      <c r="A123" s="17"/>
    </row>
    <row r="124" spans="1:1" ht="18.75" customHeight="1">
      <c r="A124" s="17"/>
    </row>
    <row r="125" spans="1:1" ht="18.75" customHeight="1">
      <c r="A125" s="17"/>
    </row>
    <row r="126" spans="1:1" ht="18.75" customHeight="1">
      <c r="A126" s="17"/>
    </row>
    <row r="127" spans="1:1" ht="18.75" customHeight="1">
      <c r="A127" s="17"/>
    </row>
    <row r="128" spans="1:1" ht="18.75" customHeight="1">
      <c r="A128" s="17"/>
    </row>
    <row r="129" spans="1:1" ht="18.75" customHeight="1">
      <c r="A129" s="17"/>
    </row>
    <row r="130" spans="1:1" ht="18.75" customHeight="1">
      <c r="A130" s="17"/>
    </row>
    <row r="131" spans="1:1" ht="18.75" customHeight="1">
      <c r="A131" s="17"/>
    </row>
    <row r="132" spans="1:1" ht="18.75" customHeight="1">
      <c r="A132" s="17"/>
    </row>
    <row r="133" spans="1:1" ht="18.75" customHeight="1">
      <c r="A133" s="17"/>
    </row>
    <row r="134" spans="1:1" ht="18.75" customHeight="1">
      <c r="A134" s="17"/>
    </row>
    <row r="135" spans="1:1" ht="18.75" customHeight="1">
      <c r="A135" s="17"/>
    </row>
    <row r="136" spans="1:1" ht="18.75" customHeight="1">
      <c r="A136" s="17"/>
    </row>
    <row r="137" spans="1:1" ht="18.75" customHeight="1">
      <c r="A137" s="17"/>
    </row>
    <row r="138" spans="1:1" ht="18.75" customHeight="1">
      <c r="A138" s="17"/>
    </row>
    <row r="139" spans="1:1" ht="18.75" customHeight="1">
      <c r="A139" s="17"/>
    </row>
    <row r="140" spans="1:1" ht="18.75" customHeight="1">
      <c r="A140" s="17"/>
    </row>
    <row r="141" spans="1:1" ht="18.75" customHeight="1">
      <c r="A141" s="17"/>
    </row>
    <row r="142" spans="1:1" ht="18.75" customHeight="1">
      <c r="A142" s="17"/>
    </row>
    <row r="143" spans="1:1" ht="18.75" customHeight="1">
      <c r="A143" s="17"/>
    </row>
    <row r="144" spans="1:1" s="35" customFormat="1" ht="18.75" customHeight="1"/>
    <row r="145" spans="1:1" ht="18.75" customHeight="1">
      <c r="A145" s="17"/>
    </row>
    <row r="146" spans="1:1" ht="18.75" customHeight="1">
      <c r="A146" s="17"/>
    </row>
    <row r="147" spans="1:1" ht="18.75" customHeight="1">
      <c r="A147" s="17"/>
    </row>
    <row r="148" spans="1:1" ht="18.75" customHeight="1">
      <c r="A148" s="17"/>
    </row>
    <row r="149" spans="1:1" ht="18.75" customHeight="1">
      <c r="A149" s="17"/>
    </row>
    <row r="150" spans="1:1" ht="18.75" customHeight="1">
      <c r="A150" s="17"/>
    </row>
    <row r="151" spans="1:1" ht="18.75" customHeight="1">
      <c r="A151" s="17"/>
    </row>
    <row r="152" spans="1:1" ht="18.75" customHeight="1">
      <c r="A152" s="17"/>
    </row>
    <row r="153" spans="1:1" ht="18.75" customHeight="1">
      <c r="A153" s="17"/>
    </row>
    <row r="154" spans="1:1" ht="18.75" customHeight="1">
      <c r="A154" s="17"/>
    </row>
    <row r="155" spans="1:1" ht="18.75" customHeight="1">
      <c r="A155" s="17"/>
    </row>
    <row r="156" spans="1:1" ht="18.75" customHeight="1">
      <c r="A156" s="17"/>
    </row>
    <row r="157" spans="1:1" ht="18.75" customHeight="1">
      <c r="A157" s="17"/>
    </row>
    <row r="158" spans="1:1" ht="18.75" customHeight="1">
      <c r="A158" s="17"/>
    </row>
    <row r="159" spans="1:1" ht="18.75" customHeight="1">
      <c r="A159" s="17"/>
    </row>
    <row r="160" spans="1:1" ht="18.75" customHeight="1">
      <c r="A160" s="17"/>
    </row>
    <row r="161" spans="1:1" ht="18.75" customHeight="1">
      <c r="A161" s="17"/>
    </row>
    <row r="162" spans="1:1" ht="18.75" customHeight="1">
      <c r="A162" s="17"/>
    </row>
    <row r="163" spans="1:1" ht="18.75" customHeight="1">
      <c r="A163" s="17"/>
    </row>
    <row r="164" spans="1:1" ht="18.75" customHeight="1">
      <c r="A164" s="17"/>
    </row>
    <row r="165" spans="1:1" ht="18.75" customHeight="1">
      <c r="A165" s="17"/>
    </row>
    <row r="166" spans="1:1" ht="18.75" customHeight="1">
      <c r="A166" s="17"/>
    </row>
    <row r="167" spans="1:1" ht="18.75" customHeight="1">
      <c r="A167" s="17"/>
    </row>
    <row r="168" spans="1:1" ht="18.75" customHeight="1">
      <c r="A168" s="17"/>
    </row>
    <row r="169" spans="1:1" ht="18.75" customHeight="1">
      <c r="A169" s="17"/>
    </row>
    <row r="170" spans="1:1" ht="18.75" customHeight="1">
      <c r="A170" s="17"/>
    </row>
    <row r="171" spans="1:1" ht="18.75" customHeight="1">
      <c r="A171" s="17"/>
    </row>
    <row r="172" spans="1:1" ht="18.75" customHeight="1">
      <c r="A172" s="17"/>
    </row>
    <row r="173" spans="1:1" ht="18.75" customHeight="1">
      <c r="A173" s="17"/>
    </row>
    <row r="174" spans="1:1" ht="18.75" customHeight="1">
      <c r="A174" s="17"/>
    </row>
    <row r="175" spans="1:1" ht="18.75" customHeight="1">
      <c r="A175" s="17"/>
    </row>
    <row r="176" spans="1:1" ht="18.75" customHeight="1">
      <c r="A176" s="17"/>
    </row>
    <row r="177" spans="1:1" ht="18.75" customHeight="1">
      <c r="A177" s="17"/>
    </row>
    <row r="178" spans="1:1" ht="18.75" customHeight="1">
      <c r="A178" s="17"/>
    </row>
    <row r="179" spans="1:1" ht="18.75" customHeight="1">
      <c r="A179" s="17"/>
    </row>
    <row r="180" spans="1:1" ht="18.75" customHeight="1">
      <c r="A180" s="17"/>
    </row>
    <row r="181" spans="1:1" ht="18.75" customHeight="1">
      <c r="A181" s="17"/>
    </row>
    <row r="182" spans="1:1" ht="18.75" customHeight="1">
      <c r="A182" s="17"/>
    </row>
    <row r="183" spans="1:1" ht="18.75" customHeight="1">
      <c r="A183" s="17"/>
    </row>
    <row r="184" spans="1:1" ht="18.75" customHeight="1">
      <c r="A184" s="17"/>
    </row>
    <row r="185" spans="1:1" ht="18.75" customHeight="1">
      <c r="A185" s="17"/>
    </row>
    <row r="186" spans="1:1" ht="18.75" customHeight="1">
      <c r="A186" s="17"/>
    </row>
    <row r="187" spans="1:1" ht="18.75" customHeight="1">
      <c r="A187" s="17"/>
    </row>
    <row r="188" spans="1:1" ht="18.75" customHeight="1">
      <c r="A188" s="17"/>
    </row>
    <row r="189" spans="1:1" ht="18.75" customHeight="1">
      <c r="A189" s="17"/>
    </row>
    <row r="190" spans="1:1" ht="18.75" customHeight="1">
      <c r="A190" s="17"/>
    </row>
    <row r="191" spans="1:1" ht="18.75" customHeight="1">
      <c r="A191" s="17"/>
    </row>
    <row r="192" spans="1:1" ht="18.75" customHeight="1">
      <c r="A192" s="17"/>
    </row>
    <row r="193" spans="1:1" ht="18.75" customHeight="1">
      <c r="A193" s="17"/>
    </row>
    <row r="194" spans="1:1" ht="18.75" customHeight="1">
      <c r="A194" s="17"/>
    </row>
    <row r="195" spans="1:1" ht="18.75" customHeight="1">
      <c r="A195" s="17"/>
    </row>
    <row r="196" spans="1:1" ht="18.75" customHeight="1">
      <c r="A196" s="17"/>
    </row>
    <row r="197" spans="1:1" s="35" customFormat="1" ht="18.75" customHeight="1"/>
    <row r="198" spans="1:1" ht="18.75" customHeight="1">
      <c r="A198" s="17"/>
    </row>
    <row r="199" spans="1:1" ht="18.75" customHeight="1">
      <c r="A199" s="17"/>
    </row>
    <row r="200" spans="1:1" ht="18.75" customHeight="1">
      <c r="A200" s="17"/>
    </row>
    <row r="201" spans="1:1" ht="18.75" customHeight="1">
      <c r="A201" s="17"/>
    </row>
    <row r="202" spans="1:1" ht="18.75" customHeight="1">
      <c r="A202" s="17"/>
    </row>
    <row r="203" spans="1:1" ht="18.75" customHeight="1">
      <c r="A203" s="17"/>
    </row>
    <row r="204" spans="1:1" ht="18.75" customHeight="1">
      <c r="A204" s="17"/>
    </row>
    <row r="205" spans="1:1" ht="18.75" customHeight="1">
      <c r="A205" s="17"/>
    </row>
    <row r="206" spans="1:1" ht="18.75" customHeight="1">
      <c r="A206" s="17"/>
    </row>
    <row r="207" spans="1:1" ht="18.75" customHeight="1">
      <c r="A207" s="17"/>
    </row>
    <row r="208" spans="1:1" ht="18.75" customHeight="1">
      <c r="A208" s="17"/>
    </row>
    <row r="209" spans="1:1" ht="18.75" customHeight="1">
      <c r="A209" s="17"/>
    </row>
    <row r="210" spans="1:1" ht="18.75" customHeight="1">
      <c r="A210" s="17"/>
    </row>
    <row r="211" spans="1:1" ht="18.75" customHeight="1">
      <c r="A211" s="17"/>
    </row>
    <row r="212" spans="1:1" ht="18.75" customHeight="1">
      <c r="A212" s="17"/>
    </row>
    <row r="213" spans="1:1" ht="18.75" customHeight="1">
      <c r="A213" s="17"/>
    </row>
    <row r="214" spans="1:1" ht="18.75" customHeight="1">
      <c r="A214" s="17"/>
    </row>
    <row r="215" spans="1:1" ht="18.75" customHeight="1">
      <c r="A215" s="17"/>
    </row>
    <row r="216" spans="1:1" ht="18.75" customHeight="1">
      <c r="A216" s="17"/>
    </row>
    <row r="217" spans="1:1" ht="18.75" customHeight="1">
      <c r="A217" s="17"/>
    </row>
    <row r="218" spans="1:1" ht="18.75" customHeight="1">
      <c r="A218" s="17"/>
    </row>
    <row r="219" spans="1:1" ht="18.75" customHeight="1">
      <c r="A219" s="17"/>
    </row>
    <row r="220" spans="1:1" ht="18" customHeight="1">
      <c r="A220" s="17"/>
    </row>
    <row r="221" spans="1:1" ht="18" customHeight="1">
      <c r="A221" s="17"/>
    </row>
    <row r="222" spans="1:1" ht="18" customHeight="1">
      <c r="A222" s="17"/>
    </row>
    <row r="223" spans="1:1" ht="18" customHeight="1">
      <c r="A223" s="17"/>
    </row>
    <row r="224" spans="1:1" ht="18.75" customHeight="1">
      <c r="A224" s="17"/>
    </row>
    <row r="225" spans="1:1" ht="18.75" customHeight="1">
      <c r="A225" s="17"/>
    </row>
    <row r="226" spans="1:1" ht="18.75" customHeight="1">
      <c r="A226" s="17"/>
    </row>
    <row r="227" spans="1:1" ht="18.75" customHeight="1">
      <c r="A227" s="17"/>
    </row>
    <row r="228" spans="1:1" ht="18.75" customHeight="1">
      <c r="A228" s="17"/>
    </row>
    <row r="229" spans="1:1" ht="18.75" customHeight="1">
      <c r="A229" s="17"/>
    </row>
    <row r="230" spans="1:1" ht="18.75" customHeight="1">
      <c r="A230" s="17"/>
    </row>
    <row r="231" spans="1:1" ht="18.75" customHeight="1">
      <c r="A231" s="17"/>
    </row>
    <row r="232" spans="1:1" ht="18.75" customHeight="1">
      <c r="A232" s="17"/>
    </row>
    <row r="233" spans="1:1" ht="18.75" customHeight="1">
      <c r="A233" s="17"/>
    </row>
    <row r="234" spans="1:1" ht="18.75" customHeight="1">
      <c r="A234" s="17"/>
    </row>
    <row r="235" spans="1:1" ht="18.75" customHeight="1">
      <c r="A235" s="17"/>
    </row>
    <row r="236" spans="1:1" ht="18.75" customHeight="1">
      <c r="A236" s="17"/>
    </row>
    <row r="237" spans="1:1" ht="18.75" customHeight="1">
      <c r="A237" s="17"/>
    </row>
    <row r="238" spans="1:1" ht="18.75" customHeight="1">
      <c r="A238" s="17"/>
    </row>
    <row r="239" spans="1:1" ht="18.75" customHeight="1">
      <c r="A239" s="17"/>
    </row>
    <row r="240" spans="1:1" ht="18.75" customHeight="1">
      <c r="A240" s="17"/>
    </row>
    <row r="241" spans="1:1" ht="18.75" customHeight="1">
      <c r="A241" s="17"/>
    </row>
    <row r="242" spans="1:1" ht="18.75" customHeight="1">
      <c r="A242" s="17"/>
    </row>
    <row r="243" spans="1:1" ht="18.75" customHeight="1">
      <c r="A243" s="17"/>
    </row>
    <row r="244" spans="1:1" ht="18.75" customHeight="1">
      <c r="A244" s="17"/>
    </row>
    <row r="245" spans="1:1" ht="18.75" customHeight="1">
      <c r="A245" s="17"/>
    </row>
    <row r="246" spans="1:1" ht="18.75" customHeight="1">
      <c r="A246" s="17"/>
    </row>
    <row r="247" spans="1:1" ht="18.75" customHeight="1">
      <c r="A247" s="17"/>
    </row>
    <row r="248" spans="1:1" ht="18.75" customHeight="1">
      <c r="A248" s="17"/>
    </row>
    <row r="249" spans="1:1" ht="18.75" customHeight="1">
      <c r="A249" s="17"/>
    </row>
    <row r="250" spans="1:1" ht="18.75" customHeight="1">
      <c r="A250" s="17"/>
    </row>
    <row r="251" spans="1:1" ht="18.75" customHeight="1">
      <c r="A251" s="17"/>
    </row>
    <row r="252" spans="1:1" ht="18.75" customHeight="1">
      <c r="A252" s="17"/>
    </row>
    <row r="253" spans="1:1" ht="18.75" customHeight="1">
      <c r="A253" s="17"/>
    </row>
    <row r="254" spans="1:1" ht="18.75" customHeight="1">
      <c r="A254" s="17"/>
    </row>
    <row r="255" spans="1:1" ht="18.75" customHeight="1">
      <c r="A255" s="17"/>
    </row>
    <row r="256" spans="1:1" ht="18.75" customHeight="1">
      <c r="A256" s="17"/>
    </row>
    <row r="257" spans="1:1" ht="18.75" customHeight="1">
      <c r="A257" s="17"/>
    </row>
    <row r="258" spans="1:1" ht="18.75" customHeight="1">
      <c r="A258" s="17"/>
    </row>
    <row r="259" spans="1:1" ht="18.75" customHeight="1">
      <c r="A259" s="17"/>
    </row>
    <row r="260" spans="1:1" ht="18.75" customHeight="1">
      <c r="A260" s="17"/>
    </row>
    <row r="261" spans="1:1" ht="18.75" customHeight="1">
      <c r="A261" s="17"/>
    </row>
    <row r="262" spans="1:1" ht="18.75" customHeight="1">
      <c r="A262" s="17"/>
    </row>
    <row r="263" spans="1:1" ht="18.75" customHeight="1">
      <c r="A263" s="17"/>
    </row>
    <row r="264" spans="1:1" ht="18.75" customHeight="1">
      <c r="A264" s="17"/>
    </row>
    <row r="265" spans="1:1" ht="18.75" customHeight="1">
      <c r="A265" s="17"/>
    </row>
    <row r="266" spans="1:1" ht="18.75" customHeight="1">
      <c r="A266" s="17"/>
    </row>
    <row r="267" spans="1:1" ht="18.75" customHeight="1">
      <c r="A267" s="17"/>
    </row>
    <row r="268" spans="1:1" ht="18.75" customHeight="1">
      <c r="A268" s="17"/>
    </row>
    <row r="269" spans="1:1" ht="18.75" customHeight="1">
      <c r="A269" s="17"/>
    </row>
    <row r="270" spans="1:1" ht="18.75" customHeight="1">
      <c r="A270" s="17"/>
    </row>
    <row r="271" spans="1:1" ht="18.75" customHeight="1">
      <c r="A271" s="17"/>
    </row>
    <row r="272" spans="1:1" ht="18.75" customHeight="1">
      <c r="A272" s="17"/>
    </row>
    <row r="273" spans="1:1" ht="18.75" customHeight="1">
      <c r="A273" s="17"/>
    </row>
    <row r="274" spans="1:1" ht="18.75" customHeight="1">
      <c r="A274" s="17"/>
    </row>
    <row r="275" spans="1:1" ht="18.75" customHeight="1">
      <c r="A275" s="17"/>
    </row>
    <row r="276" spans="1:1" ht="18.75" customHeight="1">
      <c r="A276" s="17"/>
    </row>
    <row r="277" spans="1:1" ht="18.75" customHeight="1">
      <c r="A277" s="17"/>
    </row>
    <row r="278" spans="1:1" ht="18.75" customHeight="1">
      <c r="A278" s="17"/>
    </row>
    <row r="279" spans="1:1" ht="18.75" customHeight="1">
      <c r="A279" s="17"/>
    </row>
    <row r="280" spans="1:1" ht="18.75" customHeight="1">
      <c r="A280" s="17"/>
    </row>
    <row r="281" spans="1:1" ht="18.75" customHeight="1">
      <c r="A281" s="17"/>
    </row>
    <row r="282" spans="1:1" ht="18.75" customHeight="1">
      <c r="A282" s="17"/>
    </row>
    <row r="283" spans="1:1" s="35" customFormat="1" ht="18.75" customHeight="1"/>
    <row r="284" spans="1:1" ht="18.75" customHeight="1">
      <c r="A284" s="17"/>
    </row>
    <row r="285" spans="1:1" ht="18.75" customHeight="1">
      <c r="A285" s="17"/>
    </row>
    <row r="286" spans="1:1" ht="18.75" customHeight="1">
      <c r="A286" s="17"/>
    </row>
    <row r="287" spans="1:1" ht="18.75" customHeight="1">
      <c r="A287" s="17"/>
    </row>
    <row r="288" spans="1:1" ht="18.75" customHeight="1">
      <c r="A288" s="17"/>
    </row>
    <row r="289" spans="1:7" ht="18.75" customHeight="1">
      <c r="A289" s="17"/>
    </row>
    <row r="290" spans="1:7" ht="18.75" customHeight="1">
      <c r="A290" s="17"/>
    </row>
    <row r="291" spans="1:7" ht="18.75" customHeight="1">
      <c r="A291" s="17"/>
    </row>
    <row r="292" spans="1:7" ht="18.75" customHeight="1">
      <c r="A292" s="17"/>
    </row>
    <row r="293" spans="1:7" ht="18.75" customHeight="1">
      <c r="A293" s="17"/>
    </row>
    <row r="294" spans="1:7" ht="18.75" customHeight="1">
      <c r="A294" s="17"/>
    </row>
    <row r="295" spans="1:7" ht="18.75" customHeight="1">
      <c r="A295" s="17"/>
    </row>
    <row r="296" spans="1:7" ht="18.75" customHeight="1">
      <c r="A296" s="17"/>
    </row>
    <row r="297" spans="1:7" ht="18.75" customHeight="1">
      <c r="A297" s="17"/>
    </row>
    <row r="298" spans="1:7" ht="18.75" customHeight="1">
      <c r="A298" s="17"/>
    </row>
    <row r="299" spans="1:7" ht="18.75" customHeight="1">
      <c r="A299" s="17"/>
    </row>
    <row r="300" spans="1:7" ht="18.75" customHeight="1">
      <c r="A300" s="17"/>
    </row>
    <row r="301" spans="1:7" ht="18.75" customHeight="1">
      <c r="A301" s="17"/>
    </row>
    <row r="302" spans="1:7" s="47" customFormat="1" ht="18.75" customHeight="1">
      <c r="G302" s="106"/>
    </row>
    <row r="303" spans="1:7" ht="18.75" customHeight="1">
      <c r="A303" s="17"/>
    </row>
    <row r="304" spans="1:7" ht="18.75" customHeight="1">
      <c r="A304" s="17"/>
    </row>
    <row r="305" spans="1:1" s="35" customFormat="1" ht="18.75" customHeight="1"/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</sheetData>
  <autoFilter ref="A6:U304"/>
  <mergeCells count="11">
    <mergeCell ref="A51:B51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10"/>
  <sheetViews>
    <sheetView workbookViewId="0">
      <selection activeCell="A2" sqref="A2:U2"/>
    </sheetView>
  </sheetViews>
  <sheetFormatPr defaultColWidth="9.140625" defaultRowHeight="12"/>
  <cols>
    <col min="1" max="1" width="4.5703125" style="105" bestFit="1" customWidth="1"/>
    <col min="2" max="2" width="24" style="17" customWidth="1"/>
    <col min="3" max="3" width="4.7109375" style="17" bestFit="1" customWidth="1"/>
    <col min="4" max="4" width="5.140625" style="17" bestFit="1" customWidth="1"/>
    <col min="5" max="5" width="9.140625" style="17" customWidth="1"/>
    <col min="6" max="6" width="9.140625" style="108" customWidth="1"/>
    <col min="7" max="7" width="7.5703125" style="108" customWidth="1"/>
    <col min="8" max="8" width="12.42578125" style="17" bestFit="1" customWidth="1"/>
    <col min="9" max="9" width="9.85546875" style="17" bestFit="1" customWidth="1"/>
    <col min="10" max="10" width="10.42578125" style="17" bestFit="1" customWidth="1"/>
    <col min="11" max="11" width="7.42578125" style="17" customWidth="1"/>
    <col min="12" max="12" width="8.7109375" style="17" customWidth="1"/>
    <col min="13" max="13" width="7.28515625" style="17" customWidth="1"/>
    <col min="14" max="14" width="6.7109375" style="17" customWidth="1"/>
    <col min="15" max="16" width="9.140625" style="17" bestFit="1" customWidth="1"/>
    <col min="17" max="17" width="9.42578125" style="17" bestFit="1" customWidth="1"/>
    <col min="18" max="18" width="10.140625" style="17" bestFit="1" customWidth="1"/>
    <col min="19" max="19" width="6.7109375" style="17" customWidth="1"/>
    <col min="20" max="20" width="8.5703125" style="17" customWidth="1"/>
    <col min="21" max="21" width="10.7109375" style="17" customWidth="1"/>
    <col min="22" max="16384" width="9.140625" style="17"/>
  </cols>
  <sheetData>
    <row r="1" spans="1:21" ht="19.899999999999999" customHeight="1">
      <c r="A1" s="159" t="s">
        <v>208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20.45" customHeight="1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ht="18" customHeight="1">
      <c r="U3" s="24" t="s">
        <v>20</v>
      </c>
    </row>
    <row r="4" spans="1:21" ht="21.75" customHeight="1">
      <c r="A4" s="158" t="s">
        <v>0</v>
      </c>
      <c r="B4" s="158" t="s">
        <v>18</v>
      </c>
      <c r="C4" s="175" t="s">
        <v>1</v>
      </c>
      <c r="D4" s="175"/>
      <c r="E4" s="169" t="s">
        <v>4</v>
      </c>
      <c r="F4" s="170"/>
      <c r="G4" s="171"/>
      <c r="H4" s="158" t="s">
        <v>5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21.75" customHeight="1">
      <c r="A5" s="158"/>
      <c r="B5" s="158"/>
      <c r="C5" s="175"/>
      <c r="D5" s="175"/>
      <c r="E5" s="172"/>
      <c r="F5" s="173"/>
      <c r="G5" s="174"/>
      <c r="H5" s="165" t="s">
        <v>6</v>
      </c>
      <c r="I5" s="158" t="s">
        <v>190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65" t="s">
        <v>19</v>
      </c>
    </row>
    <row r="6" spans="1:21" ht="72" customHeight="1">
      <c r="A6" s="158"/>
      <c r="B6" s="158"/>
      <c r="C6" s="26" t="s">
        <v>2</v>
      </c>
      <c r="D6" s="26" t="s">
        <v>3</v>
      </c>
      <c r="E6" s="26" t="s">
        <v>189</v>
      </c>
      <c r="F6" s="109" t="s">
        <v>191</v>
      </c>
      <c r="G6" s="109" t="s">
        <v>19</v>
      </c>
      <c r="H6" s="165"/>
      <c r="I6" s="104" t="s">
        <v>7</v>
      </c>
      <c r="J6" s="104" t="s">
        <v>8</v>
      </c>
      <c r="K6" s="104" t="s">
        <v>9</v>
      </c>
      <c r="L6" s="104" t="s">
        <v>10</v>
      </c>
      <c r="M6" s="104" t="s">
        <v>11</v>
      </c>
      <c r="N6" s="104" t="s">
        <v>12</v>
      </c>
      <c r="O6" s="104" t="s">
        <v>13</v>
      </c>
      <c r="P6" s="104" t="s">
        <v>14</v>
      </c>
      <c r="Q6" s="104" t="s">
        <v>15</v>
      </c>
      <c r="R6" s="104" t="s">
        <v>17</v>
      </c>
      <c r="S6" s="104" t="s">
        <v>16</v>
      </c>
      <c r="T6" s="104" t="s">
        <v>193</v>
      </c>
      <c r="U6" s="165"/>
    </row>
    <row r="7" spans="1:21" ht="18.75" customHeight="1">
      <c r="A7" s="40">
        <v>1</v>
      </c>
      <c r="B7" s="110" t="s">
        <v>209</v>
      </c>
      <c r="C7" s="111">
        <v>12</v>
      </c>
      <c r="D7" s="112">
        <v>12</v>
      </c>
      <c r="E7" s="50">
        <v>1372.317</v>
      </c>
      <c r="F7" s="50">
        <f t="shared" ref="F7:F26" si="0">C7*20.24</f>
        <v>242.88</v>
      </c>
      <c r="G7" s="50">
        <f>E7+F7</f>
        <v>1615.1970000000001</v>
      </c>
      <c r="H7" s="50">
        <v>1372</v>
      </c>
      <c r="I7" s="113">
        <v>10</v>
      </c>
      <c r="J7" s="113">
        <v>9</v>
      </c>
      <c r="K7" s="113">
        <v>10</v>
      </c>
      <c r="L7" s="113">
        <v>2</v>
      </c>
      <c r="M7" s="113">
        <v>20</v>
      </c>
      <c r="N7" s="113">
        <v>17</v>
      </c>
      <c r="O7" s="113">
        <v>90</v>
      </c>
      <c r="P7" s="113"/>
      <c r="Q7" s="113">
        <v>30</v>
      </c>
      <c r="R7" s="113"/>
      <c r="S7" s="113">
        <v>55.197000000000003</v>
      </c>
      <c r="T7" s="29">
        <f>SUM(I7:S7)</f>
        <v>243.197</v>
      </c>
      <c r="U7" s="29">
        <f>T7+H7</f>
        <v>1615.1970000000001</v>
      </c>
    </row>
    <row r="8" spans="1:21" ht="18.75" customHeight="1">
      <c r="A8" s="40">
        <v>2</v>
      </c>
      <c r="B8" s="110" t="s">
        <v>210</v>
      </c>
      <c r="C8" s="111">
        <v>17</v>
      </c>
      <c r="D8" s="112">
        <v>17</v>
      </c>
      <c r="E8" s="50">
        <v>1960.2559999999999</v>
      </c>
      <c r="F8" s="50">
        <f t="shared" si="0"/>
        <v>344.08</v>
      </c>
      <c r="G8" s="50">
        <f t="shared" ref="G8:G53" si="1">E8+F8</f>
        <v>2304.3359999999998</v>
      </c>
      <c r="H8" s="50">
        <v>1960.2560000000001</v>
      </c>
      <c r="I8" s="113"/>
      <c r="J8" s="113">
        <v>12</v>
      </c>
      <c r="K8" s="113">
        <v>30</v>
      </c>
      <c r="L8" s="113">
        <v>15</v>
      </c>
      <c r="M8" s="113">
        <v>20</v>
      </c>
      <c r="N8" s="113">
        <v>20</v>
      </c>
      <c r="O8" s="113">
        <v>25</v>
      </c>
      <c r="P8" s="113">
        <v>100</v>
      </c>
      <c r="Q8" s="113">
        <v>60.6</v>
      </c>
      <c r="R8" s="113"/>
      <c r="S8" s="113">
        <v>61.48</v>
      </c>
      <c r="T8" s="29">
        <f t="shared" ref="T8:T53" si="2">SUM(I8:S8)</f>
        <v>344.08000000000004</v>
      </c>
      <c r="U8" s="29">
        <f t="shared" ref="U8:U53" si="3">T8+H8</f>
        <v>2304.3360000000002</v>
      </c>
    </row>
    <row r="9" spans="1:21" ht="18.75" customHeight="1">
      <c r="A9" s="40">
        <v>3</v>
      </c>
      <c r="B9" s="110" t="s">
        <v>211</v>
      </c>
      <c r="C9" s="111">
        <v>21</v>
      </c>
      <c r="D9" s="112">
        <v>21</v>
      </c>
      <c r="E9" s="50">
        <v>2479.9690000000001</v>
      </c>
      <c r="F9" s="50">
        <f t="shared" si="0"/>
        <v>425.03999999999996</v>
      </c>
      <c r="G9" s="50">
        <f t="shared" si="1"/>
        <v>2905.009</v>
      </c>
      <c r="H9" s="50">
        <v>2479.9690000000001</v>
      </c>
      <c r="I9" s="113">
        <v>25</v>
      </c>
      <c r="J9" s="113">
        <v>7</v>
      </c>
      <c r="K9" s="113">
        <v>18</v>
      </c>
      <c r="L9" s="113">
        <v>5</v>
      </c>
      <c r="M9" s="113">
        <v>30</v>
      </c>
      <c r="N9" s="113">
        <v>31.2</v>
      </c>
      <c r="O9" s="113">
        <v>57.664999999999999</v>
      </c>
      <c r="P9" s="113">
        <v>96.4</v>
      </c>
      <c r="Q9" s="113">
        <v>54</v>
      </c>
      <c r="R9" s="113"/>
      <c r="S9" s="113">
        <v>100.77500000000001</v>
      </c>
      <c r="T9" s="29">
        <f t="shared" si="2"/>
        <v>425.03999999999996</v>
      </c>
      <c r="U9" s="29">
        <f t="shared" si="3"/>
        <v>2905.009</v>
      </c>
    </row>
    <row r="10" spans="1:21" ht="18.75" customHeight="1">
      <c r="A10" s="40">
        <v>4</v>
      </c>
      <c r="B10" s="110" t="s">
        <v>212</v>
      </c>
      <c r="C10" s="111">
        <v>12</v>
      </c>
      <c r="D10" s="112">
        <v>12</v>
      </c>
      <c r="E10" s="50">
        <v>1880.4559999999997</v>
      </c>
      <c r="F10" s="50">
        <f t="shared" si="0"/>
        <v>242.88</v>
      </c>
      <c r="G10" s="50">
        <f t="shared" si="1"/>
        <v>2123.3359999999998</v>
      </c>
      <c r="H10" s="37">
        <v>1880.4559999999999</v>
      </c>
      <c r="I10" s="114">
        <v>57.517000000000003</v>
      </c>
      <c r="J10" s="114">
        <v>8</v>
      </c>
      <c r="K10" s="114">
        <v>5</v>
      </c>
      <c r="L10" s="114">
        <v>5.0970000000000004</v>
      </c>
      <c r="M10" s="114">
        <v>20</v>
      </c>
      <c r="N10" s="114">
        <v>10.8</v>
      </c>
      <c r="O10" s="114">
        <v>59.545000000000002</v>
      </c>
      <c r="P10" s="114">
        <v>65.117000000000004</v>
      </c>
      <c r="Q10" s="114">
        <v>7.6</v>
      </c>
      <c r="R10" s="114"/>
      <c r="S10" s="114">
        <v>4.2039999999999997</v>
      </c>
      <c r="T10" s="29">
        <f t="shared" si="2"/>
        <v>242.88000000000002</v>
      </c>
      <c r="U10" s="29">
        <f t="shared" si="3"/>
        <v>2123.3359999999998</v>
      </c>
    </row>
    <row r="11" spans="1:21" ht="18.75" customHeight="1">
      <c r="A11" s="40">
        <v>5</v>
      </c>
      <c r="B11" s="110" t="s">
        <v>213</v>
      </c>
      <c r="C11" s="111">
        <v>10</v>
      </c>
      <c r="D11" s="112">
        <v>10</v>
      </c>
      <c r="E11" s="50">
        <v>1416.5169999999998</v>
      </c>
      <c r="F11" s="50">
        <f t="shared" si="0"/>
        <v>202.39999999999998</v>
      </c>
      <c r="G11" s="50">
        <f t="shared" si="1"/>
        <v>1618.9169999999999</v>
      </c>
      <c r="H11" s="37">
        <v>1432.5170000000001</v>
      </c>
      <c r="I11" s="114"/>
      <c r="J11" s="114">
        <v>6.5</v>
      </c>
      <c r="K11" s="114">
        <v>20.350000000000001</v>
      </c>
      <c r="L11" s="114">
        <v>9.4</v>
      </c>
      <c r="M11" s="114">
        <v>19</v>
      </c>
      <c r="N11" s="114">
        <v>9.6</v>
      </c>
      <c r="O11" s="114">
        <v>57.3</v>
      </c>
      <c r="P11" s="114">
        <v>13</v>
      </c>
      <c r="Q11" s="114">
        <v>33.787999999999997</v>
      </c>
      <c r="R11" s="113"/>
      <c r="S11" s="114">
        <v>17.462</v>
      </c>
      <c r="T11" s="29">
        <f t="shared" si="2"/>
        <v>186.39999999999998</v>
      </c>
      <c r="U11" s="29">
        <f t="shared" si="3"/>
        <v>1618.9169999999999</v>
      </c>
    </row>
    <row r="12" spans="1:21" ht="18.75" customHeight="1">
      <c r="A12" s="40">
        <v>6</v>
      </c>
      <c r="B12" s="110" t="s">
        <v>214</v>
      </c>
      <c r="C12" s="111">
        <v>16</v>
      </c>
      <c r="D12" s="112">
        <v>15</v>
      </c>
      <c r="E12" s="50">
        <v>1953.2030000000002</v>
      </c>
      <c r="F12" s="50">
        <f t="shared" si="0"/>
        <v>323.83999999999997</v>
      </c>
      <c r="G12" s="50">
        <f t="shared" si="1"/>
        <v>2277.0430000000001</v>
      </c>
      <c r="H12" s="50">
        <v>1953.203</v>
      </c>
      <c r="I12" s="113"/>
      <c r="J12" s="113">
        <v>13</v>
      </c>
      <c r="K12" s="113">
        <v>19.649999999999999</v>
      </c>
      <c r="L12" s="113">
        <v>8.8000000000000007</v>
      </c>
      <c r="M12" s="113">
        <v>40</v>
      </c>
      <c r="N12" s="113">
        <v>26.4</v>
      </c>
      <c r="O12" s="113">
        <v>106.8</v>
      </c>
      <c r="P12" s="113">
        <v>12</v>
      </c>
      <c r="Q12" s="113">
        <v>73.34</v>
      </c>
      <c r="R12" s="113"/>
      <c r="S12" s="113">
        <v>23.85</v>
      </c>
      <c r="T12" s="29">
        <f t="shared" si="2"/>
        <v>323.84000000000003</v>
      </c>
      <c r="U12" s="29">
        <f t="shared" si="3"/>
        <v>2277.0430000000001</v>
      </c>
    </row>
    <row r="13" spans="1:21" ht="18.75" customHeight="1">
      <c r="A13" s="40">
        <v>7</v>
      </c>
      <c r="B13" s="110" t="s">
        <v>215</v>
      </c>
      <c r="C13" s="111">
        <v>19</v>
      </c>
      <c r="D13" s="112">
        <v>19</v>
      </c>
      <c r="E13" s="50">
        <v>2125.3310000000001</v>
      </c>
      <c r="F13" s="50">
        <f t="shared" si="0"/>
        <v>384.55999999999995</v>
      </c>
      <c r="G13" s="50">
        <f t="shared" si="1"/>
        <v>2509.8910000000001</v>
      </c>
      <c r="H13" s="50">
        <v>2132</v>
      </c>
      <c r="I13" s="113"/>
      <c r="J13" s="113">
        <v>8.5470000000000006</v>
      </c>
      <c r="K13" s="113">
        <v>25.789000000000001</v>
      </c>
      <c r="L13" s="113">
        <v>5.5229999999999997</v>
      </c>
      <c r="M13" s="113">
        <v>35.545999999999999</v>
      </c>
      <c r="N13" s="113">
        <v>8.5779999999999994</v>
      </c>
      <c r="O13" s="113">
        <v>85.5</v>
      </c>
      <c r="P13" s="113">
        <v>62.456000000000003</v>
      </c>
      <c r="Q13" s="113">
        <v>46.456000000000003</v>
      </c>
      <c r="R13" s="113"/>
      <c r="S13" s="113">
        <v>99.495999999999995</v>
      </c>
      <c r="T13" s="29">
        <f t="shared" si="2"/>
        <v>377.89100000000002</v>
      </c>
      <c r="U13" s="29">
        <f t="shared" si="3"/>
        <v>2509.8910000000001</v>
      </c>
    </row>
    <row r="14" spans="1:21" ht="18.75" customHeight="1">
      <c r="A14" s="40">
        <v>8</v>
      </c>
      <c r="B14" s="110" t="s">
        <v>216</v>
      </c>
      <c r="C14" s="111">
        <v>10</v>
      </c>
      <c r="D14" s="40">
        <v>10</v>
      </c>
      <c r="E14" s="50">
        <v>1197.931</v>
      </c>
      <c r="F14" s="50">
        <f t="shared" si="0"/>
        <v>202.39999999999998</v>
      </c>
      <c r="G14" s="50">
        <f t="shared" si="1"/>
        <v>1400.3310000000001</v>
      </c>
      <c r="H14" s="37">
        <v>1197.931</v>
      </c>
      <c r="I14" s="114"/>
      <c r="J14" s="114">
        <v>3.6831</v>
      </c>
      <c r="K14" s="114">
        <v>14.978009999999999</v>
      </c>
      <c r="L14" s="114">
        <v>1.908971</v>
      </c>
      <c r="M14" s="114">
        <v>17</v>
      </c>
      <c r="N14" s="114">
        <v>12</v>
      </c>
      <c r="O14" s="114">
        <v>40</v>
      </c>
      <c r="P14" s="114">
        <v>35</v>
      </c>
      <c r="Q14" s="114">
        <v>38</v>
      </c>
      <c r="R14" s="114"/>
      <c r="S14" s="114">
        <v>39.829918999999997</v>
      </c>
      <c r="T14" s="29">
        <f t="shared" si="2"/>
        <v>202.4</v>
      </c>
      <c r="U14" s="29">
        <f t="shared" si="3"/>
        <v>1400.3310000000001</v>
      </c>
    </row>
    <row r="15" spans="1:21" ht="18.75" customHeight="1">
      <c r="A15" s="40">
        <v>9</v>
      </c>
      <c r="B15" s="110" t="s">
        <v>217</v>
      </c>
      <c r="C15" s="111">
        <v>13</v>
      </c>
      <c r="D15" s="40">
        <v>12</v>
      </c>
      <c r="E15" s="50">
        <v>1331.3879999999999</v>
      </c>
      <c r="F15" s="50">
        <f t="shared" si="0"/>
        <v>263.12</v>
      </c>
      <c r="G15" s="50">
        <f t="shared" si="1"/>
        <v>1594.5079999999998</v>
      </c>
      <c r="H15" s="37">
        <v>1331.3879999999999</v>
      </c>
      <c r="I15" s="114"/>
      <c r="J15" s="114">
        <v>7.5</v>
      </c>
      <c r="K15" s="114">
        <v>16</v>
      </c>
      <c r="L15" s="114">
        <v>15</v>
      </c>
      <c r="M15" s="114">
        <v>20</v>
      </c>
      <c r="N15" s="114">
        <v>19.5</v>
      </c>
      <c r="O15" s="114">
        <v>46.9</v>
      </c>
      <c r="P15" s="114">
        <v>20.664999999999999</v>
      </c>
      <c r="Q15" s="114">
        <v>45.19</v>
      </c>
      <c r="R15" s="114"/>
      <c r="S15" s="114">
        <v>72.364999999999995</v>
      </c>
      <c r="T15" s="29">
        <f t="shared" si="2"/>
        <v>263.12</v>
      </c>
      <c r="U15" s="29">
        <f t="shared" si="3"/>
        <v>1594.5079999999998</v>
      </c>
    </row>
    <row r="16" spans="1:21" ht="18.75" customHeight="1">
      <c r="A16" s="40">
        <v>10</v>
      </c>
      <c r="B16" s="110" t="s">
        <v>218</v>
      </c>
      <c r="C16" s="111">
        <v>11</v>
      </c>
      <c r="D16" s="112">
        <v>11</v>
      </c>
      <c r="E16" s="50">
        <v>1384.5390000000002</v>
      </c>
      <c r="F16" s="50">
        <f t="shared" si="0"/>
        <v>222.64</v>
      </c>
      <c r="G16" s="50">
        <f t="shared" si="1"/>
        <v>1607.1790000000001</v>
      </c>
      <c r="H16" s="50">
        <v>1446.952732</v>
      </c>
      <c r="I16" s="113">
        <v>0</v>
      </c>
      <c r="J16" s="113">
        <v>10.340515999999999</v>
      </c>
      <c r="K16" s="113">
        <v>0</v>
      </c>
      <c r="L16" s="113">
        <v>8.2291679999999996</v>
      </c>
      <c r="M16" s="113">
        <v>0</v>
      </c>
      <c r="N16" s="113">
        <v>24</v>
      </c>
      <c r="O16" s="113">
        <v>0</v>
      </c>
      <c r="P16" s="113">
        <v>55.454999999999998</v>
      </c>
      <c r="Q16" s="113">
        <v>39</v>
      </c>
      <c r="R16" s="113"/>
      <c r="S16" s="113">
        <v>23.201584</v>
      </c>
      <c r="T16" s="29">
        <f t="shared" si="2"/>
        <v>160.22626799999998</v>
      </c>
      <c r="U16" s="29">
        <f t="shared" si="3"/>
        <v>1607.1789999999999</v>
      </c>
    </row>
    <row r="17" spans="1:21" ht="18.75" customHeight="1">
      <c r="A17" s="40">
        <v>11</v>
      </c>
      <c r="B17" s="110" t="s">
        <v>219</v>
      </c>
      <c r="C17" s="111">
        <v>35</v>
      </c>
      <c r="D17" s="112">
        <v>34</v>
      </c>
      <c r="E17" s="50">
        <v>3801.7580000000003</v>
      </c>
      <c r="F17" s="50">
        <f t="shared" si="0"/>
        <v>708.4</v>
      </c>
      <c r="G17" s="50">
        <f t="shared" si="1"/>
        <v>4510.1580000000004</v>
      </c>
      <c r="H17" s="50">
        <v>3801.7579999999998</v>
      </c>
      <c r="I17" s="113">
        <v>50.6</v>
      </c>
      <c r="J17" s="113">
        <v>85</v>
      </c>
      <c r="K17" s="113">
        <v>37.1</v>
      </c>
      <c r="L17" s="113">
        <v>26.5</v>
      </c>
      <c r="M17" s="113">
        <v>30</v>
      </c>
      <c r="N17" s="113">
        <v>42</v>
      </c>
      <c r="O17" s="113">
        <v>146.80000000000001</v>
      </c>
      <c r="P17" s="113"/>
      <c r="Q17" s="113">
        <v>157.69999999999999</v>
      </c>
      <c r="R17" s="113"/>
      <c r="S17" s="113">
        <v>132.69999999999999</v>
      </c>
      <c r="T17" s="29">
        <f t="shared" si="2"/>
        <v>708.40000000000009</v>
      </c>
      <c r="U17" s="29">
        <f t="shared" si="3"/>
        <v>4510.1579999999994</v>
      </c>
    </row>
    <row r="18" spans="1:21" ht="18.75" customHeight="1">
      <c r="A18" s="40">
        <v>12</v>
      </c>
      <c r="B18" s="110" t="s">
        <v>220</v>
      </c>
      <c r="C18" s="111">
        <v>14</v>
      </c>
      <c r="D18" s="40">
        <v>14</v>
      </c>
      <c r="E18" s="50">
        <v>1725.1420000000001</v>
      </c>
      <c r="F18" s="50">
        <f t="shared" si="0"/>
        <v>283.35999999999996</v>
      </c>
      <c r="G18" s="50">
        <f t="shared" si="1"/>
        <v>2008.502</v>
      </c>
      <c r="H18" s="37">
        <v>1725.1420000000001</v>
      </c>
      <c r="I18" s="114"/>
      <c r="J18" s="114">
        <v>15.58</v>
      </c>
      <c r="K18" s="114">
        <v>12.55</v>
      </c>
      <c r="L18" s="114">
        <v>14</v>
      </c>
      <c r="M18" s="114">
        <v>15</v>
      </c>
      <c r="N18" s="114">
        <v>21.6</v>
      </c>
      <c r="O18" s="114">
        <v>23</v>
      </c>
      <c r="P18" s="114"/>
      <c r="Q18" s="114">
        <v>149.63</v>
      </c>
      <c r="R18" s="114">
        <v>0</v>
      </c>
      <c r="S18" s="114">
        <v>32</v>
      </c>
      <c r="T18" s="29">
        <f t="shared" si="2"/>
        <v>283.36</v>
      </c>
      <c r="U18" s="29">
        <f t="shared" si="3"/>
        <v>2008.502</v>
      </c>
    </row>
    <row r="19" spans="1:21" ht="18.75" customHeight="1">
      <c r="A19" s="40">
        <v>13</v>
      </c>
      <c r="B19" s="110" t="s">
        <v>221</v>
      </c>
      <c r="C19" s="111">
        <v>12</v>
      </c>
      <c r="D19" s="112">
        <v>12</v>
      </c>
      <c r="E19" s="50">
        <v>1415.8760000000002</v>
      </c>
      <c r="F19" s="50">
        <f t="shared" si="0"/>
        <v>242.88</v>
      </c>
      <c r="G19" s="50">
        <f t="shared" si="1"/>
        <v>1658.7560000000003</v>
      </c>
      <c r="H19" s="50">
        <v>1500.558</v>
      </c>
      <c r="I19" s="113"/>
      <c r="J19" s="113"/>
      <c r="K19" s="113">
        <v>13.6</v>
      </c>
      <c r="L19" s="113">
        <v>8.76</v>
      </c>
      <c r="M19" s="113">
        <v>30</v>
      </c>
      <c r="N19" s="113">
        <v>8.4</v>
      </c>
      <c r="O19" s="113">
        <v>14</v>
      </c>
      <c r="P19" s="113">
        <v>30</v>
      </c>
      <c r="Q19" s="113"/>
      <c r="R19" s="113"/>
      <c r="S19" s="113">
        <v>53.438000000000002</v>
      </c>
      <c r="T19" s="29">
        <f t="shared" si="2"/>
        <v>158.19799999999998</v>
      </c>
      <c r="U19" s="29">
        <f t="shared" si="3"/>
        <v>1658.7559999999999</v>
      </c>
    </row>
    <row r="20" spans="1:21" ht="18.75" customHeight="1">
      <c r="A20" s="40">
        <v>14</v>
      </c>
      <c r="B20" s="110" t="s">
        <v>222</v>
      </c>
      <c r="C20" s="111">
        <v>10</v>
      </c>
      <c r="D20" s="112">
        <v>10</v>
      </c>
      <c r="E20" s="50">
        <v>1171.5259999999998</v>
      </c>
      <c r="F20" s="50">
        <f t="shared" si="0"/>
        <v>202.39999999999998</v>
      </c>
      <c r="G20" s="50">
        <f t="shared" si="1"/>
        <v>1373.9259999999999</v>
      </c>
      <c r="H20" s="50">
        <v>1191.5260000000001</v>
      </c>
      <c r="I20" s="113">
        <v>43</v>
      </c>
      <c r="J20" s="113">
        <v>6</v>
      </c>
      <c r="K20" s="113">
        <v>9.5</v>
      </c>
      <c r="L20" s="113">
        <v>8.2943999999999996</v>
      </c>
      <c r="M20" s="113">
        <v>20</v>
      </c>
      <c r="N20" s="113"/>
      <c r="O20" s="113">
        <v>27.5</v>
      </c>
      <c r="P20" s="113"/>
      <c r="Q20" s="113">
        <v>15.5</v>
      </c>
      <c r="R20" s="113"/>
      <c r="S20" s="113">
        <v>52.605600000000003</v>
      </c>
      <c r="T20" s="29">
        <f t="shared" si="2"/>
        <v>182.4</v>
      </c>
      <c r="U20" s="29">
        <f t="shared" si="3"/>
        <v>1373.9260000000002</v>
      </c>
    </row>
    <row r="21" spans="1:21" ht="18.75" customHeight="1">
      <c r="A21" s="40">
        <v>15</v>
      </c>
      <c r="B21" s="110" t="s">
        <v>223</v>
      </c>
      <c r="C21" s="111">
        <v>13</v>
      </c>
      <c r="D21" s="112">
        <v>13</v>
      </c>
      <c r="E21" s="50">
        <v>1289.509</v>
      </c>
      <c r="F21" s="50">
        <f t="shared" si="0"/>
        <v>263.12</v>
      </c>
      <c r="G21" s="50">
        <f t="shared" si="1"/>
        <v>1552.6289999999999</v>
      </c>
      <c r="H21" s="50">
        <v>1289.509</v>
      </c>
      <c r="I21" s="113"/>
      <c r="J21" s="113">
        <v>12.906162999999999</v>
      </c>
      <c r="K21" s="113">
        <v>9.7840000000000007</v>
      </c>
      <c r="L21" s="113">
        <v>8.4219799999999996</v>
      </c>
      <c r="M21" s="113">
        <v>15.121</v>
      </c>
      <c r="N21" s="113">
        <v>24</v>
      </c>
      <c r="O21" s="113">
        <v>26.132000000000001</v>
      </c>
      <c r="P21" s="113"/>
      <c r="Q21" s="113">
        <v>13.684100000000001</v>
      </c>
      <c r="R21" s="113"/>
      <c r="S21" s="113">
        <v>153.07075699999999</v>
      </c>
      <c r="T21" s="29">
        <f t="shared" si="2"/>
        <v>263.12</v>
      </c>
      <c r="U21" s="29">
        <f t="shared" si="3"/>
        <v>1552.6289999999999</v>
      </c>
    </row>
    <row r="22" spans="1:21" ht="18.75" customHeight="1">
      <c r="A22" s="40">
        <v>16</v>
      </c>
      <c r="B22" s="110" t="s">
        <v>224</v>
      </c>
      <c r="C22" s="111">
        <v>18</v>
      </c>
      <c r="D22" s="112">
        <v>18</v>
      </c>
      <c r="E22" s="50">
        <v>1916.39</v>
      </c>
      <c r="F22" s="50">
        <f t="shared" si="0"/>
        <v>364.32</v>
      </c>
      <c r="G22" s="50">
        <f t="shared" si="1"/>
        <v>2280.71</v>
      </c>
      <c r="H22" s="37">
        <v>1936.39</v>
      </c>
      <c r="I22" s="114">
        <v>63</v>
      </c>
      <c r="J22" s="114">
        <v>24</v>
      </c>
      <c r="K22" s="114">
        <v>22</v>
      </c>
      <c r="L22" s="114">
        <v>13</v>
      </c>
      <c r="M22" s="114">
        <v>43</v>
      </c>
      <c r="N22" s="114">
        <v>18</v>
      </c>
      <c r="O22" s="114">
        <v>61</v>
      </c>
      <c r="P22" s="114">
        <v>48.7</v>
      </c>
      <c r="Q22" s="114">
        <v>14.36</v>
      </c>
      <c r="R22" s="113"/>
      <c r="S22" s="114">
        <v>37.26</v>
      </c>
      <c r="T22" s="29">
        <f t="shared" si="2"/>
        <v>344.32</v>
      </c>
      <c r="U22" s="29">
        <f t="shared" si="3"/>
        <v>2280.71</v>
      </c>
    </row>
    <row r="23" spans="1:21" ht="18.75" customHeight="1">
      <c r="A23" s="40">
        <v>17</v>
      </c>
      <c r="B23" s="110" t="s">
        <v>225</v>
      </c>
      <c r="C23" s="111">
        <v>31</v>
      </c>
      <c r="D23" s="112">
        <v>29</v>
      </c>
      <c r="E23" s="50">
        <v>3550.0840000000003</v>
      </c>
      <c r="F23" s="50">
        <f t="shared" si="0"/>
        <v>627.43999999999994</v>
      </c>
      <c r="G23" s="50">
        <f t="shared" si="1"/>
        <v>4177.5240000000003</v>
      </c>
      <c r="H23" s="50">
        <v>3570.0839999999998</v>
      </c>
      <c r="I23" s="113"/>
      <c r="J23" s="113">
        <v>12</v>
      </c>
      <c r="K23" s="113">
        <v>20.3</v>
      </c>
      <c r="L23" s="113">
        <v>6</v>
      </c>
      <c r="M23" s="113">
        <v>50</v>
      </c>
      <c r="N23" s="113">
        <v>48</v>
      </c>
      <c r="O23" s="113">
        <v>140</v>
      </c>
      <c r="P23" s="113">
        <v>145</v>
      </c>
      <c r="Q23" s="113">
        <v>37.5</v>
      </c>
      <c r="R23" s="113"/>
      <c r="S23" s="113">
        <v>148.63999999999999</v>
      </c>
      <c r="T23" s="29">
        <f t="shared" si="2"/>
        <v>607.44000000000005</v>
      </c>
      <c r="U23" s="29">
        <f t="shared" si="3"/>
        <v>4177.5239999999994</v>
      </c>
    </row>
    <row r="24" spans="1:21" ht="18.75" customHeight="1">
      <c r="A24" s="40">
        <v>18</v>
      </c>
      <c r="B24" s="110" t="s">
        <v>226</v>
      </c>
      <c r="C24" s="111">
        <v>8</v>
      </c>
      <c r="D24" s="112">
        <v>8</v>
      </c>
      <c r="E24" s="50">
        <v>1068.085</v>
      </c>
      <c r="F24" s="50">
        <f t="shared" si="0"/>
        <v>161.91999999999999</v>
      </c>
      <c r="G24" s="50">
        <f t="shared" si="1"/>
        <v>1230.0050000000001</v>
      </c>
      <c r="H24" s="50">
        <v>1090.085</v>
      </c>
      <c r="I24" s="113"/>
      <c r="J24" s="113">
        <v>12</v>
      </c>
      <c r="K24" s="113">
        <v>2.4</v>
      </c>
      <c r="L24" s="113">
        <v>1.8</v>
      </c>
      <c r="M24" s="113">
        <v>25</v>
      </c>
      <c r="N24" s="113">
        <v>12</v>
      </c>
      <c r="O24" s="113">
        <v>10</v>
      </c>
      <c r="P24" s="113"/>
      <c r="Q24" s="113">
        <v>43.646999999999998</v>
      </c>
      <c r="R24" s="113"/>
      <c r="S24" s="113">
        <v>33.073</v>
      </c>
      <c r="T24" s="29">
        <f t="shared" si="2"/>
        <v>139.92000000000002</v>
      </c>
      <c r="U24" s="29">
        <f t="shared" si="3"/>
        <v>1230.0050000000001</v>
      </c>
    </row>
    <row r="25" spans="1:21" ht="18.75" customHeight="1">
      <c r="A25" s="40">
        <v>19</v>
      </c>
      <c r="B25" s="110" t="s">
        <v>227</v>
      </c>
      <c r="C25" s="31">
        <v>12</v>
      </c>
      <c r="D25" s="40">
        <v>12</v>
      </c>
      <c r="E25" s="50">
        <v>1501.8919999999998</v>
      </c>
      <c r="F25" s="50">
        <f t="shared" si="0"/>
        <v>242.88</v>
      </c>
      <c r="G25" s="50">
        <f t="shared" si="1"/>
        <v>1744.7719999999999</v>
      </c>
      <c r="H25" s="37">
        <v>1501.8920000000001</v>
      </c>
      <c r="I25" s="114"/>
      <c r="J25" s="114">
        <v>7.2</v>
      </c>
      <c r="K25" s="114">
        <v>15</v>
      </c>
      <c r="L25" s="114">
        <v>13.2</v>
      </c>
      <c r="M25" s="114">
        <v>30</v>
      </c>
      <c r="N25" s="114">
        <v>18</v>
      </c>
      <c r="O25" s="114">
        <v>20</v>
      </c>
      <c r="P25" s="114">
        <v>45</v>
      </c>
      <c r="Q25" s="114">
        <v>55.48</v>
      </c>
      <c r="R25" s="114"/>
      <c r="S25" s="114">
        <v>39</v>
      </c>
      <c r="T25" s="29">
        <f t="shared" si="2"/>
        <v>242.88</v>
      </c>
      <c r="U25" s="29">
        <f t="shared" si="3"/>
        <v>1744.7719999999999</v>
      </c>
    </row>
    <row r="26" spans="1:21" ht="18.75" customHeight="1">
      <c r="A26" s="40">
        <v>20</v>
      </c>
      <c r="B26" s="110" t="s">
        <v>228</v>
      </c>
      <c r="C26" s="111">
        <v>10</v>
      </c>
      <c r="D26" s="112">
        <v>10</v>
      </c>
      <c r="E26" s="50">
        <v>1352.587</v>
      </c>
      <c r="F26" s="50">
        <f t="shared" si="0"/>
        <v>202.39999999999998</v>
      </c>
      <c r="G26" s="50">
        <f t="shared" si="1"/>
        <v>1554.9870000000001</v>
      </c>
      <c r="H26" s="50">
        <v>1372.587</v>
      </c>
      <c r="I26" s="113"/>
      <c r="J26" s="113">
        <v>12</v>
      </c>
      <c r="K26" s="113">
        <v>8</v>
      </c>
      <c r="L26" s="113">
        <v>8.94</v>
      </c>
      <c r="M26" s="113">
        <v>32</v>
      </c>
      <c r="N26" s="113">
        <v>18</v>
      </c>
      <c r="O26" s="113">
        <v>15</v>
      </c>
      <c r="P26" s="113">
        <v>47</v>
      </c>
      <c r="Q26" s="113">
        <v>37.36</v>
      </c>
      <c r="R26" s="113"/>
      <c r="S26" s="113">
        <v>4.0999999999999996</v>
      </c>
      <c r="T26" s="29">
        <f t="shared" si="2"/>
        <v>182.4</v>
      </c>
      <c r="U26" s="29">
        <f t="shared" si="3"/>
        <v>1554.9870000000001</v>
      </c>
    </row>
    <row r="27" spans="1:21" ht="18.75" customHeight="1">
      <c r="A27" s="40">
        <v>21</v>
      </c>
      <c r="B27" s="22" t="s">
        <v>229</v>
      </c>
      <c r="C27" s="44">
        <v>33</v>
      </c>
      <c r="D27" s="112">
        <v>33</v>
      </c>
      <c r="E27" s="50">
        <v>4040.8369999999995</v>
      </c>
      <c r="F27" s="50">
        <f t="shared" ref="F27:F42" si="4">C27*21.12</f>
        <v>696.96</v>
      </c>
      <c r="G27" s="50">
        <f t="shared" si="1"/>
        <v>4737.7969999999996</v>
      </c>
      <c r="H27" s="50">
        <v>4247</v>
      </c>
      <c r="I27" s="113"/>
      <c r="J27" s="113">
        <v>12</v>
      </c>
      <c r="K27" s="113">
        <v>36</v>
      </c>
      <c r="L27" s="113">
        <v>14</v>
      </c>
      <c r="M27" s="113">
        <v>120</v>
      </c>
      <c r="N27" s="113">
        <v>40</v>
      </c>
      <c r="O27" s="113">
        <v>86</v>
      </c>
      <c r="P27" s="113">
        <v>72</v>
      </c>
      <c r="Q27" s="113">
        <v>58</v>
      </c>
      <c r="R27" s="113"/>
      <c r="S27" s="113">
        <v>52.796999999999997</v>
      </c>
      <c r="T27" s="29">
        <f t="shared" si="2"/>
        <v>490.79700000000003</v>
      </c>
      <c r="U27" s="29">
        <f t="shared" si="3"/>
        <v>4737.7970000000005</v>
      </c>
    </row>
    <row r="28" spans="1:21" ht="18.75" customHeight="1">
      <c r="A28" s="40">
        <v>22</v>
      </c>
      <c r="B28" s="22" t="s">
        <v>230</v>
      </c>
      <c r="C28" s="44">
        <v>14</v>
      </c>
      <c r="D28" s="112">
        <v>13</v>
      </c>
      <c r="E28" s="50">
        <v>1896.2609999999997</v>
      </c>
      <c r="F28" s="50">
        <f t="shared" si="4"/>
        <v>295.68</v>
      </c>
      <c r="G28" s="50">
        <f t="shared" si="1"/>
        <v>2191.9409999999998</v>
      </c>
      <c r="H28" s="50">
        <v>1912.8893519999999</v>
      </c>
      <c r="I28" s="113">
        <v>0</v>
      </c>
      <c r="J28" s="113">
        <v>6.4210799999999999</v>
      </c>
      <c r="K28" s="113">
        <v>32</v>
      </c>
      <c r="L28" s="113">
        <v>13.217192000000001</v>
      </c>
      <c r="M28" s="113">
        <v>6</v>
      </c>
      <c r="N28" s="113">
        <v>18</v>
      </c>
      <c r="O28" s="113">
        <v>99.998123000000007</v>
      </c>
      <c r="P28" s="113">
        <v>70.550219999999996</v>
      </c>
      <c r="Q28" s="113">
        <v>23.2</v>
      </c>
      <c r="R28" s="113"/>
      <c r="S28" s="113">
        <v>9.6650329999999993</v>
      </c>
      <c r="T28" s="29">
        <f t="shared" si="2"/>
        <v>279.051648</v>
      </c>
      <c r="U28" s="29">
        <f t="shared" si="3"/>
        <v>2191.9409999999998</v>
      </c>
    </row>
    <row r="29" spans="1:21" ht="18.75" customHeight="1">
      <c r="A29" s="40">
        <v>23</v>
      </c>
      <c r="B29" s="22" t="s">
        <v>237</v>
      </c>
      <c r="C29" s="44">
        <v>39</v>
      </c>
      <c r="D29" s="112">
        <v>39</v>
      </c>
      <c r="E29" s="50">
        <v>4958.2439999999997</v>
      </c>
      <c r="F29" s="50">
        <f t="shared" si="4"/>
        <v>823.68000000000006</v>
      </c>
      <c r="G29" s="50">
        <f t="shared" si="1"/>
        <v>5781.924</v>
      </c>
      <c r="H29" s="50">
        <v>5093</v>
      </c>
      <c r="I29" s="113"/>
      <c r="J29" s="113">
        <v>87</v>
      </c>
      <c r="K29" s="113">
        <v>27</v>
      </c>
      <c r="L29" s="113">
        <v>29</v>
      </c>
      <c r="M29" s="113">
        <v>65</v>
      </c>
      <c r="N29" s="113">
        <v>36</v>
      </c>
      <c r="O29" s="113">
        <v>274</v>
      </c>
      <c r="P29" s="113">
        <v>126</v>
      </c>
      <c r="Q29" s="113">
        <v>34</v>
      </c>
      <c r="R29" s="113"/>
      <c r="S29" s="113">
        <v>10.923999999999999</v>
      </c>
      <c r="T29" s="29">
        <f t="shared" si="2"/>
        <v>688.92399999999998</v>
      </c>
      <c r="U29" s="29">
        <f t="shared" si="3"/>
        <v>5781.924</v>
      </c>
    </row>
    <row r="30" spans="1:21" ht="18.75" customHeight="1">
      <c r="A30" s="40">
        <v>24</v>
      </c>
      <c r="B30" s="22" t="s">
        <v>231</v>
      </c>
      <c r="C30" s="44">
        <v>20</v>
      </c>
      <c r="D30" s="112">
        <v>20</v>
      </c>
      <c r="E30" s="50">
        <v>2806.22</v>
      </c>
      <c r="F30" s="50">
        <f t="shared" si="4"/>
        <v>422.40000000000003</v>
      </c>
      <c r="G30" s="50">
        <f t="shared" si="1"/>
        <v>3228.62</v>
      </c>
      <c r="H30" s="50">
        <v>2806.22</v>
      </c>
      <c r="I30" s="113"/>
      <c r="J30" s="113">
        <v>18.2</v>
      </c>
      <c r="K30" s="113" t="s">
        <v>37</v>
      </c>
      <c r="L30" s="113">
        <v>18</v>
      </c>
      <c r="M30" s="113">
        <v>58.4</v>
      </c>
      <c r="N30" s="113">
        <v>31.2</v>
      </c>
      <c r="O30" s="113">
        <v>92</v>
      </c>
      <c r="P30" s="113">
        <v>42</v>
      </c>
      <c r="Q30" s="113">
        <v>127.6</v>
      </c>
      <c r="R30" s="113"/>
      <c r="S30" s="113">
        <v>35</v>
      </c>
      <c r="T30" s="29">
        <f t="shared" si="2"/>
        <v>422.4</v>
      </c>
      <c r="U30" s="29">
        <f t="shared" si="3"/>
        <v>3228.62</v>
      </c>
    </row>
    <row r="31" spans="1:21" ht="18.75" customHeight="1">
      <c r="A31" s="40">
        <v>25</v>
      </c>
      <c r="B31" s="22" t="s">
        <v>232</v>
      </c>
      <c r="C31" s="44">
        <v>15</v>
      </c>
      <c r="D31" s="112">
        <v>14</v>
      </c>
      <c r="E31" s="50">
        <v>2265.0349999999999</v>
      </c>
      <c r="F31" s="50">
        <f t="shared" si="4"/>
        <v>316.8</v>
      </c>
      <c r="G31" s="50">
        <f t="shared" si="1"/>
        <v>2581.835</v>
      </c>
      <c r="H31" s="50">
        <v>2265.0349999999999</v>
      </c>
      <c r="I31" s="113"/>
      <c r="J31" s="113">
        <v>12</v>
      </c>
      <c r="K31" s="113">
        <v>18.899999999999999</v>
      </c>
      <c r="L31" s="113">
        <v>11.273999999999999</v>
      </c>
      <c r="M31" s="113">
        <v>46</v>
      </c>
      <c r="N31" s="113">
        <v>12</v>
      </c>
      <c r="O31" s="113">
        <v>64.510000000000005</v>
      </c>
      <c r="P31" s="113">
        <v>61.69</v>
      </c>
      <c r="Q31" s="113">
        <v>13.244999999999999</v>
      </c>
      <c r="R31" s="113"/>
      <c r="S31" s="113">
        <v>77.180999999999997</v>
      </c>
      <c r="T31" s="29">
        <f t="shared" si="2"/>
        <v>316.8</v>
      </c>
      <c r="U31" s="29">
        <f t="shared" si="3"/>
        <v>2581.835</v>
      </c>
    </row>
    <row r="32" spans="1:21" ht="18.75" customHeight="1">
      <c r="A32" s="40">
        <v>26</v>
      </c>
      <c r="B32" s="22" t="s">
        <v>233</v>
      </c>
      <c r="C32" s="44">
        <v>16</v>
      </c>
      <c r="D32" s="112">
        <v>16</v>
      </c>
      <c r="E32" s="50">
        <v>2644.576</v>
      </c>
      <c r="F32" s="50">
        <f t="shared" si="4"/>
        <v>337.92</v>
      </c>
      <c r="G32" s="50">
        <f t="shared" si="1"/>
        <v>2982.4960000000001</v>
      </c>
      <c r="H32" s="50">
        <v>2684.576</v>
      </c>
      <c r="I32" s="113">
        <v>24.15</v>
      </c>
      <c r="J32" s="113">
        <v>10</v>
      </c>
      <c r="K32" s="113">
        <v>30.8</v>
      </c>
      <c r="L32" s="113">
        <v>9</v>
      </c>
      <c r="M32" s="113">
        <v>68</v>
      </c>
      <c r="N32" s="113">
        <v>12</v>
      </c>
      <c r="O32" s="113">
        <v>44.5</v>
      </c>
      <c r="P32" s="113">
        <v>13</v>
      </c>
      <c r="Q32" s="113">
        <v>37</v>
      </c>
      <c r="R32" s="113"/>
      <c r="S32" s="113">
        <v>49.47</v>
      </c>
      <c r="T32" s="29">
        <f t="shared" si="2"/>
        <v>297.91999999999996</v>
      </c>
      <c r="U32" s="29">
        <f t="shared" si="3"/>
        <v>2982.4960000000001</v>
      </c>
    </row>
    <row r="33" spans="1:21" ht="18.75" customHeight="1">
      <c r="A33" s="40">
        <v>27</v>
      </c>
      <c r="B33" s="22" t="s">
        <v>234</v>
      </c>
      <c r="C33" s="44">
        <v>15</v>
      </c>
      <c r="D33" s="112">
        <v>15</v>
      </c>
      <c r="E33" s="50">
        <v>2329.6559999999999</v>
      </c>
      <c r="F33" s="50">
        <f t="shared" si="4"/>
        <v>316.8</v>
      </c>
      <c r="G33" s="50">
        <f t="shared" si="1"/>
        <v>2646.4560000000001</v>
      </c>
      <c r="H33" s="50">
        <v>2329.6559999999999</v>
      </c>
      <c r="I33" s="113"/>
      <c r="J33" s="113">
        <v>6.1540489999999997</v>
      </c>
      <c r="K33" s="113">
        <v>10.47</v>
      </c>
      <c r="L33" s="113">
        <v>7.5795029999999999</v>
      </c>
      <c r="M33" s="113">
        <v>49.454000000000001</v>
      </c>
      <c r="N33" s="113">
        <v>18</v>
      </c>
      <c r="O33" s="113">
        <v>15.013999999999999</v>
      </c>
      <c r="P33" s="113"/>
      <c r="Q33" s="113">
        <v>14.836600000000001</v>
      </c>
      <c r="R33" s="113"/>
      <c r="S33" s="113">
        <v>195.29184799999999</v>
      </c>
      <c r="T33" s="29">
        <f t="shared" si="2"/>
        <v>316.79999999999995</v>
      </c>
      <c r="U33" s="29">
        <f t="shared" si="3"/>
        <v>2646.4560000000001</v>
      </c>
    </row>
    <row r="34" spans="1:21" ht="18.75" customHeight="1">
      <c r="A34" s="40">
        <v>28</v>
      </c>
      <c r="B34" s="22" t="s">
        <v>235</v>
      </c>
      <c r="C34" s="44">
        <v>32</v>
      </c>
      <c r="D34" s="112">
        <v>31</v>
      </c>
      <c r="E34" s="50">
        <v>3737.3620000000001</v>
      </c>
      <c r="F34" s="50">
        <f t="shared" si="4"/>
        <v>675.84</v>
      </c>
      <c r="G34" s="50">
        <f t="shared" si="1"/>
        <v>4413.2020000000002</v>
      </c>
      <c r="H34" s="37">
        <v>3755.3620000000001</v>
      </c>
      <c r="I34" s="114">
        <v>88.84</v>
      </c>
      <c r="J34" s="114">
        <v>18</v>
      </c>
      <c r="K34" s="114">
        <v>25</v>
      </c>
      <c r="L34" s="114">
        <v>25.4</v>
      </c>
      <c r="M34" s="114">
        <v>85</v>
      </c>
      <c r="N34" s="114">
        <v>62</v>
      </c>
      <c r="O34" s="114">
        <v>100</v>
      </c>
      <c r="P34" s="114">
        <v>90</v>
      </c>
      <c r="Q34" s="114">
        <v>80</v>
      </c>
      <c r="R34" s="113"/>
      <c r="S34" s="114">
        <v>83.6</v>
      </c>
      <c r="T34" s="29">
        <f t="shared" si="2"/>
        <v>657.84</v>
      </c>
      <c r="U34" s="29">
        <f t="shared" si="3"/>
        <v>4413.2020000000002</v>
      </c>
    </row>
    <row r="35" spans="1:21" ht="18.75" customHeight="1">
      <c r="A35" s="40">
        <v>29</v>
      </c>
      <c r="B35" s="22" t="s">
        <v>236</v>
      </c>
      <c r="C35" s="44">
        <v>50</v>
      </c>
      <c r="D35" s="112">
        <v>43</v>
      </c>
      <c r="E35" s="50">
        <v>5490.6750000000002</v>
      </c>
      <c r="F35" s="50">
        <f t="shared" si="4"/>
        <v>1056</v>
      </c>
      <c r="G35" s="50">
        <f t="shared" si="1"/>
        <v>6546.6750000000002</v>
      </c>
      <c r="H35" s="50">
        <v>5375.5550000000003</v>
      </c>
      <c r="I35" s="113"/>
      <c r="J35" s="113">
        <v>18</v>
      </c>
      <c r="K35" s="113">
        <v>51</v>
      </c>
      <c r="L35" s="113">
        <v>7</v>
      </c>
      <c r="M35" s="113">
        <v>120</v>
      </c>
      <c r="N35" s="113">
        <v>53</v>
      </c>
      <c r="O35" s="113">
        <v>283.18</v>
      </c>
      <c r="P35" s="113">
        <v>37</v>
      </c>
      <c r="Q35" s="113">
        <v>377.98</v>
      </c>
      <c r="R35" s="113"/>
      <c r="S35" s="113">
        <v>223.96</v>
      </c>
      <c r="T35" s="29">
        <f t="shared" si="2"/>
        <v>1171.1200000000001</v>
      </c>
      <c r="U35" s="29">
        <f t="shared" si="3"/>
        <v>6546.6750000000002</v>
      </c>
    </row>
    <row r="36" spans="1:21" ht="18.75" customHeight="1">
      <c r="A36" s="40">
        <v>30</v>
      </c>
      <c r="B36" s="22" t="s">
        <v>238</v>
      </c>
      <c r="C36" s="44">
        <v>13</v>
      </c>
      <c r="D36" s="40">
        <v>12</v>
      </c>
      <c r="E36" s="50">
        <v>1666.6410000000001</v>
      </c>
      <c r="F36" s="50">
        <f t="shared" si="4"/>
        <v>274.56</v>
      </c>
      <c r="G36" s="50">
        <f t="shared" si="1"/>
        <v>1941.201</v>
      </c>
      <c r="H36" s="37">
        <v>1717.6769999999999</v>
      </c>
      <c r="I36" s="114">
        <v>14</v>
      </c>
      <c r="J36" s="114">
        <v>9.0055999999999994</v>
      </c>
      <c r="K36" s="114">
        <v>9.4499999999999993</v>
      </c>
      <c r="L36" s="114">
        <v>15.494400000000001</v>
      </c>
      <c r="M36" s="114">
        <v>45</v>
      </c>
      <c r="N36" s="114">
        <v>15.6</v>
      </c>
      <c r="O36" s="114">
        <v>34.823999999999998</v>
      </c>
      <c r="P36" s="114">
        <v>19</v>
      </c>
      <c r="Q36" s="114">
        <v>31.1</v>
      </c>
      <c r="R36" s="114"/>
      <c r="S36" s="114">
        <v>30.05</v>
      </c>
      <c r="T36" s="29">
        <f t="shared" si="2"/>
        <v>223.524</v>
      </c>
      <c r="U36" s="29">
        <f t="shared" si="3"/>
        <v>1941.201</v>
      </c>
    </row>
    <row r="37" spans="1:21" ht="18.75" customHeight="1">
      <c r="A37" s="40">
        <v>31</v>
      </c>
      <c r="B37" s="22" t="s">
        <v>239</v>
      </c>
      <c r="C37" s="44">
        <v>18</v>
      </c>
      <c r="D37" s="40">
        <v>17</v>
      </c>
      <c r="E37" s="50">
        <v>2654.4210000000003</v>
      </c>
      <c r="F37" s="50">
        <f t="shared" si="4"/>
        <v>380.16</v>
      </c>
      <c r="G37" s="50">
        <f t="shared" si="1"/>
        <v>3034.5810000000001</v>
      </c>
      <c r="H37" s="37">
        <v>2654.4209999999998</v>
      </c>
      <c r="I37" s="114"/>
      <c r="J37" s="114">
        <v>8</v>
      </c>
      <c r="K37" s="114">
        <v>14.33</v>
      </c>
      <c r="L37" s="114">
        <v>13.3</v>
      </c>
      <c r="M37" s="114">
        <v>75</v>
      </c>
      <c r="N37" s="114">
        <v>21</v>
      </c>
      <c r="O37" s="114" t="s">
        <v>38</v>
      </c>
      <c r="P37" s="114">
        <v>62</v>
      </c>
      <c r="Q37" s="114">
        <v>151.03</v>
      </c>
      <c r="R37" s="114"/>
      <c r="S37" s="114">
        <v>35.5</v>
      </c>
      <c r="T37" s="29">
        <f t="shared" si="2"/>
        <v>380.15999999999997</v>
      </c>
      <c r="U37" s="29">
        <f t="shared" si="3"/>
        <v>3034.5809999999997</v>
      </c>
    </row>
    <row r="38" spans="1:21" ht="18.75" customHeight="1">
      <c r="A38" s="40">
        <v>32</v>
      </c>
      <c r="B38" s="110" t="s">
        <v>22</v>
      </c>
      <c r="C38" s="31">
        <v>15</v>
      </c>
      <c r="D38" s="40">
        <v>15</v>
      </c>
      <c r="E38" s="50">
        <v>2058.5339999999997</v>
      </c>
      <c r="F38" s="50">
        <f t="shared" si="4"/>
        <v>316.8</v>
      </c>
      <c r="G38" s="50">
        <f t="shared" si="1"/>
        <v>2375.3339999999998</v>
      </c>
      <c r="H38" s="37">
        <v>2058.5340000000001</v>
      </c>
      <c r="I38" s="114"/>
      <c r="J38" s="114">
        <v>15.12</v>
      </c>
      <c r="K38" s="114">
        <v>14.75</v>
      </c>
      <c r="L38" s="114">
        <v>14.25</v>
      </c>
      <c r="M38" s="114">
        <v>30.5</v>
      </c>
      <c r="N38" s="114">
        <v>30.5</v>
      </c>
      <c r="O38" s="114">
        <v>47.75</v>
      </c>
      <c r="P38" s="114">
        <v>48.14</v>
      </c>
      <c r="Q38" s="114">
        <v>45.25</v>
      </c>
      <c r="R38" s="114"/>
      <c r="S38" s="114">
        <v>70.540000000000006</v>
      </c>
      <c r="T38" s="29">
        <f t="shared" si="2"/>
        <v>316.8</v>
      </c>
      <c r="U38" s="29">
        <f t="shared" si="3"/>
        <v>2375.3340000000003</v>
      </c>
    </row>
    <row r="39" spans="1:21" ht="18.75" customHeight="1">
      <c r="A39" s="40">
        <v>33</v>
      </c>
      <c r="B39" s="110" t="s">
        <v>23</v>
      </c>
      <c r="C39" s="31">
        <v>28</v>
      </c>
      <c r="D39" s="40">
        <v>26</v>
      </c>
      <c r="E39" s="50">
        <v>3560.7319999999995</v>
      </c>
      <c r="F39" s="50">
        <f t="shared" si="4"/>
        <v>591.36</v>
      </c>
      <c r="G39" s="50">
        <f t="shared" si="1"/>
        <v>4152.0919999999996</v>
      </c>
      <c r="H39" s="37">
        <v>3636</v>
      </c>
      <c r="I39" s="114"/>
      <c r="J39" s="114">
        <v>50</v>
      </c>
      <c r="K39" s="114">
        <v>24</v>
      </c>
      <c r="L39" s="114">
        <v>10</v>
      </c>
      <c r="M39" s="114">
        <v>30</v>
      </c>
      <c r="N39" s="114">
        <v>36</v>
      </c>
      <c r="O39" s="114">
        <v>37</v>
      </c>
      <c r="P39" s="114">
        <v>102</v>
      </c>
      <c r="Q39" s="114">
        <v>107</v>
      </c>
      <c r="R39" s="114"/>
      <c r="S39" s="114">
        <v>120.092</v>
      </c>
      <c r="T39" s="29">
        <f t="shared" si="2"/>
        <v>516.09199999999998</v>
      </c>
      <c r="U39" s="29">
        <f t="shared" si="3"/>
        <v>4152.0919999999996</v>
      </c>
    </row>
    <row r="40" spans="1:21" ht="18.75" customHeight="1">
      <c r="A40" s="40">
        <v>34</v>
      </c>
      <c r="B40" s="110" t="s">
        <v>24</v>
      </c>
      <c r="C40" s="31">
        <v>20</v>
      </c>
      <c r="D40" s="40">
        <v>19</v>
      </c>
      <c r="E40" s="50">
        <v>2353.2049999999999</v>
      </c>
      <c r="F40" s="50">
        <f t="shared" si="4"/>
        <v>422.40000000000003</v>
      </c>
      <c r="G40" s="50">
        <f t="shared" si="1"/>
        <v>2775.605</v>
      </c>
      <c r="H40" s="37">
        <v>2353.2049999999999</v>
      </c>
      <c r="I40" s="114">
        <v>64.242999999999995</v>
      </c>
      <c r="J40" s="114">
        <v>23</v>
      </c>
      <c r="K40" s="114">
        <v>19</v>
      </c>
      <c r="L40" s="114">
        <v>32.9</v>
      </c>
      <c r="M40" s="114">
        <v>55</v>
      </c>
      <c r="N40" s="114">
        <v>42</v>
      </c>
      <c r="O40" s="114">
        <v>55</v>
      </c>
      <c r="P40" s="114"/>
      <c r="Q40" s="114">
        <v>96.816999999999993</v>
      </c>
      <c r="R40" s="114"/>
      <c r="S40" s="114">
        <v>34.44</v>
      </c>
      <c r="T40" s="29">
        <f t="shared" si="2"/>
        <v>422.40000000000003</v>
      </c>
      <c r="U40" s="29">
        <f t="shared" si="3"/>
        <v>2775.605</v>
      </c>
    </row>
    <row r="41" spans="1:21" ht="18.75" customHeight="1">
      <c r="A41" s="40">
        <v>35</v>
      </c>
      <c r="B41" s="110" t="s">
        <v>25</v>
      </c>
      <c r="C41" s="31">
        <v>18</v>
      </c>
      <c r="D41" s="40">
        <v>18</v>
      </c>
      <c r="E41" s="50">
        <v>1780.6499999999999</v>
      </c>
      <c r="F41" s="50">
        <f t="shared" si="4"/>
        <v>380.16</v>
      </c>
      <c r="G41" s="50">
        <f t="shared" si="1"/>
        <v>2160.81</v>
      </c>
      <c r="H41" s="37">
        <v>1780.65</v>
      </c>
      <c r="I41" s="114"/>
      <c r="J41" s="114">
        <v>7.0170570000000003</v>
      </c>
      <c r="K41" s="114">
        <v>14.72</v>
      </c>
      <c r="L41" s="114">
        <v>6.0369000000000002</v>
      </c>
      <c r="M41" s="114">
        <v>65.548000000000002</v>
      </c>
      <c r="N41" s="114">
        <v>30</v>
      </c>
      <c r="O41" s="114">
        <v>21.195</v>
      </c>
      <c r="P41" s="114"/>
      <c r="Q41" s="114">
        <v>24.18882</v>
      </c>
      <c r="R41" s="114"/>
      <c r="S41" s="114">
        <v>211.45422300000001</v>
      </c>
      <c r="T41" s="29">
        <f t="shared" si="2"/>
        <v>380.15999999999997</v>
      </c>
      <c r="U41" s="29">
        <f t="shared" si="3"/>
        <v>2160.81</v>
      </c>
    </row>
    <row r="42" spans="1:21" ht="18.75" customHeight="1">
      <c r="A42" s="40">
        <v>36</v>
      </c>
      <c r="B42" s="110" t="s">
        <v>26</v>
      </c>
      <c r="C42" s="31">
        <v>17</v>
      </c>
      <c r="D42" s="40">
        <v>16</v>
      </c>
      <c r="E42" s="50">
        <v>1804.2200000000003</v>
      </c>
      <c r="F42" s="50">
        <f t="shared" si="4"/>
        <v>359.04</v>
      </c>
      <c r="G42" s="50">
        <f t="shared" si="1"/>
        <v>2163.2600000000002</v>
      </c>
      <c r="H42" s="37">
        <v>1817.22</v>
      </c>
      <c r="I42" s="114">
        <v>29</v>
      </c>
      <c r="J42" s="114">
        <v>9.6</v>
      </c>
      <c r="K42" s="114">
        <v>14</v>
      </c>
      <c r="L42" s="114">
        <v>15.8</v>
      </c>
      <c r="M42" s="114">
        <v>85</v>
      </c>
      <c r="N42" s="114">
        <v>32</v>
      </c>
      <c r="O42" s="114">
        <v>31</v>
      </c>
      <c r="P42" s="114">
        <v>44</v>
      </c>
      <c r="Q42" s="114">
        <v>53.4</v>
      </c>
      <c r="R42" s="114"/>
      <c r="S42" s="114">
        <v>32.24</v>
      </c>
      <c r="T42" s="29">
        <f t="shared" si="2"/>
        <v>346.03999999999996</v>
      </c>
      <c r="U42" s="29">
        <f t="shared" si="3"/>
        <v>2163.2600000000002</v>
      </c>
    </row>
    <row r="43" spans="1:21" ht="18.75" customHeight="1">
      <c r="A43" s="40">
        <v>37</v>
      </c>
      <c r="B43" s="110" t="s">
        <v>27</v>
      </c>
      <c r="C43" s="31">
        <v>25</v>
      </c>
      <c r="D43" s="40">
        <v>21</v>
      </c>
      <c r="E43" s="50">
        <v>3230.0140000000001</v>
      </c>
      <c r="F43" s="50">
        <v>489.28</v>
      </c>
      <c r="G43" s="50">
        <f t="shared" si="1"/>
        <v>3719.2939999999999</v>
      </c>
      <c r="H43" s="37">
        <v>3276.694</v>
      </c>
      <c r="I43" s="114"/>
      <c r="J43" s="114">
        <v>20</v>
      </c>
      <c r="K43" s="114">
        <v>15.57</v>
      </c>
      <c r="L43" s="114">
        <v>9.6999999999999993</v>
      </c>
      <c r="M43" s="114">
        <v>75</v>
      </c>
      <c r="N43" s="114">
        <v>42</v>
      </c>
      <c r="O43" s="114">
        <v>74</v>
      </c>
      <c r="P43" s="114">
        <v>73</v>
      </c>
      <c r="Q43" s="114">
        <v>72.89</v>
      </c>
      <c r="R43" s="114"/>
      <c r="S43" s="114">
        <v>60.44</v>
      </c>
      <c r="T43" s="29">
        <f t="shared" si="2"/>
        <v>442.59999999999997</v>
      </c>
      <c r="U43" s="29">
        <f t="shared" si="3"/>
        <v>3719.2939999999999</v>
      </c>
    </row>
    <row r="44" spans="1:21" ht="18.75" customHeight="1">
      <c r="A44" s="40">
        <v>38</v>
      </c>
      <c r="B44" s="22" t="s">
        <v>21</v>
      </c>
      <c r="C44" s="44">
        <v>24</v>
      </c>
      <c r="D44" s="112">
        <v>24</v>
      </c>
      <c r="E44" s="50">
        <v>3563.2289999999998</v>
      </c>
      <c r="F44" s="50">
        <f>C44*21.12</f>
        <v>506.88</v>
      </c>
      <c r="G44" s="50">
        <f t="shared" si="1"/>
        <v>4070.1089999999999</v>
      </c>
      <c r="H44" s="50">
        <v>3563.2289999999998</v>
      </c>
      <c r="I44" s="113"/>
      <c r="J44" s="113">
        <v>29.344999999999999</v>
      </c>
      <c r="K44" s="113">
        <v>30.425000000000001</v>
      </c>
      <c r="L44" s="113">
        <v>45.23</v>
      </c>
      <c r="M44" s="113">
        <v>65.36</v>
      </c>
      <c r="N44" s="113">
        <v>44.5</v>
      </c>
      <c r="O44" s="113">
        <v>45.25</v>
      </c>
      <c r="P44" s="113">
        <v>89.87</v>
      </c>
      <c r="Q44" s="113">
        <v>63.25</v>
      </c>
      <c r="R44" s="113"/>
      <c r="S44" s="113">
        <v>93.65</v>
      </c>
      <c r="T44" s="29">
        <f t="shared" si="2"/>
        <v>506.88</v>
      </c>
      <c r="U44" s="29">
        <f t="shared" si="3"/>
        <v>4070.1089999999999</v>
      </c>
    </row>
    <row r="45" spans="1:21" ht="18.75" customHeight="1">
      <c r="A45" s="40">
        <v>39</v>
      </c>
      <c r="B45" s="110" t="s">
        <v>28</v>
      </c>
      <c r="C45" s="31">
        <v>37</v>
      </c>
      <c r="D45" s="40">
        <v>37</v>
      </c>
      <c r="E45" s="50">
        <v>4899.8890000000001</v>
      </c>
      <c r="F45" s="50">
        <v>661.76</v>
      </c>
      <c r="G45" s="50">
        <f t="shared" si="1"/>
        <v>5561.6490000000003</v>
      </c>
      <c r="H45" s="37">
        <f>4899.8+15</f>
        <v>4914.8</v>
      </c>
      <c r="I45" s="114">
        <f>176.2-15</f>
        <v>161.19999999999999</v>
      </c>
      <c r="J45" s="114">
        <v>9</v>
      </c>
      <c r="K45" s="114">
        <v>20</v>
      </c>
      <c r="L45" s="114">
        <v>18.899999999999999</v>
      </c>
      <c r="M45" s="114">
        <v>42</v>
      </c>
      <c r="N45" s="114">
        <v>2</v>
      </c>
      <c r="O45" s="114">
        <v>46</v>
      </c>
      <c r="P45" s="114">
        <v>157.5</v>
      </c>
      <c r="Q45" s="114">
        <v>180</v>
      </c>
      <c r="R45" s="114"/>
      <c r="S45" s="114">
        <v>10.249000000000001</v>
      </c>
      <c r="T45" s="29">
        <f t="shared" si="2"/>
        <v>646.84900000000005</v>
      </c>
      <c r="U45" s="29">
        <f t="shared" si="3"/>
        <v>5561.6490000000003</v>
      </c>
    </row>
    <row r="46" spans="1:21" ht="18.75" customHeight="1">
      <c r="A46" s="40">
        <v>40</v>
      </c>
      <c r="B46" s="110" t="s">
        <v>29</v>
      </c>
      <c r="C46" s="44">
        <v>28</v>
      </c>
      <c r="D46" s="40">
        <v>28</v>
      </c>
      <c r="E46" s="50">
        <v>3847.8110000000001</v>
      </c>
      <c r="F46" s="50">
        <f t="shared" ref="F46:F53" si="5">C46*21.12</f>
        <v>591.36</v>
      </c>
      <c r="G46" s="50">
        <f t="shared" si="1"/>
        <v>4439.1710000000003</v>
      </c>
      <c r="H46" s="37">
        <v>3848</v>
      </c>
      <c r="I46" s="114">
        <v>38</v>
      </c>
      <c r="J46" s="114">
        <v>15</v>
      </c>
      <c r="K46" s="114">
        <v>62</v>
      </c>
      <c r="L46" s="114">
        <v>12</v>
      </c>
      <c r="M46" s="114">
        <v>120</v>
      </c>
      <c r="N46" s="114">
        <v>47</v>
      </c>
      <c r="O46" s="114">
        <v>95</v>
      </c>
      <c r="P46" s="114"/>
      <c r="Q46" s="114">
        <v>139</v>
      </c>
      <c r="R46" s="114"/>
      <c r="S46" s="114">
        <v>63.170999999999999</v>
      </c>
      <c r="T46" s="29">
        <f t="shared" si="2"/>
        <v>591.17100000000005</v>
      </c>
      <c r="U46" s="29">
        <f t="shared" si="3"/>
        <v>4439.1710000000003</v>
      </c>
    </row>
    <row r="47" spans="1:21" ht="18.75" customHeight="1">
      <c r="A47" s="40">
        <v>41</v>
      </c>
      <c r="B47" s="110" t="s">
        <v>30</v>
      </c>
      <c r="C47" s="44">
        <v>32</v>
      </c>
      <c r="D47" s="40">
        <v>31</v>
      </c>
      <c r="E47" s="50">
        <v>4529.5909999999994</v>
      </c>
      <c r="F47" s="50">
        <f t="shared" si="5"/>
        <v>675.84</v>
      </c>
      <c r="G47" s="50">
        <f t="shared" si="1"/>
        <v>5205.4309999999996</v>
      </c>
      <c r="H47" s="37">
        <v>4529.5910000000003</v>
      </c>
      <c r="I47" s="114">
        <v>36</v>
      </c>
      <c r="J47" s="114">
        <v>16</v>
      </c>
      <c r="K47" s="114">
        <v>21.3</v>
      </c>
      <c r="L47" s="114">
        <v>15</v>
      </c>
      <c r="M47" s="114">
        <v>56</v>
      </c>
      <c r="N47" s="114">
        <v>40.799999999999997</v>
      </c>
      <c r="O47" s="114">
        <v>30</v>
      </c>
      <c r="P47" s="114">
        <v>70</v>
      </c>
      <c r="Q47" s="114">
        <v>80.5</v>
      </c>
      <c r="R47" s="114"/>
      <c r="S47" s="114">
        <v>310.24</v>
      </c>
      <c r="T47" s="29">
        <f t="shared" si="2"/>
        <v>675.84</v>
      </c>
      <c r="U47" s="29">
        <f t="shared" si="3"/>
        <v>5205.4310000000005</v>
      </c>
    </row>
    <row r="48" spans="1:21" ht="18.75" customHeight="1">
      <c r="A48" s="40">
        <v>42</v>
      </c>
      <c r="B48" s="110" t="s">
        <v>31</v>
      </c>
      <c r="C48" s="44">
        <v>24</v>
      </c>
      <c r="D48" s="40">
        <v>24</v>
      </c>
      <c r="E48" s="50">
        <v>3965.8310000000001</v>
      </c>
      <c r="F48" s="50">
        <f t="shared" si="5"/>
        <v>506.88</v>
      </c>
      <c r="G48" s="50">
        <f t="shared" si="1"/>
        <v>4472.7110000000002</v>
      </c>
      <c r="H48" s="37">
        <v>3965.8310000000001</v>
      </c>
      <c r="I48" s="114">
        <v>25</v>
      </c>
      <c r="J48" s="114">
        <v>22</v>
      </c>
      <c r="K48" s="114">
        <v>22.5</v>
      </c>
      <c r="L48" s="114">
        <v>14</v>
      </c>
      <c r="M48" s="114">
        <v>120</v>
      </c>
      <c r="N48" s="114">
        <v>41.4</v>
      </c>
      <c r="O48" s="114">
        <v>58.5</v>
      </c>
      <c r="P48" s="114">
        <v>50</v>
      </c>
      <c r="Q48" s="114">
        <v>131.92099999999999</v>
      </c>
      <c r="R48" s="114"/>
      <c r="S48" s="114">
        <v>21.559000000000001</v>
      </c>
      <c r="T48" s="29">
        <f t="shared" si="2"/>
        <v>506.88</v>
      </c>
      <c r="U48" s="29">
        <f t="shared" si="3"/>
        <v>4472.7110000000002</v>
      </c>
    </row>
    <row r="49" spans="1:21" ht="18.75" customHeight="1">
      <c r="A49" s="40">
        <v>43</v>
      </c>
      <c r="B49" s="110" t="s">
        <v>32</v>
      </c>
      <c r="C49" s="44">
        <v>22</v>
      </c>
      <c r="D49" s="40">
        <v>22</v>
      </c>
      <c r="E49" s="50">
        <v>3724.886</v>
      </c>
      <c r="F49" s="50">
        <f t="shared" si="5"/>
        <v>464.64000000000004</v>
      </c>
      <c r="G49" s="50">
        <f t="shared" si="1"/>
        <v>4189.5259999999998</v>
      </c>
      <c r="H49" s="37">
        <v>3749.886</v>
      </c>
      <c r="I49" s="114"/>
      <c r="J49" s="114">
        <v>13.625999999999999</v>
      </c>
      <c r="K49" s="114">
        <v>56.4</v>
      </c>
      <c r="L49" s="114">
        <v>17.75</v>
      </c>
      <c r="M49" s="114">
        <v>70</v>
      </c>
      <c r="N49" s="114">
        <v>21.6</v>
      </c>
      <c r="O49" s="114">
        <v>95</v>
      </c>
      <c r="P49" s="114">
        <v>20</v>
      </c>
      <c r="Q49" s="114">
        <v>61.564</v>
      </c>
      <c r="R49" s="114"/>
      <c r="S49" s="114">
        <v>83.7</v>
      </c>
      <c r="T49" s="29">
        <f t="shared" si="2"/>
        <v>439.64</v>
      </c>
      <c r="U49" s="29">
        <f t="shared" si="3"/>
        <v>4189.5259999999998</v>
      </c>
    </row>
    <row r="50" spans="1:21" ht="18.75" customHeight="1">
      <c r="A50" s="40">
        <v>44</v>
      </c>
      <c r="B50" s="110" t="s">
        <v>33</v>
      </c>
      <c r="C50" s="44">
        <v>26</v>
      </c>
      <c r="D50" s="40">
        <v>25</v>
      </c>
      <c r="E50" s="50">
        <v>3523.1489999999999</v>
      </c>
      <c r="F50" s="50">
        <f t="shared" si="5"/>
        <v>549.12</v>
      </c>
      <c r="G50" s="50">
        <f t="shared" si="1"/>
        <v>4072.2689999999998</v>
      </c>
      <c r="H50" s="37">
        <v>3584.63</v>
      </c>
      <c r="I50" s="114"/>
      <c r="J50" s="114">
        <v>11.032529</v>
      </c>
      <c r="K50" s="114">
        <v>24.05</v>
      </c>
      <c r="L50" s="114">
        <v>9.9144000000000005</v>
      </c>
      <c r="M50" s="114">
        <v>126.117</v>
      </c>
      <c r="N50" s="114">
        <v>43.2</v>
      </c>
      <c r="O50" s="114">
        <v>100.1</v>
      </c>
      <c r="P50" s="114">
        <v>28</v>
      </c>
      <c r="Q50" s="114">
        <v>86.300071000000003</v>
      </c>
      <c r="R50" s="114"/>
      <c r="S50" s="114">
        <v>58.924999999999997</v>
      </c>
      <c r="T50" s="29">
        <f t="shared" si="2"/>
        <v>487.63900000000007</v>
      </c>
      <c r="U50" s="29">
        <f t="shared" si="3"/>
        <v>4072.2690000000002</v>
      </c>
    </row>
    <row r="51" spans="1:21" ht="18.75" customHeight="1">
      <c r="A51" s="40">
        <v>45</v>
      </c>
      <c r="B51" s="110" t="s">
        <v>34</v>
      </c>
      <c r="C51" s="44">
        <v>22</v>
      </c>
      <c r="D51" s="40">
        <v>21</v>
      </c>
      <c r="E51" s="50">
        <v>3147.6280000000002</v>
      </c>
      <c r="F51" s="50">
        <f t="shared" si="5"/>
        <v>464.64000000000004</v>
      </c>
      <c r="G51" s="50">
        <f t="shared" si="1"/>
        <v>3612.268</v>
      </c>
      <c r="H51" s="37">
        <v>3147.6280000000002</v>
      </c>
      <c r="I51" s="114"/>
      <c r="J51" s="114">
        <v>25</v>
      </c>
      <c r="K51" s="114">
        <v>18</v>
      </c>
      <c r="L51" s="114">
        <v>2.2734230000000002</v>
      </c>
      <c r="M51" s="114" t="s">
        <v>39</v>
      </c>
      <c r="N51" s="114">
        <v>36</v>
      </c>
      <c r="O51" s="114">
        <v>67.599999999999994</v>
      </c>
      <c r="P51" s="114">
        <v>29.736000000000001</v>
      </c>
      <c r="Q51" s="114">
        <v>40</v>
      </c>
      <c r="R51" s="114"/>
      <c r="S51" s="114">
        <v>246.03057699999999</v>
      </c>
      <c r="T51" s="29">
        <f t="shared" si="2"/>
        <v>464.64</v>
      </c>
      <c r="U51" s="29">
        <f t="shared" si="3"/>
        <v>3612.268</v>
      </c>
    </row>
    <row r="52" spans="1:21" ht="18.75" customHeight="1">
      <c r="A52" s="40">
        <v>46</v>
      </c>
      <c r="B52" s="22" t="s">
        <v>35</v>
      </c>
      <c r="C52" s="44">
        <v>25</v>
      </c>
      <c r="D52" s="40">
        <v>22</v>
      </c>
      <c r="E52" s="50">
        <v>3031.6</v>
      </c>
      <c r="F52" s="50">
        <f t="shared" si="5"/>
        <v>528</v>
      </c>
      <c r="G52" s="50">
        <f t="shared" si="1"/>
        <v>3559.6</v>
      </c>
      <c r="H52" s="37">
        <v>3031.6</v>
      </c>
      <c r="I52" s="114"/>
      <c r="J52" s="114">
        <v>20</v>
      </c>
      <c r="K52" s="114">
        <v>32</v>
      </c>
      <c r="L52" s="114">
        <v>8.5</v>
      </c>
      <c r="M52" s="114">
        <v>120</v>
      </c>
      <c r="N52" s="114">
        <v>36</v>
      </c>
      <c r="O52" s="114">
        <v>100</v>
      </c>
      <c r="P52" s="114">
        <v>50</v>
      </c>
      <c r="Q52" s="114">
        <v>55.5</v>
      </c>
      <c r="R52" s="114"/>
      <c r="S52" s="114">
        <v>106</v>
      </c>
      <c r="T52" s="29">
        <f t="shared" si="2"/>
        <v>528</v>
      </c>
      <c r="U52" s="29">
        <f t="shared" si="3"/>
        <v>3559.6</v>
      </c>
    </row>
    <row r="53" spans="1:21" ht="18.75" customHeight="1">
      <c r="A53" s="40">
        <v>47</v>
      </c>
      <c r="B53" s="22" t="s">
        <v>36</v>
      </c>
      <c r="C53" s="31">
        <v>29</v>
      </c>
      <c r="D53" s="40">
        <v>28</v>
      </c>
      <c r="E53" s="50">
        <v>3783.154</v>
      </c>
      <c r="F53" s="50">
        <f t="shared" si="5"/>
        <v>612.48</v>
      </c>
      <c r="G53" s="50">
        <f t="shared" si="1"/>
        <v>4395.634</v>
      </c>
      <c r="H53" s="37">
        <v>3783.154</v>
      </c>
      <c r="I53" s="114"/>
      <c r="J53" s="114">
        <v>26.4</v>
      </c>
      <c r="K53" s="114">
        <v>20</v>
      </c>
      <c r="L53" s="114">
        <v>21.2</v>
      </c>
      <c r="M53" s="114">
        <v>110</v>
      </c>
      <c r="N53" s="114">
        <v>38.4</v>
      </c>
      <c r="O53" s="114">
        <v>30</v>
      </c>
      <c r="P53" s="114">
        <v>90</v>
      </c>
      <c r="Q53" s="114">
        <v>214.28</v>
      </c>
      <c r="R53" s="114"/>
      <c r="S53" s="114">
        <v>62.2</v>
      </c>
      <c r="T53" s="29">
        <f t="shared" si="2"/>
        <v>612.48</v>
      </c>
      <c r="U53" s="29">
        <f t="shared" si="3"/>
        <v>4395.634</v>
      </c>
    </row>
    <row r="54" spans="1:21" s="35" customFormat="1" ht="18.75" customHeight="1">
      <c r="A54" s="158" t="s">
        <v>19</v>
      </c>
      <c r="B54" s="158"/>
      <c r="C54" s="33">
        <f>SUM(C7:C53)</f>
        <v>961</v>
      </c>
      <c r="D54" s="33">
        <f t="shared" ref="D54:U54" si="6">SUM(D7:D53)</f>
        <v>929</v>
      </c>
      <c r="E54" s="33">
        <f>SUM(E7:E53)</f>
        <v>123188.80700000002</v>
      </c>
      <c r="F54" s="33">
        <f>SUM(F7:F53)</f>
        <v>19870.399999999998</v>
      </c>
      <c r="G54" s="33">
        <f>SUM(G7:G53)</f>
        <v>143059.20699999999</v>
      </c>
      <c r="H54" s="33">
        <f t="shared" si="6"/>
        <v>124048.24708400002</v>
      </c>
      <c r="I54" s="33">
        <f t="shared" si="6"/>
        <v>729.55</v>
      </c>
      <c r="J54" s="33">
        <f t="shared" si="6"/>
        <v>789.17809399999999</v>
      </c>
      <c r="K54" s="33">
        <f t="shared" si="6"/>
        <v>973.66601000000003</v>
      </c>
      <c r="L54" s="33">
        <f t="shared" si="6"/>
        <v>601.594337</v>
      </c>
      <c r="M54" s="33">
        <f t="shared" si="6"/>
        <v>2420.0459999999998</v>
      </c>
      <c r="N54" s="33">
        <f t="shared" si="6"/>
        <v>1271.2780000000002</v>
      </c>
      <c r="O54" s="33">
        <f t="shared" si="6"/>
        <v>3079.5631229999999</v>
      </c>
      <c r="P54" s="33">
        <f t="shared" si="6"/>
        <v>2221.2792199999999</v>
      </c>
      <c r="Q54" s="33">
        <f t="shared" si="6"/>
        <v>3352.6875909999994</v>
      </c>
      <c r="R54" s="33">
        <f t="shared" si="6"/>
        <v>0</v>
      </c>
      <c r="S54" s="33">
        <f t="shared" si="6"/>
        <v>3572.1175410000001</v>
      </c>
      <c r="T54" s="33">
        <f t="shared" si="6"/>
        <v>19010.959915999996</v>
      </c>
      <c r="U54" s="33">
        <f t="shared" si="6"/>
        <v>143059.20699999999</v>
      </c>
    </row>
    <row r="55" spans="1:21" ht="18.75" customHeight="1">
      <c r="A55" s="17"/>
    </row>
    <row r="56" spans="1:21">
      <c r="A56" s="17"/>
    </row>
    <row r="57" spans="1:21">
      <c r="A57" s="17"/>
    </row>
    <row r="58" spans="1:21">
      <c r="A58" s="17"/>
    </row>
    <row r="59" spans="1:21">
      <c r="A59" s="17"/>
    </row>
    <row r="60" spans="1:21">
      <c r="A60" s="17"/>
    </row>
    <row r="61" spans="1:21">
      <c r="A61" s="17"/>
    </row>
    <row r="62" spans="1:21">
      <c r="A62" s="17"/>
    </row>
    <row r="63" spans="1:21">
      <c r="A63" s="17"/>
    </row>
    <row r="64" spans="1:21">
      <c r="A64" s="17"/>
    </row>
    <row r="65" spans="1:7">
      <c r="A65" s="17"/>
    </row>
    <row r="66" spans="1:7">
      <c r="A66" s="17"/>
    </row>
    <row r="67" spans="1:7" s="35" customFormat="1">
      <c r="F67" s="115"/>
      <c r="G67" s="115"/>
    </row>
    <row r="68" spans="1:7">
      <c r="A68" s="17"/>
    </row>
    <row r="69" spans="1:7">
      <c r="A69" s="17"/>
    </row>
    <row r="70" spans="1:7">
      <c r="A70" s="17"/>
    </row>
    <row r="71" spans="1:7">
      <c r="A71" s="17"/>
    </row>
    <row r="72" spans="1:7">
      <c r="A72" s="17"/>
    </row>
    <row r="73" spans="1:7">
      <c r="A73" s="17"/>
    </row>
    <row r="74" spans="1:7">
      <c r="A74" s="17"/>
    </row>
    <row r="75" spans="1:7">
      <c r="A75" s="17"/>
    </row>
    <row r="76" spans="1:7">
      <c r="A76" s="17"/>
    </row>
    <row r="77" spans="1:7">
      <c r="A77" s="17"/>
    </row>
    <row r="78" spans="1:7">
      <c r="A78" s="17"/>
    </row>
    <row r="79" spans="1:7">
      <c r="A79" s="17"/>
    </row>
    <row r="80" spans="1:7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  <row r="105" spans="1:1">
      <c r="A105" s="17"/>
    </row>
    <row r="106" spans="1:1">
      <c r="A106" s="17"/>
    </row>
    <row r="107" spans="1:1">
      <c r="A107" s="17"/>
    </row>
    <row r="108" spans="1:1">
      <c r="A108" s="17"/>
    </row>
    <row r="109" spans="1:1">
      <c r="A109" s="17"/>
    </row>
    <row r="110" spans="1:1">
      <c r="A110" s="17"/>
    </row>
    <row r="111" spans="1:1">
      <c r="A111" s="17"/>
    </row>
    <row r="112" spans="1:1">
      <c r="A112" s="17"/>
    </row>
    <row r="113" spans="1:7">
      <c r="A113" s="17"/>
    </row>
    <row r="114" spans="1:7">
      <c r="A114" s="17"/>
    </row>
    <row r="115" spans="1:7">
      <c r="A115" s="17"/>
    </row>
    <row r="116" spans="1:7">
      <c r="A116" s="17"/>
    </row>
    <row r="117" spans="1:7">
      <c r="A117" s="17"/>
    </row>
    <row r="118" spans="1:7">
      <c r="A118" s="17"/>
    </row>
    <row r="119" spans="1:7">
      <c r="A119" s="17"/>
    </row>
    <row r="120" spans="1:7" s="35" customFormat="1">
      <c r="F120" s="115"/>
      <c r="G120" s="115"/>
    </row>
    <row r="121" spans="1:7">
      <c r="A121" s="17"/>
    </row>
    <row r="122" spans="1:7">
      <c r="A122" s="17"/>
    </row>
    <row r="123" spans="1:7">
      <c r="A123" s="17"/>
    </row>
    <row r="124" spans="1:7">
      <c r="A124" s="17"/>
    </row>
    <row r="125" spans="1:7">
      <c r="A125" s="17"/>
    </row>
    <row r="126" spans="1:7">
      <c r="A126" s="17"/>
    </row>
    <row r="127" spans="1:7">
      <c r="A127" s="17"/>
    </row>
    <row r="128" spans="1:7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  <row r="161" spans="1:1">
      <c r="A161" s="17"/>
    </row>
    <row r="162" spans="1:1">
      <c r="A162" s="17"/>
    </row>
    <row r="163" spans="1:1">
      <c r="A163" s="17"/>
    </row>
    <row r="164" spans="1:1">
      <c r="A164" s="17"/>
    </row>
    <row r="165" spans="1:1">
      <c r="A165" s="17"/>
    </row>
    <row r="166" spans="1:1">
      <c r="A166" s="17"/>
    </row>
    <row r="167" spans="1:1">
      <c r="A167" s="17"/>
    </row>
    <row r="168" spans="1:1">
      <c r="A168" s="17"/>
    </row>
    <row r="169" spans="1:1">
      <c r="A169" s="17"/>
    </row>
    <row r="170" spans="1:1">
      <c r="A170" s="17"/>
    </row>
    <row r="171" spans="1:1">
      <c r="A171" s="17"/>
    </row>
    <row r="172" spans="1:1">
      <c r="A172" s="17"/>
    </row>
    <row r="173" spans="1:1">
      <c r="A173" s="17"/>
    </row>
    <row r="174" spans="1:1">
      <c r="A174" s="17"/>
    </row>
    <row r="175" spans="1:1">
      <c r="A175" s="17"/>
    </row>
    <row r="176" spans="1:1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7">
      <c r="A193" s="17"/>
    </row>
    <row r="194" spans="1:7">
      <c r="A194" s="17"/>
    </row>
    <row r="195" spans="1:7">
      <c r="A195" s="17"/>
    </row>
    <row r="196" spans="1:7">
      <c r="A196" s="17"/>
    </row>
    <row r="197" spans="1:7">
      <c r="A197" s="17"/>
    </row>
    <row r="198" spans="1:7">
      <c r="A198" s="17"/>
    </row>
    <row r="199" spans="1:7">
      <c r="A199" s="17"/>
    </row>
    <row r="200" spans="1:7">
      <c r="A200" s="17"/>
    </row>
    <row r="201" spans="1:7">
      <c r="A201" s="17"/>
    </row>
    <row r="202" spans="1:7">
      <c r="A202" s="17"/>
    </row>
    <row r="203" spans="1:7">
      <c r="A203" s="17"/>
    </row>
    <row r="204" spans="1:7">
      <c r="A204" s="17"/>
    </row>
    <row r="205" spans="1:7">
      <c r="A205" s="17"/>
    </row>
    <row r="206" spans="1:7" s="35" customFormat="1">
      <c r="F206" s="115"/>
      <c r="G206" s="115"/>
    </row>
    <row r="207" spans="1:7">
      <c r="A207" s="17"/>
    </row>
    <row r="208" spans="1:7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17"/>
    </row>
    <row r="222" spans="1:1">
      <c r="A222" s="17"/>
    </row>
    <row r="223" spans="1:1">
      <c r="A223" s="17"/>
    </row>
    <row r="224" spans="1:1">
      <c r="A224" s="17"/>
    </row>
    <row r="225" spans="1:7" s="106" customFormat="1">
      <c r="F225" s="116"/>
      <c r="G225" s="116"/>
    </row>
    <row r="226" spans="1:7">
      <c r="A226" s="17"/>
    </row>
    <row r="227" spans="1:7">
      <c r="A227" s="17"/>
    </row>
    <row r="228" spans="1:7" s="35" customFormat="1">
      <c r="F228" s="115"/>
      <c r="G228" s="115"/>
    </row>
    <row r="229" spans="1:7">
      <c r="A229" s="17"/>
    </row>
    <row r="230" spans="1:7">
      <c r="A230" s="17"/>
    </row>
    <row r="231" spans="1:7">
      <c r="A231" s="17"/>
    </row>
    <row r="232" spans="1:7">
      <c r="A232" s="17"/>
    </row>
    <row r="233" spans="1:7">
      <c r="A233" s="17"/>
    </row>
    <row r="234" spans="1:7">
      <c r="A234" s="17"/>
    </row>
    <row r="235" spans="1:7">
      <c r="A235" s="17"/>
    </row>
    <row r="236" spans="1:7">
      <c r="A236" s="17"/>
    </row>
    <row r="237" spans="1:7">
      <c r="A237" s="17"/>
    </row>
    <row r="238" spans="1:7">
      <c r="A238" s="17"/>
    </row>
    <row r="239" spans="1:7">
      <c r="A239" s="17"/>
    </row>
    <row r="240" spans="1:7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</sheetData>
  <autoFilter ref="A6:U259"/>
  <mergeCells count="11">
    <mergeCell ref="A54:B54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41"/>
  <sheetViews>
    <sheetView workbookViewId="0">
      <selection activeCell="A2" sqref="A2:U2"/>
    </sheetView>
  </sheetViews>
  <sheetFormatPr defaultColWidth="9.140625" defaultRowHeight="12"/>
  <cols>
    <col min="1" max="1" width="4.5703125" style="23" bestFit="1" customWidth="1"/>
    <col min="2" max="2" width="23" style="17" customWidth="1"/>
    <col min="3" max="4" width="6.85546875" style="17" bestFit="1" customWidth="1"/>
    <col min="5" max="7" width="9.140625" style="17" customWidth="1"/>
    <col min="8" max="8" width="12.5703125" style="17" bestFit="1" customWidth="1"/>
    <col min="9" max="9" width="8.140625" style="17" bestFit="1" customWidth="1"/>
    <col min="10" max="10" width="8.42578125" style="17" bestFit="1" customWidth="1"/>
    <col min="11" max="11" width="9.28515625" style="17" bestFit="1" customWidth="1"/>
    <col min="12" max="12" width="6.85546875" style="17" bestFit="1" customWidth="1"/>
    <col min="13" max="13" width="6.7109375" style="17" customWidth="1"/>
    <col min="14" max="14" width="8.28515625" style="17" bestFit="1" customWidth="1"/>
    <col min="15" max="16" width="9.28515625" style="17" bestFit="1" customWidth="1"/>
    <col min="17" max="17" width="9.5703125" style="17" bestFit="1" customWidth="1"/>
    <col min="18" max="18" width="8.140625" style="17" customWidth="1"/>
    <col min="19" max="19" width="6.28515625" style="17" customWidth="1"/>
    <col min="20" max="20" width="8.7109375" style="17" customWidth="1"/>
    <col min="21" max="21" width="10.7109375" style="17" customWidth="1"/>
    <col min="22" max="16384" width="9.140625" style="17"/>
  </cols>
  <sheetData>
    <row r="1" spans="1:21" ht="19.899999999999999" customHeight="1">
      <c r="A1" s="159" t="s">
        <v>258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15" customHeight="1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ht="18" customHeight="1">
      <c r="U3" s="24" t="s">
        <v>20</v>
      </c>
    </row>
    <row r="4" spans="1:21" ht="21.75" customHeight="1">
      <c r="A4" s="158" t="s">
        <v>0</v>
      </c>
      <c r="B4" s="158" t="s">
        <v>18</v>
      </c>
      <c r="C4" s="161" t="s">
        <v>1</v>
      </c>
      <c r="D4" s="162"/>
      <c r="E4" s="169" t="s">
        <v>4</v>
      </c>
      <c r="F4" s="170"/>
      <c r="G4" s="171"/>
      <c r="H4" s="158" t="s">
        <v>5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21.75" customHeight="1">
      <c r="A5" s="158"/>
      <c r="B5" s="158"/>
      <c r="C5" s="163"/>
      <c r="D5" s="164"/>
      <c r="E5" s="172"/>
      <c r="F5" s="173"/>
      <c r="G5" s="174"/>
      <c r="H5" s="165" t="s">
        <v>6</v>
      </c>
      <c r="I5" s="158" t="s">
        <v>190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65" t="s">
        <v>19</v>
      </c>
    </row>
    <row r="6" spans="1:21" ht="78" customHeight="1">
      <c r="A6" s="158"/>
      <c r="B6" s="158"/>
      <c r="C6" s="26" t="s">
        <v>2</v>
      </c>
      <c r="D6" s="26" t="s">
        <v>3</v>
      </c>
      <c r="E6" s="26" t="s">
        <v>189</v>
      </c>
      <c r="F6" s="27" t="s">
        <v>191</v>
      </c>
      <c r="G6" s="104" t="s">
        <v>19</v>
      </c>
      <c r="H6" s="165"/>
      <c r="I6" s="27" t="s">
        <v>7</v>
      </c>
      <c r="J6" s="27" t="s">
        <v>8</v>
      </c>
      <c r="K6" s="27" t="s">
        <v>9</v>
      </c>
      <c r="L6" s="27" t="s">
        <v>10</v>
      </c>
      <c r="M6" s="27" t="s">
        <v>11</v>
      </c>
      <c r="N6" s="27" t="s">
        <v>12</v>
      </c>
      <c r="O6" s="27" t="s">
        <v>13</v>
      </c>
      <c r="P6" s="27" t="s">
        <v>14</v>
      </c>
      <c r="Q6" s="27" t="s">
        <v>15</v>
      </c>
      <c r="R6" s="27" t="s">
        <v>17</v>
      </c>
      <c r="S6" s="27" t="s">
        <v>16</v>
      </c>
      <c r="T6" s="27" t="s">
        <v>193</v>
      </c>
      <c r="U6" s="165"/>
    </row>
    <row r="7" spans="1:21" ht="18.75" customHeight="1">
      <c r="A7" s="18">
        <v>1</v>
      </c>
      <c r="B7" s="57" t="s">
        <v>240</v>
      </c>
      <c r="C7" s="16">
        <v>11</v>
      </c>
      <c r="D7" s="16">
        <v>10</v>
      </c>
      <c r="E7" s="58">
        <v>1407.3125</v>
      </c>
      <c r="F7" s="58">
        <v>210.96799999999999</v>
      </c>
      <c r="G7" s="58">
        <f>E7+F7</f>
        <v>1618.2805000000001</v>
      </c>
      <c r="H7" s="58">
        <v>1407</v>
      </c>
      <c r="I7" s="59">
        <v>10</v>
      </c>
      <c r="J7" s="59">
        <v>7.4</v>
      </c>
      <c r="K7" s="58">
        <v>9.3000000000000007</v>
      </c>
      <c r="L7" s="58">
        <v>2.4</v>
      </c>
      <c r="M7" s="58">
        <v>17.5</v>
      </c>
      <c r="N7" s="58">
        <v>24</v>
      </c>
      <c r="O7" s="58">
        <v>49.5</v>
      </c>
      <c r="P7" s="59">
        <v>20.5</v>
      </c>
      <c r="Q7" s="58">
        <v>52</v>
      </c>
      <c r="R7" s="58">
        <v>3</v>
      </c>
      <c r="S7" s="58">
        <v>15</v>
      </c>
      <c r="T7" s="29">
        <f>SUM(I7:S7)</f>
        <v>210.6</v>
      </c>
      <c r="U7" s="29">
        <f>T7+H7</f>
        <v>1617.6</v>
      </c>
    </row>
    <row r="8" spans="1:21" ht="18.75" customHeight="1">
      <c r="A8" s="18">
        <v>2</v>
      </c>
      <c r="B8" s="57" t="s">
        <v>241</v>
      </c>
      <c r="C8" s="16">
        <v>19</v>
      </c>
      <c r="D8" s="16">
        <v>19</v>
      </c>
      <c r="E8" s="58">
        <v>2420.4047999999998</v>
      </c>
      <c r="F8" s="58">
        <v>364.47239999999999</v>
      </c>
      <c r="G8" s="58">
        <f t="shared" ref="G8:G48" si="0">E8+F8</f>
        <v>2784.8771999999999</v>
      </c>
      <c r="H8" s="60">
        <v>2420.404</v>
      </c>
      <c r="I8" s="58">
        <v>105.5</v>
      </c>
      <c r="J8" s="58">
        <v>17.5</v>
      </c>
      <c r="K8" s="58">
        <v>18.7</v>
      </c>
      <c r="L8" s="58">
        <v>8.3000000000000007</v>
      </c>
      <c r="M8" s="58">
        <v>25.6</v>
      </c>
      <c r="N8" s="58">
        <v>26.4</v>
      </c>
      <c r="O8" s="58">
        <v>25.5</v>
      </c>
      <c r="P8" s="58">
        <v>47.5</v>
      </c>
      <c r="Q8" s="58">
        <v>75.900000000000006</v>
      </c>
      <c r="R8" s="58"/>
      <c r="S8" s="58">
        <v>13</v>
      </c>
      <c r="T8" s="29">
        <f t="shared" ref="T8:T48" si="1">SUM(I8:S8)</f>
        <v>363.9</v>
      </c>
      <c r="U8" s="29">
        <f t="shared" ref="U8:U48" si="2">T8+H8</f>
        <v>2784.3040000000001</v>
      </c>
    </row>
    <row r="9" spans="1:21" ht="18.75" customHeight="1">
      <c r="A9" s="18">
        <v>3</v>
      </c>
      <c r="B9" s="57" t="s">
        <v>242</v>
      </c>
      <c r="C9" s="16">
        <v>16</v>
      </c>
      <c r="D9" s="16">
        <v>16</v>
      </c>
      <c r="E9" s="58">
        <v>2070.8883999999998</v>
      </c>
      <c r="F9" s="58">
        <v>306.69459999999998</v>
      </c>
      <c r="G9" s="58">
        <f t="shared" si="0"/>
        <v>2377.5829999999996</v>
      </c>
      <c r="H9" s="58">
        <v>2070</v>
      </c>
      <c r="I9" s="58"/>
      <c r="J9" s="58">
        <v>13</v>
      </c>
      <c r="K9" s="58">
        <v>20</v>
      </c>
      <c r="L9" s="58">
        <v>7</v>
      </c>
      <c r="M9" s="58">
        <v>40</v>
      </c>
      <c r="N9" s="58">
        <v>40</v>
      </c>
      <c r="O9" s="58">
        <v>30</v>
      </c>
      <c r="P9" s="58">
        <v>69</v>
      </c>
      <c r="Q9" s="58">
        <v>50</v>
      </c>
      <c r="R9" s="58"/>
      <c r="S9" s="58">
        <v>37</v>
      </c>
      <c r="T9" s="29">
        <f t="shared" si="1"/>
        <v>306</v>
      </c>
      <c r="U9" s="29">
        <f t="shared" si="2"/>
        <v>2376</v>
      </c>
    </row>
    <row r="10" spans="1:21" ht="18.75" customHeight="1">
      <c r="A10" s="18">
        <v>4</v>
      </c>
      <c r="B10" s="57" t="s">
        <v>243</v>
      </c>
      <c r="C10" s="16">
        <v>12</v>
      </c>
      <c r="D10" s="16">
        <v>12</v>
      </c>
      <c r="E10" s="58">
        <v>1570.8864000000001</v>
      </c>
      <c r="F10" s="58">
        <v>229.8964</v>
      </c>
      <c r="G10" s="58">
        <f t="shared" si="0"/>
        <v>1800.7828000000002</v>
      </c>
      <c r="H10" s="58">
        <v>1570.3288130000001</v>
      </c>
      <c r="I10" s="58"/>
      <c r="J10" s="58">
        <v>8.8255180000000006</v>
      </c>
      <c r="K10" s="58">
        <v>10.587949</v>
      </c>
      <c r="L10" s="58">
        <v>2.0178850000000002</v>
      </c>
      <c r="M10" s="58">
        <v>23.38775</v>
      </c>
      <c r="N10" s="58">
        <v>20.3</v>
      </c>
      <c r="O10" s="58">
        <v>6.8</v>
      </c>
      <c r="P10" s="58">
        <v>1</v>
      </c>
      <c r="Q10" s="58">
        <v>120.0205</v>
      </c>
      <c r="R10" s="58"/>
      <c r="S10" s="58">
        <v>36</v>
      </c>
      <c r="T10" s="29">
        <f t="shared" si="1"/>
        <v>228.93960199999998</v>
      </c>
      <c r="U10" s="29">
        <f t="shared" si="2"/>
        <v>1799.268415</v>
      </c>
    </row>
    <row r="11" spans="1:21" ht="18.75" customHeight="1">
      <c r="A11" s="18">
        <v>5</v>
      </c>
      <c r="B11" s="57" t="s">
        <v>244</v>
      </c>
      <c r="C11" s="16">
        <v>16</v>
      </c>
      <c r="D11" s="16">
        <v>16</v>
      </c>
      <c r="E11" s="58">
        <v>1900.7692</v>
      </c>
      <c r="F11" s="58">
        <v>307.89060000000001</v>
      </c>
      <c r="G11" s="58">
        <f t="shared" si="0"/>
        <v>2208.6597999999999</v>
      </c>
      <c r="H11" s="58">
        <v>1900.0359559999999</v>
      </c>
      <c r="I11" s="58"/>
      <c r="J11" s="58">
        <v>3.5475629999999998</v>
      </c>
      <c r="K11" s="58"/>
      <c r="L11" s="58">
        <v>0.82230000000000003</v>
      </c>
      <c r="M11" s="58"/>
      <c r="N11" s="58">
        <v>14.9725</v>
      </c>
      <c r="O11" s="58">
        <v>85</v>
      </c>
      <c r="P11" s="58">
        <v>45</v>
      </c>
      <c r="Q11" s="58">
        <v>88</v>
      </c>
      <c r="R11" s="58"/>
      <c r="S11" s="58">
        <v>70</v>
      </c>
      <c r="T11" s="29">
        <f t="shared" si="1"/>
        <v>307.34236299999998</v>
      </c>
      <c r="U11" s="29">
        <f t="shared" si="2"/>
        <v>2207.3783189999999</v>
      </c>
    </row>
    <row r="12" spans="1:21" ht="18.75" customHeight="1">
      <c r="A12" s="18">
        <v>6</v>
      </c>
      <c r="B12" s="57" t="s">
        <v>245</v>
      </c>
      <c r="C12" s="16">
        <v>12</v>
      </c>
      <c r="D12" s="16">
        <v>12</v>
      </c>
      <c r="E12" s="58">
        <v>1570.9637</v>
      </c>
      <c r="F12" s="58">
        <v>229.89580000000001</v>
      </c>
      <c r="G12" s="58">
        <f t="shared" si="0"/>
        <v>1800.8595</v>
      </c>
      <c r="H12" s="58">
        <v>1570.4637</v>
      </c>
      <c r="I12" s="58">
        <v>14.7</v>
      </c>
      <c r="J12" s="58">
        <v>14.7</v>
      </c>
      <c r="K12" s="58">
        <v>63.835799999999999</v>
      </c>
      <c r="L12" s="58">
        <v>4.46</v>
      </c>
      <c r="M12" s="58">
        <v>21.8</v>
      </c>
      <c r="N12" s="58">
        <v>24</v>
      </c>
      <c r="O12" s="58">
        <v>26</v>
      </c>
      <c r="P12" s="58"/>
      <c r="Q12" s="58">
        <v>21</v>
      </c>
      <c r="R12" s="58"/>
      <c r="S12" s="58">
        <v>39</v>
      </c>
      <c r="T12" s="29">
        <f t="shared" si="1"/>
        <v>229.49579999999997</v>
      </c>
      <c r="U12" s="29">
        <f t="shared" si="2"/>
        <v>1799.9594999999999</v>
      </c>
    </row>
    <row r="13" spans="1:21" ht="18.75" customHeight="1">
      <c r="A13" s="18">
        <v>7</v>
      </c>
      <c r="B13" s="57" t="s">
        <v>246</v>
      </c>
      <c r="C13" s="16">
        <v>23</v>
      </c>
      <c r="D13" s="16">
        <v>21</v>
      </c>
      <c r="E13" s="58">
        <v>3264.2067000000002</v>
      </c>
      <c r="F13" s="58">
        <v>438.85379999999998</v>
      </c>
      <c r="G13" s="58">
        <f t="shared" si="0"/>
        <v>3703.0605</v>
      </c>
      <c r="H13" s="58">
        <v>3263.2067000000002</v>
      </c>
      <c r="I13" s="58"/>
      <c r="J13" s="58">
        <v>14.1</v>
      </c>
      <c r="K13" s="58">
        <v>67</v>
      </c>
      <c r="L13" s="58">
        <v>13.4</v>
      </c>
      <c r="M13" s="58">
        <v>29</v>
      </c>
      <c r="N13" s="58">
        <v>38.4</v>
      </c>
      <c r="O13" s="58">
        <v>36.4</v>
      </c>
      <c r="P13" s="58">
        <v>98.5</v>
      </c>
      <c r="Q13" s="58">
        <v>56</v>
      </c>
      <c r="R13" s="58"/>
      <c r="S13" s="58">
        <v>85</v>
      </c>
      <c r="T13" s="29">
        <f t="shared" si="1"/>
        <v>437.8</v>
      </c>
      <c r="U13" s="29">
        <f t="shared" si="2"/>
        <v>3701.0067000000004</v>
      </c>
    </row>
    <row r="14" spans="1:21" ht="18.75" customHeight="1">
      <c r="A14" s="18">
        <v>8</v>
      </c>
      <c r="B14" s="57" t="s">
        <v>247</v>
      </c>
      <c r="C14" s="16">
        <v>13</v>
      </c>
      <c r="D14" s="16">
        <v>13</v>
      </c>
      <c r="E14" s="58">
        <v>1864.5871999999999</v>
      </c>
      <c r="F14" s="58">
        <v>247.91</v>
      </c>
      <c r="G14" s="58">
        <f t="shared" si="0"/>
        <v>2112.4971999999998</v>
      </c>
      <c r="H14" s="58">
        <v>1864.587</v>
      </c>
      <c r="I14" s="58">
        <v>8.1199999999999992</v>
      </c>
      <c r="J14" s="58">
        <v>16</v>
      </c>
      <c r="K14" s="58">
        <v>10</v>
      </c>
      <c r="L14" s="58">
        <v>4</v>
      </c>
      <c r="M14" s="58">
        <v>19.600000000000001</v>
      </c>
      <c r="N14" s="58">
        <v>30</v>
      </c>
      <c r="O14" s="58">
        <v>36</v>
      </c>
      <c r="P14" s="58"/>
      <c r="Q14" s="58">
        <v>33</v>
      </c>
      <c r="R14" s="58"/>
      <c r="S14" s="58">
        <v>90</v>
      </c>
      <c r="T14" s="29">
        <f t="shared" si="1"/>
        <v>246.72</v>
      </c>
      <c r="U14" s="29">
        <f t="shared" si="2"/>
        <v>2111.3069999999998</v>
      </c>
    </row>
    <row r="15" spans="1:21" ht="18.75" customHeight="1">
      <c r="A15" s="18">
        <v>9</v>
      </c>
      <c r="B15" s="57" t="s">
        <v>248</v>
      </c>
      <c r="C15" s="16">
        <v>31</v>
      </c>
      <c r="D15" s="16">
        <v>29</v>
      </c>
      <c r="E15" s="58">
        <v>3568.6120000000001</v>
      </c>
      <c r="F15" s="58">
        <v>577.26199999999994</v>
      </c>
      <c r="G15" s="58">
        <f t="shared" si="0"/>
        <v>4145.8739999999998</v>
      </c>
      <c r="H15" s="58">
        <v>3568</v>
      </c>
      <c r="I15" s="58"/>
      <c r="J15" s="58">
        <v>68.580905000000001</v>
      </c>
      <c r="K15" s="58">
        <v>109.96599999999999</v>
      </c>
      <c r="L15" s="58">
        <v>18.181298999999999</v>
      </c>
      <c r="M15" s="58">
        <v>45.142735999999999</v>
      </c>
      <c r="N15" s="58">
        <v>79</v>
      </c>
      <c r="O15" s="58">
        <v>75</v>
      </c>
      <c r="P15" s="58">
        <v>50.8</v>
      </c>
      <c r="Q15" s="58">
        <v>64</v>
      </c>
      <c r="R15" s="58"/>
      <c r="S15" s="58">
        <v>65</v>
      </c>
      <c r="T15" s="29">
        <f t="shared" si="1"/>
        <v>575.67093999999997</v>
      </c>
      <c r="U15" s="29">
        <f t="shared" si="2"/>
        <v>4143.67094</v>
      </c>
    </row>
    <row r="16" spans="1:21" ht="18.75" customHeight="1">
      <c r="A16" s="18">
        <v>10</v>
      </c>
      <c r="B16" s="57" t="s">
        <v>249</v>
      </c>
      <c r="C16" s="16">
        <v>19</v>
      </c>
      <c r="D16" s="16">
        <v>19</v>
      </c>
      <c r="E16" s="58">
        <v>2340.1329999999998</v>
      </c>
      <c r="F16" s="58">
        <v>365.03680000000003</v>
      </c>
      <c r="G16" s="58">
        <f t="shared" si="0"/>
        <v>2705.1697999999997</v>
      </c>
      <c r="H16" s="58">
        <v>2339.1329999999998</v>
      </c>
      <c r="I16" s="58">
        <v>63.5</v>
      </c>
      <c r="J16" s="58">
        <v>20.399999999999999</v>
      </c>
      <c r="K16" s="58">
        <v>14.2</v>
      </c>
      <c r="L16" s="58">
        <v>12.2</v>
      </c>
      <c r="M16" s="58">
        <v>19.600000000000001</v>
      </c>
      <c r="N16" s="58">
        <v>42</v>
      </c>
      <c r="O16" s="58">
        <v>16.5</v>
      </c>
      <c r="P16" s="58">
        <v>52</v>
      </c>
      <c r="Q16" s="58">
        <v>54.21</v>
      </c>
      <c r="R16" s="58"/>
      <c r="S16" s="58">
        <v>69</v>
      </c>
      <c r="T16" s="29">
        <f t="shared" si="1"/>
        <v>363.61</v>
      </c>
      <c r="U16" s="29">
        <f t="shared" si="2"/>
        <v>2702.7429999999999</v>
      </c>
    </row>
    <row r="17" spans="1:21" ht="18.75" customHeight="1">
      <c r="A17" s="18">
        <v>11</v>
      </c>
      <c r="B17" s="57" t="s">
        <v>250</v>
      </c>
      <c r="C17" s="16">
        <v>14</v>
      </c>
      <c r="D17" s="16">
        <v>14</v>
      </c>
      <c r="E17" s="58">
        <v>1711.308</v>
      </c>
      <c r="F17" s="58">
        <v>269.06580000000002</v>
      </c>
      <c r="G17" s="58">
        <f t="shared" si="0"/>
        <v>1980.3738000000001</v>
      </c>
      <c r="H17" s="58">
        <v>1701</v>
      </c>
      <c r="I17" s="58"/>
      <c r="J17" s="58">
        <v>12</v>
      </c>
      <c r="K17" s="58">
        <v>18</v>
      </c>
      <c r="L17" s="58">
        <v>6.7</v>
      </c>
      <c r="M17" s="58">
        <v>42</v>
      </c>
      <c r="N17" s="58">
        <v>25</v>
      </c>
      <c r="O17" s="58">
        <v>42</v>
      </c>
      <c r="P17" s="58">
        <v>25</v>
      </c>
      <c r="Q17" s="58">
        <v>58</v>
      </c>
      <c r="R17" s="58"/>
      <c r="S17" s="58">
        <v>40</v>
      </c>
      <c r="T17" s="29">
        <f t="shared" si="1"/>
        <v>268.7</v>
      </c>
      <c r="U17" s="29">
        <f t="shared" si="2"/>
        <v>1969.7</v>
      </c>
    </row>
    <row r="18" spans="1:21" ht="18.75" customHeight="1">
      <c r="A18" s="18">
        <v>12</v>
      </c>
      <c r="B18" s="57" t="s">
        <v>251</v>
      </c>
      <c r="C18" s="16">
        <v>11</v>
      </c>
      <c r="D18" s="16">
        <v>11</v>
      </c>
      <c r="E18" s="58">
        <v>1742.423</v>
      </c>
      <c r="F18" s="58">
        <v>208.6122</v>
      </c>
      <c r="G18" s="58">
        <f t="shared" si="0"/>
        <v>1951.0352</v>
      </c>
      <c r="H18" s="58">
        <v>1740</v>
      </c>
      <c r="I18" s="58"/>
      <c r="J18" s="58">
        <v>8</v>
      </c>
      <c r="K18" s="58">
        <v>8</v>
      </c>
      <c r="L18" s="58">
        <v>4</v>
      </c>
      <c r="M18" s="58">
        <v>19</v>
      </c>
      <c r="N18" s="58">
        <v>24</v>
      </c>
      <c r="O18" s="58">
        <v>40</v>
      </c>
      <c r="P18" s="58">
        <v>25</v>
      </c>
      <c r="Q18" s="58">
        <v>40</v>
      </c>
      <c r="R18" s="58"/>
      <c r="S18" s="58">
        <v>40</v>
      </c>
      <c r="T18" s="29">
        <f t="shared" si="1"/>
        <v>208</v>
      </c>
      <c r="U18" s="29">
        <f t="shared" si="2"/>
        <v>1948</v>
      </c>
    </row>
    <row r="19" spans="1:21" ht="18.75" customHeight="1">
      <c r="A19" s="18">
        <v>13</v>
      </c>
      <c r="B19" s="57" t="s">
        <v>252</v>
      </c>
      <c r="C19" s="16">
        <v>11</v>
      </c>
      <c r="D19" s="16">
        <v>11</v>
      </c>
      <c r="E19" s="58">
        <v>1682.5020999999999</v>
      </c>
      <c r="F19" s="58">
        <v>209.0334</v>
      </c>
      <c r="G19" s="58">
        <f t="shared" si="0"/>
        <v>1891.5355</v>
      </c>
      <c r="H19" s="58">
        <v>1682</v>
      </c>
      <c r="I19" s="58"/>
      <c r="J19" s="58">
        <v>6</v>
      </c>
      <c r="K19" s="58">
        <v>6</v>
      </c>
      <c r="L19" s="58">
        <v>1.9</v>
      </c>
      <c r="M19" s="58">
        <v>16.222000000000001</v>
      </c>
      <c r="N19" s="58">
        <v>24</v>
      </c>
      <c r="O19" s="58">
        <v>11.1</v>
      </c>
      <c r="P19" s="58">
        <v>30</v>
      </c>
      <c r="Q19" s="58">
        <v>67</v>
      </c>
      <c r="R19" s="58"/>
      <c r="S19" s="58">
        <v>46.709000000000003</v>
      </c>
      <c r="T19" s="29">
        <f t="shared" si="1"/>
        <v>208.93099999999998</v>
      </c>
      <c r="U19" s="29">
        <f t="shared" si="2"/>
        <v>1890.931</v>
      </c>
    </row>
    <row r="20" spans="1:21" ht="18.75" customHeight="1">
      <c r="A20" s="18">
        <v>14</v>
      </c>
      <c r="B20" s="57" t="s">
        <v>253</v>
      </c>
      <c r="C20" s="16">
        <v>12</v>
      </c>
      <c r="D20" s="16">
        <v>12</v>
      </c>
      <c r="E20" s="58">
        <v>1753.9680000000001</v>
      </c>
      <c r="F20" s="58">
        <v>228.60929999999999</v>
      </c>
      <c r="G20" s="58">
        <f t="shared" si="0"/>
        <v>1982.5773000000002</v>
      </c>
      <c r="H20" s="58">
        <v>1753.0160000000001</v>
      </c>
      <c r="I20" s="58">
        <v>13</v>
      </c>
      <c r="J20" s="58">
        <v>14</v>
      </c>
      <c r="K20" s="58">
        <v>23.5</v>
      </c>
      <c r="L20" s="58">
        <v>8</v>
      </c>
      <c r="M20" s="58">
        <v>32</v>
      </c>
      <c r="N20" s="58">
        <v>20</v>
      </c>
      <c r="O20" s="58">
        <v>25</v>
      </c>
      <c r="P20" s="58">
        <v>23</v>
      </c>
      <c r="Q20" s="58">
        <v>50</v>
      </c>
      <c r="R20" s="58"/>
      <c r="S20" s="58">
        <v>20</v>
      </c>
      <c r="T20" s="29">
        <f t="shared" si="1"/>
        <v>228.5</v>
      </c>
      <c r="U20" s="29">
        <f t="shared" si="2"/>
        <v>1981.5160000000001</v>
      </c>
    </row>
    <row r="21" spans="1:21" ht="18.75" customHeight="1">
      <c r="A21" s="18">
        <v>15</v>
      </c>
      <c r="B21" s="57" t="s">
        <v>254</v>
      </c>
      <c r="C21" s="16">
        <v>23</v>
      </c>
      <c r="D21" s="16">
        <v>23</v>
      </c>
      <c r="E21" s="58">
        <v>3431.2689999999998</v>
      </c>
      <c r="F21" s="58">
        <v>437.67930000000001</v>
      </c>
      <c r="G21" s="58">
        <f t="shared" si="0"/>
        <v>3868.9483</v>
      </c>
      <c r="H21" s="58">
        <v>3430.2689999999998</v>
      </c>
      <c r="I21" s="58">
        <v>9.9600000000000009</v>
      </c>
      <c r="J21" s="58">
        <v>17.564070000000001</v>
      </c>
      <c r="K21" s="58">
        <v>13.795</v>
      </c>
      <c r="L21" s="58">
        <v>105</v>
      </c>
      <c r="M21" s="58">
        <v>20.768884</v>
      </c>
      <c r="N21" s="58">
        <v>40.799999999999997</v>
      </c>
      <c r="O21" s="58">
        <v>70.004000000000005</v>
      </c>
      <c r="P21" s="58">
        <v>54.55</v>
      </c>
      <c r="Q21" s="58">
        <v>81.203999999999994</v>
      </c>
      <c r="R21" s="58"/>
      <c r="S21" s="58">
        <v>23.552800000000001</v>
      </c>
      <c r="T21" s="29">
        <f t="shared" si="1"/>
        <v>437.19875400000006</v>
      </c>
      <c r="U21" s="29">
        <f t="shared" si="2"/>
        <v>3867.4677539999998</v>
      </c>
    </row>
    <row r="22" spans="1:21" ht="18.75" customHeight="1">
      <c r="A22" s="18">
        <v>16</v>
      </c>
      <c r="B22" s="57" t="s">
        <v>255</v>
      </c>
      <c r="C22" s="16">
        <v>21</v>
      </c>
      <c r="D22" s="16">
        <v>20</v>
      </c>
      <c r="E22" s="58">
        <v>2587.2073</v>
      </c>
      <c r="F22" s="58">
        <v>403.45639999999997</v>
      </c>
      <c r="G22" s="58">
        <f t="shared" si="0"/>
        <v>2990.6637000000001</v>
      </c>
      <c r="H22" s="58">
        <v>2586.2069999999999</v>
      </c>
      <c r="I22" s="58">
        <v>53</v>
      </c>
      <c r="J22" s="58">
        <v>24</v>
      </c>
      <c r="K22" s="58">
        <v>16.234999999999999</v>
      </c>
      <c r="L22" s="58">
        <v>16.2</v>
      </c>
      <c r="M22" s="58">
        <v>32</v>
      </c>
      <c r="N22" s="58">
        <v>55.2</v>
      </c>
      <c r="O22" s="58">
        <v>25</v>
      </c>
      <c r="P22" s="58">
        <v>44</v>
      </c>
      <c r="Q22" s="58">
        <v>103.321</v>
      </c>
      <c r="R22" s="58"/>
      <c r="S22" s="58">
        <v>34.5</v>
      </c>
      <c r="T22" s="29">
        <f t="shared" si="1"/>
        <v>403.45600000000002</v>
      </c>
      <c r="U22" s="29">
        <f t="shared" si="2"/>
        <v>2989.663</v>
      </c>
    </row>
    <row r="23" spans="1:21" ht="18.75" customHeight="1">
      <c r="A23" s="18">
        <v>17</v>
      </c>
      <c r="B23" s="57" t="s">
        <v>256</v>
      </c>
      <c r="C23" s="16">
        <v>15</v>
      </c>
      <c r="D23" s="16">
        <v>15</v>
      </c>
      <c r="E23" s="58">
        <v>2014.5956000000001</v>
      </c>
      <c r="F23" s="58">
        <v>287.012</v>
      </c>
      <c r="G23" s="58">
        <f t="shared" si="0"/>
        <v>2301.6076000000003</v>
      </c>
      <c r="H23" s="58">
        <v>2011.7349999999999</v>
      </c>
      <c r="I23" s="58"/>
      <c r="J23" s="58">
        <v>15</v>
      </c>
      <c r="K23" s="58">
        <v>70</v>
      </c>
      <c r="L23" s="58">
        <v>4</v>
      </c>
      <c r="M23" s="58">
        <v>20</v>
      </c>
      <c r="N23" s="58">
        <v>36</v>
      </c>
      <c r="O23" s="58">
        <v>30</v>
      </c>
      <c r="P23" s="58">
        <v>20</v>
      </c>
      <c r="Q23" s="58">
        <v>59</v>
      </c>
      <c r="R23" s="58"/>
      <c r="S23" s="58">
        <v>33</v>
      </c>
      <c r="T23" s="29">
        <f t="shared" si="1"/>
        <v>287</v>
      </c>
      <c r="U23" s="29">
        <f t="shared" si="2"/>
        <v>2298.7349999999997</v>
      </c>
    </row>
    <row r="24" spans="1:21" ht="18.75" customHeight="1">
      <c r="A24" s="18">
        <v>18</v>
      </c>
      <c r="B24" s="57" t="s">
        <v>257</v>
      </c>
      <c r="C24" s="16">
        <v>13</v>
      </c>
      <c r="D24" s="16">
        <v>13</v>
      </c>
      <c r="E24" s="58">
        <v>1816.3326</v>
      </c>
      <c r="F24" s="58">
        <v>248.2492</v>
      </c>
      <c r="G24" s="58">
        <f t="shared" si="0"/>
        <v>2064.5817999999999</v>
      </c>
      <c r="H24" s="58">
        <v>1814.04</v>
      </c>
      <c r="I24" s="58">
        <v>47</v>
      </c>
      <c r="J24" s="58">
        <v>2.5</v>
      </c>
      <c r="K24" s="58">
        <v>8</v>
      </c>
      <c r="L24" s="58">
        <v>8.8000000000000007</v>
      </c>
      <c r="M24" s="58">
        <v>17</v>
      </c>
      <c r="N24" s="58"/>
      <c r="O24" s="58">
        <v>12</v>
      </c>
      <c r="P24" s="58">
        <v>35</v>
      </c>
      <c r="Q24" s="58">
        <v>69</v>
      </c>
      <c r="R24" s="58"/>
      <c r="S24" s="58">
        <v>48</v>
      </c>
      <c r="T24" s="29">
        <f t="shared" si="1"/>
        <v>247.3</v>
      </c>
      <c r="U24" s="29">
        <f t="shared" si="2"/>
        <v>2061.34</v>
      </c>
    </row>
    <row r="25" spans="1:21" ht="18.75" customHeight="1">
      <c r="A25" s="18">
        <v>19</v>
      </c>
      <c r="B25" s="57" t="s">
        <v>130</v>
      </c>
      <c r="C25" s="16">
        <v>23</v>
      </c>
      <c r="D25" s="16">
        <v>19</v>
      </c>
      <c r="E25" s="58">
        <v>3184.0643</v>
      </c>
      <c r="F25" s="58">
        <v>459.43939999999998</v>
      </c>
      <c r="G25" s="58">
        <f t="shared" si="0"/>
        <v>3643.5037000000002</v>
      </c>
      <c r="H25" s="58">
        <v>3184.0639999999999</v>
      </c>
      <c r="I25" s="58">
        <v>130.5</v>
      </c>
      <c r="J25" s="58">
        <v>18.5</v>
      </c>
      <c r="K25" s="58">
        <v>21.7</v>
      </c>
      <c r="L25" s="58">
        <v>9.3000000000000007</v>
      </c>
      <c r="M25" s="58">
        <v>50.6</v>
      </c>
      <c r="N25" s="58">
        <v>40.4</v>
      </c>
      <c r="O25" s="58">
        <v>26.5</v>
      </c>
      <c r="P25" s="58">
        <v>67.5</v>
      </c>
      <c r="Q25" s="58">
        <v>77.900000000000006</v>
      </c>
      <c r="R25" s="58"/>
      <c r="S25" s="58">
        <v>16.539000000000001</v>
      </c>
      <c r="T25" s="29">
        <f t="shared" si="1"/>
        <v>459.43899999999996</v>
      </c>
      <c r="U25" s="29">
        <f t="shared" si="2"/>
        <v>3643.5029999999997</v>
      </c>
    </row>
    <row r="26" spans="1:21" ht="18.75" customHeight="1">
      <c r="A26" s="18">
        <v>20</v>
      </c>
      <c r="B26" s="57" t="s">
        <v>131</v>
      </c>
      <c r="C26" s="16">
        <v>20</v>
      </c>
      <c r="D26" s="16">
        <v>19</v>
      </c>
      <c r="E26" s="58">
        <v>3671.0455999999999</v>
      </c>
      <c r="F26" s="58">
        <v>393.15589999999997</v>
      </c>
      <c r="G26" s="58">
        <f t="shared" si="0"/>
        <v>4064.2015000000001</v>
      </c>
      <c r="H26" s="58">
        <v>3670.0455999999999</v>
      </c>
      <c r="I26" s="58"/>
      <c r="J26" s="58">
        <v>14.9</v>
      </c>
      <c r="K26" s="58">
        <v>41</v>
      </c>
      <c r="L26" s="58">
        <v>16</v>
      </c>
      <c r="M26" s="58">
        <v>51</v>
      </c>
      <c r="N26" s="58">
        <v>40.799999999999997</v>
      </c>
      <c r="O26" s="58">
        <v>68.400000000000006</v>
      </c>
      <c r="P26" s="58">
        <v>75.5</v>
      </c>
      <c r="Q26" s="58">
        <v>40.06</v>
      </c>
      <c r="R26" s="58"/>
      <c r="S26" s="58">
        <v>45</v>
      </c>
      <c r="T26" s="29">
        <f t="shared" si="1"/>
        <v>392.66</v>
      </c>
      <c r="U26" s="29">
        <f t="shared" si="2"/>
        <v>4062.7055999999998</v>
      </c>
    </row>
    <row r="27" spans="1:21" ht="18.75" customHeight="1">
      <c r="A27" s="18">
        <v>21</v>
      </c>
      <c r="B27" s="57" t="s">
        <v>132</v>
      </c>
      <c r="C27" s="16">
        <v>31</v>
      </c>
      <c r="D27" s="16">
        <v>30</v>
      </c>
      <c r="E27" s="58">
        <v>4060.6703000000002</v>
      </c>
      <c r="F27" s="58">
        <v>620.87109999999996</v>
      </c>
      <c r="G27" s="58">
        <f t="shared" si="0"/>
        <v>4681.5414000000001</v>
      </c>
      <c r="H27" s="58">
        <v>4060.0385510000001</v>
      </c>
      <c r="I27" s="58"/>
      <c r="J27" s="58">
        <v>44.566263999999997</v>
      </c>
      <c r="K27" s="58">
        <v>120.036</v>
      </c>
      <c r="L27" s="58">
        <v>15.558400000000001</v>
      </c>
      <c r="M27" s="58">
        <v>78</v>
      </c>
      <c r="N27" s="58">
        <v>96.18</v>
      </c>
      <c r="O27" s="58">
        <v>45</v>
      </c>
      <c r="P27" s="58">
        <v>75</v>
      </c>
      <c r="Q27" s="58">
        <v>86</v>
      </c>
      <c r="R27" s="58"/>
      <c r="S27" s="58">
        <v>60</v>
      </c>
      <c r="T27" s="29">
        <f t="shared" si="1"/>
        <v>620.34066400000006</v>
      </c>
      <c r="U27" s="29">
        <f t="shared" si="2"/>
        <v>4680.3792149999999</v>
      </c>
    </row>
    <row r="28" spans="1:21" ht="18.75" customHeight="1">
      <c r="A28" s="18">
        <v>22</v>
      </c>
      <c r="B28" s="57" t="s">
        <v>133</v>
      </c>
      <c r="C28" s="16">
        <v>25</v>
      </c>
      <c r="D28" s="16">
        <v>25</v>
      </c>
      <c r="E28" s="58">
        <v>4940.4660999999996</v>
      </c>
      <c r="F28" s="58">
        <v>488.9674</v>
      </c>
      <c r="G28" s="58">
        <f t="shared" si="0"/>
        <v>5429.4334999999992</v>
      </c>
      <c r="H28" s="58">
        <v>4938</v>
      </c>
      <c r="I28" s="58"/>
      <c r="J28" s="58">
        <v>17</v>
      </c>
      <c r="K28" s="58">
        <v>30</v>
      </c>
      <c r="L28" s="58">
        <v>15</v>
      </c>
      <c r="M28" s="58">
        <v>64</v>
      </c>
      <c r="N28" s="58">
        <v>61</v>
      </c>
      <c r="O28" s="58">
        <v>85</v>
      </c>
      <c r="P28" s="58">
        <v>49</v>
      </c>
      <c r="Q28" s="58">
        <v>94</v>
      </c>
      <c r="R28" s="58"/>
      <c r="S28" s="58">
        <v>73</v>
      </c>
      <c r="T28" s="29">
        <f t="shared" si="1"/>
        <v>488</v>
      </c>
      <c r="U28" s="29">
        <f t="shared" si="2"/>
        <v>5426</v>
      </c>
    </row>
    <row r="29" spans="1:21" ht="18.75" customHeight="1">
      <c r="A29" s="18">
        <v>23</v>
      </c>
      <c r="B29" s="57" t="s">
        <v>134</v>
      </c>
      <c r="C29" s="16">
        <v>16</v>
      </c>
      <c r="D29" s="16">
        <v>15</v>
      </c>
      <c r="E29" s="58">
        <v>2678.1462999999999</v>
      </c>
      <c r="F29" s="58">
        <v>316.34719999999999</v>
      </c>
      <c r="G29" s="58">
        <f t="shared" si="0"/>
        <v>2994.4935</v>
      </c>
      <c r="H29" s="58">
        <v>2678.1460000000002</v>
      </c>
      <c r="I29" s="58">
        <v>95.65</v>
      </c>
      <c r="J29" s="58">
        <v>9.5</v>
      </c>
      <c r="K29" s="58">
        <v>18.670000000000002</v>
      </c>
      <c r="L29" s="58">
        <v>6.6</v>
      </c>
      <c r="M29" s="58">
        <v>55.6</v>
      </c>
      <c r="N29" s="58">
        <v>45.6</v>
      </c>
      <c r="O29" s="58">
        <v>25.8</v>
      </c>
      <c r="P29" s="58"/>
      <c r="Q29" s="58">
        <v>50.332999999999998</v>
      </c>
      <c r="R29" s="58"/>
      <c r="S29" s="58">
        <v>8.2940000000000005</v>
      </c>
      <c r="T29" s="29">
        <f t="shared" si="1"/>
        <v>316.04700000000003</v>
      </c>
      <c r="U29" s="29">
        <f t="shared" si="2"/>
        <v>2994.1930000000002</v>
      </c>
    </row>
    <row r="30" spans="1:21" ht="18.75" customHeight="1">
      <c r="A30" s="18">
        <v>24</v>
      </c>
      <c r="B30" s="57" t="s">
        <v>135</v>
      </c>
      <c r="C30" s="16">
        <v>15</v>
      </c>
      <c r="D30" s="16">
        <v>13</v>
      </c>
      <c r="E30" s="58">
        <v>2459.8598000000002</v>
      </c>
      <c r="F30" s="58">
        <v>296.9341</v>
      </c>
      <c r="G30" s="58">
        <f t="shared" si="0"/>
        <v>2756.7939000000001</v>
      </c>
      <c r="H30" s="58">
        <v>2459.3598000000002</v>
      </c>
      <c r="I30" s="58"/>
      <c r="J30" s="58">
        <v>12.9</v>
      </c>
      <c r="K30" s="58">
        <v>72</v>
      </c>
      <c r="L30" s="58">
        <v>12.4</v>
      </c>
      <c r="M30" s="58">
        <v>62</v>
      </c>
      <c r="N30" s="58">
        <v>19.2</v>
      </c>
      <c r="O30" s="58">
        <v>20.9</v>
      </c>
      <c r="P30" s="58">
        <v>5</v>
      </c>
      <c r="Q30" s="58">
        <v>54.834000000000003</v>
      </c>
      <c r="R30" s="58"/>
      <c r="S30" s="58">
        <v>37.700000000000003</v>
      </c>
      <c r="T30" s="29">
        <f t="shared" si="1"/>
        <v>296.93400000000003</v>
      </c>
      <c r="U30" s="29">
        <f t="shared" si="2"/>
        <v>2756.2938000000004</v>
      </c>
    </row>
    <row r="31" spans="1:21" ht="18.75" customHeight="1">
      <c r="A31" s="18">
        <v>25</v>
      </c>
      <c r="B31" s="57" t="s">
        <v>136</v>
      </c>
      <c r="C31" s="16">
        <v>25</v>
      </c>
      <c r="D31" s="16">
        <v>22</v>
      </c>
      <c r="E31" s="58">
        <v>2948.5237999999999</v>
      </c>
      <c r="F31" s="58">
        <v>503.00069999999999</v>
      </c>
      <c r="G31" s="58">
        <f t="shared" si="0"/>
        <v>3451.5245</v>
      </c>
      <c r="H31" s="58">
        <v>2948</v>
      </c>
      <c r="I31" s="58"/>
      <c r="J31" s="58">
        <v>25.195373</v>
      </c>
      <c r="K31" s="58">
        <v>82.293999999999997</v>
      </c>
      <c r="L31" s="58">
        <v>7.1016000000000004</v>
      </c>
      <c r="M31" s="58">
        <v>80.649000000000001</v>
      </c>
      <c r="N31" s="58">
        <v>50.442500000000003</v>
      </c>
      <c r="O31" s="58">
        <v>52.063000000000002</v>
      </c>
      <c r="P31" s="58">
        <v>70.997234000000006</v>
      </c>
      <c r="Q31" s="58">
        <v>61.050800000000002</v>
      </c>
      <c r="R31" s="58"/>
      <c r="S31" s="58">
        <v>72</v>
      </c>
      <c r="T31" s="29">
        <f t="shared" si="1"/>
        <v>501.79350699999998</v>
      </c>
      <c r="U31" s="29">
        <f t="shared" si="2"/>
        <v>3449.7935069999999</v>
      </c>
    </row>
    <row r="32" spans="1:21" ht="18.75" customHeight="1">
      <c r="A32" s="18">
        <v>26</v>
      </c>
      <c r="B32" s="57" t="s">
        <v>137</v>
      </c>
      <c r="C32" s="16">
        <v>20</v>
      </c>
      <c r="D32" s="16">
        <v>20</v>
      </c>
      <c r="E32" s="58">
        <v>3615.3681000000001</v>
      </c>
      <c r="F32" s="58">
        <v>414.4991</v>
      </c>
      <c r="G32" s="58">
        <f t="shared" si="0"/>
        <v>4029.8672000000001</v>
      </c>
      <c r="H32" s="58">
        <v>3614</v>
      </c>
      <c r="I32" s="58"/>
      <c r="J32" s="58">
        <v>10</v>
      </c>
      <c r="K32" s="58">
        <v>22</v>
      </c>
      <c r="L32" s="58">
        <v>6</v>
      </c>
      <c r="M32" s="58">
        <v>54</v>
      </c>
      <c r="N32" s="58">
        <v>38</v>
      </c>
      <c r="O32" s="58">
        <v>72</v>
      </c>
      <c r="P32" s="58">
        <v>53</v>
      </c>
      <c r="Q32" s="58">
        <v>84</v>
      </c>
      <c r="R32" s="58"/>
      <c r="S32" s="58">
        <v>75</v>
      </c>
      <c r="T32" s="29">
        <f t="shared" si="1"/>
        <v>414</v>
      </c>
      <c r="U32" s="29">
        <f t="shared" si="2"/>
        <v>4028</v>
      </c>
    </row>
    <row r="33" spans="1:21" ht="18.75" customHeight="1">
      <c r="A33" s="18">
        <v>27</v>
      </c>
      <c r="B33" s="57" t="s">
        <v>138</v>
      </c>
      <c r="C33" s="16">
        <v>35</v>
      </c>
      <c r="D33" s="16">
        <v>32</v>
      </c>
      <c r="E33" s="58">
        <f>3566.8957+383.472</f>
        <v>3950.3676999999998</v>
      </c>
      <c r="F33" s="58">
        <f>560.9171+49</f>
        <v>609.9171</v>
      </c>
      <c r="G33" s="58">
        <f t="shared" si="0"/>
        <v>4560.2847999999994</v>
      </c>
      <c r="H33" s="58">
        <v>3948</v>
      </c>
      <c r="I33" s="58"/>
      <c r="J33" s="58">
        <v>17</v>
      </c>
      <c r="K33" s="58">
        <v>17</v>
      </c>
      <c r="L33" s="58">
        <v>13</v>
      </c>
      <c r="M33" s="58">
        <v>67</v>
      </c>
      <c r="N33" s="58">
        <v>58</v>
      </c>
      <c r="O33" s="58">
        <v>130</v>
      </c>
      <c r="P33" s="58">
        <v>126</v>
      </c>
      <c r="Q33" s="58">
        <v>97</v>
      </c>
      <c r="R33" s="58"/>
      <c r="S33" s="58">
        <v>84</v>
      </c>
      <c r="T33" s="29">
        <f t="shared" si="1"/>
        <v>609</v>
      </c>
      <c r="U33" s="29">
        <f t="shared" si="2"/>
        <v>4557</v>
      </c>
    </row>
    <row r="34" spans="1:21" ht="18.75" customHeight="1">
      <c r="A34" s="18">
        <v>28</v>
      </c>
      <c r="B34" s="57" t="s">
        <v>139</v>
      </c>
      <c r="C34" s="16">
        <v>24</v>
      </c>
      <c r="D34" s="16">
        <v>24</v>
      </c>
      <c r="E34" s="58">
        <v>3845.1350000000002</v>
      </c>
      <c r="F34" s="58">
        <v>475.73309999999998</v>
      </c>
      <c r="G34" s="58">
        <f t="shared" si="0"/>
        <v>4320.8681000000006</v>
      </c>
      <c r="H34" s="58">
        <v>3841</v>
      </c>
      <c r="I34" s="58">
        <v>50</v>
      </c>
      <c r="J34" s="58">
        <v>24</v>
      </c>
      <c r="K34" s="58">
        <v>18</v>
      </c>
      <c r="L34" s="58">
        <v>17.047999999999998</v>
      </c>
      <c r="M34" s="58">
        <v>80</v>
      </c>
      <c r="N34" s="58">
        <v>43</v>
      </c>
      <c r="O34" s="58">
        <v>57.933999999999997</v>
      </c>
      <c r="P34" s="58">
        <v>25.8</v>
      </c>
      <c r="Q34" s="58">
        <v>123</v>
      </c>
      <c r="R34" s="58">
        <v>10</v>
      </c>
      <c r="S34" s="58">
        <v>25.51</v>
      </c>
      <c r="T34" s="29">
        <f t="shared" si="1"/>
        <v>474.29199999999997</v>
      </c>
      <c r="U34" s="29">
        <f t="shared" si="2"/>
        <v>4315.2920000000004</v>
      </c>
    </row>
    <row r="35" spans="1:21" ht="18.75" customHeight="1">
      <c r="A35" s="18">
        <v>29</v>
      </c>
      <c r="B35" s="57" t="s">
        <v>140</v>
      </c>
      <c r="C35" s="16">
        <v>28</v>
      </c>
      <c r="D35" s="16">
        <v>28</v>
      </c>
      <c r="E35" s="58">
        <v>4912.8698999999997</v>
      </c>
      <c r="F35" s="58">
        <v>552.01459999999997</v>
      </c>
      <c r="G35" s="58">
        <f t="shared" si="0"/>
        <v>5464.8845000000001</v>
      </c>
      <c r="H35" s="58">
        <v>4912</v>
      </c>
      <c r="I35" s="58"/>
      <c r="J35" s="58">
        <v>16</v>
      </c>
      <c r="K35" s="58">
        <v>26</v>
      </c>
      <c r="L35" s="58">
        <v>4</v>
      </c>
      <c r="M35" s="58">
        <v>41</v>
      </c>
      <c r="N35" s="58">
        <v>42</v>
      </c>
      <c r="O35" s="58">
        <v>129</v>
      </c>
      <c r="P35" s="58">
        <v>109</v>
      </c>
      <c r="Q35" s="58">
        <v>82</v>
      </c>
      <c r="R35" s="58"/>
      <c r="S35" s="58">
        <v>103</v>
      </c>
      <c r="T35" s="29">
        <f t="shared" si="1"/>
        <v>552</v>
      </c>
      <c r="U35" s="29">
        <f t="shared" si="2"/>
        <v>5464</v>
      </c>
    </row>
    <row r="36" spans="1:21" ht="18.75" customHeight="1">
      <c r="A36" s="18">
        <v>30</v>
      </c>
      <c r="B36" s="57" t="s">
        <v>141</v>
      </c>
      <c r="C36" s="16">
        <v>25</v>
      </c>
      <c r="D36" s="16">
        <v>25</v>
      </c>
      <c r="E36" s="58">
        <v>4367.1598999999997</v>
      </c>
      <c r="F36" s="58">
        <v>534.90819999999997</v>
      </c>
      <c r="G36" s="58">
        <f t="shared" si="0"/>
        <v>4902.0680999999995</v>
      </c>
      <c r="H36" s="58">
        <v>4363</v>
      </c>
      <c r="I36" s="58"/>
      <c r="J36" s="58">
        <v>11.5</v>
      </c>
      <c r="K36" s="58">
        <v>11.6</v>
      </c>
      <c r="L36" s="58">
        <v>2.7</v>
      </c>
      <c r="M36" s="58">
        <v>103</v>
      </c>
      <c r="N36" s="58">
        <v>33</v>
      </c>
      <c r="O36" s="58">
        <v>49</v>
      </c>
      <c r="P36" s="58">
        <v>87</v>
      </c>
      <c r="Q36" s="58">
        <v>150.7681</v>
      </c>
      <c r="R36" s="58"/>
      <c r="S36" s="58">
        <v>86</v>
      </c>
      <c r="T36" s="29">
        <f t="shared" si="1"/>
        <v>534.56809999999996</v>
      </c>
      <c r="U36" s="29">
        <f t="shared" si="2"/>
        <v>4897.5681000000004</v>
      </c>
    </row>
    <row r="37" spans="1:21" ht="18.75" customHeight="1">
      <c r="A37" s="18">
        <v>31</v>
      </c>
      <c r="B37" s="57" t="s">
        <v>142</v>
      </c>
      <c r="C37" s="16">
        <v>36</v>
      </c>
      <c r="D37" s="16">
        <v>36</v>
      </c>
      <c r="E37" s="58">
        <v>4925.7987999999996</v>
      </c>
      <c r="F37" s="58">
        <v>719.53089999999997</v>
      </c>
      <c r="G37" s="58">
        <f t="shared" si="0"/>
        <v>5645.3296999999993</v>
      </c>
      <c r="H37" s="58">
        <v>4924.0082499999999</v>
      </c>
      <c r="I37" s="58"/>
      <c r="J37" s="58">
        <v>10</v>
      </c>
      <c r="K37" s="58">
        <v>30</v>
      </c>
      <c r="L37" s="58">
        <v>10</v>
      </c>
      <c r="M37" s="58">
        <v>100</v>
      </c>
      <c r="N37" s="58">
        <v>35</v>
      </c>
      <c r="O37" s="58">
        <v>145</v>
      </c>
      <c r="P37" s="58">
        <v>95</v>
      </c>
      <c r="Q37" s="58">
        <v>196</v>
      </c>
      <c r="R37" s="58"/>
      <c r="S37" s="58">
        <v>98</v>
      </c>
      <c r="T37" s="29">
        <f t="shared" si="1"/>
        <v>719</v>
      </c>
      <c r="U37" s="29">
        <f t="shared" si="2"/>
        <v>5643.0082499999999</v>
      </c>
    </row>
    <row r="38" spans="1:21" ht="18.75" customHeight="1">
      <c r="A38" s="18">
        <v>32</v>
      </c>
      <c r="B38" s="57" t="s">
        <v>143</v>
      </c>
      <c r="C38" s="16">
        <v>23</v>
      </c>
      <c r="D38" s="16">
        <v>23</v>
      </c>
      <c r="E38" s="58">
        <v>3744.6224999999999</v>
      </c>
      <c r="F38" s="58">
        <v>455.49029999999999</v>
      </c>
      <c r="G38" s="58">
        <f t="shared" si="0"/>
        <v>4200.1127999999999</v>
      </c>
      <c r="H38" s="58">
        <v>3743.6224999999999</v>
      </c>
      <c r="I38" s="58">
        <v>16.88</v>
      </c>
      <c r="J38" s="58">
        <v>17.716999999999999</v>
      </c>
      <c r="K38" s="58">
        <v>56.175199999999997</v>
      </c>
      <c r="L38" s="58">
        <v>13.167999999999999</v>
      </c>
      <c r="M38" s="58">
        <v>78.099999999999994</v>
      </c>
      <c r="N38" s="58">
        <v>31.2</v>
      </c>
      <c r="O38" s="58">
        <v>60.35</v>
      </c>
      <c r="P38" s="58">
        <v>45</v>
      </c>
      <c r="Q38" s="58">
        <v>82</v>
      </c>
      <c r="R38" s="58"/>
      <c r="S38" s="58">
        <v>54</v>
      </c>
      <c r="T38" s="29">
        <f t="shared" si="1"/>
        <v>454.59019999999998</v>
      </c>
      <c r="U38" s="29">
        <f t="shared" si="2"/>
        <v>4198.2127</v>
      </c>
    </row>
    <row r="39" spans="1:21" ht="18.75" customHeight="1">
      <c r="A39" s="18">
        <v>33</v>
      </c>
      <c r="B39" s="57" t="s">
        <v>144</v>
      </c>
      <c r="C39" s="16">
        <v>41</v>
      </c>
      <c r="D39" s="16">
        <v>39</v>
      </c>
      <c r="E39" s="58">
        <v>6576.4938000000002</v>
      </c>
      <c r="F39" s="58">
        <v>791.70540000000005</v>
      </c>
      <c r="G39" s="58">
        <f t="shared" si="0"/>
        <v>7368.1992</v>
      </c>
      <c r="H39" s="58">
        <v>6573.9309999999996</v>
      </c>
      <c r="I39" s="58">
        <v>15</v>
      </c>
      <c r="J39" s="58">
        <v>21</v>
      </c>
      <c r="K39" s="58">
        <v>24</v>
      </c>
      <c r="L39" s="58">
        <v>4.5</v>
      </c>
      <c r="M39" s="58">
        <v>110</v>
      </c>
      <c r="N39" s="58">
        <v>55.2</v>
      </c>
      <c r="O39" s="58">
        <v>130</v>
      </c>
      <c r="P39" s="58">
        <v>70</v>
      </c>
      <c r="Q39" s="58">
        <v>190</v>
      </c>
      <c r="R39" s="58"/>
      <c r="S39" s="58">
        <v>171</v>
      </c>
      <c r="T39" s="29">
        <f t="shared" si="1"/>
        <v>790.7</v>
      </c>
      <c r="U39" s="29">
        <f t="shared" si="2"/>
        <v>7364.6309999999994</v>
      </c>
    </row>
    <row r="40" spans="1:21" ht="18.75" customHeight="1">
      <c r="A40" s="18">
        <v>34</v>
      </c>
      <c r="B40" s="57" t="s">
        <v>145</v>
      </c>
      <c r="C40" s="16">
        <v>26</v>
      </c>
      <c r="D40" s="16">
        <v>24</v>
      </c>
      <c r="E40" s="58">
        <v>4950.4821000000002</v>
      </c>
      <c r="F40" s="58">
        <v>509.84780000000001</v>
      </c>
      <c r="G40" s="58">
        <f t="shared" si="0"/>
        <v>5460.3299000000006</v>
      </c>
      <c r="H40" s="58">
        <v>4950.482</v>
      </c>
      <c r="I40" s="58">
        <v>9</v>
      </c>
      <c r="J40" s="58">
        <v>16.347000000000001</v>
      </c>
      <c r="K40" s="58">
        <v>27</v>
      </c>
      <c r="L40" s="58">
        <v>58</v>
      </c>
      <c r="M40" s="58">
        <v>66</v>
      </c>
      <c r="N40" s="58">
        <v>53</v>
      </c>
      <c r="O40" s="58">
        <v>90</v>
      </c>
      <c r="P40" s="58">
        <v>28</v>
      </c>
      <c r="Q40" s="58">
        <v>130</v>
      </c>
      <c r="R40" s="58"/>
      <c r="S40" s="58">
        <v>32</v>
      </c>
      <c r="T40" s="29">
        <f t="shared" si="1"/>
        <v>509.34699999999998</v>
      </c>
      <c r="U40" s="29">
        <f t="shared" si="2"/>
        <v>5459.8289999999997</v>
      </c>
    </row>
    <row r="41" spans="1:21" ht="18.75" customHeight="1">
      <c r="A41" s="18">
        <v>35</v>
      </c>
      <c r="B41" s="57" t="s">
        <v>146</v>
      </c>
      <c r="C41" s="16">
        <v>30</v>
      </c>
      <c r="D41" s="16">
        <v>26</v>
      </c>
      <c r="E41" s="58">
        <v>3706.1028999999999</v>
      </c>
      <c r="F41" s="58">
        <v>602.41819999999996</v>
      </c>
      <c r="G41" s="58">
        <f t="shared" si="0"/>
        <v>4308.5210999999999</v>
      </c>
      <c r="H41" s="58">
        <v>3706.1010000000001</v>
      </c>
      <c r="I41" s="58">
        <v>83.498999999999995</v>
      </c>
      <c r="J41" s="58">
        <v>33.799999999999997</v>
      </c>
      <c r="K41" s="58">
        <v>20</v>
      </c>
      <c r="L41" s="58">
        <v>20.6</v>
      </c>
      <c r="M41" s="58">
        <v>48</v>
      </c>
      <c r="N41" s="58">
        <v>63.5</v>
      </c>
      <c r="O41" s="58">
        <v>48</v>
      </c>
      <c r="P41" s="58">
        <v>63</v>
      </c>
      <c r="Q41" s="58">
        <v>93.076999999999998</v>
      </c>
      <c r="R41" s="58"/>
      <c r="S41" s="58">
        <v>128.94200000000001</v>
      </c>
      <c r="T41" s="29">
        <f t="shared" si="1"/>
        <v>602.41800000000001</v>
      </c>
      <c r="U41" s="29">
        <f t="shared" si="2"/>
        <v>4308.5190000000002</v>
      </c>
    </row>
    <row r="42" spans="1:21" ht="18.75" customHeight="1">
      <c r="A42" s="18">
        <v>36</v>
      </c>
      <c r="B42" s="57" t="s">
        <v>147</v>
      </c>
      <c r="C42" s="16">
        <v>23</v>
      </c>
      <c r="D42" s="16">
        <v>23</v>
      </c>
      <c r="E42" s="58">
        <v>3048.9991</v>
      </c>
      <c r="F42" s="58">
        <v>460.39100000000002</v>
      </c>
      <c r="G42" s="58">
        <f t="shared" si="0"/>
        <v>3509.3901000000001</v>
      </c>
      <c r="H42" s="58">
        <v>3048</v>
      </c>
      <c r="I42" s="58">
        <v>10</v>
      </c>
      <c r="J42" s="58">
        <v>10</v>
      </c>
      <c r="K42" s="58">
        <v>40</v>
      </c>
      <c r="L42" s="58">
        <v>7</v>
      </c>
      <c r="M42" s="58">
        <v>68</v>
      </c>
      <c r="N42" s="58">
        <v>32</v>
      </c>
      <c r="O42" s="58">
        <v>85</v>
      </c>
      <c r="P42" s="58">
        <v>46</v>
      </c>
      <c r="Q42" s="58">
        <v>88</v>
      </c>
      <c r="R42" s="58"/>
      <c r="S42" s="58">
        <v>74</v>
      </c>
      <c r="T42" s="29">
        <f t="shared" si="1"/>
        <v>460</v>
      </c>
      <c r="U42" s="29">
        <f t="shared" si="2"/>
        <v>3508</v>
      </c>
    </row>
    <row r="43" spans="1:21" ht="18.75" customHeight="1">
      <c r="A43" s="18">
        <v>37</v>
      </c>
      <c r="B43" s="57" t="s">
        <v>148</v>
      </c>
      <c r="C43" s="16">
        <v>22</v>
      </c>
      <c r="D43" s="16">
        <v>22</v>
      </c>
      <c r="E43" s="58">
        <v>3601.6725999999999</v>
      </c>
      <c r="F43" s="58">
        <v>435.54640000000001</v>
      </c>
      <c r="G43" s="58">
        <f t="shared" si="0"/>
        <v>4037.2190000000001</v>
      </c>
      <c r="H43" s="58">
        <v>3601.415</v>
      </c>
      <c r="I43" s="58">
        <v>33.238</v>
      </c>
      <c r="J43" s="58">
        <v>10</v>
      </c>
      <c r="K43" s="58">
        <v>35</v>
      </c>
      <c r="L43" s="58">
        <v>8</v>
      </c>
      <c r="M43" s="58">
        <v>70</v>
      </c>
      <c r="N43" s="58">
        <v>28</v>
      </c>
      <c r="O43" s="58">
        <v>73</v>
      </c>
      <c r="P43" s="58">
        <v>34</v>
      </c>
      <c r="Q43" s="58">
        <v>77</v>
      </c>
      <c r="R43" s="58"/>
      <c r="S43" s="58">
        <v>67</v>
      </c>
      <c r="T43" s="29">
        <f t="shared" si="1"/>
        <v>435.238</v>
      </c>
      <c r="U43" s="29">
        <f t="shared" si="2"/>
        <v>4036.6529999999998</v>
      </c>
    </row>
    <row r="44" spans="1:21" ht="18.75" customHeight="1">
      <c r="A44" s="18">
        <v>38</v>
      </c>
      <c r="B44" s="57" t="s">
        <v>149</v>
      </c>
      <c r="C44" s="16">
        <v>22</v>
      </c>
      <c r="D44" s="16">
        <v>21</v>
      </c>
      <c r="E44" s="58">
        <v>3025.5971</v>
      </c>
      <c r="F44" s="58">
        <v>439.60489999999999</v>
      </c>
      <c r="G44" s="58">
        <f t="shared" si="0"/>
        <v>3465.2019999999998</v>
      </c>
      <c r="H44" s="58">
        <v>3025.5970000000002</v>
      </c>
      <c r="I44" s="58">
        <v>9</v>
      </c>
      <c r="J44" s="58">
        <v>15.21</v>
      </c>
      <c r="K44" s="58">
        <v>28</v>
      </c>
      <c r="L44" s="58">
        <v>49</v>
      </c>
      <c r="M44" s="58">
        <v>55</v>
      </c>
      <c r="N44" s="58">
        <v>56</v>
      </c>
      <c r="O44" s="58">
        <v>63</v>
      </c>
      <c r="P44" s="58">
        <v>11</v>
      </c>
      <c r="Q44" s="58">
        <v>123</v>
      </c>
      <c r="R44" s="58"/>
      <c r="S44" s="58">
        <v>30</v>
      </c>
      <c r="T44" s="29">
        <f t="shared" si="1"/>
        <v>439.21000000000004</v>
      </c>
      <c r="U44" s="29">
        <f t="shared" si="2"/>
        <v>3464.8070000000002</v>
      </c>
    </row>
    <row r="45" spans="1:21" ht="18.75" customHeight="1">
      <c r="A45" s="18">
        <v>39</v>
      </c>
      <c r="B45" s="57" t="s">
        <v>150</v>
      </c>
      <c r="C45" s="16">
        <v>26</v>
      </c>
      <c r="D45" s="16">
        <v>25</v>
      </c>
      <c r="E45" s="58">
        <v>3600.8240999999998</v>
      </c>
      <c r="F45" s="58">
        <v>498.40519999999998</v>
      </c>
      <c r="G45" s="58">
        <f t="shared" si="0"/>
        <v>4099.2293</v>
      </c>
      <c r="H45" s="58">
        <v>3600.3272999999999</v>
      </c>
      <c r="I45" s="58">
        <v>56.841999999999999</v>
      </c>
      <c r="J45" s="58">
        <v>20.672999999999998</v>
      </c>
      <c r="K45" s="58">
        <v>33.622</v>
      </c>
      <c r="L45" s="58">
        <v>6.3280000000000003</v>
      </c>
      <c r="M45" s="58">
        <v>129.744</v>
      </c>
      <c r="N45" s="58">
        <v>59.85</v>
      </c>
      <c r="O45" s="58">
        <v>49.814</v>
      </c>
      <c r="P45" s="58"/>
      <c r="Q45" s="58">
        <v>95.828000000000003</v>
      </c>
      <c r="R45" s="58"/>
      <c r="S45" s="58">
        <v>45.701000000000001</v>
      </c>
      <c r="T45" s="29">
        <f t="shared" si="1"/>
        <v>498.40200000000004</v>
      </c>
      <c r="U45" s="29">
        <f t="shared" si="2"/>
        <v>4098.7293</v>
      </c>
    </row>
    <row r="46" spans="1:21" ht="18.75" customHeight="1">
      <c r="A46" s="18">
        <v>40</v>
      </c>
      <c r="B46" s="57" t="s">
        <v>151</v>
      </c>
      <c r="C46" s="16">
        <v>30</v>
      </c>
      <c r="D46" s="16">
        <v>28</v>
      </c>
      <c r="E46" s="58">
        <v>4658.1388999999999</v>
      </c>
      <c r="F46" s="58">
        <v>615.21479999999997</v>
      </c>
      <c r="G46" s="58">
        <f t="shared" si="0"/>
        <v>5273.3536999999997</v>
      </c>
      <c r="H46" s="58">
        <v>4658</v>
      </c>
      <c r="I46" s="58"/>
      <c r="J46" s="58">
        <v>19</v>
      </c>
      <c r="K46" s="58">
        <v>45</v>
      </c>
      <c r="L46" s="58">
        <v>14</v>
      </c>
      <c r="M46" s="58">
        <v>75</v>
      </c>
      <c r="N46" s="58">
        <v>72</v>
      </c>
      <c r="O46" s="58">
        <v>65</v>
      </c>
      <c r="P46" s="58">
        <v>70</v>
      </c>
      <c r="Q46" s="58">
        <v>112</v>
      </c>
      <c r="R46" s="58"/>
      <c r="S46" s="58">
        <v>143</v>
      </c>
      <c r="T46" s="29">
        <f t="shared" si="1"/>
        <v>615</v>
      </c>
      <c r="U46" s="29">
        <f t="shared" si="2"/>
        <v>5273</v>
      </c>
    </row>
    <row r="47" spans="1:21" ht="19.5" customHeight="1">
      <c r="A47" s="18">
        <v>41</v>
      </c>
      <c r="B47" s="117" t="s">
        <v>152</v>
      </c>
      <c r="C47" s="16">
        <v>28</v>
      </c>
      <c r="D47" s="16">
        <v>27</v>
      </c>
      <c r="E47" s="58">
        <v>4171.9946</v>
      </c>
      <c r="F47" s="58">
        <v>557.23410000000001</v>
      </c>
      <c r="G47" s="58">
        <f t="shared" si="0"/>
        <v>4729.2286999999997</v>
      </c>
      <c r="H47" s="58">
        <v>4171</v>
      </c>
      <c r="I47" s="58">
        <v>55</v>
      </c>
      <c r="J47" s="58">
        <v>10.4</v>
      </c>
      <c r="K47" s="58">
        <v>38</v>
      </c>
      <c r="L47" s="58">
        <v>20</v>
      </c>
      <c r="M47" s="58">
        <v>99.2</v>
      </c>
      <c r="N47" s="58">
        <v>46</v>
      </c>
      <c r="O47" s="58">
        <v>87</v>
      </c>
      <c r="P47" s="58">
        <v>50</v>
      </c>
      <c r="Q47" s="58">
        <v>84.7</v>
      </c>
      <c r="R47" s="58"/>
      <c r="S47" s="58">
        <v>66</v>
      </c>
      <c r="T47" s="29">
        <f t="shared" si="1"/>
        <v>556.29999999999995</v>
      </c>
      <c r="U47" s="29">
        <f t="shared" si="2"/>
        <v>4727.3</v>
      </c>
    </row>
    <row r="48" spans="1:21" ht="18.75" customHeight="1">
      <c r="A48" s="18">
        <v>42</v>
      </c>
      <c r="B48" s="57" t="s">
        <v>153</v>
      </c>
      <c r="C48" s="16">
        <v>21</v>
      </c>
      <c r="D48" s="16">
        <v>21</v>
      </c>
      <c r="E48" s="58">
        <v>3178.6975000000002</v>
      </c>
      <c r="F48" s="58">
        <v>417.5754</v>
      </c>
      <c r="G48" s="58">
        <f t="shared" si="0"/>
        <v>3596.2729000000004</v>
      </c>
      <c r="H48" s="58">
        <v>3178.3980000000001</v>
      </c>
      <c r="I48" s="58">
        <v>40.314999999999998</v>
      </c>
      <c r="J48" s="58">
        <v>11.233000000000001</v>
      </c>
      <c r="K48" s="58">
        <v>6.93</v>
      </c>
      <c r="L48" s="58">
        <v>9.2089999999999996</v>
      </c>
      <c r="M48" s="58">
        <v>94.5</v>
      </c>
      <c r="N48" s="58">
        <v>68.786000000000001</v>
      </c>
      <c r="O48" s="58">
        <v>28.129000000000001</v>
      </c>
      <c r="P48" s="58"/>
      <c r="Q48" s="58">
        <v>107.66800000000001</v>
      </c>
      <c r="R48" s="58"/>
      <c r="S48" s="58">
        <v>50.305999999999997</v>
      </c>
      <c r="T48" s="29">
        <f t="shared" si="1"/>
        <v>417.07600000000002</v>
      </c>
      <c r="U48" s="29">
        <f t="shared" si="2"/>
        <v>3595.4740000000002</v>
      </c>
    </row>
    <row r="49" spans="1:21" s="35" customFormat="1" ht="18.75" customHeight="1">
      <c r="A49" s="158" t="s">
        <v>19</v>
      </c>
      <c r="B49" s="158"/>
      <c r="C49" s="33">
        <f>SUM(C7:C48)</f>
        <v>907</v>
      </c>
      <c r="D49" s="33">
        <f t="shared" ref="D49:U49" si="3">SUM(D7:D48)</f>
        <v>873</v>
      </c>
      <c r="E49" s="33">
        <f t="shared" si="3"/>
        <v>132541.47030000002</v>
      </c>
      <c r="F49" s="33">
        <f t="shared" si="3"/>
        <v>17739.350300000002</v>
      </c>
      <c r="G49" s="33">
        <f t="shared" si="3"/>
        <v>150280.82060000004</v>
      </c>
      <c r="H49" s="33">
        <f t="shared" si="3"/>
        <v>132487.96216999998</v>
      </c>
      <c r="I49" s="33">
        <f t="shared" si="3"/>
        <v>929.70399999999995</v>
      </c>
      <c r="J49" s="33">
        <f t="shared" si="3"/>
        <v>699.55969299999981</v>
      </c>
      <c r="K49" s="33">
        <f t="shared" si="3"/>
        <v>1351.1469490000002</v>
      </c>
      <c r="L49" s="33">
        <f t="shared" si="3"/>
        <v>571.89448400000003</v>
      </c>
      <c r="M49" s="33">
        <f t="shared" si="3"/>
        <v>2221.0143699999999</v>
      </c>
      <c r="N49" s="33">
        <f t="shared" si="3"/>
        <v>1732.231</v>
      </c>
      <c r="O49" s="33">
        <f t="shared" si="3"/>
        <v>2327.6939999999995</v>
      </c>
      <c r="P49" s="33">
        <f t="shared" si="3"/>
        <v>1896.647234</v>
      </c>
      <c r="Q49" s="33">
        <f t="shared" si="3"/>
        <v>3521.8743999999997</v>
      </c>
      <c r="R49" s="33">
        <f t="shared" si="3"/>
        <v>13</v>
      </c>
      <c r="S49" s="33">
        <f t="shared" si="3"/>
        <v>2450.7538</v>
      </c>
      <c r="T49" s="33">
        <f t="shared" si="3"/>
        <v>17715.519929999999</v>
      </c>
      <c r="U49" s="33">
        <f t="shared" si="3"/>
        <v>150203.48209999999</v>
      </c>
    </row>
    <row r="50" spans="1:21" ht="10.5" customHeight="1">
      <c r="A50" s="17"/>
    </row>
    <row r="51" spans="1:21" ht="18.75" customHeight="1">
      <c r="A51" s="17"/>
    </row>
    <row r="52" spans="1:21" ht="18.75" customHeight="1">
      <c r="A52" s="17"/>
    </row>
    <row r="53" spans="1:21" ht="18.75" customHeight="1">
      <c r="A53" s="17"/>
    </row>
    <row r="54" spans="1:21" ht="18.75" customHeight="1">
      <c r="A54" s="17"/>
    </row>
    <row r="55" spans="1:21" ht="18.75" customHeight="1">
      <c r="A55" s="17"/>
    </row>
    <row r="56" spans="1:21" ht="18.75" customHeight="1">
      <c r="A56" s="17"/>
    </row>
    <row r="57" spans="1:21" ht="18.75" customHeight="1">
      <c r="A57" s="17"/>
    </row>
    <row r="58" spans="1:21" ht="18.75" customHeight="1">
      <c r="A58" s="17"/>
    </row>
    <row r="59" spans="1:21" ht="18.75" customHeight="1">
      <c r="A59" s="17"/>
    </row>
    <row r="60" spans="1:21" ht="18.75" customHeight="1">
      <c r="A60" s="17"/>
    </row>
    <row r="61" spans="1:21" ht="18.75" customHeight="1">
      <c r="A61" s="17"/>
    </row>
    <row r="62" spans="1:21" ht="18.75" customHeight="1">
      <c r="A62" s="17"/>
    </row>
    <row r="63" spans="1:21" ht="18.75" customHeight="1">
      <c r="A63" s="17"/>
    </row>
    <row r="64" spans="1:21" ht="18.75" customHeight="1">
      <c r="A64" s="17"/>
    </row>
    <row r="65" spans="1:1" ht="18.75" customHeight="1">
      <c r="A65" s="17"/>
    </row>
    <row r="66" spans="1:1" ht="18.75" customHeight="1">
      <c r="A66" s="17"/>
    </row>
    <row r="67" spans="1:1" ht="18.75" customHeight="1">
      <c r="A67" s="17"/>
    </row>
    <row r="68" spans="1:1" ht="18.75" customHeight="1">
      <c r="A68" s="17"/>
    </row>
    <row r="69" spans="1:1" ht="18.75" customHeight="1">
      <c r="A69" s="17"/>
    </row>
    <row r="70" spans="1:1" ht="18.75" customHeight="1">
      <c r="A70" s="17"/>
    </row>
    <row r="71" spans="1:1" ht="18.75" customHeight="1">
      <c r="A71" s="17"/>
    </row>
    <row r="72" spans="1:1" ht="18.75" customHeight="1">
      <c r="A72" s="17"/>
    </row>
    <row r="73" spans="1:1" ht="18.75" customHeight="1">
      <c r="A73" s="17"/>
    </row>
    <row r="74" spans="1:1" ht="18.75" customHeight="1">
      <c r="A74" s="17"/>
    </row>
    <row r="75" spans="1:1" ht="18.75" customHeight="1">
      <c r="A75" s="17"/>
    </row>
    <row r="76" spans="1:1" ht="18.75" customHeight="1">
      <c r="A76" s="17"/>
    </row>
    <row r="77" spans="1:1" ht="18.75" customHeight="1">
      <c r="A77" s="17"/>
    </row>
    <row r="78" spans="1:1" ht="18.75" customHeight="1">
      <c r="A78" s="17"/>
    </row>
    <row r="79" spans="1:1" ht="18.75" customHeight="1">
      <c r="A79" s="17"/>
    </row>
    <row r="80" spans="1:1" ht="18.75" customHeight="1">
      <c r="A80" s="17"/>
    </row>
    <row r="81" spans="1:1" ht="18.75" customHeight="1">
      <c r="A81" s="17"/>
    </row>
    <row r="82" spans="1:1" ht="18.75" customHeight="1">
      <c r="A82" s="17"/>
    </row>
    <row r="83" spans="1:1" ht="18.75" customHeight="1">
      <c r="A83" s="17"/>
    </row>
    <row r="84" spans="1:1" ht="18.75" customHeight="1">
      <c r="A84" s="17"/>
    </row>
    <row r="85" spans="1:1" ht="18.75" customHeight="1">
      <c r="A85" s="17"/>
    </row>
    <row r="86" spans="1:1" ht="18.75" customHeight="1">
      <c r="A86" s="17"/>
    </row>
    <row r="87" spans="1:1" ht="18.75" customHeight="1">
      <c r="A87" s="17"/>
    </row>
    <row r="88" spans="1:1" ht="18.75" customHeight="1">
      <c r="A88" s="17"/>
    </row>
    <row r="89" spans="1:1" ht="18.75" customHeight="1">
      <c r="A89" s="17"/>
    </row>
    <row r="90" spans="1:1" ht="18.75" customHeight="1">
      <c r="A90" s="17"/>
    </row>
    <row r="91" spans="1:1" ht="18.75" customHeight="1">
      <c r="A91" s="17"/>
    </row>
    <row r="92" spans="1:1" ht="18.75" customHeight="1">
      <c r="A92" s="17"/>
    </row>
    <row r="93" spans="1:1" ht="18.75" customHeight="1">
      <c r="A93" s="17"/>
    </row>
    <row r="94" spans="1:1" ht="18.75" customHeight="1">
      <c r="A94" s="17"/>
    </row>
    <row r="95" spans="1:1" ht="18.75" customHeight="1">
      <c r="A95" s="17"/>
    </row>
    <row r="96" spans="1:1" ht="18.75" customHeight="1">
      <c r="A96" s="17"/>
    </row>
    <row r="97" spans="1:1" ht="18.75" customHeight="1">
      <c r="A97" s="17"/>
    </row>
    <row r="98" spans="1:1" ht="18.75" customHeight="1">
      <c r="A98" s="17"/>
    </row>
    <row r="99" spans="1:1" ht="18.75" customHeight="1">
      <c r="A99" s="17"/>
    </row>
    <row r="100" spans="1:1" ht="18.75" customHeight="1">
      <c r="A100" s="17"/>
    </row>
    <row r="101" spans="1:1" ht="18.75" customHeight="1">
      <c r="A101" s="17"/>
    </row>
    <row r="102" spans="1:1" s="35" customFormat="1" ht="18.75" customHeight="1"/>
    <row r="103" spans="1:1" ht="18.75" customHeight="1">
      <c r="A103" s="17"/>
    </row>
    <row r="104" spans="1:1" ht="18.75" customHeight="1">
      <c r="A104" s="17"/>
    </row>
    <row r="105" spans="1:1" ht="18.75" customHeight="1">
      <c r="A105" s="17"/>
    </row>
    <row r="106" spans="1:1" ht="18.75" customHeight="1">
      <c r="A106" s="17"/>
    </row>
    <row r="107" spans="1:1" ht="18.75" customHeight="1">
      <c r="A107" s="17"/>
    </row>
    <row r="108" spans="1:1" ht="18.75" customHeight="1">
      <c r="A108" s="17"/>
    </row>
    <row r="109" spans="1:1" ht="18.75" customHeight="1">
      <c r="A109" s="17"/>
    </row>
    <row r="110" spans="1:1" ht="18.75" customHeight="1">
      <c r="A110" s="17"/>
    </row>
    <row r="111" spans="1:1" ht="18.75" customHeight="1">
      <c r="A111" s="17"/>
    </row>
    <row r="112" spans="1:1" ht="18.75" customHeight="1">
      <c r="A112" s="17"/>
    </row>
    <row r="113" spans="1:1" ht="18.75" customHeight="1">
      <c r="A113" s="17"/>
    </row>
    <row r="114" spans="1:1" ht="18.75" customHeight="1">
      <c r="A114" s="17"/>
    </row>
    <row r="115" spans="1:1" ht="18.75" customHeight="1">
      <c r="A115" s="17"/>
    </row>
    <row r="116" spans="1:1" ht="18.75" customHeight="1">
      <c r="A116" s="17"/>
    </row>
    <row r="117" spans="1:1" ht="18.75" customHeight="1">
      <c r="A117" s="17"/>
    </row>
    <row r="118" spans="1:1" ht="18.75" customHeight="1">
      <c r="A118" s="17"/>
    </row>
    <row r="119" spans="1:1" ht="18.75" customHeight="1">
      <c r="A119" s="17"/>
    </row>
    <row r="120" spans="1:1" ht="18.75" customHeight="1">
      <c r="A120" s="17"/>
    </row>
    <row r="121" spans="1:1" ht="18.75" customHeight="1">
      <c r="A121" s="17"/>
    </row>
    <row r="122" spans="1:1" ht="18.75" customHeight="1">
      <c r="A122" s="17"/>
    </row>
    <row r="123" spans="1:1" ht="18.75" customHeight="1">
      <c r="A123" s="17"/>
    </row>
    <row r="124" spans="1:1" ht="18.75" customHeight="1">
      <c r="A124" s="17"/>
    </row>
    <row r="125" spans="1:1" ht="18" customHeight="1">
      <c r="A125" s="17"/>
    </row>
    <row r="126" spans="1:1" ht="18" customHeight="1">
      <c r="A126" s="17"/>
    </row>
    <row r="127" spans="1:1" ht="18" customHeight="1">
      <c r="A127" s="17"/>
    </row>
    <row r="128" spans="1:1" ht="18" customHeight="1">
      <c r="A128" s="17"/>
    </row>
    <row r="129" spans="1:1" ht="18.75" customHeight="1">
      <c r="A129" s="17"/>
    </row>
    <row r="130" spans="1:1" ht="18.75" customHeight="1">
      <c r="A130" s="17"/>
    </row>
    <row r="131" spans="1:1" ht="18.75" customHeight="1">
      <c r="A131" s="17"/>
    </row>
    <row r="132" spans="1:1" ht="18.75" customHeight="1">
      <c r="A132" s="17"/>
    </row>
    <row r="133" spans="1:1" ht="18.75" customHeight="1">
      <c r="A133" s="17"/>
    </row>
    <row r="134" spans="1:1" ht="18.75" customHeight="1">
      <c r="A134" s="17"/>
    </row>
    <row r="135" spans="1:1" ht="18.75" customHeight="1">
      <c r="A135" s="17"/>
    </row>
    <row r="136" spans="1:1" ht="18.75" customHeight="1">
      <c r="A136" s="17"/>
    </row>
    <row r="137" spans="1:1" ht="18.75" customHeight="1">
      <c r="A137" s="17"/>
    </row>
    <row r="138" spans="1:1" ht="18.75" customHeight="1">
      <c r="A138" s="17"/>
    </row>
    <row r="139" spans="1:1" ht="18.75" customHeight="1">
      <c r="A139" s="17"/>
    </row>
    <row r="140" spans="1:1" ht="18.75" customHeight="1">
      <c r="A140" s="17"/>
    </row>
    <row r="141" spans="1:1" ht="18.75" customHeight="1">
      <c r="A141" s="17"/>
    </row>
    <row r="142" spans="1:1" ht="18.75" customHeight="1">
      <c r="A142" s="17"/>
    </row>
    <row r="143" spans="1:1" ht="18.75" customHeight="1">
      <c r="A143" s="17"/>
    </row>
    <row r="144" spans="1:1" ht="18.75" customHeight="1">
      <c r="A144" s="17"/>
    </row>
    <row r="145" spans="1:1" ht="18.75" customHeight="1">
      <c r="A145" s="17"/>
    </row>
    <row r="146" spans="1:1" ht="18.75" customHeight="1">
      <c r="A146" s="17"/>
    </row>
    <row r="147" spans="1:1" ht="18.75" customHeight="1">
      <c r="A147" s="17"/>
    </row>
    <row r="148" spans="1:1" ht="18.75" customHeight="1">
      <c r="A148" s="17"/>
    </row>
    <row r="149" spans="1:1" ht="18.75" customHeight="1">
      <c r="A149" s="17"/>
    </row>
    <row r="150" spans="1:1" ht="18.75" customHeight="1">
      <c r="A150" s="17"/>
    </row>
    <row r="151" spans="1:1" ht="18.75" customHeight="1">
      <c r="A151" s="17"/>
    </row>
    <row r="152" spans="1:1" ht="18.75" customHeight="1">
      <c r="A152" s="17"/>
    </row>
    <row r="153" spans="1:1" ht="18.75" customHeight="1">
      <c r="A153" s="17"/>
    </row>
    <row r="154" spans="1:1" ht="18.75" customHeight="1">
      <c r="A154" s="17"/>
    </row>
    <row r="155" spans="1:1" ht="18.75" customHeight="1">
      <c r="A155" s="17"/>
    </row>
    <row r="156" spans="1:1" ht="18.75" customHeight="1">
      <c r="A156" s="17"/>
    </row>
    <row r="157" spans="1:1" ht="18.75" customHeight="1">
      <c r="A157" s="17"/>
    </row>
    <row r="158" spans="1:1" ht="18.75" customHeight="1">
      <c r="A158" s="17"/>
    </row>
    <row r="159" spans="1:1" ht="18.75" customHeight="1">
      <c r="A159" s="17"/>
    </row>
    <row r="160" spans="1:1" ht="18.75" customHeight="1">
      <c r="A160" s="17"/>
    </row>
    <row r="161" spans="1:1" ht="18.75" customHeight="1">
      <c r="A161" s="17"/>
    </row>
    <row r="162" spans="1:1" ht="18.75" customHeight="1">
      <c r="A162" s="17"/>
    </row>
    <row r="163" spans="1:1" ht="18.75" customHeight="1">
      <c r="A163" s="17"/>
    </row>
    <row r="164" spans="1:1" ht="18.75" customHeight="1">
      <c r="A164" s="17"/>
    </row>
    <row r="165" spans="1:1" ht="18.75" customHeight="1">
      <c r="A165" s="17"/>
    </row>
    <row r="166" spans="1:1" ht="18.75" customHeight="1">
      <c r="A166" s="17"/>
    </row>
    <row r="167" spans="1:1" ht="18.75" customHeight="1">
      <c r="A167" s="17"/>
    </row>
    <row r="168" spans="1:1" ht="18.75" customHeight="1">
      <c r="A168" s="17"/>
    </row>
    <row r="169" spans="1:1" ht="18.75" customHeight="1">
      <c r="A169" s="17"/>
    </row>
    <row r="170" spans="1:1" ht="18.75" customHeight="1">
      <c r="A170" s="17"/>
    </row>
    <row r="171" spans="1:1" ht="18.75" customHeight="1">
      <c r="A171" s="17"/>
    </row>
    <row r="172" spans="1:1" ht="18.75" customHeight="1">
      <c r="A172" s="17"/>
    </row>
    <row r="173" spans="1:1" ht="18.75" customHeight="1">
      <c r="A173" s="17"/>
    </row>
    <row r="174" spans="1:1" ht="18.75" customHeight="1">
      <c r="A174" s="17"/>
    </row>
    <row r="175" spans="1:1" ht="18.75" customHeight="1">
      <c r="A175" s="17"/>
    </row>
    <row r="176" spans="1:1" ht="18.75" customHeight="1">
      <c r="A176" s="17"/>
    </row>
    <row r="177" spans="1:1" ht="18.75" customHeight="1">
      <c r="A177" s="17"/>
    </row>
    <row r="178" spans="1:1" ht="18.75" customHeight="1">
      <c r="A178" s="17"/>
    </row>
    <row r="179" spans="1:1" ht="18.75" customHeight="1">
      <c r="A179" s="17"/>
    </row>
    <row r="180" spans="1:1" ht="18.75" customHeight="1">
      <c r="A180" s="17"/>
    </row>
    <row r="181" spans="1:1" ht="18.75" customHeight="1">
      <c r="A181" s="17"/>
    </row>
    <row r="182" spans="1:1" ht="18.75" customHeight="1">
      <c r="A182" s="17"/>
    </row>
    <row r="183" spans="1:1" ht="18.75" customHeight="1">
      <c r="A183" s="17"/>
    </row>
    <row r="184" spans="1:1" ht="18.75" customHeight="1">
      <c r="A184" s="17"/>
    </row>
    <row r="185" spans="1:1" ht="18.75" customHeight="1">
      <c r="A185" s="17"/>
    </row>
    <row r="186" spans="1:1" ht="18.75" customHeight="1">
      <c r="A186" s="17"/>
    </row>
    <row r="187" spans="1:1" ht="18.75" customHeight="1">
      <c r="A187" s="17"/>
    </row>
    <row r="188" spans="1:1" s="35" customFormat="1" ht="18.75" customHeight="1"/>
    <row r="189" spans="1:1" ht="18.75" customHeight="1">
      <c r="A189" s="17"/>
    </row>
    <row r="190" spans="1:1" ht="18.75" customHeight="1">
      <c r="A190" s="17"/>
    </row>
    <row r="191" spans="1:1" ht="18.75" customHeight="1">
      <c r="A191" s="17"/>
    </row>
    <row r="192" spans="1:1" ht="18.75" customHeight="1">
      <c r="A192" s="17"/>
    </row>
    <row r="193" spans="1:7" ht="18.75" customHeight="1">
      <c r="A193" s="17"/>
    </row>
    <row r="194" spans="1:7" ht="18.75" customHeight="1">
      <c r="A194" s="17"/>
    </row>
    <row r="195" spans="1:7" ht="18.75" customHeight="1">
      <c r="A195" s="17"/>
    </row>
    <row r="196" spans="1:7" ht="18.75" customHeight="1">
      <c r="A196" s="17"/>
    </row>
    <row r="197" spans="1:7" ht="18.75" customHeight="1">
      <c r="A197" s="17"/>
    </row>
    <row r="198" spans="1:7" ht="18.75" customHeight="1">
      <c r="A198" s="17"/>
    </row>
    <row r="199" spans="1:7" ht="18.75" customHeight="1">
      <c r="A199" s="17"/>
    </row>
    <row r="200" spans="1:7" ht="18.75" customHeight="1">
      <c r="A200" s="17"/>
    </row>
    <row r="201" spans="1:7" ht="18.75" customHeight="1">
      <c r="A201" s="17"/>
    </row>
    <row r="202" spans="1:7" ht="18.75" customHeight="1">
      <c r="A202" s="17"/>
    </row>
    <row r="203" spans="1:7" ht="18.75" customHeight="1">
      <c r="A203" s="17"/>
    </row>
    <row r="204" spans="1:7" ht="18.75" customHeight="1">
      <c r="A204" s="17"/>
    </row>
    <row r="205" spans="1:7" ht="18.75" customHeight="1">
      <c r="A205" s="17"/>
    </row>
    <row r="206" spans="1:7" ht="18.75" customHeight="1">
      <c r="A206" s="17"/>
    </row>
    <row r="207" spans="1:7" s="32" customFormat="1" ht="18.75" customHeight="1">
      <c r="G207" s="106"/>
    </row>
    <row r="208" spans="1:7" ht="18.75" customHeight="1">
      <c r="A208" s="17"/>
    </row>
    <row r="209" spans="1:1" ht="18.75" customHeight="1">
      <c r="A209" s="17"/>
    </row>
    <row r="210" spans="1:1" s="35" customFormat="1" ht="18.75" customHeight="1"/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17"/>
    </row>
    <row r="222" spans="1:1">
      <c r="A222" s="17"/>
    </row>
    <row r="223" spans="1:1">
      <c r="A223" s="17"/>
    </row>
    <row r="224" spans="1:1">
      <c r="A224" s="17"/>
    </row>
    <row r="225" spans="1:1">
      <c r="A225" s="17"/>
    </row>
    <row r="226" spans="1:1">
      <c r="A226" s="17"/>
    </row>
    <row r="227" spans="1:1">
      <c r="A227" s="17"/>
    </row>
    <row r="228" spans="1:1">
      <c r="A228" s="17"/>
    </row>
    <row r="229" spans="1:1">
      <c r="A229" s="17"/>
    </row>
    <row r="230" spans="1:1">
      <c r="A230" s="17"/>
    </row>
    <row r="231" spans="1:1">
      <c r="A231" s="17"/>
    </row>
    <row r="232" spans="1:1">
      <c r="A232" s="17"/>
    </row>
    <row r="233" spans="1:1">
      <c r="A233" s="17"/>
    </row>
    <row r="234" spans="1:1">
      <c r="A234" s="17"/>
    </row>
    <row r="235" spans="1:1">
      <c r="A235" s="17"/>
    </row>
    <row r="236" spans="1:1">
      <c r="A236" s="17"/>
    </row>
    <row r="237" spans="1:1">
      <c r="A237" s="17"/>
    </row>
    <row r="238" spans="1:1">
      <c r="A238" s="17"/>
    </row>
    <row r="239" spans="1:1">
      <c r="A239" s="17"/>
    </row>
    <row r="240" spans="1:1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</sheetData>
  <autoFilter ref="A6:U210"/>
  <mergeCells count="11">
    <mergeCell ref="A49:B49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41"/>
  <sheetViews>
    <sheetView workbookViewId="0">
      <selection activeCell="A2" sqref="A2:U2"/>
    </sheetView>
  </sheetViews>
  <sheetFormatPr defaultColWidth="9.140625" defaultRowHeight="12"/>
  <cols>
    <col min="1" max="1" width="4.5703125" style="5" bestFit="1" customWidth="1"/>
    <col min="2" max="2" width="23.7109375" style="1" customWidth="1"/>
    <col min="3" max="4" width="6.85546875" style="1" bestFit="1" customWidth="1"/>
    <col min="5" max="7" width="9.140625" style="1" customWidth="1"/>
    <col min="8" max="8" width="9.85546875" style="1" customWidth="1"/>
    <col min="9" max="9" width="8.140625" style="1" bestFit="1" customWidth="1"/>
    <col min="10" max="10" width="8.42578125" style="1" bestFit="1" customWidth="1"/>
    <col min="11" max="11" width="9.28515625" style="1" bestFit="1" customWidth="1"/>
    <col min="12" max="12" width="8.7109375" style="1" customWidth="1"/>
    <col min="13" max="13" width="7.85546875" style="1" customWidth="1"/>
    <col min="14" max="14" width="8.28515625" style="1" bestFit="1" customWidth="1"/>
    <col min="15" max="16" width="9.28515625" style="1" bestFit="1" customWidth="1"/>
    <col min="17" max="17" width="9.5703125" style="1" bestFit="1" customWidth="1"/>
    <col min="18" max="18" width="10.28515625" style="1" bestFit="1" customWidth="1"/>
    <col min="19" max="19" width="6.5703125" style="1" customWidth="1"/>
    <col min="20" max="20" width="7.28515625" style="1" customWidth="1"/>
    <col min="21" max="21" width="8.7109375" style="1" customWidth="1"/>
    <col min="22" max="16384" width="9.140625" style="1"/>
  </cols>
  <sheetData>
    <row r="1" spans="1:25" ht="19.899999999999999" customHeight="1">
      <c r="A1" s="182" t="s">
        <v>259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</row>
    <row r="2" spans="1:25" ht="20.45" customHeight="1">
      <c r="A2" s="183" t="s">
        <v>349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5" ht="18" customHeight="1">
      <c r="U3" s="6" t="s">
        <v>20</v>
      </c>
    </row>
    <row r="4" spans="1:25" ht="21.75" customHeight="1">
      <c r="A4" s="180" t="s">
        <v>0</v>
      </c>
      <c r="B4" s="180" t="s">
        <v>18</v>
      </c>
      <c r="C4" s="184" t="s">
        <v>1</v>
      </c>
      <c r="D4" s="185"/>
      <c r="E4" s="189" t="s">
        <v>4</v>
      </c>
      <c r="F4" s="190"/>
      <c r="G4" s="191"/>
      <c r="H4" s="180" t="s">
        <v>5</v>
      </c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76" t="s">
        <v>194</v>
      </c>
      <c r="W4" s="177"/>
    </row>
    <row r="5" spans="1:25" ht="21.75" customHeight="1">
      <c r="A5" s="180"/>
      <c r="B5" s="180"/>
      <c r="C5" s="186"/>
      <c r="D5" s="187"/>
      <c r="E5" s="192"/>
      <c r="F5" s="193"/>
      <c r="G5" s="194"/>
      <c r="H5" s="188" t="s">
        <v>6</v>
      </c>
      <c r="I5" s="180" t="s">
        <v>190</v>
      </c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8" t="s">
        <v>19</v>
      </c>
      <c r="V5" s="178" t="s">
        <v>189</v>
      </c>
      <c r="W5" s="179" t="s">
        <v>191</v>
      </c>
    </row>
    <row r="6" spans="1:25" ht="78" customHeight="1">
      <c r="A6" s="180"/>
      <c r="B6" s="180"/>
      <c r="C6" s="7" t="s">
        <v>2</v>
      </c>
      <c r="D6" s="7" t="s">
        <v>3</v>
      </c>
      <c r="E6" s="7" t="s">
        <v>189</v>
      </c>
      <c r="F6" s="8" t="s">
        <v>191</v>
      </c>
      <c r="G6" s="107" t="s">
        <v>19</v>
      </c>
      <c r="H6" s="188"/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8" t="s">
        <v>13</v>
      </c>
      <c r="P6" s="8" t="s">
        <v>14</v>
      </c>
      <c r="Q6" s="8" t="s">
        <v>15</v>
      </c>
      <c r="R6" s="8" t="s">
        <v>17</v>
      </c>
      <c r="S6" s="8" t="s">
        <v>16</v>
      </c>
      <c r="T6" s="8" t="s">
        <v>193</v>
      </c>
      <c r="U6" s="188"/>
      <c r="V6" s="178"/>
      <c r="W6" s="179"/>
    </row>
    <row r="7" spans="1:25" ht="18.75" customHeight="1">
      <c r="A7" s="15">
        <v>1</v>
      </c>
      <c r="B7" s="53" t="s">
        <v>260</v>
      </c>
      <c r="C7" s="15">
        <v>11</v>
      </c>
      <c r="D7" s="15">
        <v>11</v>
      </c>
      <c r="E7" s="54">
        <v>1362</v>
      </c>
      <c r="F7" s="54">
        <f>C7*20.24</f>
        <v>222.64</v>
      </c>
      <c r="G7" s="54">
        <f>E7+F7</f>
        <v>1584.6399999999999</v>
      </c>
      <c r="H7" s="54">
        <v>1362</v>
      </c>
      <c r="I7" s="54">
        <v>15</v>
      </c>
      <c r="J7" s="54">
        <v>8</v>
      </c>
      <c r="K7" s="54">
        <v>19</v>
      </c>
      <c r="L7" s="54">
        <v>4.351</v>
      </c>
      <c r="M7" s="54">
        <v>26</v>
      </c>
      <c r="N7" s="54"/>
      <c r="O7" s="54">
        <v>38</v>
      </c>
      <c r="P7" s="54"/>
      <c r="Q7" s="54">
        <v>70</v>
      </c>
      <c r="R7" s="54"/>
      <c r="S7" s="54">
        <v>42</v>
      </c>
      <c r="T7" s="29">
        <f>SUM(I7:S7)</f>
        <v>222.351</v>
      </c>
      <c r="U7" s="29">
        <f>T7+H7</f>
        <v>1584.3510000000001</v>
      </c>
      <c r="V7" s="38">
        <f>E7-H7</f>
        <v>0</v>
      </c>
      <c r="W7" s="38">
        <f>F7-T7</f>
        <v>0.28899999999998727</v>
      </c>
      <c r="X7" s="28">
        <f>SUM(V7:W7)</f>
        <v>0.28899999999998727</v>
      </c>
      <c r="Y7" s="1">
        <f>F7/C7</f>
        <v>20.239999999999998</v>
      </c>
    </row>
    <row r="8" spans="1:25" ht="18.75" customHeight="1">
      <c r="A8" s="15">
        <v>2</v>
      </c>
      <c r="B8" s="53" t="s">
        <v>261</v>
      </c>
      <c r="C8" s="15">
        <v>13</v>
      </c>
      <c r="D8" s="15">
        <v>13</v>
      </c>
      <c r="E8" s="54">
        <v>1465</v>
      </c>
      <c r="F8" s="54">
        <f t="shared" ref="F8:F20" si="0">C8*20.24</f>
        <v>263.12</v>
      </c>
      <c r="G8" s="54">
        <f t="shared" ref="G8:G45" si="1">E8+F8</f>
        <v>1728.12</v>
      </c>
      <c r="H8" s="54">
        <v>1465</v>
      </c>
      <c r="I8" s="54">
        <v>39</v>
      </c>
      <c r="J8" s="54">
        <v>14</v>
      </c>
      <c r="K8" s="54">
        <v>84</v>
      </c>
      <c r="L8" s="54">
        <v>4</v>
      </c>
      <c r="M8" s="54">
        <v>21</v>
      </c>
      <c r="N8" s="54">
        <v>24</v>
      </c>
      <c r="O8" s="54">
        <v>22</v>
      </c>
      <c r="P8" s="54" t="s">
        <v>41</v>
      </c>
      <c r="Q8" s="54">
        <v>16</v>
      </c>
      <c r="R8" s="54" t="s">
        <v>40</v>
      </c>
      <c r="S8" s="54">
        <v>39</v>
      </c>
      <c r="T8" s="29">
        <f t="shared" ref="T8:T45" si="2">SUM(I8:S8)</f>
        <v>263</v>
      </c>
      <c r="U8" s="29">
        <f t="shared" ref="U8:U45" si="3">T8+H8</f>
        <v>1728</v>
      </c>
      <c r="V8" s="38">
        <f t="shared" ref="V8:V45" si="4">E8-H8</f>
        <v>0</v>
      </c>
      <c r="W8" s="38">
        <f t="shared" ref="W8:W45" si="5">F8-T8</f>
        <v>0.12000000000000455</v>
      </c>
      <c r="X8" s="28">
        <f t="shared" ref="X8:X45" si="6">SUM(V8:W8)</f>
        <v>0.12000000000000455</v>
      </c>
      <c r="Y8" s="1">
        <f t="shared" ref="Y8:Y45" si="7">F8/C8</f>
        <v>20.240000000000002</v>
      </c>
    </row>
    <row r="9" spans="1:25" ht="18.75" customHeight="1">
      <c r="A9" s="15">
        <v>3</v>
      </c>
      <c r="B9" s="14" t="s">
        <v>262</v>
      </c>
      <c r="C9" s="15">
        <v>11</v>
      </c>
      <c r="D9" s="15">
        <v>11</v>
      </c>
      <c r="E9" s="54">
        <v>1168</v>
      </c>
      <c r="F9" s="54">
        <f t="shared" si="0"/>
        <v>222.64</v>
      </c>
      <c r="G9" s="54">
        <f t="shared" si="1"/>
        <v>1390.6399999999999</v>
      </c>
      <c r="H9" s="54">
        <v>1170</v>
      </c>
      <c r="I9" s="54">
        <v>55</v>
      </c>
      <c r="J9" s="54">
        <v>16</v>
      </c>
      <c r="K9" s="54">
        <v>15</v>
      </c>
      <c r="L9" s="54">
        <v>1.98</v>
      </c>
      <c r="M9" s="54">
        <v>38</v>
      </c>
      <c r="N9" s="54">
        <v>2.5</v>
      </c>
      <c r="O9" s="54">
        <v>15</v>
      </c>
      <c r="P9" s="54">
        <v>6.5</v>
      </c>
      <c r="Q9" s="54">
        <v>13.236000000000001</v>
      </c>
      <c r="R9" s="54"/>
      <c r="S9" s="54">
        <f>10+47.3</f>
        <v>57.3</v>
      </c>
      <c r="T9" s="29">
        <f t="shared" si="2"/>
        <v>220.51600000000002</v>
      </c>
      <c r="U9" s="29">
        <f t="shared" si="3"/>
        <v>1390.5160000000001</v>
      </c>
      <c r="V9" s="38">
        <f t="shared" si="4"/>
        <v>-2</v>
      </c>
      <c r="W9" s="38">
        <f t="shared" si="5"/>
        <v>2.1239999999999668</v>
      </c>
      <c r="X9" s="28">
        <f t="shared" si="6"/>
        <v>0.1239999999999668</v>
      </c>
      <c r="Y9" s="1">
        <f t="shared" si="7"/>
        <v>20.239999999999998</v>
      </c>
    </row>
    <row r="10" spans="1:25" ht="18.75" customHeight="1">
      <c r="A10" s="15">
        <v>4</v>
      </c>
      <c r="B10" s="14" t="s">
        <v>263</v>
      </c>
      <c r="C10" s="15">
        <v>11</v>
      </c>
      <c r="D10" s="15">
        <v>11</v>
      </c>
      <c r="E10" s="54">
        <v>1098</v>
      </c>
      <c r="F10" s="54">
        <f t="shared" si="0"/>
        <v>222.64</v>
      </c>
      <c r="G10" s="54">
        <f t="shared" si="1"/>
        <v>1320.6399999999999</v>
      </c>
      <c r="H10" s="54">
        <v>1100</v>
      </c>
      <c r="I10" s="54">
        <v>21.2</v>
      </c>
      <c r="J10" s="54">
        <v>3.9</v>
      </c>
      <c r="K10" s="54">
        <v>9</v>
      </c>
      <c r="L10" s="54">
        <v>11</v>
      </c>
      <c r="M10" s="54">
        <v>30</v>
      </c>
      <c r="N10" s="54">
        <v>12</v>
      </c>
      <c r="O10" s="54">
        <v>30</v>
      </c>
      <c r="P10" s="54">
        <v>16.5</v>
      </c>
      <c r="Q10" s="54">
        <v>20.9</v>
      </c>
      <c r="R10" s="54"/>
      <c r="S10" s="54">
        <v>66</v>
      </c>
      <c r="T10" s="29">
        <f t="shared" si="2"/>
        <v>220.5</v>
      </c>
      <c r="U10" s="29">
        <f t="shared" si="3"/>
        <v>1320.5</v>
      </c>
      <c r="V10" s="38">
        <f t="shared" si="4"/>
        <v>-2</v>
      </c>
      <c r="W10" s="38">
        <f t="shared" si="5"/>
        <v>2.1399999999999864</v>
      </c>
      <c r="X10" s="28">
        <f t="shared" si="6"/>
        <v>0.13999999999998636</v>
      </c>
      <c r="Y10" s="1">
        <f t="shared" si="7"/>
        <v>20.239999999999998</v>
      </c>
    </row>
    <row r="11" spans="1:25" ht="18.75" customHeight="1">
      <c r="A11" s="15">
        <v>5</v>
      </c>
      <c r="B11" s="14" t="s">
        <v>264</v>
      </c>
      <c r="C11" s="15">
        <v>16</v>
      </c>
      <c r="D11" s="15">
        <v>16</v>
      </c>
      <c r="E11" s="54">
        <v>1811.5</v>
      </c>
      <c r="F11" s="54">
        <f t="shared" si="0"/>
        <v>323.83999999999997</v>
      </c>
      <c r="G11" s="54">
        <f t="shared" si="1"/>
        <v>2135.34</v>
      </c>
      <c r="H11" s="54">
        <v>1814</v>
      </c>
      <c r="I11" s="54">
        <v>30</v>
      </c>
      <c r="J11" s="54">
        <v>9</v>
      </c>
      <c r="K11" s="54">
        <v>35</v>
      </c>
      <c r="L11" s="54">
        <v>2</v>
      </c>
      <c r="M11" s="54">
        <v>40</v>
      </c>
      <c r="N11" s="54">
        <v>41</v>
      </c>
      <c r="O11" s="54">
        <v>20</v>
      </c>
      <c r="P11" s="54">
        <v>40</v>
      </c>
      <c r="Q11" s="54">
        <v>87</v>
      </c>
      <c r="R11" s="54" t="s">
        <v>40</v>
      </c>
      <c r="S11" s="54">
        <v>17</v>
      </c>
      <c r="T11" s="29">
        <f t="shared" si="2"/>
        <v>321</v>
      </c>
      <c r="U11" s="29">
        <f t="shared" si="3"/>
        <v>2135</v>
      </c>
      <c r="V11" s="38">
        <f t="shared" si="4"/>
        <v>-2.5</v>
      </c>
      <c r="W11" s="38">
        <f t="shared" si="5"/>
        <v>2.839999999999975</v>
      </c>
      <c r="X11" s="28">
        <f t="shared" si="6"/>
        <v>0.33999999999997499</v>
      </c>
      <c r="Y11" s="1">
        <f t="shared" si="7"/>
        <v>20.239999999999998</v>
      </c>
    </row>
    <row r="12" spans="1:25" ht="18.75" customHeight="1">
      <c r="A12" s="15">
        <v>6</v>
      </c>
      <c r="B12" s="14" t="s">
        <v>265</v>
      </c>
      <c r="C12" s="15">
        <v>18</v>
      </c>
      <c r="D12" s="15">
        <v>18</v>
      </c>
      <c r="E12" s="54">
        <v>2094</v>
      </c>
      <c r="F12" s="54">
        <f t="shared" si="0"/>
        <v>364.32</v>
      </c>
      <c r="G12" s="54">
        <f t="shared" si="1"/>
        <v>2458.3200000000002</v>
      </c>
      <c r="H12" s="54">
        <v>2095</v>
      </c>
      <c r="I12" s="54">
        <v>50</v>
      </c>
      <c r="J12" s="54">
        <v>12.05</v>
      </c>
      <c r="K12" s="54">
        <v>30</v>
      </c>
      <c r="L12" s="54">
        <v>2.88</v>
      </c>
      <c r="M12" s="54">
        <v>18</v>
      </c>
      <c r="N12" s="54">
        <v>24</v>
      </c>
      <c r="O12" s="54">
        <v>99.24</v>
      </c>
      <c r="P12" s="54">
        <v>6.6</v>
      </c>
      <c r="Q12" s="54">
        <v>60</v>
      </c>
      <c r="R12" s="54"/>
      <c r="S12" s="54">
        <v>61</v>
      </c>
      <c r="T12" s="29">
        <f t="shared" si="2"/>
        <v>363.77</v>
      </c>
      <c r="U12" s="29">
        <f t="shared" si="3"/>
        <v>2458.77</v>
      </c>
      <c r="V12" s="38">
        <f t="shared" si="4"/>
        <v>-1</v>
      </c>
      <c r="W12" s="38">
        <f t="shared" si="5"/>
        <v>0.55000000000001137</v>
      </c>
      <c r="X12" s="28">
        <f t="shared" si="6"/>
        <v>-0.44999999999998863</v>
      </c>
      <c r="Y12" s="1">
        <f t="shared" si="7"/>
        <v>20.239999999999998</v>
      </c>
    </row>
    <row r="13" spans="1:25" ht="18.75" customHeight="1">
      <c r="A13" s="15">
        <v>7</v>
      </c>
      <c r="B13" s="14" t="s">
        <v>266</v>
      </c>
      <c r="C13" s="15">
        <v>11</v>
      </c>
      <c r="D13" s="15">
        <v>11</v>
      </c>
      <c r="E13" s="54">
        <v>1536</v>
      </c>
      <c r="F13" s="54">
        <f t="shared" si="0"/>
        <v>222.64</v>
      </c>
      <c r="G13" s="54">
        <f t="shared" si="1"/>
        <v>1758.6399999999999</v>
      </c>
      <c r="H13" s="54">
        <v>1521</v>
      </c>
      <c r="I13" s="54">
        <v>9</v>
      </c>
      <c r="J13" s="54">
        <v>12</v>
      </c>
      <c r="K13" s="54">
        <v>15</v>
      </c>
      <c r="L13" s="54">
        <v>5</v>
      </c>
      <c r="M13" s="54">
        <v>41</v>
      </c>
      <c r="N13" s="54">
        <v>18</v>
      </c>
      <c r="O13" s="54">
        <v>70</v>
      </c>
      <c r="P13" s="54">
        <v>20</v>
      </c>
      <c r="Q13" s="54">
        <v>30</v>
      </c>
      <c r="R13" s="54" t="s">
        <v>40</v>
      </c>
      <c r="S13" s="54">
        <v>18</v>
      </c>
      <c r="T13" s="29">
        <f t="shared" si="2"/>
        <v>238</v>
      </c>
      <c r="U13" s="29">
        <f t="shared" si="3"/>
        <v>1759</v>
      </c>
      <c r="V13" s="38">
        <f t="shared" si="4"/>
        <v>15</v>
      </c>
      <c r="W13" s="38">
        <f t="shared" si="5"/>
        <v>-15.360000000000014</v>
      </c>
      <c r="X13" s="28">
        <f t="shared" si="6"/>
        <v>-0.36000000000001364</v>
      </c>
      <c r="Y13" s="1">
        <f t="shared" si="7"/>
        <v>20.239999999999998</v>
      </c>
    </row>
    <row r="14" spans="1:25" ht="18.75" customHeight="1">
      <c r="A14" s="15">
        <v>8</v>
      </c>
      <c r="B14" s="14" t="s">
        <v>267</v>
      </c>
      <c r="C14" s="15">
        <v>12</v>
      </c>
      <c r="D14" s="15">
        <v>12</v>
      </c>
      <c r="E14" s="54">
        <v>1301</v>
      </c>
      <c r="F14" s="54">
        <f t="shared" si="0"/>
        <v>242.88</v>
      </c>
      <c r="G14" s="54">
        <f t="shared" si="1"/>
        <v>1543.88</v>
      </c>
      <c r="H14" s="55">
        <v>1295</v>
      </c>
      <c r="I14" s="54"/>
      <c r="J14" s="54">
        <v>6</v>
      </c>
      <c r="K14" s="54">
        <v>26</v>
      </c>
      <c r="L14" s="54">
        <v>6</v>
      </c>
      <c r="M14" s="54">
        <v>31</v>
      </c>
      <c r="N14" s="54">
        <v>25</v>
      </c>
      <c r="O14" s="54">
        <v>25</v>
      </c>
      <c r="P14" s="54">
        <v>35</v>
      </c>
      <c r="Q14" s="54">
        <v>81</v>
      </c>
      <c r="R14" s="54"/>
      <c r="S14" s="54">
        <v>14</v>
      </c>
      <c r="T14" s="29">
        <f t="shared" si="2"/>
        <v>249</v>
      </c>
      <c r="U14" s="29">
        <f t="shared" si="3"/>
        <v>1544</v>
      </c>
      <c r="V14" s="38">
        <f t="shared" si="4"/>
        <v>6</v>
      </c>
      <c r="W14" s="38">
        <f t="shared" si="5"/>
        <v>-6.1200000000000045</v>
      </c>
      <c r="X14" s="28">
        <f t="shared" si="6"/>
        <v>-0.12000000000000455</v>
      </c>
      <c r="Y14" s="1">
        <f t="shared" si="7"/>
        <v>20.239999999999998</v>
      </c>
    </row>
    <row r="15" spans="1:25" ht="18.75" customHeight="1">
      <c r="A15" s="15">
        <v>9</v>
      </c>
      <c r="B15" s="14" t="s">
        <v>268</v>
      </c>
      <c r="C15" s="15">
        <v>20</v>
      </c>
      <c r="D15" s="15">
        <v>20</v>
      </c>
      <c r="E15" s="54">
        <v>2391</v>
      </c>
      <c r="F15" s="54">
        <f t="shared" si="0"/>
        <v>404.79999999999995</v>
      </c>
      <c r="G15" s="54">
        <f t="shared" si="1"/>
        <v>2795.8</v>
      </c>
      <c r="H15" s="54">
        <v>2395.71</v>
      </c>
      <c r="I15" s="54"/>
      <c r="J15" s="54">
        <v>4</v>
      </c>
      <c r="K15" s="54">
        <v>65</v>
      </c>
      <c r="L15" s="54">
        <v>5</v>
      </c>
      <c r="M15" s="54">
        <v>10</v>
      </c>
      <c r="N15" s="54">
        <v>17.399999999999999</v>
      </c>
      <c r="O15" s="54">
        <v>25</v>
      </c>
      <c r="P15" s="54">
        <v>20</v>
      </c>
      <c r="Q15" s="54">
        <v>141.6</v>
      </c>
      <c r="R15" s="54"/>
      <c r="S15" s="54">
        <v>112</v>
      </c>
      <c r="T15" s="29">
        <f t="shared" si="2"/>
        <v>400</v>
      </c>
      <c r="U15" s="29">
        <f t="shared" si="3"/>
        <v>2795.71</v>
      </c>
      <c r="V15" s="38">
        <f t="shared" si="4"/>
        <v>-4.7100000000000364</v>
      </c>
      <c r="W15" s="38">
        <f t="shared" si="5"/>
        <v>4.7999999999999545</v>
      </c>
      <c r="X15" s="28">
        <f t="shared" si="6"/>
        <v>8.9999999999918145E-2</v>
      </c>
      <c r="Y15" s="1">
        <f t="shared" si="7"/>
        <v>20.239999999999998</v>
      </c>
    </row>
    <row r="16" spans="1:25" ht="18.75" customHeight="1">
      <c r="A16" s="15">
        <v>10</v>
      </c>
      <c r="B16" s="53" t="s">
        <v>269</v>
      </c>
      <c r="C16" s="56">
        <v>14</v>
      </c>
      <c r="D16" s="15">
        <v>13</v>
      </c>
      <c r="E16" s="54">
        <v>1810</v>
      </c>
      <c r="F16" s="54">
        <f t="shared" si="0"/>
        <v>283.35999999999996</v>
      </c>
      <c r="G16" s="54">
        <f t="shared" si="1"/>
        <v>2093.36</v>
      </c>
      <c r="H16" s="54">
        <f>594+1216</f>
        <v>1810</v>
      </c>
      <c r="I16" s="54"/>
      <c r="J16" s="54">
        <v>14</v>
      </c>
      <c r="K16" s="54">
        <v>10</v>
      </c>
      <c r="L16" s="54">
        <v>5</v>
      </c>
      <c r="M16" s="54">
        <v>32</v>
      </c>
      <c r="N16" s="54">
        <v>46</v>
      </c>
      <c r="O16" s="54">
        <v>15</v>
      </c>
      <c r="P16" s="54">
        <v>20</v>
      </c>
      <c r="Q16" s="54">
        <v>68</v>
      </c>
      <c r="R16" s="54"/>
      <c r="S16" s="54">
        <v>74</v>
      </c>
      <c r="T16" s="29">
        <f t="shared" si="2"/>
        <v>284</v>
      </c>
      <c r="U16" s="29">
        <f t="shared" si="3"/>
        <v>2094</v>
      </c>
      <c r="V16" s="38">
        <f t="shared" si="4"/>
        <v>0</v>
      </c>
      <c r="W16" s="38">
        <f t="shared" si="5"/>
        <v>-0.6400000000000432</v>
      </c>
      <c r="X16" s="28">
        <f t="shared" si="6"/>
        <v>-0.6400000000000432</v>
      </c>
      <c r="Y16" s="1">
        <f t="shared" si="7"/>
        <v>20.239999999999998</v>
      </c>
    </row>
    <row r="17" spans="1:25" ht="18.75" customHeight="1">
      <c r="A17" s="15">
        <v>11</v>
      </c>
      <c r="B17" s="14" t="s">
        <v>270</v>
      </c>
      <c r="C17" s="15">
        <v>14</v>
      </c>
      <c r="D17" s="15">
        <v>14</v>
      </c>
      <c r="E17" s="54">
        <v>1691</v>
      </c>
      <c r="F17" s="54">
        <f t="shared" si="0"/>
        <v>283.35999999999996</v>
      </c>
      <c r="G17" s="54">
        <f t="shared" si="1"/>
        <v>1974.36</v>
      </c>
      <c r="H17" s="54">
        <v>1725</v>
      </c>
      <c r="I17" s="54">
        <v>14</v>
      </c>
      <c r="J17" s="54">
        <v>13</v>
      </c>
      <c r="K17" s="54">
        <v>20</v>
      </c>
      <c r="L17" s="54">
        <v>2</v>
      </c>
      <c r="M17" s="54">
        <v>60</v>
      </c>
      <c r="N17" s="54">
        <v>48</v>
      </c>
      <c r="O17" s="54">
        <v>25</v>
      </c>
      <c r="P17" s="54">
        <v>20</v>
      </c>
      <c r="Q17" s="54">
        <v>34</v>
      </c>
      <c r="R17" s="54" t="s">
        <v>40</v>
      </c>
      <c r="S17" s="54">
        <v>13</v>
      </c>
      <c r="T17" s="29">
        <f t="shared" si="2"/>
        <v>249</v>
      </c>
      <c r="U17" s="29">
        <f t="shared" si="3"/>
        <v>1974</v>
      </c>
      <c r="V17" s="38">
        <f t="shared" si="4"/>
        <v>-34</v>
      </c>
      <c r="W17" s="38">
        <f t="shared" si="5"/>
        <v>34.359999999999957</v>
      </c>
      <c r="X17" s="28">
        <f t="shared" si="6"/>
        <v>0.3599999999999568</v>
      </c>
      <c r="Y17" s="1">
        <f t="shared" si="7"/>
        <v>20.239999999999998</v>
      </c>
    </row>
    <row r="18" spans="1:25" ht="18.75" customHeight="1">
      <c r="A18" s="15">
        <v>12</v>
      </c>
      <c r="B18" s="53" t="s">
        <v>271</v>
      </c>
      <c r="C18" s="15">
        <v>15</v>
      </c>
      <c r="D18" s="15">
        <v>15</v>
      </c>
      <c r="E18" s="54">
        <v>1718</v>
      </c>
      <c r="F18" s="54">
        <f t="shared" si="0"/>
        <v>303.59999999999997</v>
      </c>
      <c r="G18" s="54">
        <f t="shared" si="1"/>
        <v>2021.6</v>
      </c>
      <c r="H18" s="54">
        <v>1750.54</v>
      </c>
      <c r="I18" s="54">
        <v>70</v>
      </c>
      <c r="J18" s="54">
        <v>11</v>
      </c>
      <c r="K18" s="54">
        <v>16</v>
      </c>
      <c r="L18" s="54">
        <v>2.15</v>
      </c>
      <c r="M18" s="54">
        <v>8</v>
      </c>
      <c r="N18" s="54"/>
      <c r="O18" s="54">
        <v>70</v>
      </c>
      <c r="P18" s="54">
        <v>30</v>
      </c>
      <c r="Q18" s="54">
        <v>50</v>
      </c>
      <c r="R18" s="54"/>
      <c r="S18" s="54">
        <v>14</v>
      </c>
      <c r="T18" s="29">
        <f t="shared" si="2"/>
        <v>271.14999999999998</v>
      </c>
      <c r="U18" s="29">
        <f t="shared" si="3"/>
        <v>2021.69</v>
      </c>
      <c r="V18" s="38">
        <f t="shared" si="4"/>
        <v>-32.539999999999964</v>
      </c>
      <c r="W18" s="38">
        <f t="shared" si="5"/>
        <v>32.449999999999989</v>
      </c>
      <c r="X18" s="28">
        <f t="shared" si="6"/>
        <v>-8.9999999999974989E-2</v>
      </c>
      <c r="Y18" s="1">
        <f t="shared" si="7"/>
        <v>20.239999999999998</v>
      </c>
    </row>
    <row r="19" spans="1:25" ht="18.75" customHeight="1">
      <c r="A19" s="15">
        <v>13</v>
      </c>
      <c r="B19" s="14" t="s">
        <v>272</v>
      </c>
      <c r="C19" s="15">
        <v>15</v>
      </c>
      <c r="D19" s="15">
        <v>15</v>
      </c>
      <c r="E19" s="54">
        <v>2166</v>
      </c>
      <c r="F19" s="54">
        <f t="shared" si="0"/>
        <v>303.59999999999997</v>
      </c>
      <c r="G19" s="54">
        <f t="shared" si="1"/>
        <v>2469.6</v>
      </c>
      <c r="H19" s="54">
        <v>2158</v>
      </c>
      <c r="I19" s="54"/>
      <c r="J19" s="54">
        <v>12</v>
      </c>
      <c r="K19" s="54">
        <v>10</v>
      </c>
      <c r="L19" s="54">
        <v>8</v>
      </c>
      <c r="M19" s="54">
        <v>35</v>
      </c>
      <c r="N19" s="54">
        <v>12</v>
      </c>
      <c r="O19" s="54">
        <v>45</v>
      </c>
      <c r="P19" s="54">
        <v>60</v>
      </c>
      <c r="Q19" s="54">
        <v>60</v>
      </c>
      <c r="R19" s="54"/>
      <c r="S19" s="54">
        <v>70</v>
      </c>
      <c r="T19" s="29">
        <f t="shared" si="2"/>
        <v>312</v>
      </c>
      <c r="U19" s="29">
        <f t="shared" si="3"/>
        <v>2470</v>
      </c>
      <c r="V19" s="38">
        <f t="shared" si="4"/>
        <v>8</v>
      </c>
      <c r="W19" s="38">
        <f t="shared" si="5"/>
        <v>-8.4000000000000341</v>
      </c>
      <c r="X19" s="28">
        <f t="shared" si="6"/>
        <v>-0.40000000000003411</v>
      </c>
      <c r="Y19" s="1">
        <f t="shared" si="7"/>
        <v>20.239999999999998</v>
      </c>
    </row>
    <row r="20" spans="1:25" ht="18.75" customHeight="1">
      <c r="A20" s="15">
        <v>14</v>
      </c>
      <c r="B20" s="14" t="s">
        <v>273</v>
      </c>
      <c r="C20" s="15">
        <v>29</v>
      </c>
      <c r="D20" s="15">
        <v>29</v>
      </c>
      <c r="E20" s="54">
        <v>3582</v>
      </c>
      <c r="F20" s="54">
        <f t="shared" si="0"/>
        <v>586.95999999999992</v>
      </c>
      <c r="G20" s="54">
        <f t="shared" si="1"/>
        <v>4168.96</v>
      </c>
      <c r="H20" s="54">
        <v>3585</v>
      </c>
      <c r="I20" s="54"/>
      <c r="J20" s="54">
        <f>7*12</f>
        <v>84</v>
      </c>
      <c r="K20" s="54">
        <v>50</v>
      </c>
      <c r="L20" s="54">
        <f>1.5*12</f>
        <v>18</v>
      </c>
      <c r="M20" s="54">
        <v>45</v>
      </c>
      <c r="N20" s="54">
        <v>90</v>
      </c>
      <c r="O20" s="54">
        <v>120</v>
      </c>
      <c r="P20" s="54"/>
      <c r="Q20" s="54">
        <v>150</v>
      </c>
      <c r="R20" s="54"/>
      <c r="S20" s="54">
        <v>27</v>
      </c>
      <c r="T20" s="29">
        <f t="shared" si="2"/>
        <v>584</v>
      </c>
      <c r="U20" s="29">
        <f t="shared" si="3"/>
        <v>4169</v>
      </c>
      <c r="V20" s="38">
        <f t="shared" si="4"/>
        <v>-3</v>
      </c>
      <c r="W20" s="38">
        <f t="shared" si="5"/>
        <v>2.9599999999999227</v>
      </c>
      <c r="X20" s="28">
        <f t="shared" si="6"/>
        <v>-4.0000000000077307E-2</v>
      </c>
      <c r="Y20" s="1">
        <f t="shared" si="7"/>
        <v>20.239999999999998</v>
      </c>
    </row>
    <row r="21" spans="1:25" ht="18.75" customHeight="1">
      <c r="A21" s="15">
        <v>15</v>
      </c>
      <c r="B21" s="53" t="s">
        <v>274</v>
      </c>
      <c r="C21" s="15">
        <v>12</v>
      </c>
      <c r="D21" s="15">
        <v>10</v>
      </c>
      <c r="E21" s="54">
        <v>1632</v>
      </c>
      <c r="F21" s="54">
        <f>C21*21.12</f>
        <v>253.44</v>
      </c>
      <c r="G21" s="54">
        <f t="shared" si="1"/>
        <v>1885.44</v>
      </c>
      <c r="H21" s="54">
        <v>1639</v>
      </c>
      <c r="I21" s="54">
        <v>30</v>
      </c>
      <c r="J21" s="54">
        <v>7.2140000000000004</v>
      </c>
      <c r="K21" s="54">
        <v>15</v>
      </c>
      <c r="L21" s="54">
        <v>4</v>
      </c>
      <c r="M21" s="54">
        <v>40</v>
      </c>
      <c r="N21" s="54"/>
      <c r="O21" s="54">
        <v>50</v>
      </c>
      <c r="P21" s="54">
        <v>40</v>
      </c>
      <c r="Q21" s="54">
        <v>50</v>
      </c>
      <c r="R21" s="54"/>
      <c r="S21" s="54">
        <v>10</v>
      </c>
      <c r="T21" s="29">
        <f t="shared" si="2"/>
        <v>246.214</v>
      </c>
      <c r="U21" s="29">
        <f t="shared" si="3"/>
        <v>1885.2139999999999</v>
      </c>
      <c r="V21" s="38">
        <f t="shared" si="4"/>
        <v>-7</v>
      </c>
      <c r="W21" s="38">
        <f t="shared" si="5"/>
        <v>7.2259999999999991</v>
      </c>
      <c r="X21" s="28">
        <f t="shared" si="6"/>
        <v>0.22599999999999909</v>
      </c>
      <c r="Y21" s="1">
        <f t="shared" si="7"/>
        <v>21.12</v>
      </c>
    </row>
    <row r="22" spans="1:25" ht="18.75" customHeight="1">
      <c r="A22" s="15">
        <v>16</v>
      </c>
      <c r="B22" s="53" t="s">
        <v>275</v>
      </c>
      <c r="C22" s="15">
        <v>20</v>
      </c>
      <c r="D22" s="15">
        <v>20</v>
      </c>
      <c r="E22" s="54">
        <v>2431</v>
      </c>
      <c r="F22" s="54">
        <f t="shared" ref="F22:F45" si="8">C22*21.12</f>
        <v>422.40000000000003</v>
      </c>
      <c r="G22" s="54">
        <f t="shared" si="1"/>
        <v>2853.4</v>
      </c>
      <c r="H22" s="54">
        <v>2430</v>
      </c>
      <c r="I22" s="54">
        <v>30</v>
      </c>
      <c r="J22" s="54">
        <v>12</v>
      </c>
      <c r="K22" s="54">
        <v>84</v>
      </c>
      <c r="L22" s="54">
        <v>5</v>
      </c>
      <c r="M22" s="54">
        <v>50</v>
      </c>
      <c r="N22" s="54">
        <v>58</v>
      </c>
      <c r="O22" s="54">
        <v>36</v>
      </c>
      <c r="P22" s="54"/>
      <c r="Q22" s="54">
        <v>71</v>
      </c>
      <c r="R22" s="54" t="s">
        <v>40</v>
      </c>
      <c r="S22" s="54">
        <v>77</v>
      </c>
      <c r="T22" s="29">
        <f t="shared" si="2"/>
        <v>423</v>
      </c>
      <c r="U22" s="29">
        <f t="shared" si="3"/>
        <v>2853</v>
      </c>
      <c r="V22" s="38">
        <f t="shared" si="4"/>
        <v>1</v>
      </c>
      <c r="W22" s="38">
        <f t="shared" si="5"/>
        <v>-0.59999999999996589</v>
      </c>
      <c r="X22" s="28">
        <f t="shared" si="6"/>
        <v>0.40000000000003411</v>
      </c>
      <c r="Y22" s="1">
        <f t="shared" si="7"/>
        <v>21.12</v>
      </c>
    </row>
    <row r="23" spans="1:25" ht="18.75" customHeight="1">
      <c r="A23" s="15">
        <v>17</v>
      </c>
      <c r="B23" s="14" t="s">
        <v>276</v>
      </c>
      <c r="C23" s="15">
        <v>38</v>
      </c>
      <c r="D23" s="15">
        <v>35</v>
      </c>
      <c r="E23" s="54">
        <v>4850</v>
      </c>
      <c r="F23" s="54">
        <f t="shared" si="8"/>
        <v>802.56000000000006</v>
      </c>
      <c r="G23" s="54">
        <f t="shared" si="1"/>
        <v>5652.56</v>
      </c>
      <c r="H23" s="54">
        <v>4850</v>
      </c>
      <c r="I23" s="54"/>
      <c r="J23" s="54">
        <v>60</v>
      </c>
      <c r="K23" s="54">
        <v>50</v>
      </c>
      <c r="L23" s="54">
        <v>12</v>
      </c>
      <c r="M23" s="54">
        <v>80</v>
      </c>
      <c r="N23" s="54">
        <v>90</v>
      </c>
      <c r="O23" s="54">
        <v>250</v>
      </c>
      <c r="P23" s="54">
        <v>90</v>
      </c>
      <c r="Q23" s="54">
        <v>150</v>
      </c>
      <c r="R23" s="54"/>
      <c r="S23" s="54">
        <v>21</v>
      </c>
      <c r="T23" s="29">
        <f t="shared" si="2"/>
        <v>803</v>
      </c>
      <c r="U23" s="29">
        <f t="shared" si="3"/>
        <v>5653</v>
      </c>
      <c r="V23" s="38">
        <f t="shared" si="4"/>
        <v>0</v>
      </c>
      <c r="W23" s="38">
        <f t="shared" si="5"/>
        <v>-0.43999999999994088</v>
      </c>
      <c r="X23" s="28">
        <f t="shared" si="6"/>
        <v>-0.43999999999994088</v>
      </c>
      <c r="Y23" s="1">
        <f t="shared" si="7"/>
        <v>21.12</v>
      </c>
    </row>
    <row r="24" spans="1:25" ht="18.75" customHeight="1">
      <c r="A24" s="15">
        <v>18</v>
      </c>
      <c r="B24" s="14" t="s">
        <v>277</v>
      </c>
      <c r="C24" s="15">
        <v>17</v>
      </c>
      <c r="D24" s="15">
        <v>17</v>
      </c>
      <c r="E24" s="54">
        <v>2118</v>
      </c>
      <c r="F24" s="54">
        <f t="shared" si="8"/>
        <v>359.04</v>
      </c>
      <c r="G24" s="54">
        <f t="shared" si="1"/>
        <v>2477.04</v>
      </c>
      <c r="H24" s="54">
        <f>2166.535</f>
        <v>2166.5349999999999</v>
      </c>
      <c r="I24" s="54">
        <v>25.5</v>
      </c>
      <c r="J24" s="54">
        <v>18</v>
      </c>
      <c r="K24" s="54">
        <v>18</v>
      </c>
      <c r="L24" s="54">
        <v>2.4500000000000002</v>
      </c>
      <c r="M24" s="54">
        <v>56</v>
      </c>
      <c r="N24" s="54">
        <v>28.4</v>
      </c>
      <c r="O24" s="54">
        <v>30</v>
      </c>
      <c r="P24" s="54">
        <v>15.4</v>
      </c>
      <c r="Q24" s="54">
        <v>30</v>
      </c>
      <c r="R24" s="54"/>
      <c r="S24" s="54">
        <f>10+76.5</f>
        <v>86.5</v>
      </c>
      <c r="T24" s="29">
        <f t="shared" si="2"/>
        <v>310.25</v>
      </c>
      <c r="U24" s="29">
        <f t="shared" si="3"/>
        <v>2476.7849999999999</v>
      </c>
      <c r="V24" s="38">
        <f t="shared" si="4"/>
        <v>-48.534999999999854</v>
      </c>
      <c r="W24" s="38">
        <f t="shared" si="5"/>
        <v>48.79000000000002</v>
      </c>
      <c r="X24" s="28">
        <f t="shared" si="6"/>
        <v>0.25500000000016598</v>
      </c>
      <c r="Y24" s="1">
        <f t="shared" si="7"/>
        <v>21.12</v>
      </c>
    </row>
    <row r="25" spans="1:25" ht="18.75" customHeight="1">
      <c r="A25" s="15">
        <v>19</v>
      </c>
      <c r="B25" s="53" t="s">
        <v>278</v>
      </c>
      <c r="C25" s="15">
        <v>23</v>
      </c>
      <c r="D25" s="15">
        <v>21</v>
      </c>
      <c r="E25" s="54">
        <v>2817</v>
      </c>
      <c r="F25" s="54">
        <f t="shared" si="8"/>
        <v>485.76000000000005</v>
      </c>
      <c r="G25" s="54">
        <f t="shared" si="1"/>
        <v>3302.76</v>
      </c>
      <c r="H25" s="54">
        <v>2818</v>
      </c>
      <c r="I25" s="54">
        <v>40</v>
      </c>
      <c r="J25" s="54">
        <v>20</v>
      </c>
      <c r="K25" s="54">
        <v>20.558</v>
      </c>
      <c r="L25" s="54">
        <v>5</v>
      </c>
      <c r="M25" s="54">
        <v>40</v>
      </c>
      <c r="N25" s="54">
        <v>48</v>
      </c>
      <c r="O25" s="54">
        <v>60</v>
      </c>
      <c r="P25" s="54">
        <v>110</v>
      </c>
      <c r="Q25" s="54">
        <v>70</v>
      </c>
      <c r="R25" s="54"/>
      <c r="S25" s="54">
        <v>71</v>
      </c>
      <c r="T25" s="29">
        <f t="shared" si="2"/>
        <v>484.55799999999999</v>
      </c>
      <c r="U25" s="29">
        <f t="shared" si="3"/>
        <v>3302.558</v>
      </c>
      <c r="V25" s="38">
        <f t="shared" si="4"/>
        <v>-1</v>
      </c>
      <c r="W25" s="38">
        <f t="shared" si="5"/>
        <v>1.202000000000055</v>
      </c>
      <c r="X25" s="28">
        <f t="shared" si="6"/>
        <v>0.20200000000005502</v>
      </c>
      <c r="Y25" s="1">
        <f t="shared" si="7"/>
        <v>21.12</v>
      </c>
    </row>
    <row r="26" spans="1:25" ht="18.75" customHeight="1">
      <c r="A26" s="15">
        <v>20</v>
      </c>
      <c r="B26" s="14" t="s">
        <v>279</v>
      </c>
      <c r="C26" s="15">
        <v>25</v>
      </c>
      <c r="D26" s="15">
        <v>25</v>
      </c>
      <c r="E26" s="54">
        <v>3156</v>
      </c>
      <c r="F26" s="54">
        <f t="shared" si="8"/>
        <v>528</v>
      </c>
      <c r="G26" s="54">
        <f t="shared" si="1"/>
        <v>3684</v>
      </c>
      <c r="H26" s="54">
        <v>3157</v>
      </c>
      <c r="I26" s="54">
        <v>30</v>
      </c>
      <c r="J26" s="54">
        <v>20</v>
      </c>
      <c r="K26" s="54">
        <v>70</v>
      </c>
      <c r="L26" s="54">
        <v>7</v>
      </c>
      <c r="M26" s="54">
        <v>70</v>
      </c>
      <c r="N26" s="54">
        <v>80</v>
      </c>
      <c r="O26" s="54">
        <v>50</v>
      </c>
      <c r="P26" s="54">
        <v>60</v>
      </c>
      <c r="Q26" s="54">
        <v>130</v>
      </c>
      <c r="R26" s="54" t="s">
        <v>40</v>
      </c>
      <c r="S26" s="54">
        <f>10</f>
        <v>10</v>
      </c>
      <c r="T26" s="29">
        <f t="shared" si="2"/>
        <v>527</v>
      </c>
      <c r="U26" s="29">
        <f t="shared" si="3"/>
        <v>3684</v>
      </c>
      <c r="V26" s="38">
        <f t="shared" si="4"/>
        <v>-1</v>
      </c>
      <c r="W26" s="38">
        <f t="shared" si="5"/>
        <v>1</v>
      </c>
      <c r="X26" s="28">
        <f t="shared" si="6"/>
        <v>0</v>
      </c>
      <c r="Y26" s="1">
        <f t="shared" si="7"/>
        <v>21.12</v>
      </c>
    </row>
    <row r="27" spans="1:25" ht="18.75" customHeight="1">
      <c r="A27" s="15">
        <v>21</v>
      </c>
      <c r="B27" s="53" t="s">
        <v>280</v>
      </c>
      <c r="C27" s="15">
        <v>29</v>
      </c>
      <c r="D27" s="15">
        <v>28</v>
      </c>
      <c r="E27" s="54">
        <v>4159</v>
      </c>
      <c r="F27" s="54">
        <f t="shared" si="8"/>
        <v>612.48</v>
      </c>
      <c r="G27" s="54">
        <f t="shared" si="1"/>
        <v>4771.4799999999996</v>
      </c>
      <c r="H27" s="54">
        <v>4160</v>
      </c>
      <c r="I27" s="54">
        <v>100</v>
      </c>
      <c r="J27" s="54">
        <v>11.96</v>
      </c>
      <c r="K27" s="54">
        <v>60</v>
      </c>
      <c r="L27" s="54">
        <v>4</v>
      </c>
      <c r="M27" s="54">
        <v>41.63</v>
      </c>
      <c r="N27" s="54">
        <v>40</v>
      </c>
      <c r="O27" s="54">
        <v>150</v>
      </c>
      <c r="P27" s="54"/>
      <c r="Q27" s="54">
        <v>94.09</v>
      </c>
      <c r="R27" s="54"/>
      <c r="S27" s="54">
        <v>110</v>
      </c>
      <c r="T27" s="29">
        <f t="shared" si="2"/>
        <v>611.68000000000006</v>
      </c>
      <c r="U27" s="29">
        <f t="shared" si="3"/>
        <v>4771.68</v>
      </c>
      <c r="V27" s="38">
        <f t="shared" si="4"/>
        <v>-1</v>
      </c>
      <c r="W27" s="38">
        <f t="shared" si="5"/>
        <v>0.79999999999995453</v>
      </c>
      <c r="X27" s="28">
        <f t="shared" si="6"/>
        <v>-0.20000000000004547</v>
      </c>
      <c r="Y27" s="1">
        <f t="shared" si="7"/>
        <v>21.12</v>
      </c>
    </row>
    <row r="28" spans="1:25" ht="18.75" customHeight="1">
      <c r="A28" s="15">
        <v>22</v>
      </c>
      <c r="B28" s="14" t="s">
        <v>281</v>
      </c>
      <c r="C28" s="15">
        <v>17</v>
      </c>
      <c r="D28" s="15">
        <v>16</v>
      </c>
      <c r="E28" s="54">
        <v>2113</v>
      </c>
      <c r="F28" s="54">
        <f t="shared" si="8"/>
        <v>359.04</v>
      </c>
      <c r="G28" s="54">
        <f t="shared" si="1"/>
        <v>2472.04</v>
      </c>
      <c r="H28" s="54">
        <v>2126</v>
      </c>
      <c r="I28" s="54"/>
      <c r="J28" s="54">
        <v>8</v>
      </c>
      <c r="K28" s="54">
        <v>98</v>
      </c>
      <c r="L28" s="54">
        <v>4</v>
      </c>
      <c r="M28" s="54">
        <v>52</v>
      </c>
      <c r="N28" s="54">
        <v>30</v>
      </c>
      <c r="O28" s="54">
        <v>35</v>
      </c>
      <c r="P28" s="54">
        <v>18</v>
      </c>
      <c r="Q28" s="54">
        <v>85</v>
      </c>
      <c r="R28" s="54"/>
      <c r="S28" s="54">
        <v>16</v>
      </c>
      <c r="T28" s="29">
        <f t="shared" si="2"/>
        <v>346</v>
      </c>
      <c r="U28" s="29">
        <f t="shared" si="3"/>
        <v>2472</v>
      </c>
      <c r="V28" s="38">
        <f t="shared" si="4"/>
        <v>-13</v>
      </c>
      <c r="W28" s="38">
        <f t="shared" si="5"/>
        <v>13.04000000000002</v>
      </c>
      <c r="X28" s="28">
        <f t="shared" si="6"/>
        <v>4.0000000000020464E-2</v>
      </c>
      <c r="Y28" s="1">
        <f t="shared" si="7"/>
        <v>21.12</v>
      </c>
    </row>
    <row r="29" spans="1:25" ht="18.75" customHeight="1">
      <c r="A29" s="15">
        <v>23</v>
      </c>
      <c r="B29" s="53" t="s">
        <v>282</v>
      </c>
      <c r="C29" s="56">
        <v>15</v>
      </c>
      <c r="D29" s="15">
        <v>12</v>
      </c>
      <c r="E29" s="54">
        <v>2004</v>
      </c>
      <c r="F29" s="54">
        <f t="shared" si="8"/>
        <v>316.8</v>
      </c>
      <c r="G29" s="54">
        <f t="shared" si="1"/>
        <v>2320.8000000000002</v>
      </c>
      <c r="H29" s="54">
        <f>636+1370</f>
        <v>2006</v>
      </c>
      <c r="I29" s="54"/>
      <c r="J29" s="54">
        <f>2.3+5</f>
        <v>7.3</v>
      </c>
      <c r="K29" s="54">
        <f>18+12</f>
        <v>30</v>
      </c>
      <c r="L29" s="54">
        <v>2.7</v>
      </c>
      <c r="M29" s="54">
        <f>7+28</f>
        <v>35</v>
      </c>
      <c r="N29" s="54">
        <f>10+22.5</f>
        <v>32.5</v>
      </c>
      <c r="O29" s="54">
        <f>19+10</f>
        <v>29</v>
      </c>
      <c r="P29" s="54"/>
      <c r="Q29" s="54">
        <f>95+25</f>
        <v>120</v>
      </c>
      <c r="R29" s="54"/>
      <c r="S29" s="54">
        <f>58.5</f>
        <v>58.5</v>
      </c>
      <c r="T29" s="29">
        <f t="shared" si="2"/>
        <v>315</v>
      </c>
      <c r="U29" s="29">
        <f t="shared" si="3"/>
        <v>2321</v>
      </c>
      <c r="V29" s="38">
        <f t="shared" si="4"/>
        <v>-2</v>
      </c>
      <c r="W29" s="38">
        <f t="shared" si="5"/>
        <v>1.8000000000000114</v>
      </c>
      <c r="X29" s="28">
        <f t="shared" si="6"/>
        <v>-0.19999999999998863</v>
      </c>
      <c r="Y29" s="1">
        <f t="shared" si="7"/>
        <v>21.12</v>
      </c>
    </row>
    <row r="30" spans="1:25" ht="18.75" customHeight="1">
      <c r="A30" s="15">
        <v>24</v>
      </c>
      <c r="B30" s="14" t="s">
        <v>283</v>
      </c>
      <c r="C30" s="15">
        <v>13</v>
      </c>
      <c r="D30" s="15">
        <v>12</v>
      </c>
      <c r="E30" s="54">
        <v>1739</v>
      </c>
      <c r="F30" s="54">
        <f t="shared" si="8"/>
        <v>274.56</v>
      </c>
      <c r="G30" s="54">
        <f t="shared" si="1"/>
        <v>2013.56</v>
      </c>
      <c r="H30" s="54">
        <f>1764.202-35</f>
        <v>1729.202</v>
      </c>
      <c r="I30" s="54"/>
      <c r="J30" s="54">
        <v>10</v>
      </c>
      <c r="K30" s="54">
        <v>45</v>
      </c>
      <c r="L30" s="54">
        <v>5</v>
      </c>
      <c r="M30" s="54">
        <v>30</v>
      </c>
      <c r="N30" s="54">
        <v>10</v>
      </c>
      <c r="O30" s="54">
        <v>20</v>
      </c>
      <c r="P30" s="54">
        <v>30</v>
      </c>
      <c r="Q30" s="54">
        <v>60</v>
      </c>
      <c r="R30" s="54"/>
      <c r="S30" s="54">
        <v>74</v>
      </c>
      <c r="T30" s="29">
        <f t="shared" si="2"/>
        <v>284</v>
      </c>
      <c r="U30" s="29">
        <f t="shared" si="3"/>
        <v>2013.202</v>
      </c>
      <c r="V30" s="38">
        <f t="shared" si="4"/>
        <v>9.7980000000000018</v>
      </c>
      <c r="W30" s="38">
        <f t="shared" si="5"/>
        <v>-9.4399999999999977</v>
      </c>
      <c r="X30" s="28">
        <f t="shared" si="6"/>
        <v>0.35800000000000409</v>
      </c>
      <c r="Y30" s="1">
        <f t="shared" si="7"/>
        <v>21.12</v>
      </c>
    </row>
    <row r="31" spans="1:25" ht="18.75" customHeight="1">
      <c r="A31" s="15">
        <v>25</v>
      </c>
      <c r="B31" s="14" t="s">
        <v>284</v>
      </c>
      <c r="C31" s="15">
        <v>29</v>
      </c>
      <c r="D31" s="15">
        <v>25</v>
      </c>
      <c r="E31" s="54">
        <v>4518</v>
      </c>
      <c r="F31" s="54">
        <f t="shared" si="8"/>
        <v>612.48</v>
      </c>
      <c r="G31" s="54">
        <f t="shared" si="1"/>
        <v>5130.4799999999996</v>
      </c>
      <c r="H31" s="54">
        <v>4518</v>
      </c>
      <c r="I31" s="54"/>
      <c r="J31" s="54">
        <v>15</v>
      </c>
      <c r="K31" s="54">
        <v>15</v>
      </c>
      <c r="L31" s="54">
        <v>11</v>
      </c>
      <c r="M31" s="54">
        <v>78</v>
      </c>
      <c r="N31" s="54">
        <v>37</v>
      </c>
      <c r="O31" s="54">
        <v>70</v>
      </c>
      <c r="P31" s="54">
        <v>80</v>
      </c>
      <c r="Q31" s="54">
        <v>58</v>
      </c>
      <c r="R31" s="54"/>
      <c r="S31" s="54">
        <v>248</v>
      </c>
      <c r="T31" s="29">
        <f t="shared" si="2"/>
        <v>612</v>
      </c>
      <c r="U31" s="29">
        <f t="shared" si="3"/>
        <v>5130</v>
      </c>
      <c r="V31" s="38">
        <f t="shared" si="4"/>
        <v>0</v>
      </c>
      <c r="W31" s="38">
        <f t="shared" si="5"/>
        <v>0.48000000000001819</v>
      </c>
      <c r="X31" s="28">
        <f t="shared" si="6"/>
        <v>0.48000000000001819</v>
      </c>
      <c r="Y31" s="1">
        <f t="shared" si="7"/>
        <v>21.12</v>
      </c>
    </row>
    <row r="32" spans="1:25" ht="18.75" customHeight="1">
      <c r="A32" s="15">
        <v>26</v>
      </c>
      <c r="B32" s="14" t="s">
        <v>154</v>
      </c>
      <c r="C32" s="15">
        <v>13</v>
      </c>
      <c r="D32" s="15">
        <v>12</v>
      </c>
      <c r="E32" s="54">
        <v>1787</v>
      </c>
      <c r="F32" s="54">
        <f t="shared" si="8"/>
        <v>274.56</v>
      </c>
      <c r="G32" s="54">
        <f t="shared" si="1"/>
        <v>2061.56</v>
      </c>
      <c r="H32" s="54">
        <f>1817.058-15</f>
        <v>1802.058</v>
      </c>
      <c r="I32" s="54"/>
      <c r="J32" s="54">
        <v>7</v>
      </c>
      <c r="K32" s="54">
        <v>15</v>
      </c>
      <c r="L32" s="54">
        <v>5</v>
      </c>
      <c r="M32" s="54">
        <v>20</v>
      </c>
      <c r="N32" s="54">
        <v>17</v>
      </c>
      <c r="O32" s="54">
        <v>35</v>
      </c>
      <c r="P32" s="54">
        <v>20</v>
      </c>
      <c r="Q32" s="54">
        <v>60</v>
      </c>
      <c r="R32" s="54"/>
      <c r="S32" s="54">
        <v>81</v>
      </c>
      <c r="T32" s="29">
        <f t="shared" si="2"/>
        <v>260</v>
      </c>
      <c r="U32" s="29">
        <f t="shared" si="3"/>
        <v>2062.058</v>
      </c>
      <c r="V32" s="38">
        <f t="shared" si="4"/>
        <v>-15.057999999999993</v>
      </c>
      <c r="W32" s="38">
        <f t="shared" si="5"/>
        <v>14.560000000000002</v>
      </c>
      <c r="X32" s="28">
        <f t="shared" si="6"/>
        <v>-0.49799999999999045</v>
      </c>
      <c r="Y32" s="1">
        <f t="shared" si="7"/>
        <v>21.12</v>
      </c>
    </row>
    <row r="33" spans="1:25" ht="18.75" customHeight="1">
      <c r="A33" s="15">
        <v>27</v>
      </c>
      <c r="B33" s="14" t="s">
        <v>164</v>
      </c>
      <c r="C33" s="15">
        <v>18</v>
      </c>
      <c r="D33" s="15">
        <v>18</v>
      </c>
      <c r="E33" s="54">
        <v>2717</v>
      </c>
      <c r="F33" s="54">
        <f t="shared" si="8"/>
        <v>380.16</v>
      </c>
      <c r="G33" s="54">
        <f t="shared" si="1"/>
        <v>3097.16</v>
      </c>
      <c r="H33" s="54">
        <v>2720</v>
      </c>
      <c r="I33" s="54">
        <v>54</v>
      </c>
      <c r="J33" s="54">
        <v>14</v>
      </c>
      <c r="K33" s="54">
        <v>28</v>
      </c>
      <c r="L33" s="54">
        <v>4</v>
      </c>
      <c r="M33" s="54">
        <v>70</v>
      </c>
      <c r="N33" s="54">
        <v>27</v>
      </c>
      <c r="O33" s="54">
        <v>65</v>
      </c>
      <c r="P33" s="54">
        <v>21</v>
      </c>
      <c r="Q33" s="54">
        <v>36</v>
      </c>
      <c r="R33" s="54" t="s">
        <v>40</v>
      </c>
      <c r="S33" s="54">
        <v>58</v>
      </c>
      <c r="T33" s="29">
        <f t="shared" si="2"/>
        <v>377</v>
      </c>
      <c r="U33" s="29">
        <f t="shared" si="3"/>
        <v>3097</v>
      </c>
      <c r="V33" s="38">
        <f t="shared" si="4"/>
        <v>-3</v>
      </c>
      <c r="W33" s="38">
        <f t="shared" si="5"/>
        <v>3.160000000000025</v>
      </c>
      <c r="X33" s="28">
        <f t="shared" si="6"/>
        <v>0.16000000000002501</v>
      </c>
      <c r="Y33" s="1">
        <f t="shared" si="7"/>
        <v>21.12</v>
      </c>
    </row>
    <row r="34" spans="1:25" ht="18.75" customHeight="1">
      <c r="A34" s="15">
        <v>28</v>
      </c>
      <c r="B34" s="14" t="s">
        <v>168</v>
      </c>
      <c r="C34" s="15">
        <v>16</v>
      </c>
      <c r="D34" s="15">
        <v>15</v>
      </c>
      <c r="E34" s="54">
        <v>2685</v>
      </c>
      <c r="F34" s="54">
        <f t="shared" si="8"/>
        <v>337.92</v>
      </c>
      <c r="G34" s="54">
        <f t="shared" si="1"/>
        <v>3022.92</v>
      </c>
      <c r="H34" s="54">
        <v>2591</v>
      </c>
      <c r="I34" s="54">
        <v>12</v>
      </c>
      <c r="J34" s="54">
        <v>6</v>
      </c>
      <c r="K34" s="54">
        <v>18</v>
      </c>
      <c r="L34" s="54">
        <v>0</v>
      </c>
      <c r="M34" s="54">
        <v>80</v>
      </c>
      <c r="N34" s="54">
        <v>0</v>
      </c>
      <c r="O34" s="54">
        <v>80</v>
      </c>
      <c r="P34" s="54">
        <v>50</v>
      </c>
      <c r="Q34" s="54">
        <v>80</v>
      </c>
      <c r="R34" s="54" t="s">
        <v>40</v>
      </c>
      <c r="S34" s="54">
        <v>106</v>
      </c>
      <c r="T34" s="29">
        <f t="shared" si="2"/>
        <v>432</v>
      </c>
      <c r="U34" s="29">
        <f t="shared" si="3"/>
        <v>3023</v>
      </c>
      <c r="V34" s="38">
        <f t="shared" si="4"/>
        <v>94</v>
      </c>
      <c r="W34" s="38">
        <f t="shared" si="5"/>
        <v>-94.079999999999984</v>
      </c>
      <c r="X34" s="28">
        <f t="shared" si="6"/>
        <v>-7.9999999999984084E-2</v>
      </c>
      <c r="Y34" s="1">
        <f t="shared" si="7"/>
        <v>21.12</v>
      </c>
    </row>
    <row r="35" spans="1:25" ht="18.75" customHeight="1">
      <c r="A35" s="15">
        <v>29</v>
      </c>
      <c r="B35" s="14" t="s">
        <v>155</v>
      </c>
      <c r="C35" s="15">
        <v>10</v>
      </c>
      <c r="D35" s="15">
        <v>9</v>
      </c>
      <c r="E35" s="54">
        <v>1232</v>
      </c>
      <c r="F35" s="54">
        <f t="shared" si="8"/>
        <v>211.20000000000002</v>
      </c>
      <c r="G35" s="54">
        <f t="shared" si="1"/>
        <v>1443.2</v>
      </c>
      <c r="H35" s="54">
        <v>1232</v>
      </c>
      <c r="I35" s="54">
        <v>20.399999999999999</v>
      </c>
      <c r="J35" s="54">
        <v>3.2</v>
      </c>
      <c r="K35" s="54">
        <v>12.8</v>
      </c>
      <c r="L35" s="54">
        <v>4.3</v>
      </c>
      <c r="M35" s="54">
        <v>30.5</v>
      </c>
      <c r="N35" s="54">
        <v>24</v>
      </c>
      <c r="O35" s="54">
        <v>24.2</v>
      </c>
      <c r="P35" s="54">
        <v>20</v>
      </c>
      <c r="Q35" s="54">
        <v>35.799999999999997</v>
      </c>
      <c r="R35" s="54"/>
      <c r="S35" s="54">
        <v>36</v>
      </c>
      <c r="T35" s="29">
        <f t="shared" si="2"/>
        <v>211.2</v>
      </c>
      <c r="U35" s="29">
        <f t="shared" si="3"/>
        <v>1443.2</v>
      </c>
      <c r="V35" s="38">
        <f t="shared" si="4"/>
        <v>0</v>
      </c>
      <c r="W35" s="38">
        <f t="shared" si="5"/>
        <v>0</v>
      </c>
      <c r="X35" s="28">
        <f t="shared" si="6"/>
        <v>0</v>
      </c>
      <c r="Y35" s="1">
        <f t="shared" si="7"/>
        <v>21.12</v>
      </c>
    </row>
    <row r="36" spans="1:25" ht="18.75" customHeight="1">
      <c r="A36" s="15">
        <v>30</v>
      </c>
      <c r="B36" s="53" t="s">
        <v>156</v>
      </c>
      <c r="C36" s="15">
        <v>35</v>
      </c>
      <c r="D36" s="15">
        <v>33</v>
      </c>
      <c r="E36" s="54">
        <v>3759</v>
      </c>
      <c r="F36" s="54">
        <f t="shared" si="8"/>
        <v>739.2</v>
      </c>
      <c r="G36" s="54">
        <f t="shared" si="1"/>
        <v>4498.2</v>
      </c>
      <c r="H36" s="54">
        <v>3759</v>
      </c>
      <c r="I36" s="54">
        <v>75</v>
      </c>
      <c r="J36" s="54">
        <v>28.8</v>
      </c>
      <c r="K36" s="54">
        <v>45</v>
      </c>
      <c r="L36" s="54">
        <v>12</v>
      </c>
      <c r="M36" s="54">
        <v>90</v>
      </c>
      <c r="N36" s="54">
        <v>91.2</v>
      </c>
      <c r="O36" s="54">
        <v>60</v>
      </c>
      <c r="P36" s="54">
        <v>60</v>
      </c>
      <c r="Q36" s="54">
        <v>130.5</v>
      </c>
      <c r="R36" s="54">
        <v>10</v>
      </c>
      <c r="S36" s="54">
        <v>137</v>
      </c>
      <c r="T36" s="29">
        <f t="shared" si="2"/>
        <v>739.5</v>
      </c>
      <c r="U36" s="29">
        <f t="shared" si="3"/>
        <v>4498.5</v>
      </c>
      <c r="V36" s="38">
        <f t="shared" si="4"/>
        <v>0</v>
      </c>
      <c r="W36" s="38">
        <f t="shared" si="5"/>
        <v>-0.29999999999995453</v>
      </c>
      <c r="X36" s="28">
        <f t="shared" si="6"/>
        <v>-0.29999999999995453</v>
      </c>
      <c r="Y36" s="1">
        <f t="shared" si="7"/>
        <v>21.12</v>
      </c>
    </row>
    <row r="37" spans="1:25" ht="18.75" customHeight="1">
      <c r="A37" s="15">
        <v>31</v>
      </c>
      <c r="B37" s="14" t="s">
        <v>157</v>
      </c>
      <c r="C37" s="15">
        <v>20</v>
      </c>
      <c r="D37" s="15">
        <v>18</v>
      </c>
      <c r="E37" s="54">
        <v>2351</v>
      </c>
      <c r="F37" s="54">
        <f t="shared" si="8"/>
        <v>422.40000000000003</v>
      </c>
      <c r="G37" s="54">
        <f t="shared" si="1"/>
        <v>2773.4</v>
      </c>
      <c r="H37" s="54">
        <v>2330</v>
      </c>
      <c r="I37" s="54">
        <v>30</v>
      </c>
      <c r="J37" s="54">
        <v>8</v>
      </c>
      <c r="K37" s="54">
        <v>35</v>
      </c>
      <c r="L37" s="54">
        <v>2</v>
      </c>
      <c r="M37" s="54">
        <v>50</v>
      </c>
      <c r="N37" s="54">
        <v>66</v>
      </c>
      <c r="O37" s="54">
        <v>50</v>
      </c>
      <c r="P37" s="54">
        <v>80</v>
      </c>
      <c r="Q37" s="54">
        <v>110</v>
      </c>
      <c r="R37" s="54" t="s">
        <v>40</v>
      </c>
      <c r="S37" s="54">
        <v>12</v>
      </c>
      <c r="T37" s="29">
        <f t="shared" si="2"/>
        <v>443</v>
      </c>
      <c r="U37" s="29">
        <f t="shared" si="3"/>
        <v>2773</v>
      </c>
      <c r="V37" s="38">
        <f t="shared" si="4"/>
        <v>21</v>
      </c>
      <c r="W37" s="38">
        <f t="shared" si="5"/>
        <v>-20.599999999999966</v>
      </c>
      <c r="X37" s="28">
        <f t="shared" si="6"/>
        <v>0.40000000000003411</v>
      </c>
      <c r="Y37" s="1">
        <f t="shared" si="7"/>
        <v>21.12</v>
      </c>
    </row>
    <row r="38" spans="1:25" ht="18.75" customHeight="1">
      <c r="A38" s="15">
        <v>32</v>
      </c>
      <c r="B38" s="53" t="s">
        <v>158</v>
      </c>
      <c r="C38" s="15">
        <v>22</v>
      </c>
      <c r="D38" s="15">
        <v>21</v>
      </c>
      <c r="E38" s="54">
        <v>2491</v>
      </c>
      <c r="F38" s="54">
        <f t="shared" si="8"/>
        <v>464.64000000000004</v>
      </c>
      <c r="G38" s="54">
        <f t="shared" si="1"/>
        <v>2955.64</v>
      </c>
      <c r="H38" s="54">
        <v>2491</v>
      </c>
      <c r="I38" s="54">
        <v>20</v>
      </c>
      <c r="J38" s="54">
        <v>10</v>
      </c>
      <c r="K38" s="54">
        <v>50</v>
      </c>
      <c r="L38" s="54">
        <v>5</v>
      </c>
      <c r="M38" s="54">
        <v>61</v>
      </c>
      <c r="N38" s="54">
        <v>24</v>
      </c>
      <c r="O38" s="54">
        <v>79</v>
      </c>
      <c r="P38" s="54">
        <v>30</v>
      </c>
      <c r="Q38" s="54">
        <v>73</v>
      </c>
      <c r="R38" s="54" t="s">
        <v>40</v>
      </c>
      <c r="S38" s="54">
        <v>113</v>
      </c>
      <c r="T38" s="29">
        <f t="shared" si="2"/>
        <v>465</v>
      </c>
      <c r="U38" s="29">
        <f t="shared" si="3"/>
        <v>2956</v>
      </c>
      <c r="V38" s="38">
        <f t="shared" si="4"/>
        <v>0</v>
      </c>
      <c r="W38" s="38">
        <f t="shared" si="5"/>
        <v>-0.3599999999999568</v>
      </c>
      <c r="X38" s="28">
        <f t="shared" si="6"/>
        <v>-0.3599999999999568</v>
      </c>
      <c r="Y38" s="1">
        <f t="shared" si="7"/>
        <v>21.12</v>
      </c>
    </row>
    <row r="39" spans="1:25" ht="18.75" customHeight="1">
      <c r="A39" s="15">
        <v>33</v>
      </c>
      <c r="B39" s="14" t="s">
        <v>165</v>
      </c>
      <c r="C39" s="15">
        <v>24</v>
      </c>
      <c r="D39" s="15">
        <v>22</v>
      </c>
      <c r="E39" s="54">
        <v>3149</v>
      </c>
      <c r="F39" s="54">
        <f t="shared" si="8"/>
        <v>506.88</v>
      </c>
      <c r="G39" s="54">
        <f t="shared" si="1"/>
        <v>3655.88</v>
      </c>
      <c r="H39" s="54">
        <v>3150</v>
      </c>
      <c r="I39" s="54"/>
      <c r="J39" s="54">
        <v>16</v>
      </c>
      <c r="K39" s="54">
        <v>40</v>
      </c>
      <c r="L39" s="54">
        <v>15</v>
      </c>
      <c r="M39" s="54">
        <v>60</v>
      </c>
      <c r="N39" s="54">
        <v>45</v>
      </c>
      <c r="O39" s="54">
        <v>100</v>
      </c>
      <c r="P39" s="54">
        <v>70</v>
      </c>
      <c r="Q39" s="54">
        <v>150</v>
      </c>
      <c r="R39" s="54"/>
      <c r="S39" s="54">
        <v>10</v>
      </c>
      <c r="T39" s="29">
        <f t="shared" si="2"/>
        <v>506</v>
      </c>
      <c r="U39" s="29">
        <f t="shared" si="3"/>
        <v>3656</v>
      </c>
      <c r="V39" s="38">
        <f t="shared" si="4"/>
        <v>-1</v>
      </c>
      <c r="W39" s="38">
        <f t="shared" si="5"/>
        <v>0.87999999999999545</v>
      </c>
      <c r="X39" s="28">
        <f t="shared" si="6"/>
        <v>-0.12000000000000455</v>
      </c>
      <c r="Y39" s="1">
        <f t="shared" si="7"/>
        <v>21.12</v>
      </c>
    </row>
    <row r="40" spans="1:25" ht="18.75" customHeight="1">
      <c r="A40" s="15">
        <v>34</v>
      </c>
      <c r="B40" s="53" t="s">
        <v>159</v>
      </c>
      <c r="C40" s="15">
        <v>16</v>
      </c>
      <c r="D40" s="15">
        <v>15</v>
      </c>
      <c r="E40" s="54">
        <v>2093</v>
      </c>
      <c r="F40" s="54">
        <f t="shared" si="8"/>
        <v>337.92</v>
      </c>
      <c r="G40" s="54">
        <f t="shared" si="1"/>
        <v>2430.92</v>
      </c>
      <c r="H40" s="54">
        <v>2100</v>
      </c>
      <c r="I40" s="54">
        <v>20</v>
      </c>
      <c r="J40" s="54">
        <v>16.37</v>
      </c>
      <c r="K40" s="54">
        <v>18</v>
      </c>
      <c r="L40" s="54">
        <v>7</v>
      </c>
      <c r="M40" s="54">
        <v>35</v>
      </c>
      <c r="N40" s="54"/>
      <c r="O40" s="54">
        <v>80</v>
      </c>
      <c r="P40" s="54">
        <v>50</v>
      </c>
      <c r="Q40" s="54">
        <v>70</v>
      </c>
      <c r="R40" s="54"/>
      <c r="S40" s="54">
        <v>35</v>
      </c>
      <c r="T40" s="29">
        <f t="shared" si="2"/>
        <v>331.37</v>
      </c>
      <c r="U40" s="29">
        <f t="shared" si="3"/>
        <v>2431.37</v>
      </c>
      <c r="V40" s="38">
        <f t="shared" si="4"/>
        <v>-7</v>
      </c>
      <c r="W40" s="38">
        <f t="shared" si="5"/>
        <v>6.5500000000000114</v>
      </c>
      <c r="X40" s="28">
        <f t="shared" si="6"/>
        <v>-0.44999999999998863</v>
      </c>
      <c r="Y40" s="1">
        <f t="shared" si="7"/>
        <v>21.12</v>
      </c>
    </row>
    <row r="41" spans="1:25" ht="18.75" customHeight="1">
      <c r="A41" s="15">
        <v>35</v>
      </c>
      <c r="B41" s="53" t="s">
        <v>160</v>
      </c>
      <c r="C41" s="15">
        <v>20</v>
      </c>
      <c r="D41" s="15">
        <v>18</v>
      </c>
      <c r="E41" s="54">
        <v>2500</v>
      </c>
      <c r="F41" s="54">
        <f t="shared" si="8"/>
        <v>422.40000000000003</v>
      </c>
      <c r="G41" s="54">
        <f t="shared" si="1"/>
        <v>2922.4</v>
      </c>
      <c r="H41" s="54">
        <v>2528</v>
      </c>
      <c r="I41" s="54">
        <v>50</v>
      </c>
      <c r="J41" s="54">
        <v>13.25</v>
      </c>
      <c r="K41" s="54">
        <v>62.62</v>
      </c>
      <c r="L41" s="54">
        <v>10.67</v>
      </c>
      <c r="M41" s="54">
        <v>42.56</v>
      </c>
      <c r="N41" s="54">
        <v>23</v>
      </c>
      <c r="O41" s="54">
        <v>50.5</v>
      </c>
      <c r="P41" s="54">
        <v>50</v>
      </c>
      <c r="Q41" s="54">
        <v>75</v>
      </c>
      <c r="R41" s="54"/>
      <c r="S41" s="54">
        <v>17</v>
      </c>
      <c r="T41" s="29">
        <f t="shared" si="2"/>
        <v>394.6</v>
      </c>
      <c r="U41" s="29">
        <f t="shared" si="3"/>
        <v>2922.6</v>
      </c>
      <c r="V41" s="38">
        <f t="shared" si="4"/>
        <v>-28</v>
      </c>
      <c r="W41" s="38">
        <f t="shared" si="5"/>
        <v>27.800000000000011</v>
      </c>
      <c r="X41" s="28">
        <f t="shared" si="6"/>
        <v>-0.19999999999998863</v>
      </c>
      <c r="Y41" s="1">
        <f t="shared" si="7"/>
        <v>21.12</v>
      </c>
    </row>
    <row r="42" spans="1:25" ht="18.75" customHeight="1">
      <c r="A42" s="15">
        <v>36</v>
      </c>
      <c r="B42" s="14" t="s">
        <v>161</v>
      </c>
      <c r="C42" s="15">
        <v>12</v>
      </c>
      <c r="D42" s="15">
        <v>12</v>
      </c>
      <c r="E42" s="54">
        <v>1524</v>
      </c>
      <c r="F42" s="54">
        <f t="shared" si="8"/>
        <v>253.44</v>
      </c>
      <c r="G42" s="54">
        <f t="shared" si="1"/>
        <v>1777.44</v>
      </c>
      <c r="H42" s="54">
        <v>1528</v>
      </c>
      <c r="I42" s="54">
        <v>29</v>
      </c>
      <c r="J42" s="54">
        <v>5</v>
      </c>
      <c r="K42" s="54">
        <v>15</v>
      </c>
      <c r="L42" s="54">
        <v>5</v>
      </c>
      <c r="M42" s="54">
        <v>15</v>
      </c>
      <c r="N42" s="54">
        <v>15</v>
      </c>
      <c r="O42" s="54">
        <v>20</v>
      </c>
      <c r="P42" s="54"/>
      <c r="Q42" s="54">
        <v>70</v>
      </c>
      <c r="R42" s="54"/>
      <c r="S42" s="54">
        <v>75</v>
      </c>
      <c r="T42" s="29">
        <f t="shared" si="2"/>
        <v>249</v>
      </c>
      <c r="U42" s="29">
        <f t="shared" si="3"/>
        <v>1777</v>
      </c>
      <c r="V42" s="38">
        <f t="shared" si="4"/>
        <v>-4</v>
      </c>
      <c r="W42" s="38">
        <f t="shared" si="5"/>
        <v>4.4399999999999977</v>
      </c>
      <c r="X42" s="28">
        <f t="shared" si="6"/>
        <v>0.43999999999999773</v>
      </c>
      <c r="Y42" s="1">
        <f t="shared" si="7"/>
        <v>21.12</v>
      </c>
    </row>
    <row r="43" spans="1:25" ht="18.75" customHeight="1">
      <c r="A43" s="15">
        <v>37</v>
      </c>
      <c r="B43" s="14" t="s">
        <v>162</v>
      </c>
      <c r="C43" s="15">
        <v>20</v>
      </c>
      <c r="D43" s="15">
        <v>20</v>
      </c>
      <c r="E43" s="54">
        <v>2849</v>
      </c>
      <c r="F43" s="54">
        <f t="shared" si="8"/>
        <v>422.40000000000003</v>
      </c>
      <c r="G43" s="54">
        <f t="shared" si="1"/>
        <v>3271.4</v>
      </c>
      <c r="H43" s="54">
        <v>2850</v>
      </c>
      <c r="I43" s="54">
        <v>60</v>
      </c>
      <c r="J43" s="54">
        <v>15</v>
      </c>
      <c r="K43" s="54">
        <v>19</v>
      </c>
      <c r="L43" s="54">
        <v>2</v>
      </c>
      <c r="M43" s="54">
        <v>70</v>
      </c>
      <c r="N43" s="54">
        <v>20</v>
      </c>
      <c r="O43" s="54">
        <v>54</v>
      </c>
      <c r="P43" s="54">
        <v>40</v>
      </c>
      <c r="Q43" s="54">
        <v>80</v>
      </c>
      <c r="R43" s="54" t="s">
        <v>40</v>
      </c>
      <c r="S43" s="54">
        <v>61</v>
      </c>
      <c r="T43" s="29">
        <f t="shared" si="2"/>
        <v>421</v>
      </c>
      <c r="U43" s="29">
        <f t="shared" si="3"/>
        <v>3271</v>
      </c>
      <c r="V43" s="38">
        <f t="shared" si="4"/>
        <v>-1</v>
      </c>
      <c r="W43" s="38">
        <f t="shared" si="5"/>
        <v>1.4000000000000341</v>
      </c>
      <c r="X43" s="28">
        <f t="shared" si="6"/>
        <v>0.40000000000003411</v>
      </c>
      <c r="Y43" s="1">
        <f t="shared" si="7"/>
        <v>21.12</v>
      </c>
    </row>
    <row r="44" spans="1:25" ht="18.75" customHeight="1">
      <c r="A44" s="15">
        <v>38</v>
      </c>
      <c r="B44" s="14" t="s">
        <v>169</v>
      </c>
      <c r="C44" s="15">
        <v>11</v>
      </c>
      <c r="D44" s="15">
        <v>11</v>
      </c>
      <c r="E44" s="54">
        <v>1761</v>
      </c>
      <c r="F44" s="54">
        <f t="shared" si="8"/>
        <v>232.32000000000002</v>
      </c>
      <c r="G44" s="54">
        <f t="shared" si="1"/>
        <v>1993.32</v>
      </c>
      <c r="H44" s="54">
        <v>1761</v>
      </c>
      <c r="I44" s="54">
        <v>8</v>
      </c>
      <c r="J44" s="54">
        <v>8</v>
      </c>
      <c r="K44" s="54">
        <v>16</v>
      </c>
      <c r="L44" s="54">
        <v>5</v>
      </c>
      <c r="M44" s="54">
        <v>70</v>
      </c>
      <c r="N44" s="54">
        <v>23</v>
      </c>
      <c r="O44" s="54">
        <v>30</v>
      </c>
      <c r="P44" s="54">
        <v>20</v>
      </c>
      <c r="Q44" s="54">
        <v>30</v>
      </c>
      <c r="R44" s="54" t="s">
        <v>40</v>
      </c>
      <c r="S44" s="54">
        <v>22</v>
      </c>
      <c r="T44" s="29">
        <f t="shared" si="2"/>
        <v>232</v>
      </c>
      <c r="U44" s="29">
        <f t="shared" si="3"/>
        <v>1993</v>
      </c>
      <c r="V44" s="38">
        <f t="shared" si="4"/>
        <v>0</v>
      </c>
      <c r="W44" s="38">
        <f t="shared" si="5"/>
        <v>0.3200000000000216</v>
      </c>
      <c r="X44" s="28">
        <f t="shared" si="6"/>
        <v>0.3200000000000216</v>
      </c>
      <c r="Y44" s="1">
        <f t="shared" si="7"/>
        <v>21.12</v>
      </c>
    </row>
    <row r="45" spans="1:25" ht="18.75" customHeight="1">
      <c r="A45" s="15">
        <v>39</v>
      </c>
      <c r="B45" s="14" t="s">
        <v>163</v>
      </c>
      <c r="C45" s="15">
        <v>12</v>
      </c>
      <c r="D45" s="15">
        <v>9</v>
      </c>
      <c r="E45" s="54">
        <v>1181</v>
      </c>
      <c r="F45" s="54">
        <f t="shared" si="8"/>
        <v>253.44</v>
      </c>
      <c r="G45" s="54">
        <f t="shared" si="1"/>
        <v>1434.44</v>
      </c>
      <c r="H45" s="54">
        <v>1190</v>
      </c>
      <c r="I45" s="54">
        <v>15.4</v>
      </c>
      <c r="J45" s="54">
        <v>5.3</v>
      </c>
      <c r="K45" s="54">
        <v>10.7</v>
      </c>
      <c r="L45" s="54">
        <v>5.8</v>
      </c>
      <c r="M45" s="54">
        <v>43.2</v>
      </c>
      <c r="N45" s="54">
        <v>4</v>
      </c>
      <c r="O45" s="54">
        <v>40.1</v>
      </c>
      <c r="P45" s="54">
        <v>50.5</v>
      </c>
      <c r="Q45" s="54">
        <v>50.2</v>
      </c>
      <c r="R45" s="54"/>
      <c r="S45" s="54">
        <v>19</v>
      </c>
      <c r="T45" s="29">
        <f t="shared" si="2"/>
        <v>244.2</v>
      </c>
      <c r="U45" s="29">
        <f t="shared" si="3"/>
        <v>1434.2</v>
      </c>
      <c r="V45" s="38">
        <f t="shared" si="4"/>
        <v>-9</v>
      </c>
      <c r="W45" s="38">
        <f t="shared" si="5"/>
        <v>9.2400000000000091</v>
      </c>
      <c r="X45" s="28">
        <f t="shared" si="6"/>
        <v>0.24000000000000909</v>
      </c>
      <c r="Y45" s="1">
        <f t="shared" si="7"/>
        <v>21.12</v>
      </c>
    </row>
    <row r="46" spans="1:25" ht="18.75" customHeight="1">
      <c r="A46" s="180" t="s">
        <v>19</v>
      </c>
      <c r="B46" s="181"/>
      <c r="C46" s="4">
        <f>SUM(C7:C45)</f>
        <v>697</v>
      </c>
      <c r="D46" s="4">
        <f t="shared" ref="D46:U46" si="9">SUM(D7:D45)</f>
        <v>663</v>
      </c>
      <c r="E46" s="4">
        <f t="shared" si="9"/>
        <v>88809.5</v>
      </c>
      <c r="F46" s="4">
        <f t="shared" si="9"/>
        <v>14535.839999999998</v>
      </c>
      <c r="G46" s="4">
        <f t="shared" si="9"/>
        <v>103345.33999999998</v>
      </c>
      <c r="H46" s="4">
        <f t="shared" si="9"/>
        <v>88878.044999999998</v>
      </c>
      <c r="I46" s="4">
        <f t="shared" si="9"/>
        <v>952.5</v>
      </c>
      <c r="J46" s="4">
        <f t="shared" si="9"/>
        <v>564.34399999999994</v>
      </c>
      <c r="K46" s="4">
        <f t="shared" si="9"/>
        <v>1294.6779999999999</v>
      </c>
      <c r="L46" s="4">
        <f t="shared" si="9"/>
        <v>222.28100000000001</v>
      </c>
      <c r="M46" s="4">
        <f t="shared" si="9"/>
        <v>1744.89</v>
      </c>
      <c r="N46" s="4">
        <f t="shared" si="9"/>
        <v>1193</v>
      </c>
      <c r="O46" s="4">
        <f t="shared" si="9"/>
        <v>2167.04</v>
      </c>
      <c r="P46" s="4">
        <f t="shared" si="9"/>
        <v>1279.5</v>
      </c>
      <c r="Q46" s="4">
        <f t="shared" si="9"/>
        <v>2850.3259999999996</v>
      </c>
      <c r="R46" s="4">
        <f t="shared" si="9"/>
        <v>10</v>
      </c>
      <c r="S46" s="4">
        <f t="shared" si="9"/>
        <v>2188.3000000000002</v>
      </c>
      <c r="T46" s="4">
        <f t="shared" si="9"/>
        <v>14466.859000000004</v>
      </c>
      <c r="U46" s="4">
        <f t="shared" si="9"/>
        <v>103344.90399999999</v>
      </c>
      <c r="V46" s="9">
        <f>SUM(V7:V45)</f>
        <v>-68.544999999999845</v>
      </c>
      <c r="W46" s="9">
        <f>SUM(W7:W45)</f>
        <v>68.98100000000008</v>
      </c>
    </row>
    <row r="47" spans="1:25" ht="18.75" customHeight="1">
      <c r="A47" s="1"/>
    </row>
    <row r="48" spans="1:25" ht="18.75" customHeight="1">
      <c r="A48" s="1"/>
    </row>
    <row r="49" spans="1:1" ht="18.75" customHeight="1">
      <c r="A49" s="1"/>
    </row>
    <row r="50" spans="1:1" ht="18.75" customHeight="1">
      <c r="A50" s="1"/>
    </row>
    <row r="51" spans="1:1" ht="18.75" customHeight="1">
      <c r="A51" s="1"/>
    </row>
    <row r="52" spans="1:1" ht="18.75" customHeight="1">
      <c r="A52" s="1"/>
    </row>
    <row r="53" spans="1:1" ht="18.75" customHeight="1">
      <c r="A53" s="1"/>
    </row>
    <row r="54" spans="1:1" ht="18.75" customHeight="1">
      <c r="A54" s="1"/>
    </row>
    <row r="55" spans="1:1" ht="18.75" customHeight="1">
      <c r="A55" s="1"/>
    </row>
    <row r="56" spans="1:1" ht="18.75" customHeight="1">
      <c r="A56" s="1"/>
    </row>
    <row r="57" spans="1:1" ht="18.75" customHeight="1">
      <c r="A57" s="1"/>
    </row>
    <row r="58" spans="1:1" s="10" customFormat="1" ht="18.75" customHeight="1"/>
    <row r="59" spans="1:1" ht="18.75" customHeight="1">
      <c r="A59" s="1"/>
    </row>
    <row r="60" spans="1:1" ht="18.75" customHeight="1">
      <c r="A60" s="1"/>
    </row>
    <row r="61" spans="1:1" ht="18.75" customHeight="1">
      <c r="A61" s="1"/>
    </row>
    <row r="62" spans="1:1" ht="18.75" customHeight="1">
      <c r="A62" s="1"/>
    </row>
    <row r="63" spans="1:1" ht="18.75" customHeight="1">
      <c r="A63" s="1"/>
    </row>
    <row r="64" spans="1:1" ht="18.75" customHeight="1">
      <c r="A64" s="1"/>
    </row>
    <row r="65" spans="1:1" ht="18.75" customHeight="1">
      <c r="A65" s="1"/>
    </row>
    <row r="66" spans="1:1" ht="18.75" customHeight="1">
      <c r="A66" s="1"/>
    </row>
    <row r="67" spans="1:1" ht="18.75" customHeight="1">
      <c r="A67" s="1"/>
    </row>
    <row r="68" spans="1:1" ht="18.75" customHeight="1">
      <c r="A68" s="1"/>
    </row>
    <row r="69" spans="1:1" ht="18.75" customHeight="1">
      <c r="A69" s="1"/>
    </row>
    <row r="70" spans="1:1" ht="18.75" customHeight="1">
      <c r="A70" s="1"/>
    </row>
    <row r="71" spans="1:1" ht="18.75" customHeight="1">
      <c r="A71" s="1"/>
    </row>
    <row r="72" spans="1:1" ht="18.75" customHeight="1">
      <c r="A72" s="1"/>
    </row>
    <row r="73" spans="1:1" ht="18.75" customHeight="1">
      <c r="A73" s="1"/>
    </row>
    <row r="74" spans="1:1" ht="18.75" customHeight="1">
      <c r="A74" s="1"/>
    </row>
    <row r="75" spans="1:1" ht="18.75" customHeight="1">
      <c r="A75" s="1"/>
    </row>
    <row r="76" spans="1:1" ht="18.75" customHeight="1">
      <c r="A76" s="1"/>
    </row>
    <row r="77" spans="1:1" ht="18.75" customHeight="1">
      <c r="A77" s="1"/>
    </row>
    <row r="78" spans="1:1" ht="18.75" customHeight="1">
      <c r="A78" s="1"/>
    </row>
    <row r="79" spans="1:1" ht="18.75" customHeight="1">
      <c r="A79" s="1"/>
    </row>
    <row r="80" spans="1:1" ht="18.75" customHeight="1">
      <c r="A80" s="1"/>
    </row>
    <row r="81" spans="1:1" ht="18" customHeight="1">
      <c r="A81" s="1"/>
    </row>
    <row r="82" spans="1:1" ht="18" customHeight="1">
      <c r="A82" s="1"/>
    </row>
    <row r="83" spans="1:1" ht="18" customHeight="1">
      <c r="A83" s="1"/>
    </row>
    <row r="84" spans="1:1" ht="18" customHeight="1">
      <c r="A84" s="1"/>
    </row>
    <row r="85" spans="1:1" ht="18.75" customHeight="1">
      <c r="A85" s="1"/>
    </row>
    <row r="86" spans="1:1" ht="18.75" customHeight="1">
      <c r="A86" s="1"/>
    </row>
    <row r="87" spans="1:1" ht="18.75" customHeight="1">
      <c r="A87" s="1"/>
    </row>
    <row r="88" spans="1:1" ht="18.75" customHeight="1">
      <c r="A88" s="1"/>
    </row>
    <row r="89" spans="1:1" ht="18.75" customHeight="1">
      <c r="A89" s="1"/>
    </row>
    <row r="90" spans="1:1" ht="18.75" customHeight="1">
      <c r="A90" s="1"/>
    </row>
    <row r="91" spans="1:1" ht="18.75" customHeight="1">
      <c r="A91" s="1"/>
    </row>
    <row r="92" spans="1:1" ht="18.75" customHeight="1">
      <c r="A92" s="1"/>
    </row>
    <row r="93" spans="1:1" ht="18.75" customHeight="1">
      <c r="A93" s="1"/>
    </row>
    <row r="94" spans="1:1" ht="18.75" customHeight="1">
      <c r="A94" s="1"/>
    </row>
    <row r="95" spans="1:1" ht="18.75" customHeight="1">
      <c r="A95" s="1"/>
    </row>
    <row r="96" spans="1:1" ht="18.75" customHeight="1">
      <c r="A96" s="1"/>
    </row>
    <row r="97" spans="1:1" ht="18.75" customHeight="1">
      <c r="A97" s="1"/>
    </row>
    <row r="98" spans="1:1" ht="18.75" customHeight="1">
      <c r="A98" s="1"/>
    </row>
    <row r="99" spans="1:1" ht="18.75" customHeight="1">
      <c r="A99" s="1"/>
    </row>
    <row r="100" spans="1:1" ht="18.75" customHeight="1">
      <c r="A100" s="1"/>
    </row>
    <row r="101" spans="1:1" ht="18.75" customHeight="1">
      <c r="A101" s="1"/>
    </row>
    <row r="102" spans="1:1" ht="18.75" customHeight="1">
      <c r="A102" s="1"/>
    </row>
    <row r="103" spans="1:1" ht="18.75" customHeight="1">
      <c r="A103" s="1"/>
    </row>
    <row r="104" spans="1:1" ht="18.75" customHeight="1">
      <c r="A104" s="1"/>
    </row>
    <row r="105" spans="1:1" ht="18.75" customHeight="1">
      <c r="A105" s="1"/>
    </row>
    <row r="106" spans="1:1" ht="18.75" customHeight="1">
      <c r="A106" s="1"/>
    </row>
    <row r="107" spans="1:1" ht="18.75" customHeight="1">
      <c r="A107" s="1"/>
    </row>
    <row r="108" spans="1:1" ht="18.75" customHeight="1">
      <c r="A108" s="1"/>
    </row>
    <row r="109" spans="1:1" ht="18.75" customHeight="1">
      <c r="A109" s="1"/>
    </row>
    <row r="110" spans="1:1" ht="18.75" customHeight="1">
      <c r="A110" s="1"/>
    </row>
    <row r="111" spans="1:1" ht="18.75" customHeight="1">
      <c r="A111" s="1"/>
    </row>
    <row r="112" spans="1:1" ht="18.75" customHeight="1">
      <c r="A112" s="1"/>
    </row>
    <row r="113" spans="1:1" ht="18.75" customHeight="1">
      <c r="A113" s="1"/>
    </row>
    <row r="114" spans="1:1" ht="18.75" customHeight="1">
      <c r="A114" s="1"/>
    </row>
    <row r="115" spans="1:1" ht="18.75" customHeight="1">
      <c r="A115" s="1"/>
    </row>
    <row r="116" spans="1:1" ht="18.75" customHeight="1">
      <c r="A116" s="1"/>
    </row>
    <row r="117" spans="1:1" ht="18.75" customHeight="1">
      <c r="A117" s="1"/>
    </row>
    <row r="118" spans="1:1" ht="18.75" customHeight="1">
      <c r="A118" s="1"/>
    </row>
    <row r="119" spans="1:1" ht="18.75" customHeight="1">
      <c r="A119" s="1"/>
    </row>
    <row r="120" spans="1:1" ht="18.75" customHeight="1">
      <c r="A120" s="1"/>
    </row>
    <row r="121" spans="1:1" ht="18.75" customHeight="1">
      <c r="A121" s="1"/>
    </row>
    <row r="122" spans="1:1" ht="18.75" customHeight="1">
      <c r="A122" s="1"/>
    </row>
    <row r="123" spans="1:1" ht="18.75" customHeight="1">
      <c r="A123" s="1"/>
    </row>
    <row r="124" spans="1:1" ht="18.75" customHeight="1">
      <c r="A124" s="1"/>
    </row>
    <row r="125" spans="1:1" ht="18.75" customHeight="1">
      <c r="A125" s="1"/>
    </row>
    <row r="126" spans="1:1" ht="18.75" customHeight="1">
      <c r="A126" s="1"/>
    </row>
    <row r="127" spans="1:1" ht="18.75" customHeight="1">
      <c r="A127" s="1"/>
    </row>
    <row r="128" spans="1:1" ht="18.75" customHeight="1">
      <c r="A128" s="1"/>
    </row>
    <row r="129" spans="1:1" ht="18.75" customHeight="1">
      <c r="A129" s="1"/>
    </row>
    <row r="130" spans="1:1" ht="18.75" customHeight="1">
      <c r="A130" s="1"/>
    </row>
    <row r="131" spans="1:1" ht="18.75" customHeight="1">
      <c r="A131" s="1"/>
    </row>
    <row r="132" spans="1:1" ht="18.75" customHeight="1">
      <c r="A132" s="1"/>
    </row>
    <row r="133" spans="1:1" ht="18.75" customHeight="1">
      <c r="A133" s="1"/>
    </row>
    <row r="134" spans="1:1" ht="18.75" customHeight="1">
      <c r="A134" s="1"/>
    </row>
    <row r="135" spans="1:1" ht="18.75" customHeight="1">
      <c r="A135" s="1"/>
    </row>
    <row r="136" spans="1:1" ht="18.75" customHeight="1">
      <c r="A136" s="1"/>
    </row>
    <row r="137" spans="1:1" ht="18.75" customHeight="1">
      <c r="A137" s="1"/>
    </row>
    <row r="138" spans="1:1" ht="18.75" customHeight="1">
      <c r="A138" s="1"/>
    </row>
    <row r="139" spans="1:1" ht="18.75" customHeight="1">
      <c r="A139" s="1"/>
    </row>
    <row r="140" spans="1:1" ht="18.75" customHeight="1">
      <c r="A140" s="1"/>
    </row>
    <row r="141" spans="1:1" ht="18.75" customHeight="1">
      <c r="A141" s="1"/>
    </row>
    <row r="142" spans="1:1" ht="18.75" customHeight="1">
      <c r="A142" s="1"/>
    </row>
    <row r="143" spans="1:1" ht="18.75" customHeight="1">
      <c r="A143" s="1"/>
    </row>
    <row r="144" spans="1:1" s="10" customFormat="1" ht="18.75" customHeight="1"/>
    <row r="145" spans="1:1" ht="18.75" customHeight="1">
      <c r="A145" s="1"/>
    </row>
    <row r="146" spans="1:1" ht="18.75" customHeight="1">
      <c r="A146" s="1"/>
    </row>
    <row r="147" spans="1:1" ht="18.75" customHeight="1">
      <c r="A147" s="1"/>
    </row>
    <row r="148" spans="1:1" ht="18.75" customHeight="1">
      <c r="A148" s="1"/>
    </row>
    <row r="149" spans="1:1" ht="18.75" customHeight="1">
      <c r="A149" s="1"/>
    </row>
    <row r="150" spans="1:1" ht="18.75" customHeight="1">
      <c r="A150" s="1"/>
    </row>
    <row r="151" spans="1:1" ht="18.75" customHeight="1">
      <c r="A151" s="1"/>
    </row>
    <row r="152" spans="1:1" ht="18.75" customHeight="1">
      <c r="A152" s="1"/>
    </row>
    <row r="153" spans="1:1" ht="18.75" customHeight="1">
      <c r="A153" s="1"/>
    </row>
    <row r="154" spans="1:1" ht="18.75" customHeight="1">
      <c r="A154" s="1"/>
    </row>
    <row r="155" spans="1:1" ht="18.75" customHeight="1">
      <c r="A155" s="1"/>
    </row>
    <row r="156" spans="1:1" ht="18.75" customHeight="1">
      <c r="A156" s="1"/>
    </row>
    <row r="157" spans="1:1" ht="18.75" customHeight="1">
      <c r="A157" s="1"/>
    </row>
    <row r="158" spans="1:1" ht="18.75" customHeight="1">
      <c r="A158" s="1"/>
    </row>
    <row r="159" spans="1:1" ht="18.75" customHeight="1">
      <c r="A159" s="1"/>
    </row>
    <row r="160" spans="1:1" ht="18.75" customHeight="1">
      <c r="A160" s="1"/>
    </row>
    <row r="161" spans="1:1" ht="18.75" customHeight="1">
      <c r="A161" s="1"/>
    </row>
    <row r="162" spans="1:1" ht="18.75" customHeight="1">
      <c r="A162" s="1"/>
    </row>
    <row r="163" spans="1:1" s="11" customFormat="1" ht="18.75" customHeight="1"/>
    <row r="164" spans="1:1" ht="18.75" customHeight="1">
      <c r="A164" s="1"/>
    </row>
    <row r="165" spans="1:1" ht="18.75" customHeight="1">
      <c r="A165" s="1"/>
    </row>
    <row r="166" spans="1:1" s="10" customFormat="1" ht="18.75" customHeight="1"/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</sheetData>
  <autoFilter ref="A6:AB166"/>
  <mergeCells count="14">
    <mergeCell ref="V4:W4"/>
    <mergeCell ref="V5:V6"/>
    <mergeCell ref="W5:W6"/>
    <mergeCell ref="A46:B46"/>
    <mergeCell ref="A1:U1"/>
    <mergeCell ref="A2:U2"/>
    <mergeCell ref="A4:A6"/>
    <mergeCell ref="B4:B6"/>
    <mergeCell ref="H4:U4"/>
    <mergeCell ref="C4:D5"/>
    <mergeCell ref="H5:H6"/>
    <mergeCell ref="I5:T5"/>
    <mergeCell ref="U5:U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31"/>
  <sheetViews>
    <sheetView workbookViewId="0">
      <selection activeCell="A2" sqref="A2:U2"/>
    </sheetView>
  </sheetViews>
  <sheetFormatPr defaultColWidth="9.140625" defaultRowHeight="12"/>
  <cols>
    <col min="1" max="1" width="4.5703125" style="105" bestFit="1" customWidth="1"/>
    <col min="2" max="2" width="25.42578125" style="17" customWidth="1"/>
    <col min="3" max="3" width="5.42578125" style="17" customWidth="1"/>
    <col min="4" max="4" width="6.28515625" style="17" customWidth="1"/>
    <col min="5" max="7" width="9.140625" style="17" customWidth="1"/>
    <col min="8" max="8" width="9.7109375" style="17" customWidth="1"/>
    <col min="9" max="9" width="8" style="17" bestFit="1" customWidth="1"/>
    <col min="10" max="10" width="8.28515625" style="17" bestFit="1" customWidth="1"/>
    <col min="11" max="11" width="9.140625" style="17" bestFit="1" customWidth="1"/>
    <col min="12" max="12" width="8.7109375" style="17" customWidth="1"/>
    <col min="13" max="13" width="6.7109375" style="17" bestFit="1" customWidth="1"/>
    <col min="14" max="14" width="7.42578125" style="17" customWidth="1"/>
    <col min="15" max="15" width="10.85546875" style="17" customWidth="1"/>
    <col min="16" max="17" width="9.140625" style="17" bestFit="1" customWidth="1"/>
    <col min="18" max="18" width="9.42578125" style="17" bestFit="1" customWidth="1"/>
    <col min="19" max="19" width="6.28515625" style="17" customWidth="1"/>
    <col min="20" max="20" width="7.85546875" style="17" customWidth="1"/>
    <col min="21" max="21" width="10.28515625" style="17" customWidth="1"/>
    <col min="22" max="16384" width="9.140625" style="17"/>
  </cols>
  <sheetData>
    <row r="1" spans="1:21" ht="19.899999999999999" customHeight="1">
      <c r="A1" s="159" t="s">
        <v>285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20.45" customHeight="1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ht="16.5" customHeight="1">
      <c r="U3" s="24" t="s">
        <v>20</v>
      </c>
    </row>
    <row r="4" spans="1:21" ht="18.75" customHeight="1">
      <c r="A4" s="158" t="s">
        <v>0</v>
      </c>
      <c r="B4" s="158" t="s">
        <v>18</v>
      </c>
      <c r="C4" s="161" t="s">
        <v>1</v>
      </c>
      <c r="D4" s="162"/>
      <c r="E4" s="169" t="s">
        <v>4</v>
      </c>
      <c r="F4" s="170"/>
      <c r="G4" s="171"/>
      <c r="H4" s="158" t="s">
        <v>5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18.75" customHeight="1">
      <c r="A5" s="158"/>
      <c r="B5" s="158"/>
      <c r="C5" s="163"/>
      <c r="D5" s="164"/>
      <c r="E5" s="172"/>
      <c r="F5" s="173"/>
      <c r="G5" s="174"/>
      <c r="H5" s="165" t="s">
        <v>6</v>
      </c>
      <c r="I5" s="158" t="s">
        <v>190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65" t="s">
        <v>19</v>
      </c>
    </row>
    <row r="6" spans="1:21" ht="71.25" customHeight="1">
      <c r="A6" s="158"/>
      <c r="B6" s="158"/>
      <c r="C6" s="26" t="s">
        <v>2</v>
      </c>
      <c r="D6" s="26" t="s">
        <v>3</v>
      </c>
      <c r="E6" s="26" t="s">
        <v>189</v>
      </c>
      <c r="F6" s="104" t="s">
        <v>191</v>
      </c>
      <c r="G6" s="104" t="s">
        <v>19</v>
      </c>
      <c r="H6" s="165"/>
      <c r="I6" s="104" t="s">
        <v>7</v>
      </c>
      <c r="J6" s="104" t="s">
        <v>8</v>
      </c>
      <c r="K6" s="104" t="s">
        <v>9</v>
      </c>
      <c r="L6" s="104" t="s">
        <v>10</v>
      </c>
      <c r="M6" s="104" t="s">
        <v>11</v>
      </c>
      <c r="N6" s="104" t="s">
        <v>12</v>
      </c>
      <c r="O6" s="104" t="s">
        <v>13</v>
      </c>
      <c r="P6" s="104" t="s">
        <v>14</v>
      </c>
      <c r="Q6" s="104" t="s">
        <v>15</v>
      </c>
      <c r="R6" s="104" t="s">
        <v>17</v>
      </c>
      <c r="S6" s="104" t="s">
        <v>16</v>
      </c>
      <c r="T6" s="104" t="s">
        <v>193</v>
      </c>
      <c r="U6" s="165"/>
    </row>
    <row r="7" spans="1:21" ht="18.75" customHeight="1">
      <c r="A7" s="41">
        <v>1</v>
      </c>
      <c r="B7" s="42" t="s">
        <v>286</v>
      </c>
      <c r="C7" s="118">
        <v>15</v>
      </c>
      <c r="D7" s="118">
        <v>15</v>
      </c>
      <c r="E7" s="30">
        <v>2003.114</v>
      </c>
      <c r="F7" s="30">
        <v>291.85899999999998</v>
      </c>
      <c r="G7" s="30">
        <f>E7+F7</f>
        <v>2294.973</v>
      </c>
      <c r="H7" s="30">
        <v>2003.114</v>
      </c>
      <c r="I7" s="30"/>
      <c r="J7" s="30">
        <v>11</v>
      </c>
      <c r="K7" s="30">
        <v>20</v>
      </c>
      <c r="L7" s="30">
        <v>6.3</v>
      </c>
      <c r="M7" s="30">
        <v>25.9</v>
      </c>
      <c r="N7" s="30">
        <v>65</v>
      </c>
      <c r="O7" s="30">
        <v>57</v>
      </c>
      <c r="P7" s="30"/>
      <c r="Q7" s="30">
        <v>62</v>
      </c>
      <c r="R7" s="30"/>
      <c r="S7" s="30">
        <v>44.658999999999999</v>
      </c>
      <c r="T7" s="12">
        <f>SUM(I7:S7)</f>
        <v>291.85899999999998</v>
      </c>
      <c r="U7" s="12">
        <f>T7+H7</f>
        <v>2294.973</v>
      </c>
    </row>
    <row r="8" spans="1:21" ht="18.75" customHeight="1">
      <c r="A8" s="41">
        <v>2</v>
      </c>
      <c r="B8" s="42" t="s">
        <v>287</v>
      </c>
      <c r="C8" s="118">
        <v>13</v>
      </c>
      <c r="D8" s="118">
        <v>13</v>
      </c>
      <c r="E8" s="13">
        <v>1756</v>
      </c>
      <c r="F8" s="13">
        <v>346</v>
      </c>
      <c r="G8" s="30">
        <f t="shared" ref="G8:G37" si="0">E8+F8</f>
        <v>2102</v>
      </c>
      <c r="H8" s="13">
        <v>1756.2360000000001</v>
      </c>
      <c r="I8" s="13"/>
      <c r="J8" s="13">
        <v>16.405000000000001</v>
      </c>
      <c r="K8" s="13">
        <v>30.55</v>
      </c>
      <c r="L8" s="13"/>
      <c r="M8" s="13">
        <v>25.8</v>
      </c>
      <c r="N8" s="13">
        <v>39.42</v>
      </c>
      <c r="O8" s="13">
        <v>55.68</v>
      </c>
      <c r="P8" s="13">
        <v>58.029000000000003</v>
      </c>
      <c r="Q8" s="13">
        <v>63.6</v>
      </c>
      <c r="R8" s="13"/>
      <c r="S8" s="13">
        <v>56.35</v>
      </c>
      <c r="T8" s="12">
        <f t="shared" ref="T8:T9" si="1">SUM(I8:S8)</f>
        <v>345.834</v>
      </c>
      <c r="U8" s="12">
        <f t="shared" ref="U8:U36" si="2">T8+H8</f>
        <v>2102.0700000000002</v>
      </c>
    </row>
    <row r="9" spans="1:21" ht="18.75" customHeight="1">
      <c r="A9" s="41">
        <v>3</v>
      </c>
      <c r="B9" s="42" t="s">
        <v>288</v>
      </c>
      <c r="C9" s="118">
        <v>21</v>
      </c>
      <c r="D9" s="118">
        <v>21</v>
      </c>
      <c r="E9" s="43">
        <v>2809.4789999999998</v>
      </c>
      <c r="F9" s="43">
        <v>408.57799999999997</v>
      </c>
      <c r="G9" s="30">
        <f t="shared" si="0"/>
        <v>3218.0569999999998</v>
      </c>
      <c r="H9" s="43">
        <v>2809.4789999999998</v>
      </c>
      <c r="I9" s="30"/>
      <c r="J9" s="43">
        <v>27.407</v>
      </c>
      <c r="K9" s="43">
        <v>40</v>
      </c>
      <c r="L9" s="43">
        <v>30</v>
      </c>
      <c r="M9" s="43">
        <v>40</v>
      </c>
      <c r="N9" s="43">
        <v>38.01</v>
      </c>
      <c r="O9" s="43">
        <v>110</v>
      </c>
      <c r="P9" s="30"/>
      <c r="Q9" s="43">
        <v>50</v>
      </c>
      <c r="R9" s="30"/>
      <c r="S9" s="43">
        <v>73.161000000000001</v>
      </c>
      <c r="T9" s="12">
        <f t="shared" si="1"/>
        <v>408.57799999999997</v>
      </c>
      <c r="U9" s="12">
        <f t="shared" si="2"/>
        <v>3218.0569999999998</v>
      </c>
    </row>
    <row r="10" spans="1:21" ht="18.75" customHeight="1">
      <c r="A10" s="41">
        <v>4</v>
      </c>
      <c r="B10" s="42" t="s">
        <v>289</v>
      </c>
      <c r="C10" s="119">
        <v>10</v>
      </c>
      <c r="D10" s="119">
        <v>10</v>
      </c>
      <c r="E10" s="45">
        <v>1407</v>
      </c>
      <c r="F10" s="45">
        <v>287</v>
      </c>
      <c r="G10" s="30">
        <f t="shared" si="0"/>
        <v>1694</v>
      </c>
      <c r="H10" s="45">
        <v>1406.6469999999999</v>
      </c>
      <c r="I10" s="45">
        <v>14.968</v>
      </c>
      <c r="J10" s="45">
        <v>5.9240000000000004</v>
      </c>
      <c r="K10" s="45">
        <v>18</v>
      </c>
      <c r="L10" s="45">
        <v>1.5</v>
      </c>
      <c r="M10" s="45">
        <v>7.5</v>
      </c>
      <c r="N10" s="45">
        <v>78</v>
      </c>
      <c r="O10" s="45">
        <v>30.5</v>
      </c>
      <c r="P10" s="45">
        <v>64.5</v>
      </c>
      <c r="Q10" s="45">
        <v>40.5</v>
      </c>
      <c r="R10" s="45"/>
      <c r="S10" s="45">
        <v>25.5</v>
      </c>
      <c r="T10" s="12">
        <v>286.892</v>
      </c>
      <c r="U10" s="12">
        <v>1693.539</v>
      </c>
    </row>
    <row r="11" spans="1:21" ht="18.75" customHeight="1">
      <c r="A11" s="41">
        <v>5</v>
      </c>
      <c r="B11" s="42" t="s">
        <v>290</v>
      </c>
      <c r="C11" s="118">
        <v>20</v>
      </c>
      <c r="D11" s="118">
        <v>20</v>
      </c>
      <c r="E11" s="43">
        <v>2175.8760000000002</v>
      </c>
      <c r="F11" s="43">
        <v>392</v>
      </c>
      <c r="G11" s="30">
        <f t="shared" si="0"/>
        <v>2567.8760000000002</v>
      </c>
      <c r="H11" s="43">
        <v>2175.8760000000002</v>
      </c>
      <c r="I11" s="43">
        <v>35</v>
      </c>
      <c r="J11" s="43">
        <v>15.46</v>
      </c>
      <c r="K11" s="43">
        <v>26</v>
      </c>
      <c r="L11" s="43">
        <v>12.279</v>
      </c>
      <c r="M11" s="43">
        <v>38</v>
      </c>
      <c r="N11" s="43">
        <v>36</v>
      </c>
      <c r="O11" s="43">
        <v>60</v>
      </c>
      <c r="P11" s="43">
        <v>20</v>
      </c>
      <c r="Q11" s="43">
        <v>113.88200000000001</v>
      </c>
      <c r="R11" s="43"/>
      <c r="S11" s="43">
        <v>35</v>
      </c>
      <c r="T11" s="12">
        <f t="shared" ref="T11:T34" si="3">SUM(I11:S11)</f>
        <v>391.62099999999998</v>
      </c>
      <c r="U11" s="12">
        <f t="shared" si="2"/>
        <v>2567.4970000000003</v>
      </c>
    </row>
    <row r="12" spans="1:21" ht="20.45" customHeight="1">
      <c r="A12" s="41">
        <v>6</v>
      </c>
      <c r="B12" s="42" t="s">
        <v>291</v>
      </c>
      <c r="C12" s="118">
        <v>16</v>
      </c>
      <c r="D12" s="118">
        <v>16</v>
      </c>
      <c r="E12" s="30">
        <v>2230.7739999999999</v>
      </c>
      <c r="F12" s="30">
        <v>322</v>
      </c>
      <c r="G12" s="30">
        <f t="shared" si="0"/>
        <v>2552.7739999999999</v>
      </c>
      <c r="H12" s="30">
        <v>2230.7739999999999</v>
      </c>
      <c r="I12" s="30">
        <v>2</v>
      </c>
      <c r="J12" s="30">
        <v>15</v>
      </c>
      <c r="K12" s="30">
        <v>62.21</v>
      </c>
      <c r="L12" s="30">
        <v>8</v>
      </c>
      <c r="M12" s="30">
        <v>56</v>
      </c>
      <c r="N12" s="30">
        <v>15</v>
      </c>
      <c r="O12" s="30">
        <v>108.789</v>
      </c>
      <c r="P12" s="30"/>
      <c r="Q12" s="30">
        <v>34</v>
      </c>
      <c r="R12" s="30"/>
      <c r="S12" s="30">
        <v>21</v>
      </c>
      <c r="T12" s="12">
        <v>321.99900000000002</v>
      </c>
      <c r="U12" s="12">
        <v>2552.7730000000001</v>
      </c>
    </row>
    <row r="13" spans="1:21" ht="18.75" customHeight="1">
      <c r="A13" s="41">
        <v>7</v>
      </c>
      <c r="B13" s="42" t="s">
        <v>292</v>
      </c>
      <c r="C13" s="118">
        <v>18</v>
      </c>
      <c r="D13" s="118">
        <v>18</v>
      </c>
      <c r="E13" s="13">
        <v>2415</v>
      </c>
      <c r="F13" s="13">
        <v>350</v>
      </c>
      <c r="G13" s="30">
        <f t="shared" si="0"/>
        <v>2765</v>
      </c>
      <c r="H13" s="13">
        <v>2414.6019999999999</v>
      </c>
      <c r="I13" s="13"/>
      <c r="J13" s="13">
        <v>12</v>
      </c>
      <c r="K13" s="13">
        <v>21.5</v>
      </c>
      <c r="L13" s="13">
        <v>3.5</v>
      </c>
      <c r="M13" s="13">
        <v>30</v>
      </c>
      <c r="N13" s="13">
        <v>14.4</v>
      </c>
      <c r="O13" s="13">
        <v>36.5</v>
      </c>
      <c r="P13" s="13"/>
      <c r="Q13" s="13">
        <v>200</v>
      </c>
      <c r="R13" s="13"/>
      <c r="S13" s="13">
        <v>32.299999999999997</v>
      </c>
      <c r="T13" s="12">
        <f t="shared" si="3"/>
        <v>350.2</v>
      </c>
      <c r="U13" s="12">
        <f>T13+H13</f>
        <v>2764.8019999999997</v>
      </c>
    </row>
    <row r="14" spans="1:21" ht="18.75" customHeight="1">
      <c r="A14" s="41">
        <v>8</v>
      </c>
      <c r="B14" s="42" t="s">
        <v>293</v>
      </c>
      <c r="C14" s="118">
        <v>24</v>
      </c>
      <c r="D14" s="118">
        <v>24</v>
      </c>
      <c r="E14" s="30">
        <v>3301.3389999999999</v>
      </c>
      <c r="F14" s="30">
        <v>466.49299999999999</v>
      </c>
      <c r="G14" s="30">
        <f t="shared" si="0"/>
        <v>3767.8319999999999</v>
      </c>
      <c r="H14" s="30">
        <f>3301.339</f>
        <v>3301.3389999999999</v>
      </c>
      <c r="I14" s="30">
        <v>100</v>
      </c>
      <c r="J14" s="30">
        <f>12.493</f>
        <v>12.493</v>
      </c>
      <c r="K14" s="30">
        <v>25</v>
      </c>
      <c r="L14" s="30">
        <v>4</v>
      </c>
      <c r="M14" s="30">
        <v>35</v>
      </c>
      <c r="N14" s="30">
        <v>60</v>
      </c>
      <c r="O14" s="30">
        <v>35</v>
      </c>
      <c r="P14" s="30">
        <v>30</v>
      </c>
      <c r="Q14" s="30">
        <v>100</v>
      </c>
      <c r="R14" s="30"/>
      <c r="S14" s="30">
        <v>65</v>
      </c>
      <c r="T14" s="12">
        <f t="shared" si="3"/>
        <v>466.49299999999999</v>
      </c>
      <c r="U14" s="12">
        <f>T14+H14</f>
        <v>3767.8319999999999</v>
      </c>
    </row>
    <row r="15" spans="1:21" ht="18.75" customHeight="1">
      <c r="A15" s="41">
        <v>9</v>
      </c>
      <c r="B15" s="42" t="s">
        <v>294</v>
      </c>
      <c r="C15" s="118">
        <v>12</v>
      </c>
      <c r="D15" s="118">
        <v>12</v>
      </c>
      <c r="E15" s="13">
        <v>1819</v>
      </c>
      <c r="F15" s="13">
        <v>369</v>
      </c>
      <c r="G15" s="30">
        <f t="shared" si="0"/>
        <v>2188</v>
      </c>
      <c r="H15" s="13">
        <v>1819</v>
      </c>
      <c r="I15" s="13"/>
      <c r="J15" s="13">
        <v>5</v>
      </c>
      <c r="K15" s="13">
        <v>15</v>
      </c>
      <c r="L15" s="13">
        <v>5</v>
      </c>
      <c r="M15" s="13">
        <v>50</v>
      </c>
      <c r="N15" s="13">
        <v>25</v>
      </c>
      <c r="O15" s="13">
        <v>84.302000000000007</v>
      </c>
      <c r="P15" s="13">
        <v>34.689</v>
      </c>
      <c r="Q15" s="13">
        <v>100.24</v>
      </c>
      <c r="R15" s="13"/>
      <c r="S15" s="13">
        <v>50</v>
      </c>
      <c r="T15" s="12">
        <f t="shared" si="3"/>
        <v>369.23099999999999</v>
      </c>
      <c r="U15" s="12">
        <f>T15+H15</f>
        <v>2188.2309999999998</v>
      </c>
    </row>
    <row r="16" spans="1:21" ht="18.75" customHeight="1">
      <c r="A16" s="41">
        <v>10</v>
      </c>
      <c r="B16" s="42" t="s">
        <v>295</v>
      </c>
      <c r="C16" s="118">
        <v>25</v>
      </c>
      <c r="D16" s="118">
        <v>25</v>
      </c>
      <c r="E16" s="13">
        <v>3598</v>
      </c>
      <c r="F16" s="13">
        <v>485</v>
      </c>
      <c r="G16" s="30">
        <f t="shared" si="0"/>
        <v>4083</v>
      </c>
      <c r="H16" s="13">
        <v>3598</v>
      </c>
      <c r="I16" s="13"/>
      <c r="J16" s="13">
        <v>10</v>
      </c>
      <c r="K16" s="13">
        <v>25</v>
      </c>
      <c r="L16" s="13">
        <v>10</v>
      </c>
      <c r="M16" s="13">
        <v>36</v>
      </c>
      <c r="N16" s="13">
        <v>88</v>
      </c>
      <c r="O16" s="13">
        <v>80</v>
      </c>
      <c r="P16" s="13">
        <v>61.024000000000001</v>
      </c>
      <c r="Q16" s="13">
        <v>150</v>
      </c>
      <c r="R16" s="13"/>
      <c r="S16" s="13">
        <v>25.113</v>
      </c>
      <c r="T16" s="12">
        <f t="shared" si="3"/>
        <v>485.137</v>
      </c>
      <c r="U16" s="12">
        <f t="shared" si="2"/>
        <v>4083.1370000000002</v>
      </c>
    </row>
    <row r="17" spans="1:21" s="35" customFormat="1" ht="18.75" customHeight="1">
      <c r="A17" s="41">
        <v>11</v>
      </c>
      <c r="B17" s="42" t="s">
        <v>43</v>
      </c>
      <c r="C17" s="118">
        <v>19</v>
      </c>
      <c r="D17" s="118">
        <v>19</v>
      </c>
      <c r="E17" s="43">
        <v>2617.8609999999999</v>
      </c>
      <c r="F17" s="43">
        <v>369.286</v>
      </c>
      <c r="G17" s="30">
        <f t="shared" si="0"/>
        <v>2987.1469999999999</v>
      </c>
      <c r="H17" s="43">
        <v>2617.8609999999999</v>
      </c>
      <c r="I17" s="30"/>
      <c r="J17" s="43">
        <v>9</v>
      </c>
      <c r="K17" s="43">
        <v>58</v>
      </c>
      <c r="L17" s="43">
        <v>7</v>
      </c>
      <c r="M17" s="43">
        <v>17</v>
      </c>
      <c r="N17" s="43">
        <v>38</v>
      </c>
      <c r="O17" s="43">
        <v>80</v>
      </c>
      <c r="P17" s="43">
        <v>10</v>
      </c>
      <c r="Q17" s="43">
        <v>72</v>
      </c>
      <c r="R17" s="43"/>
      <c r="S17" s="43">
        <v>78.286000000000001</v>
      </c>
      <c r="T17" s="12">
        <f t="shared" si="3"/>
        <v>369.286</v>
      </c>
      <c r="U17" s="12">
        <f t="shared" si="2"/>
        <v>2987.1469999999999</v>
      </c>
    </row>
    <row r="18" spans="1:21" ht="18.75" customHeight="1">
      <c r="A18" s="41">
        <v>12</v>
      </c>
      <c r="B18" s="42" t="s">
        <v>304</v>
      </c>
      <c r="C18" s="118">
        <v>23</v>
      </c>
      <c r="D18" s="118">
        <v>23</v>
      </c>
      <c r="E18" s="30">
        <v>3190.7959999999998</v>
      </c>
      <c r="F18" s="30">
        <v>467.04599999999999</v>
      </c>
      <c r="G18" s="30">
        <f t="shared" si="0"/>
        <v>3657.8419999999996</v>
      </c>
      <c r="H18" s="30">
        <v>3190.7959999999998</v>
      </c>
      <c r="I18" s="30"/>
      <c r="J18" s="30">
        <v>3.5</v>
      </c>
      <c r="K18" s="30">
        <v>18</v>
      </c>
      <c r="L18" s="30">
        <v>6.5</v>
      </c>
      <c r="M18" s="30">
        <v>57</v>
      </c>
      <c r="N18" s="30">
        <v>120</v>
      </c>
      <c r="O18" s="30">
        <v>52</v>
      </c>
      <c r="P18" s="30"/>
      <c r="Q18" s="30">
        <v>43</v>
      </c>
      <c r="R18" s="30"/>
      <c r="S18" s="30">
        <v>167.04599999999999</v>
      </c>
      <c r="T18" s="12">
        <f t="shared" si="3"/>
        <v>467.04599999999999</v>
      </c>
      <c r="U18" s="12">
        <f t="shared" si="2"/>
        <v>3657.8419999999996</v>
      </c>
    </row>
    <row r="19" spans="1:21" ht="18.75" customHeight="1">
      <c r="A19" s="41">
        <v>13</v>
      </c>
      <c r="B19" s="42" t="s">
        <v>305</v>
      </c>
      <c r="C19" s="118">
        <v>18</v>
      </c>
      <c r="D19" s="118">
        <v>18</v>
      </c>
      <c r="E19" s="13">
        <v>2559</v>
      </c>
      <c r="F19" s="13">
        <v>402</v>
      </c>
      <c r="G19" s="30">
        <f t="shared" si="0"/>
        <v>2961</v>
      </c>
      <c r="H19" s="13">
        <v>2558.6080000000002</v>
      </c>
      <c r="I19" s="13"/>
      <c r="J19" s="13">
        <v>25.4</v>
      </c>
      <c r="K19" s="13">
        <v>35.200000000000003</v>
      </c>
      <c r="L19" s="13">
        <v>2.226</v>
      </c>
      <c r="M19" s="13">
        <v>60.5</v>
      </c>
      <c r="N19" s="13">
        <v>19.71</v>
      </c>
      <c r="O19" s="13">
        <v>75.849999999999994</v>
      </c>
      <c r="P19" s="13">
        <v>50.5</v>
      </c>
      <c r="Q19" s="13">
        <v>85.69</v>
      </c>
      <c r="R19" s="13"/>
      <c r="S19" s="13">
        <v>46.902000000000001</v>
      </c>
      <c r="T19" s="12">
        <f t="shared" si="3"/>
        <v>401.97799999999995</v>
      </c>
      <c r="U19" s="12">
        <f t="shared" si="2"/>
        <v>2960.5860000000002</v>
      </c>
    </row>
    <row r="20" spans="1:21" ht="18.75" customHeight="1">
      <c r="A20" s="41">
        <v>14</v>
      </c>
      <c r="B20" s="42" t="s">
        <v>296</v>
      </c>
      <c r="C20" s="118">
        <v>20</v>
      </c>
      <c r="D20" s="118">
        <v>20</v>
      </c>
      <c r="E20" s="43">
        <v>3429.4520000000002</v>
      </c>
      <c r="F20" s="43">
        <v>402.94299999999998</v>
      </c>
      <c r="G20" s="30">
        <f t="shared" si="0"/>
        <v>3832.3950000000004</v>
      </c>
      <c r="H20" s="43">
        <v>3429.4520000000002</v>
      </c>
      <c r="I20" s="30"/>
      <c r="J20" s="43">
        <v>25</v>
      </c>
      <c r="K20" s="43">
        <v>30</v>
      </c>
      <c r="L20" s="43">
        <v>50</v>
      </c>
      <c r="M20" s="43">
        <v>65</v>
      </c>
      <c r="N20" s="43">
        <v>70</v>
      </c>
      <c r="O20" s="43">
        <v>86</v>
      </c>
      <c r="P20" s="30"/>
      <c r="Q20" s="43">
        <v>45</v>
      </c>
      <c r="R20" s="30"/>
      <c r="S20" s="43">
        <v>31.853000000000002</v>
      </c>
      <c r="T20" s="12">
        <f t="shared" si="3"/>
        <v>402.85300000000001</v>
      </c>
      <c r="U20" s="12">
        <f t="shared" si="2"/>
        <v>3832.3050000000003</v>
      </c>
    </row>
    <row r="21" spans="1:21" ht="18.75" customHeight="1">
      <c r="A21" s="41">
        <v>15</v>
      </c>
      <c r="B21" s="42" t="s">
        <v>297</v>
      </c>
      <c r="C21" s="119">
        <v>17</v>
      </c>
      <c r="D21" s="119">
        <v>17</v>
      </c>
      <c r="E21" s="45">
        <v>3050</v>
      </c>
      <c r="F21" s="45">
        <v>287</v>
      </c>
      <c r="G21" s="30">
        <f t="shared" si="0"/>
        <v>3337</v>
      </c>
      <c r="H21" s="45">
        <v>3049.71</v>
      </c>
      <c r="I21" s="45">
        <v>14.968</v>
      </c>
      <c r="J21" s="45">
        <v>5.9240000000000004</v>
      </c>
      <c r="K21" s="45">
        <v>18</v>
      </c>
      <c r="L21" s="45">
        <v>1.5</v>
      </c>
      <c r="M21" s="45">
        <v>7.5</v>
      </c>
      <c r="N21" s="45">
        <v>78</v>
      </c>
      <c r="O21" s="45">
        <v>30.5</v>
      </c>
      <c r="P21" s="45">
        <v>64.5</v>
      </c>
      <c r="Q21" s="45">
        <v>40.5</v>
      </c>
      <c r="R21" s="45"/>
      <c r="S21" s="45">
        <v>25.5</v>
      </c>
      <c r="T21" s="12">
        <v>286.892</v>
      </c>
      <c r="U21" s="12">
        <v>3336.6019999999999</v>
      </c>
    </row>
    <row r="22" spans="1:21" ht="18.75" customHeight="1">
      <c r="A22" s="41">
        <v>16</v>
      </c>
      <c r="B22" s="42" t="s">
        <v>298</v>
      </c>
      <c r="C22" s="118">
        <v>29</v>
      </c>
      <c r="D22" s="118">
        <v>29</v>
      </c>
      <c r="E22" s="43">
        <v>3886.596</v>
      </c>
      <c r="F22" s="43">
        <v>500</v>
      </c>
      <c r="G22" s="30">
        <f t="shared" si="0"/>
        <v>4386.5959999999995</v>
      </c>
      <c r="H22" s="43">
        <v>3886.596</v>
      </c>
      <c r="I22" s="43">
        <v>80</v>
      </c>
      <c r="J22" s="43">
        <v>15.018000000000001</v>
      </c>
      <c r="K22" s="43">
        <v>28</v>
      </c>
      <c r="L22" s="43">
        <v>12.901</v>
      </c>
      <c r="M22" s="43">
        <v>50</v>
      </c>
      <c r="N22" s="43">
        <v>44.25</v>
      </c>
      <c r="O22" s="43">
        <v>40.6</v>
      </c>
      <c r="P22" s="43">
        <v>30</v>
      </c>
      <c r="Q22" s="43">
        <v>159.24799999999999</v>
      </c>
      <c r="R22" s="43"/>
      <c r="S22" s="43">
        <v>40</v>
      </c>
      <c r="T22" s="12">
        <f t="shared" si="3"/>
        <v>500.017</v>
      </c>
      <c r="U22" s="12">
        <f t="shared" si="2"/>
        <v>4386.6130000000003</v>
      </c>
    </row>
    <row r="23" spans="1:21" ht="18.75" customHeight="1">
      <c r="A23" s="41">
        <v>17</v>
      </c>
      <c r="B23" s="42" t="s">
        <v>299</v>
      </c>
      <c r="C23" s="118">
        <v>30</v>
      </c>
      <c r="D23" s="118">
        <v>30</v>
      </c>
      <c r="E23" s="30">
        <v>4666.4639999999999</v>
      </c>
      <c r="F23" s="30">
        <v>576.81700000000001</v>
      </c>
      <c r="G23" s="30">
        <f t="shared" si="0"/>
        <v>5243.2809999999999</v>
      </c>
      <c r="H23" s="30">
        <v>4666.4639999999999</v>
      </c>
      <c r="I23" s="30">
        <v>3.2</v>
      </c>
      <c r="J23" s="30">
        <v>6</v>
      </c>
      <c r="K23" s="30">
        <v>72.516999999999996</v>
      </c>
      <c r="L23" s="30">
        <v>5.5</v>
      </c>
      <c r="M23" s="30">
        <v>104</v>
      </c>
      <c r="N23" s="30">
        <v>40.6</v>
      </c>
      <c r="O23" s="30">
        <v>201</v>
      </c>
      <c r="P23" s="30"/>
      <c r="Q23" s="30">
        <v>120</v>
      </c>
      <c r="R23" s="30"/>
      <c r="S23" s="30">
        <v>24</v>
      </c>
      <c r="T23" s="12">
        <v>576.81700000000001</v>
      </c>
      <c r="U23" s="12">
        <v>5243.2809999999999</v>
      </c>
    </row>
    <row r="24" spans="1:21" ht="18.75" customHeight="1">
      <c r="A24" s="41">
        <v>18</v>
      </c>
      <c r="B24" s="42" t="s">
        <v>300</v>
      </c>
      <c r="C24" s="118">
        <v>22</v>
      </c>
      <c r="D24" s="118">
        <v>22</v>
      </c>
      <c r="E24" s="13">
        <v>3621</v>
      </c>
      <c r="F24" s="13">
        <v>444</v>
      </c>
      <c r="G24" s="30">
        <f t="shared" si="0"/>
        <v>4065</v>
      </c>
      <c r="H24" s="13">
        <v>3620.5010000000002</v>
      </c>
      <c r="I24" s="13"/>
      <c r="J24" s="13">
        <v>8</v>
      </c>
      <c r="K24" s="13">
        <v>35</v>
      </c>
      <c r="L24" s="13">
        <v>3</v>
      </c>
      <c r="M24" s="13">
        <v>70</v>
      </c>
      <c r="N24" s="13">
        <v>24</v>
      </c>
      <c r="O24" s="13">
        <v>72.8</v>
      </c>
      <c r="P24" s="13">
        <v>50</v>
      </c>
      <c r="Q24" s="13">
        <v>145.94399999999999</v>
      </c>
      <c r="R24" s="13"/>
      <c r="S24" s="13">
        <v>35.152999999999999</v>
      </c>
      <c r="T24" s="12">
        <f t="shared" si="3"/>
        <v>443.89700000000005</v>
      </c>
      <c r="U24" s="12">
        <f t="shared" si="2"/>
        <v>4064.3980000000001</v>
      </c>
    </row>
    <row r="25" spans="1:21" ht="18.75" customHeight="1">
      <c r="A25" s="41">
        <v>19</v>
      </c>
      <c r="B25" s="42" t="s">
        <v>301</v>
      </c>
      <c r="C25" s="118">
        <v>34</v>
      </c>
      <c r="D25" s="118">
        <v>33</v>
      </c>
      <c r="E25" s="30">
        <v>5796.3919999999998</v>
      </c>
      <c r="F25" s="30">
        <v>685.01800000000003</v>
      </c>
      <c r="G25" s="30">
        <f t="shared" si="0"/>
        <v>6481.41</v>
      </c>
      <c r="H25" s="30">
        <v>5796.3919999999998</v>
      </c>
      <c r="I25" s="30">
        <f>12.018+90</f>
        <v>102.018</v>
      </c>
      <c r="J25" s="30">
        <v>22</v>
      </c>
      <c r="K25" s="30">
        <v>50</v>
      </c>
      <c r="L25" s="30">
        <v>6</v>
      </c>
      <c r="M25" s="30">
        <v>65</v>
      </c>
      <c r="N25" s="30">
        <v>60</v>
      </c>
      <c r="O25" s="30">
        <v>160</v>
      </c>
      <c r="P25" s="30">
        <v>35</v>
      </c>
      <c r="Q25" s="30">
        <v>120</v>
      </c>
      <c r="R25" s="30"/>
      <c r="S25" s="30">
        <v>65</v>
      </c>
      <c r="T25" s="12">
        <f t="shared" si="3"/>
        <v>685.01800000000003</v>
      </c>
      <c r="U25" s="12">
        <f t="shared" si="2"/>
        <v>6481.41</v>
      </c>
    </row>
    <row r="26" spans="1:21" ht="18.75" customHeight="1">
      <c r="A26" s="41">
        <v>20</v>
      </c>
      <c r="B26" s="42" t="s">
        <v>302</v>
      </c>
      <c r="C26" s="118">
        <v>17</v>
      </c>
      <c r="D26" s="118">
        <v>17</v>
      </c>
      <c r="E26" s="13">
        <v>3120</v>
      </c>
      <c r="F26" s="13">
        <v>371</v>
      </c>
      <c r="G26" s="30">
        <f t="shared" si="0"/>
        <v>3491</v>
      </c>
      <c r="H26" s="13">
        <v>3120</v>
      </c>
      <c r="I26" s="13"/>
      <c r="J26" s="13">
        <v>8</v>
      </c>
      <c r="K26" s="13">
        <v>25</v>
      </c>
      <c r="L26" s="13">
        <v>5</v>
      </c>
      <c r="M26" s="13">
        <v>60</v>
      </c>
      <c r="N26" s="13">
        <v>28</v>
      </c>
      <c r="O26" s="13">
        <v>20</v>
      </c>
      <c r="P26" s="13">
        <v>160.40100000000001</v>
      </c>
      <c r="Q26" s="13">
        <v>40</v>
      </c>
      <c r="R26" s="13"/>
      <c r="S26" s="13">
        <v>25</v>
      </c>
      <c r="T26" s="12">
        <f t="shared" si="3"/>
        <v>371.40100000000001</v>
      </c>
      <c r="U26" s="12">
        <f t="shared" si="2"/>
        <v>3491.4009999999998</v>
      </c>
    </row>
    <row r="27" spans="1:21" ht="18.75" customHeight="1">
      <c r="A27" s="41">
        <v>21</v>
      </c>
      <c r="B27" s="42" t="s">
        <v>303</v>
      </c>
      <c r="C27" s="118">
        <v>38</v>
      </c>
      <c r="D27" s="118">
        <v>38</v>
      </c>
      <c r="E27" s="43">
        <v>5984.9160000000002</v>
      </c>
      <c r="F27" s="43">
        <v>768.07500000000005</v>
      </c>
      <c r="G27" s="30">
        <f t="shared" si="0"/>
        <v>6752.991</v>
      </c>
      <c r="H27" s="43">
        <f>5984.916</f>
        <v>5984.9160000000002</v>
      </c>
      <c r="I27" s="30"/>
      <c r="J27" s="43">
        <v>28</v>
      </c>
      <c r="K27" s="43">
        <v>222</v>
      </c>
      <c r="L27" s="43">
        <v>12</v>
      </c>
      <c r="M27" s="43">
        <v>80</v>
      </c>
      <c r="N27" s="43">
        <v>75</v>
      </c>
      <c r="O27" s="43">
        <v>18</v>
      </c>
      <c r="P27" s="43">
        <v>30</v>
      </c>
      <c r="Q27" s="43">
        <v>210</v>
      </c>
      <c r="R27" s="43"/>
      <c r="S27" s="43">
        <f>101-7.925</f>
        <v>93.075000000000003</v>
      </c>
      <c r="T27" s="12">
        <f t="shared" si="3"/>
        <v>768.07500000000005</v>
      </c>
      <c r="U27" s="12">
        <f t="shared" si="2"/>
        <v>6752.991</v>
      </c>
    </row>
    <row r="28" spans="1:21" ht="18.75" customHeight="1">
      <c r="A28" s="41">
        <v>22</v>
      </c>
      <c r="B28" s="42" t="s">
        <v>306</v>
      </c>
      <c r="C28" s="118">
        <v>24</v>
      </c>
      <c r="D28" s="118">
        <v>24</v>
      </c>
      <c r="E28" s="43">
        <v>3894.2339999999999</v>
      </c>
      <c r="F28" s="43">
        <v>484.529</v>
      </c>
      <c r="G28" s="30">
        <f t="shared" si="0"/>
        <v>4378.7629999999999</v>
      </c>
      <c r="H28" s="43">
        <f>3894.234</f>
        <v>3894.2339999999999</v>
      </c>
      <c r="I28" s="30"/>
      <c r="J28" s="30">
        <v>7</v>
      </c>
      <c r="K28" s="30">
        <v>50</v>
      </c>
      <c r="L28" s="30">
        <v>6.0039999999999996</v>
      </c>
      <c r="M28" s="30">
        <v>70.381</v>
      </c>
      <c r="N28" s="30">
        <v>56.886000000000003</v>
      </c>
      <c r="O28" s="30">
        <v>72.519000000000005</v>
      </c>
      <c r="P28" s="30">
        <v>17.844999999999999</v>
      </c>
      <c r="Q28" s="30">
        <v>134.11600000000001</v>
      </c>
      <c r="R28" s="30"/>
      <c r="S28" s="30">
        <f>8.6+58.774+2.4+0.004</f>
        <v>69.778000000000006</v>
      </c>
      <c r="T28" s="12">
        <f t="shared" si="3"/>
        <v>484.529</v>
      </c>
      <c r="U28" s="12">
        <f t="shared" si="2"/>
        <v>4378.7629999999999</v>
      </c>
    </row>
    <row r="29" spans="1:21" ht="18.75" customHeight="1">
      <c r="A29" s="41">
        <v>23</v>
      </c>
      <c r="B29" s="42" t="s">
        <v>44</v>
      </c>
      <c r="C29" s="118">
        <v>14</v>
      </c>
      <c r="D29" s="118">
        <v>14</v>
      </c>
      <c r="E29" s="30">
        <v>1849.8409999999999</v>
      </c>
      <c r="F29" s="30">
        <v>269.87599999999998</v>
      </c>
      <c r="G29" s="30">
        <f t="shared" si="0"/>
        <v>2119.7169999999996</v>
      </c>
      <c r="H29" s="30">
        <v>1849.8409999999999</v>
      </c>
      <c r="I29" s="30"/>
      <c r="J29" s="30">
        <v>3.75</v>
      </c>
      <c r="K29" s="30">
        <v>15.8</v>
      </c>
      <c r="L29" s="30">
        <v>3.95</v>
      </c>
      <c r="M29" s="30">
        <v>50.8</v>
      </c>
      <c r="N29" s="30">
        <v>112.7</v>
      </c>
      <c r="O29" s="30">
        <v>15.95</v>
      </c>
      <c r="P29" s="30"/>
      <c r="Q29" s="30">
        <v>35.28</v>
      </c>
      <c r="R29" s="30"/>
      <c r="S29" s="30">
        <v>31.646000000000001</v>
      </c>
      <c r="T29" s="12">
        <f t="shared" si="3"/>
        <v>269.87599999999998</v>
      </c>
      <c r="U29" s="12">
        <f t="shared" si="2"/>
        <v>2119.7169999999996</v>
      </c>
    </row>
    <row r="30" spans="1:21" ht="18.75" customHeight="1">
      <c r="A30" s="41">
        <v>24</v>
      </c>
      <c r="B30" s="42" t="s">
        <v>307</v>
      </c>
      <c r="C30" s="118">
        <v>12</v>
      </c>
      <c r="D30" s="118">
        <v>12</v>
      </c>
      <c r="E30" s="13">
        <v>1683</v>
      </c>
      <c r="F30" s="13">
        <v>348</v>
      </c>
      <c r="G30" s="30">
        <f t="shared" si="0"/>
        <v>2031</v>
      </c>
      <c r="H30" s="13">
        <v>1682.8009999999999</v>
      </c>
      <c r="I30" s="13"/>
      <c r="J30" s="13">
        <v>6.4820000000000002</v>
      </c>
      <c r="K30" s="13">
        <v>30.8</v>
      </c>
      <c r="L30" s="13">
        <v>1.6850000000000001</v>
      </c>
      <c r="M30" s="13">
        <v>65.8</v>
      </c>
      <c r="N30" s="13">
        <v>19.71</v>
      </c>
      <c r="O30" s="13">
        <v>64.25</v>
      </c>
      <c r="P30" s="13">
        <v>45.6</v>
      </c>
      <c r="Q30" s="13">
        <v>53.305</v>
      </c>
      <c r="R30" s="13"/>
      <c r="S30" s="13">
        <v>60.805</v>
      </c>
      <c r="T30" s="12">
        <f t="shared" si="3"/>
        <v>348.43700000000001</v>
      </c>
      <c r="U30" s="12">
        <f t="shared" si="2"/>
        <v>2031.2379999999998</v>
      </c>
    </row>
    <row r="31" spans="1:21" ht="18.75" customHeight="1">
      <c r="A31" s="41">
        <v>25</v>
      </c>
      <c r="B31" s="42" t="s">
        <v>45</v>
      </c>
      <c r="C31" s="118">
        <v>20</v>
      </c>
      <c r="D31" s="118">
        <v>19</v>
      </c>
      <c r="E31" s="43">
        <v>2884.8420000000001</v>
      </c>
      <c r="F31" s="43">
        <v>405.57600000000002</v>
      </c>
      <c r="G31" s="30">
        <f t="shared" si="0"/>
        <v>3290.4180000000001</v>
      </c>
      <c r="H31" s="43">
        <v>2884.8420000000001</v>
      </c>
      <c r="I31" s="30"/>
      <c r="J31" s="43">
        <v>10.576000000000001</v>
      </c>
      <c r="K31" s="43">
        <v>40</v>
      </c>
      <c r="L31" s="43">
        <v>9</v>
      </c>
      <c r="M31" s="43">
        <v>45</v>
      </c>
      <c r="N31" s="43">
        <v>112</v>
      </c>
      <c r="O31" s="43">
        <v>20</v>
      </c>
      <c r="P31" s="30"/>
      <c r="Q31" s="43">
        <v>105</v>
      </c>
      <c r="R31" s="30"/>
      <c r="S31" s="43">
        <v>64</v>
      </c>
      <c r="T31" s="12">
        <f t="shared" ref="T31" si="4">SUM(I31:S31)</f>
        <v>405.57600000000002</v>
      </c>
      <c r="U31" s="12">
        <f t="shared" si="2"/>
        <v>3290.4180000000001</v>
      </c>
    </row>
    <row r="32" spans="1:21" ht="18.75" customHeight="1">
      <c r="A32" s="41">
        <v>26</v>
      </c>
      <c r="B32" s="42" t="s">
        <v>46</v>
      </c>
      <c r="C32" s="118">
        <v>19</v>
      </c>
      <c r="D32" s="118">
        <v>18</v>
      </c>
      <c r="E32" s="43">
        <v>2111.962</v>
      </c>
      <c r="F32" s="43">
        <v>388</v>
      </c>
      <c r="G32" s="30">
        <f t="shared" si="0"/>
        <v>2499.962</v>
      </c>
      <c r="H32" s="43">
        <v>2111.962</v>
      </c>
      <c r="I32" s="43">
        <v>45.59</v>
      </c>
      <c r="J32" s="43">
        <v>26.870999999999999</v>
      </c>
      <c r="K32" s="43">
        <v>25</v>
      </c>
      <c r="L32" s="43">
        <v>15.96</v>
      </c>
      <c r="M32" s="43">
        <v>35.799999999999997</v>
      </c>
      <c r="N32" s="43">
        <v>28.558</v>
      </c>
      <c r="O32" s="43">
        <v>78.599999999999994</v>
      </c>
      <c r="P32" s="43"/>
      <c r="Q32" s="43">
        <v>102.06100000000001</v>
      </c>
      <c r="R32" s="43"/>
      <c r="S32" s="43">
        <v>30</v>
      </c>
      <c r="T32" s="12">
        <f t="shared" ref="T32:T33" si="5">SUM(I32:S32)</f>
        <v>388.44000000000005</v>
      </c>
      <c r="U32" s="12">
        <f t="shared" si="2"/>
        <v>2500.402</v>
      </c>
    </row>
    <row r="33" spans="1:21" ht="18.75" customHeight="1">
      <c r="A33" s="41">
        <v>27</v>
      </c>
      <c r="B33" s="42" t="s">
        <v>308</v>
      </c>
      <c r="C33" s="118">
        <v>16</v>
      </c>
      <c r="D33" s="118">
        <v>16</v>
      </c>
      <c r="E33" s="30">
        <v>1960.55</v>
      </c>
      <c r="F33" s="30">
        <v>259.37200000000001</v>
      </c>
      <c r="G33" s="30">
        <f t="shared" si="0"/>
        <v>2219.922</v>
      </c>
      <c r="H33" s="30">
        <v>1960.55</v>
      </c>
      <c r="I33" s="30">
        <v>2</v>
      </c>
      <c r="J33" s="30">
        <v>3</v>
      </c>
      <c r="K33" s="30">
        <v>32</v>
      </c>
      <c r="L33" s="30">
        <v>5</v>
      </c>
      <c r="M33" s="30">
        <v>57</v>
      </c>
      <c r="N33" s="30">
        <v>37.5</v>
      </c>
      <c r="O33" s="30">
        <v>48.872</v>
      </c>
      <c r="P33" s="30"/>
      <c r="Q33" s="30">
        <v>54</v>
      </c>
      <c r="R33" s="30"/>
      <c r="S33" s="30">
        <v>20</v>
      </c>
      <c r="T33" s="12">
        <f t="shared" si="5"/>
        <v>259.37200000000001</v>
      </c>
      <c r="U33" s="12">
        <f>H33+T33</f>
        <v>2219.922</v>
      </c>
    </row>
    <row r="34" spans="1:21" ht="18.75" customHeight="1">
      <c r="A34" s="41">
        <v>28</v>
      </c>
      <c r="B34" s="42" t="s">
        <v>47</v>
      </c>
      <c r="C34" s="118">
        <v>16</v>
      </c>
      <c r="D34" s="118">
        <v>16</v>
      </c>
      <c r="E34" s="13">
        <v>331</v>
      </c>
      <c r="F34" s="13">
        <v>331</v>
      </c>
      <c r="G34" s="30">
        <f t="shared" si="0"/>
        <v>662</v>
      </c>
      <c r="H34" s="13">
        <v>2188.7060000000001</v>
      </c>
      <c r="I34" s="13"/>
      <c r="J34" s="13">
        <v>40</v>
      </c>
      <c r="K34" s="13">
        <v>30</v>
      </c>
      <c r="L34" s="13">
        <v>3.5</v>
      </c>
      <c r="M34" s="13">
        <v>60</v>
      </c>
      <c r="N34" s="13">
        <v>18</v>
      </c>
      <c r="O34" s="13">
        <v>35</v>
      </c>
      <c r="P34" s="13">
        <v>40</v>
      </c>
      <c r="Q34" s="13">
        <v>67.27</v>
      </c>
      <c r="R34" s="13"/>
      <c r="S34" s="13">
        <v>37.411000000000001</v>
      </c>
      <c r="T34" s="12">
        <f t="shared" si="3"/>
        <v>331.18099999999998</v>
      </c>
      <c r="U34" s="12">
        <f t="shared" si="2"/>
        <v>2519.8870000000002</v>
      </c>
    </row>
    <row r="35" spans="1:21" ht="18.75" customHeight="1">
      <c r="A35" s="41">
        <v>29</v>
      </c>
      <c r="B35" s="42" t="s">
        <v>48</v>
      </c>
      <c r="C35" s="118">
        <v>20</v>
      </c>
      <c r="D35" s="118">
        <v>20</v>
      </c>
      <c r="E35" s="30">
        <v>2552.5369999999998</v>
      </c>
      <c r="F35" s="30">
        <v>389.19299999999998</v>
      </c>
      <c r="G35" s="30">
        <f t="shared" si="0"/>
        <v>2941.7299999999996</v>
      </c>
      <c r="H35" s="30">
        <f>972.955055+1239.718167+269.371748+70.4919</f>
        <v>2552.5368699999999</v>
      </c>
      <c r="I35" s="30">
        <f>72.8919-70.4919+0.6</f>
        <v>3.0000000000000058</v>
      </c>
      <c r="J35" s="30">
        <v>5.1990809999999996</v>
      </c>
      <c r="K35" s="30">
        <v>27.280940000000001</v>
      </c>
      <c r="L35" s="30">
        <v>1.3507819999999999</v>
      </c>
      <c r="M35" s="30">
        <v>67.48</v>
      </c>
      <c r="N35" s="30">
        <v>77.233999999999995</v>
      </c>
      <c r="O35" s="30">
        <v>43.764000000000003</v>
      </c>
      <c r="P35" s="30">
        <v>43.04</v>
      </c>
      <c r="Q35" s="30">
        <v>96.006500000000003</v>
      </c>
      <c r="R35" s="30"/>
      <c r="S35" s="30">
        <v>24.837</v>
      </c>
      <c r="T35" s="12">
        <f t="shared" ref="T35" si="6">SUM(I35:S35)</f>
        <v>389.19230300000004</v>
      </c>
      <c r="U35" s="12">
        <f t="shared" si="2"/>
        <v>2941.7291729999997</v>
      </c>
    </row>
    <row r="36" spans="1:21" ht="18.75" customHeight="1">
      <c r="A36" s="41">
        <v>30</v>
      </c>
      <c r="B36" s="42" t="s">
        <v>309</v>
      </c>
      <c r="C36" s="118">
        <v>13</v>
      </c>
      <c r="D36" s="118">
        <v>12</v>
      </c>
      <c r="E36" s="43">
        <v>3894.2339999999999</v>
      </c>
      <c r="F36" s="43">
        <v>484.529</v>
      </c>
      <c r="G36" s="30">
        <f t="shared" si="0"/>
        <v>4378.7629999999999</v>
      </c>
      <c r="H36" s="43">
        <f>3894.234</f>
        <v>3894.2339999999999</v>
      </c>
      <c r="I36" s="30"/>
      <c r="J36" s="30">
        <v>7</v>
      </c>
      <c r="K36" s="30">
        <v>50</v>
      </c>
      <c r="L36" s="30">
        <v>6.0039999999999996</v>
      </c>
      <c r="M36" s="30">
        <v>70.381</v>
      </c>
      <c r="N36" s="30">
        <v>56.886000000000003</v>
      </c>
      <c r="O36" s="30">
        <v>72.519000000000005</v>
      </c>
      <c r="P36" s="30">
        <v>17.844999999999999</v>
      </c>
      <c r="Q36" s="30">
        <v>134.11600000000001</v>
      </c>
      <c r="R36" s="30"/>
      <c r="S36" s="30">
        <f>8.6+58.774+2.4+0.004</f>
        <v>69.778000000000006</v>
      </c>
      <c r="T36" s="12">
        <f t="shared" ref="T36" si="7">SUM(I36:S36)</f>
        <v>484.529</v>
      </c>
      <c r="U36" s="12">
        <f t="shared" si="2"/>
        <v>4378.7629999999999</v>
      </c>
    </row>
    <row r="37" spans="1:21" ht="18.75" customHeight="1">
      <c r="A37" s="41">
        <v>31</v>
      </c>
      <c r="B37" s="19" t="s">
        <v>49</v>
      </c>
      <c r="C37" s="118">
        <v>37</v>
      </c>
      <c r="D37" s="118">
        <v>35</v>
      </c>
      <c r="E37" s="30">
        <v>4221.3440000000001</v>
      </c>
      <c r="F37" s="30">
        <v>636.89300000000003</v>
      </c>
      <c r="G37" s="30">
        <f t="shared" si="0"/>
        <v>4858.2370000000001</v>
      </c>
      <c r="H37" s="30">
        <v>4221.3440000000001</v>
      </c>
      <c r="I37" s="30">
        <v>127</v>
      </c>
      <c r="J37" s="30">
        <v>20</v>
      </c>
      <c r="K37" s="30">
        <v>40</v>
      </c>
      <c r="L37" s="30">
        <v>8</v>
      </c>
      <c r="M37" s="30">
        <v>65</v>
      </c>
      <c r="N37" s="30">
        <v>0</v>
      </c>
      <c r="O37" s="30">
        <v>80</v>
      </c>
      <c r="P37" s="30">
        <v>60</v>
      </c>
      <c r="Q37" s="30">
        <v>155.94300000000001</v>
      </c>
      <c r="R37" s="30">
        <v>3.35</v>
      </c>
      <c r="S37" s="30">
        <v>77.599999999999994</v>
      </c>
      <c r="T37" s="12">
        <f>SUM(I37:S37)</f>
        <v>636.89300000000003</v>
      </c>
      <c r="U37" s="12">
        <f>T37+H37</f>
        <v>4858.2370000000001</v>
      </c>
    </row>
    <row r="38" spans="1:21" ht="18.75" customHeight="1">
      <c r="A38" s="40"/>
      <c r="B38" s="103" t="s">
        <v>19</v>
      </c>
      <c r="C38" s="46">
        <f>SUM(C7:C37)</f>
        <v>632</v>
      </c>
      <c r="D38" s="46">
        <f t="shared" ref="D38:U38" si="8">SUM(D7:D37)</f>
        <v>626</v>
      </c>
      <c r="E38" s="46">
        <f t="shared" si="8"/>
        <v>90821.602999999988</v>
      </c>
      <c r="F38" s="46">
        <f t="shared" si="8"/>
        <v>12988.083000000001</v>
      </c>
      <c r="G38" s="46">
        <f t="shared" si="8"/>
        <v>103809.686</v>
      </c>
      <c r="H38" s="46">
        <f t="shared" si="8"/>
        <v>92677.413870000004</v>
      </c>
      <c r="I38" s="46">
        <f t="shared" si="8"/>
        <v>529.74400000000003</v>
      </c>
      <c r="J38" s="46">
        <f t="shared" si="8"/>
        <v>416.40908100000001</v>
      </c>
      <c r="K38" s="46">
        <f t="shared" si="8"/>
        <v>1215.8579399999999</v>
      </c>
      <c r="L38" s="46">
        <f t="shared" si="8"/>
        <v>252.65978200000001</v>
      </c>
      <c r="M38" s="46">
        <f t="shared" si="8"/>
        <v>1567.8420000000001</v>
      </c>
      <c r="N38" s="46">
        <f t="shared" si="8"/>
        <v>1575.8639999999998</v>
      </c>
      <c r="O38" s="46">
        <f t="shared" si="8"/>
        <v>2025.9949999999999</v>
      </c>
      <c r="P38" s="46">
        <f t="shared" si="8"/>
        <v>922.97300000000007</v>
      </c>
      <c r="Q38" s="46">
        <f t="shared" si="8"/>
        <v>2932.7015000000006</v>
      </c>
      <c r="R38" s="46">
        <f t="shared" si="8"/>
        <v>3.35</v>
      </c>
      <c r="S38" s="46">
        <f t="shared" si="8"/>
        <v>1545.7529999999999</v>
      </c>
      <c r="T38" s="46">
        <f t="shared" si="8"/>
        <v>12989.149303000002</v>
      </c>
      <c r="U38" s="46">
        <f t="shared" si="8"/>
        <v>105666.56317300002</v>
      </c>
    </row>
    <row r="39" spans="1:21" ht="18.75" customHeight="1">
      <c r="A39" s="17"/>
    </row>
    <row r="40" spans="1:21" ht="18.75" customHeight="1">
      <c r="A40" s="17"/>
    </row>
    <row r="41" spans="1:21" ht="18.75" customHeight="1">
      <c r="A41" s="17"/>
    </row>
    <row r="42" spans="1:21" ht="18.75" customHeight="1">
      <c r="A42" s="17"/>
    </row>
    <row r="43" spans="1:21" ht="18.75" customHeight="1">
      <c r="A43" s="17"/>
    </row>
    <row r="44" spans="1:21" ht="18.75" customHeight="1">
      <c r="A44" s="17"/>
    </row>
    <row r="45" spans="1:21" ht="18.75" customHeight="1">
      <c r="A45" s="17"/>
    </row>
    <row r="46" spans="1:21" ht="18.75" customHeight="1">
      <c r="A46" s="17"/>
    </row>
    <row r="47" spans="1:21" ht="18.75" customHeight="1">
      <c r="A47" s="17"/>
    </row>
    <row r="48" spans="1:21" ht="18.75" customHeight="1">
      <c r="A48" s="17"/>
    </row>
    <row r="49" spans="1:1" ht="18.75" customHeight="1">
      <c r="A49" s="17"/>
    </row>
    <row r="50" spans="1:1" ht="18.75" customHeight="1">
      <c r="A50" s="17"/>
    </row>
    <row r="51" spans="1:1" ht="18.75" customHeight="1">
      <c r="A51" s="17"/>
    </row>
    <row r="52" spans="1:1" ht="18.75" customHeight="1">
      <c r="A52" s="17"/>
    </row>
    <row r="53" spans="1:1" ht="18.75" customHeight="1">
      <c r="A53" s="17"/>
    </row>
    <row r="54" spans="1:1" ht="18.75" customHeight="1">
      <c r="A54" s="17"/>
    </row>
    <row r="55" spans="1:1" ht="18.75" customHeight="1">
      <c r="A55" s="17"/>
    </row>
    <row r="56" spans="1:1" ht="18.75" customHeight="1">
      <c r="A56" s="17"/>
    </row>
    <row r="57" spans="1:1" ht="18.75" customHeight="1">
      <c r="A57" s="17"/>
    </row>
    <row r="58" spans="1:1" ht="18.75" customHeight="1">
      <c r="A58" s="17"/>
    </row>
    <row r="59" spans="1:1" ht="18.75" customHeight="1">
      <c r="A59" s="17"/>
    </row>
    <row r="60" spans="1:1" ht="18.75" customHeight="1">
      <c r="A60" s="17"/>
    </row>
    <row r="61" spans="1:1" ht="18.75" customHeight="1">
      <c r="A61" s="17"/>
    </row>
    <row r="62" spans="1:1" ht="18.75" customHeight="1">
      <c r="A62" s="17"/>
    </row>
    <row r="63" spans="1:1" ht="18.75" customHeight="1">
      <c r="A63" s="17"/>
    </row>
    <row r="64" spans="1:1" ht="18.75" customHeight="1">
      <c r="A64" s="17"/>
    </row>
    <row r="65" spans="1:1" ht="18.75" customHeight="1">
      <c r="A65" s="17"/>
    </row>
    <row r="66" spans="1:1" ht="18.75" customHeight="1">
      <c r="A66" s="17"/>
    </row>
    <row r="67" spans="1:1" ht="18.75" customHeight="1">
      <c r="A67" s="17"/>
    </row>
    <row r="68" spans="1:1" ht="18.75" customHeight="1">
      <c r="A68" s="17"/>
    </row>
    <row r="69" spans="1:1" ht="18.75" customHeight="1">
      <c r="A69" s="17"/>
    </row>
    <row r="70" spans="1:1" ht="18.75" customHeight="1">
      <c r="A70" s="17"/>
    </row>
    <row r="71" spans="1:1" ht="18.75" customHeight="1">
      <c r="A71" s="17"/>
    </row>
    <row r="72" spans="1:1" ht="18.75" customHeight="1">
      <c r="A72" s="17"/>
    </row>
    <row r="73" spans="1:1" ht="18.75" customHeight="1">
      <c r="A73" s="17"/>
    </row>
    <row r="74" spans="1:1" ht="18.75" customHeight="1">
      <c r="A74" s="17"/>
    </row>
    <row r="75" spans="1:1" ht="18.75" customHeight="1">
      <c r="A75" s="17"/>
    </row>
    <row r="76" spans="1:1" ht="18.75" customHeight="1">
      <c r="A76" s="17"/>
    </row>
    <row r="77" spans="1:1" ht="18.75" customHeight="1">
      <c r="A77" s="17"/>
    </row>
    <row r="78" spans="1:1" ht="18.75" customHeight="1">
      <c r="A78" s="17"/>
    </row>
    <row r="79" spans="1:1" ht="18.75" customHeight="1">
      <c r="A79" s="17"/>
    </row>
    <row r="80" spans="1:1" ht="18.75" customHeight="1">
      <c r="A80" s="17"/>
    </row>
    <row r="81" spans="1:1" ht="18.75" customHeight="1">
      <c r="A81" s="17"/>
    </row>
    <row r="82" spans="1:1" ht="18.75" customHeight="1">
      <c r="A82" s="17"/>
    </row>
    <row r="83" spans="1:1" ht="18.75" customHeight="1">
      <c r="A83" s="17"/>
    </row>
    <row r="84" spans="1:1" ht="18.75" customHeight="1">
      <c r="A84" s="17"/>
    </row>
    <row r="85" spans="1:1" ht="18.75" customHeight="1">
      <c r="A85" s="17"/>
    </row>
    <row r="86" spans="1:1" ht="18.75" customHeight="1">
      <c r="A86" s="17"/>
    </row>
    <row r="87" spans="1:1" ht="18.75" customHeight="1">
      <c r="A87" s="17"/>
    </row>
    <row r="88" spans="1:1" ht="18.75" customHeight="1">
      <c r="A88" s="17"/>
    </row>
    <row r="89" spans="1:1" ht="18.75" customHeight="1">
      <c r="A89" s="17"/>
    </row>
    <row r="90" spans="1:1" ht="18.75" customHeight="1">
      <c r="A90" s="17"/>
    </row>
    <row r="91" spans="1:1" ht="18.75" customHeight="1">
      <c r="A91" s="17"/>
    </row>
    <row r="92" spans="1:1" ht="18.75" customHeight="1">
      <c r="A92" s="17"/>
    </row>
    <row r="93" spans="1:1" s="35" customFormat="1" ht="18.75" customHeight="1"/>
    <row r="94" spans="1:1" ht="18.75" customHeight="1">
      <c r="A94" s="17"/>
    </row>
    <row r="95" spans="1:1" ht="18.75" customHeight="1">
      <c r="A95" s="17"/>
    </row>
    <row r="96" spans="1:1" ht="18.75" customHeight="1">
      <c r="A96" s="17"/>
    </row>
    <row r="97" spans="1:1" ht="18.75" customHeight="1">
      <c r="A97" s="17"/>
    </row>
    <row r="98" spans="1:1" ht="18.75" customHeight="1">
      <c r="A98" s="17"/>
    </row>
    <row r="99" spans="1:1" ht="18.75" customHeight="1">
      <c r="A99" s="17"/>
    </row>
    <row r="100" spans="1:1" ht="18.75" customHeight="1">
      <c r="A100" s="17"/>
    </row>
    <row r="101" spans="1:1" ht="18.75" customHeight="1">
      <c r="A101" s="17"/>
    </row>
    <row r="102" spans="1:1" ht="18.75" customHeight="1">
      <c r="A102" s="17"/>
    </row>
    <row r="103" spans="1:1" ht="18.75" customHeight="1">
      <c r="A103" s="17"/>
    </row>
    <row r="104" spans="1:1" ht="18.75" customHeight="1">
      <c r="A104" s="17"/>
    </row>
    <row r="105" spans="1:1" ht="18.75" customHeight="1">
      <c r="A105" s="17"/>
    </row>
    <row r="106" spans="1:1" ht="18.75" customHeight="1">
      <c r="A106" s="17"/>
    </row>
    <row r="107" spans="1:1" ht="18.75" customHeight="1">
      <c r="A107" s="17"/>
    </row>
    <row r="108" spans="1:1" ht="18.75" customHeight="1">
      <c r="A108" s="17"/>
    </row>
    <row r="109" spans="1:1" ht="18.75" customHeight="1">
      <c r="A109" s="17"/>
    </row>
    <row r="110" spans="1:1" ht="18.75" customHeight="1">
      <c r="A110" s="17"/>
    </row>
    <row r="111" spans="1:1" ht="18.75" customHeight="1">
      <c r="A111" s="17"/>
    </row>
    <row r="112" spans="1:1" s="106" customFormat="1" ht="18.75" customHeight="1"/>
    <row r="113" spans="1:1" ht="18.75" customHeight="1">
      <c r="A113" s="17"/>
    </row>
    <row r="114" spans="1:1" ht="18.75" customHeight="1">
      <c r="A114" s="17"/>
    </row>
    <row r="115" spans="1:1" s="35" customFormat="1" ht="18.75" customHeight="1"/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  <row r="125" spans="1:1">
      <c r="A125" s="17"/>
    </row>
    <row r="126" spans="1:1">
      <c r="A126" s="17"/>
    </row>
    <row r="127" spans="1:1">
      <c r="A127" s="17"/>
    </row>
    <row r="128" spans="1:1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  <row r="161" spans="1:1">
      <c r="A161" s="17"/>
    </row>
    <row r="162" spans="1:1">
      <c r="A162" s="17"/>
    </row>
    <row r="163" spans="1:1">
      <c r="A163" s="17"/>
    </row>
    <row r="164" spans="1:1">
      <c r="A164" s="17"/>
    </row>
    <row r="165" spans="1:1">
      <c r="A165" s="17"/>
    </row>
    <row r="166" spans="1:1">
      <c r="A166" s="17"/>
    </row>
    <row r="167" spans="1:1">
      <c r="A167" s="17"/>
    </row>
    <row r="168" spans="1:1">
      <c r="A168" s="17"/>
    </row>
    <row r="169" spans="1:1">
      <c r="A169" s="17"/>
    </row>
    <row r="170" spans="1:1">
      <c r="A170" s="17"/>
    </row>
    <row r="171" spans="1:1">
      <c r="A171" s="17"/>
    </row>
    <row r="172" spans="1:1">
      <c r="A172" s="17"/>
    </row>
    <row r="173" spans="1:1">
      <c r="A173" s="17"/>
    </row>
    <row r="174" spans="1:1">
      <c r="A174" s="17"/>
    </row>
    <row r="175" spans="1:1">
      <c r="A175" s="17"/>
    </row>
    <row r="176" spans="1:1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17"/>
    </row>
    <row r="222" spans="1:1">
      <c r="A222" s="17"/>
    </row>
    <row r="223" spans="1:1">
      <c r="A223" s="17"/>
    </row>
    <row r="224" spans="1:1">
      <c r="A224" s="17"/>
    </row>
    <row r="225" spans="1:1">
      <c r="A225" s="17"/>
    </row>
    <row r="226" spans="1:1">
      <c r="A226" s="17"/>
    </row>
    <row r="227" spans="1:1">
      <c r="A227" s="17"/>
    </row>
    <row r="228" spans="1:1">
      <c r="A228" s="17"/>
    </row>
    <row r="229" spans="1:1">
      <c r="A229" s="17"/>
    </row>
    <row r="230" spans="1:1">
      <c r="A230" s="17"/>
    </row>
    <row r="231" spans="1:1">
      <c r="A231" s="17"/>
    </row>
    <row r="232" spans="1:1">
      <c r="A232" s="17"/>
    </row>
    <row r="233" spans="1:1">
      <c r="A233" s="17"/>
    </row>
    <row r="234" spans="1:1">
      <c r="A234" s="17"/>
    </row>
    <row r="235" spans="1:1">
      <c r="A235" s="17"/>
    </row>
    <row r="236" spans="1:1">
      <c r="A236" s="17"/>
    </row>
    <row r="237" spans="1:1">
      <c r="A237" s="17"/>
    </row>
    <row r="238" spans="1:1">
      <c r="A238" s="17"/>
    </row>
    <row r="239" spans="1:1">
      <c r="A239" s="17"/>
    </row>
    <row r="240" spans="1:1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</sheetData>
  <autoFilter ref="A6:U115"/>
  <mergeCells count="10">
    <mergeCell ref="A1:U1"/>
    <mergeCell ref="A2:U2"/>
    <mergeCell ref="A4:A6"/>
    <mergeCell ref="B4:B6"/>
    <mergeCell ref="C4:D5"/>
    <mergeCell ref="H4:U4"/>
    <mergeCell ref="H5:H6"/>
    <mergeCell ref="I5:T5"/>
    <mergeCell ref="U5:U6"/>
    <mergeCell ref="E4:G5"/>
  </mergeCells>
  <pageMargins left="0.2" right="0.2" top="0.33" bottom="0.21" header="0.3" footer="0.2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A2" sqref="A2:U2"/>
    </sheetView>
  </sheetViews>
  <sheetFormatPr defaultColWidth="9.140625" defaultRowHeight="12"/>
  <cols>
    <col min="1" max="1" width="4.5703125" style="105" bestFit="1" customWidth="1"/>
    <col min="2" max="2" width="26" style="17" customWidth="1"/>
    <col min="3" max="3" width="4.7109375" style="17" bestFit="1" customWidth="1"/>
    <col min="4" max="4" width="5.140625" style="17" bestFit="1" customWidth="1"/>
    <col min="5" max="6" width="9.140625" style="17" customWidth="1"/>
    <col min="7" max="7" width="8.28515625" style="17" customWidth="1"/>
    <col min="8" max="8" width="9.7109375" style="17" customWidth="1"/>
    <col min="9" max="9" width="8" style="17" bestFit="1" customWidth="1"/>
    <col min="10" max="10" width="8.28515625" style="17" bestFit="1" customWidth="1"/>
    <col min="11" max="11" width="9.140625" style="17" bestFit="1" customWidth="1"/>
    <col min="12" max="12" width="8.7109375" style="17" customWidth="1"/>
    <col min="13" max="13" width="6.5703125" style="17" customWidth="1"/>
    <col min="14" max="14" width="7.140625" style="17" customWidth="1"/>
    <col min="15" max="16" width="9.140625" style="17" bestFit="1" customWidth="1"/>
    <col min="17" max="17" width="9.42578125" style="17" bestFit="1" customWidth="1"/>
    <col min="18" max="18" width="10.140625" style="17" bestFit="1" customWidth="1"/>
    <col min="19" max="19" width="7.28515625" style="17" customWidth="1"/>
    <col min="20" max="20" width="9.28515625" style="17" customWidth="1"/>
    <col min="21" max="21" width="10" style="17" customWidth="1"/>
    <col min="22" max="16384" width="9.140625" style="17"/>
  </cols>
  <sheetData>
    <row r="1" spans="1:21" ht="19.899999999999999" customHeight="1">
      <c r="A1" s="159" t="s">
        <v>310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20.45" customHeight="1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ht="18" customHeight="1">
      <c r="U3" s="24" t="s">
        <v>20</v>
      </c>
    </row>
    <row r="4" spans="1:21" ht="21.75" customHeight="1">
      <c r="A4" s="158" t="s">
        <v>0</v>
      </c>
      <c r="B4" s="158" t="s">
        <v>18</v>
      </c>
      <c r="C4" s="161" t="s">
        <v>1</v>
      </c>
      <c r="D4" s="162"/>
      <c r="E4" s="169" t="s">
        <v>4</v>
      </c>
      <c r="F4" s="170"/>
      <c r="G4" s="171"/>
      <c r="H4" s="158" t="s">
        <v>5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21.75" customHeight="1">
      <c r="A5" s="158"/>
      <c r="B5" s="158"/>
      <c r="C5" s="163"/>
      <c r="D5" s="164"/>
      <c r="E5" s="172"/>
      <c r="F5" s="173"/>
      <c r="G5" s="174"/>
      <c r="H5" s="165" t="s">
        <v>6</v>
      </c>
      <c r="I5" s="158" t="s">
        <v>190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65" t="s">
        <v>19</v>
      </c>
    </row>
    <row r="6" spans="1:21" ht="78" customHeight="1">
      <c r="A6" s="158"/>
      <c r="B6" s="158"/>
      <c r="C6" s="26" t="s">
        <v>2</v>
      </c>
      <c r="D6" s="26" t="s">
        <v>3</v>
      </c>
      <c r="E6" s="26" t="s">
        <v>189</v>
      </c>
      <c r="F6" s="104" t="s">
        <v>191</v>
      </c>
      <c r="G6" s="104" t="s">
        <v>19</v>
      </c>
      <c r="H6" s="165"/>
      <c r="I6" s="104" t="s">
        <v>7</v>
      </c>
      <c r="J6" s="104" t="s">
        <v>8</v>
      </c>
      <c r="K6" s="104" t="s">
        <v>9</v>
      </c>
      <c r="L6" s="104" t="s">
        <v>10</v>
      </c>
      <c r="M6" s="104" t="s">
        <v>11</v>
      </c>
      <c r="N6" s="104" t="s">
        <v>12</v>
      </c>
      <c r="O6" s="104" t="s">
        <v>13</v>
      </c>
      <c r="P6" s="104" t="s">
        <v>14</v>
      </c>
      <c r="Q6" s="104" t="s">
        <v>15</v>
      </c>
      <c r="R6" s="104" t="s">
        <v>17</v>
      </c>
      <c r="S6" s="104" t="s">
        <v>16</v>
      </c>
      <c r="T6" s="104" t="s">
        <v>193</v>
      </c>
      <c r="U6" s="165"/>
    </row>
    <row r="7" spans="1:21" ht="20.25" customHeight="1">
      <c r="A7" s="40">
        <v>1</v>
      </c>
      <c r="B7" s="120" t="s">
        <v>311</v>
      </c>
      <c r="C7" s="40">
        <v>49</v>
      </c>
      <c r="D7" s="40">
        <v>48</v>
      </c>
      <c r="E7" s="12">
        <f>6218.398-F7</f>
        <v>5226.6379999999999</v>
      </c>
      <c r="F7" s="12">
        <v>991.76</v>
      </c>
      <c r="G7" s="12">
        <f>E7+F7</f>
        <v>6218.3980000000001</v>
      </c>
      <c r="H7" s="12">
        <f>49+5164.9</f>
        <v>5213.8999999999996</v>
      </c>
      <c r="I7" s="12"/>
      <c r="J7" s="12">
        <v>74.183000000000007</v>
      </c>
      <c r="K7" s="12">
        <v>81.221000000000004</v>
      </c>
      <c r="L7" s="12">
        <v>13.276999999999999</v>
      </c>
      <c r="M7" s="12">
        <v>14.65</v>
      </c>
      <c r="N7" s="12">
        <v>98.1</v>
      </c>
      <c r="O7" s="12">
        <v>60.365000000000002</v>
      </c>
      <c r="P7" s="12"/>
      <c r="Q7" s="12">
        <v>588.11500000000001</v>
      </c>
      <c r="R7" s="12"/>
      <c r="S7" s="12">
        <v>74.587000000000003</v>
      </c>
      <c r="T7" s="29">
        <f>SUM(I7:S7)</f>
        <v>1004.498</v>
      </c>
      <c r="U7" s="29">
        <f>T7+H7</f>
        <v>6218.3979999999992</v>
      </c>
    </row>
    <row r="8" spans="1:21" ht="20.25" customHeight="1">
      <c r="A8" s="40">
        <v>2</v>
      </c>
      <c r="B8" s="22" t="s">
        <v>312</v>
      </c>
      <c r="C8" s="40">
        <v>15</v>
      </c>
      <c r="D8" s="40">
        <v>15</v>
      </c>
      <c r="E8" s="12">
        <f>1761.58-F8</f>
        <v>1457.98</v>
      </c>
      <c r="F8" s="12">
        <v>303.60000000000002</v>
      </c>
      <c r="G8" s="12">
        <f t="shared" ref="G8:G28" si="0">E8+F8</f>
        <v>1761.58</v>
      </c>
      <c r="H8" s="12">
        <v>1490.83</v>
      </c>
      <c r="I8" s="12"/>
      <c r="J8" s="12">
        <v>21.7</v>
      </c>
      <c r="K8" s="12">
        <v>42.5</v>
      </c>
      <c r="L8" s="12">
        <v>8.5</v>
      </c>
      <c r="M8" s="12">
        <v>12.75</v>
      </c>
      <c r="N8" s="12">
        <v>65.5</v>
      </c>
      <c r="O8" s="12">
        <v>15.6</v>
      </c>
      <c r="P8" s="12">
        <v>15</v>
      </c>
      <c r="Q8" s="12">
        <v>80.7</v>
      </c>
      <c r="R8" s="12">
        <v>0</v>
      </c>
      <c r="S8" s="12">
        <v>8.5</v>
      </c>
      <c r="T8" s="29">
        <f t="shared" ref="T8:T28" si="1">SUM(I8:S8)</f>
        <v>270.75</v>
      </c>
      <c r="U8" s="29">
        <f t="shared" ref="U8:U28" si="2">T8+H8</f>
        <v>1761.58</v>
      </c>
    </row>
    <row r="9" spans="1:21" ht="20.25" customHeight="1">
      <c r="A9" s="40">
        <v>3</v>
      </c>
      <c r="B9" s="22" t="s">
        <v>313</v>
      </c>
      <c r="C9" s="40">
        <v>24</v>
      </c>
      <c r="D9" s="40">
        <v>24</v>
      </c>
      <c r="E9" s="12">
        <f>3109.9-F9</f>
        <v>2624.1400000000003</v>
      </c>
      <c r="F9" s="12">
        <v>485.76</v>
      </c>
      <c r="G9" s="12">
        <f t="shared" si="0"/>
        <v>3109.9000000000005</v>
      </c>
      <c r="H9" s="12">
        <v>2783.7640000000001</v>
      </c>
      <c r="I9" s="12"/>
      <c r="J9" s="12">
        <v>47.804000000000002</v>
      </c>
      <c r="K9" s="12">
        <v>48</v>
      </c>
      <c r="L9" s="12">
        <v>11</v>
      </c>
      <c r="M9" s="12">
        <v>12</v>
      </c>
      <c r="N9" s="12">
        <v>82</v>
      </c>
      <c r="O9" s="12">
        <v>15.6</v>
      </c>
      <c r="P9" s="12">
        <v>15</v>
      </c>
      <c r="Q9" s="12">
        <v>81</v>
      </c>
      <c r="R9" s="12">
        <v>0</v>
      </c>
      <c r="S9" s="12">
        <v>13.731999999999999</v>
      </c>
      <c r="T9" s="29">
        <f t="shared" si="1"/>
        <v>326.13599999999997</v>
      </c>
      <c r="U9" s="29">
        <f t="shared" si="2"/>
        <v>3109.9</v>
      </c>
    </row>
    <row r="10" spans="1:21" ht="20.25" customHeight="1">
      <c r="A10" s="40">
        <v>4</v>
      </c>
      <c r="B10" s="22" t="s">
        <v>314</v>
      </c>
      <c r="C10" s="40">
        <v>13</v>
      </c>
      <c r="D10" s="40">
        <v>13</v>
      </c>
      <c r="E10" s="12">
        <f>1673.58-F10</f>
        <v>1410.46</v>
      </c>
      <c r="F10" s="12">
        <v>263.12</v>
      </c>
      <c r="G10" s="12">
        <f t="shared" si="0"/>
        <v>1673.58</v>
      </c>
      <c r="H10" s="12">
        <v>1450.58</v>
      </c>
      <c r="I10" s="12"/>
      <c r="J10" s="12">
        <v>17.446999999999999</v>
      </c>
      <c r="K10" s="12">
        <v>33.841000000000001</v>
      </c>
      <c r="L10" s="12">
        <v>7.3419999999999996</v>
      </c>
      <c r="M10" s="12">
        <v>6</v>
      </c>
      <c r="N10" s="12">
        <v>34.997</v>
      </c>
      <c r="O10" s="12">
        <v>59.502000000000002</v>
      </c>
      <c r="P10" s="12"/>
      <c r="Q10" s="12">
        <f>52.4+0.049</f>
        <v>52.448999999999998</v>
      </c>
      <c r="R10" s="12"/>
      <c r="S10" s="12">
        <v>11.422000000000001</v>
      </c>
      <c r="T10" s="29">
        <f t="shared" si="1"/>
        <v>222.99999999999997</v>
      </c>
      <c r="U10" s="29">
        <f t="shared" si="2"/>
        <v>1673.58</v>
      </c>
    </row>
    <row r="11" spans="1:21" ht="20.25" customHeight="1">
      <c r="A11" s="40">
        <v>5</v>
      </c>
      <c r="B11" s="22" t="s">
        <v>315</v>
      </c>
      <c r="C11" s="40">
        <v>29</v>
      </c>
      <c r="D11" s="40">
        <v>29</v>
      </c>
      <c r="E11" s="12">
        <f>3585.63-F11</f>
        <v>2998.67</v>
      </c>
      <c r="F11" s="12">
        <v>586.96</v>
      </c>
      <c r="G11" s="12">
        <f t="shared" si="0"/>
        <v>3585.63</v>
      </c>
      <c r="H11" s="12">
        <v>2991</v>
      </c>
      <c r="I11" s="12"/>
      <c r="J11" s="12">
        <v>60.32</v>
      </c>
      <c r="K11" s="12">
        <v>62.13</v>
      </c>
      <c r="L11" s="12">
        <v>6.1539999999999999</v>
      </c>
      <c r="M11" s="12">
        <v>9.6</v>
      </c>
      <c r="N11" s="12">
        <v>38.216000000000001</v>
      </c>
      <c r="O11" s="12">
        <v>35.119999999999997</v>
      </c>
      <c r="P11" s="12">
        <v>55</v>
      </c>
      <c r="Q11" s="12">
        <v>251.745</v>
      </c>
      <c r="R11" s="12"/>
      <c r="S11" s="12">
        <v>76.344999999999999</v>
      </c>
      <c r="T11" s="29">
        <f t="shared" si="1"/>
        <v>594.63000000000011</v>
      </c>
      <c r="U11" s="29">
        <f t="shared" si="2"/>
        <v>3585.63</v>
      </c>
    </row>
    <row r="12" spans="1:21" ht="20.25" customHeight="1">
      <c r="A12" s="40">
        <v>6</v>
      </c>
      <c r="B12" s="120" t="s">
        <v>316</v>
      </c>
      <c r="C12" s="40">
        <v>33</v>
      </c>
      <c r="D12" s="40">
        <v>33</v>
      </c>
      <c r="E12" s="12">
        <f>4153.66-F12</f>
        <v>3485.74</v>
      </c>
      <c r="F12" s="12">
        <v>667.92</v>
      </c>
      <c r="G12" s="12">
        <f t="shared" si="0"/>
        <v>4153.66</v>
      </c>
      <c r="H12" s="12">
        <v>3547.8319999999999</v>
      </c>
      <c r="I12" s="12"/>
      <c r="J12" s="12">
        <v>63.12</v>
      </c>
      <c r="K12" s="12">
        <v>90.26</v>
      </c>
      <c r="L12" s="12">
        <v>20.5</v>
      </c>
      <c r="M12" s="12">
        <v>12</v>
      </c>
      <c r="N12" s="12">
        <v>70</v>
      </c>
      <c r="O12" s="12">
        <v>110.12</v>
      </c>
      <c r="P12" s="12">
        <v>30</v>
      </c>
      <c r="Q12" s="12">
        <v>130</v>
      </c>
      <c r="R12" s="12"/>
      <c r="S12" s="12">
        <f>40-0.226+40.054</f>
        <v>79.828000000000003</v>
      </c>
      <c r="T12" s="29">
        <f t="shared" si="1"/>
        <v>605.82799999999997</v>
      </c>
      <c r="U12" s="29">
        <f t="shared" si="2"/>
        <v>4153.66</v>
      </c>
    </row>
    <row r="13" spans="1:21" ht="20.25" customHeight="1">
      <c r="A13" s="40">
        <v>7</v>
      </c>
      <c r="B13" s="120" t="s">
        <v>317</v>
      </c>
      <c r="C13" s="40">
        <v>38</v>
      </c>
      <c r="D13" s="40">
        <v>38</v>
      </c>
      <c r="E13" s="12">
        <f>4691.048-F13</f>
        <v>3921.9279999999999</v>
      </c>
      <c r="F13" s="12">
        <v>769.12</v>
      </c>
      <c r="G13" s="12">
        <f t="shared" si="0"/>
        <v>4691.0479999999998</v>
      </c>
      <c r="H13" s="12">
        <f>38+3874.05</f>
        <v>3912.05</v>
      </c>
      <c r="I13" s="12"/>
      <c r="J13" s="12">
        <v>52.491</v>
      </c>
      <c r="K13" s="12">
        <v>86.994</v>
      </c>
      <c r="L13" s="12">
        <v>12.361000000000001</v>
      </c>
      <c r="M13" s="12">
        <v>9.1999999999999993</v>
      </c>
      <c r="N13" s="12">
        <v>71.528999999999996</v>
      </c>
      <c r="O13" s="12">
        <v>83.039000000000001</v>
      </c>
      <c r="P13" s="12"/>
      <c r="Q13" s="12">
        <v>415.202</v>
      </c>
      <c r="R13" s="12"/>
      <c r="S13" s="12">
        <v>48.182000000000002</v>
      </c>
      <c r="T13" s="29">
        <f t="shared" si="1"/>
        <v>778.99800000000005</v>
      </c>
      <c r="U13" s="29">
        <f t="shared" si="2"/>
        <v>4691.0480000000007</v>
      </c>
    </row>
    <row r="14" spans="1:21" ht="20.25" customHeight="1">
      <c r="A14" s="40">
        <v>8</v>
      </c>
      <c r="B14" s="22" t="s">
        <v>318</v>
      </c>
      <c r="C14" s="40">
        <v>15</v>
      </c>
      <c r="D14" s="40">
        <v>15</v>
      </c>
      <c r="E14" s="12">
        <f>1897.46-F14</f>
        <v>1593.8600000000001</v>
      </c>
      <c r="F14" s="12">
        <v>303.60000000000002</v>
      </c>
      <c r="G14" s="12">
        <f t="shared" si="0"/>
        <v>1897.46</v>
      </c>
      <c r="H14" s="12">
        <v>1608.2</v>
      </c>
      <c r="I14" s="12"/>
      <c r="J14" s="12">
        <v>23.7</v>
      </c>
      <c r="K14" s="12">
        <v>42.5</v>
      </c>
      <c r="L14" s="12">
        <v>9.5</v>
      </c>
      <c r="M14" s="12">
        <v>12.75</v>
      </c>
      <c r="N14" s="12">
        <v>50.5</v>
      </c>
      <c r="O14" s="12">
        <v>50.6</v>
      </c>
      <c r="P14" s="12"/>
      <c r="Q14" s="12">
        <v>80.7</v>
      </c>
      <c r="R14" s="12">
        <v>0</v>
      </c>
      <c r="S14" s="12">
        <f>8.5+10.51</f>
        <v>19.009999999999998</v>
      </c>
      <c r="T14" s="29">
        <f t="shared" si="1"/>
        <v>289.26</v>
      </c>
      <c r="U14" s="29">
        <f t="shared" si="2"/>
        <v>1897.46</v>
      </c>
    </row>
    <row r="15" spans="1:21" ht="20.25" customHeight="1">
      <c r="A15" s="40">
        <v>9</v>
      </c>
      <c r="B15" s="120" t="s">
        <v>319</v>
      </c>
      <c r="C15" s="40">
        <v>43</v>
      </c>
      <c r="D15" s="40">
        <v>43</v>
      </c>
      <c r="E15" s="12">
        <f>6403.56-F15</f>
        <v>5495.4000000000005</v>
      </c>
      <c r="F15" s="12">
        <v>908.16</v>
      </c>
      <c r="G15" s="12">
        <f t="shared" si="0"/>
        <v>6403.56</v>
      </c>
      <c r="H15" s="12">
        <f>5562.271+43</f>
        <v>5605.2709999999997</v>
      </c>
      <c r="I15" s="12"/>
      <c r="J15" s="12">
        <v>49.9</v>
      </c>
      <c r="K15" s="12">
        <v>76.739999999999995</v>
      </c>
      <c r="L15" s="12">
        <v>11.369</v>
      </c>
      <c r="M15" s="12">
        <v>7.3</v>
      </c>
      <c r="N15" s="12">
        <v>41.16</v>
      </c>
      <c r="O15" s="12">
        <v>36.496000000000002</v>
      </c>
      <c r="P15" s="12"/>
      <c r="Q15" s="12">
        <v>520.46400000000006</v>
      </c>
      <c r="R15" s="12"/>
      <c r="S15" s="12">
        <f>8.55+46.31</f>
        <v>54.86</v>
      </c>
      <c r="T15" s="29">
        <f>SUM(I15:S15)</f>
        <v>798.2890000000001</v>
      </c>
      <c r="U15" s="29">
        <f>T15+H15</f>
        <v>6403.5599999999995</v>
      </c>
    </row>
    <row r="16" spans="1:21" ht="20.25" customHeight="1">
      <c r="A16" s="40">
        <v>10</v>
      </c>
      <c r="B16" s="22" t="s">
        <v>320</v>
      </c>
      <c r="C16" s="40">
        <v>18</v>
      </c>
      <c r="D16" s="40">
        <v>18</v>
      </c>
      <c r="E16" s="12">
        <f>2687.19-F16</f>
        <v>2307.0300000000002</v>
      </c>
      <c r="F16" s="12">
        <v>380.16</v>
      </c>
      <c r="G16" s="12">
        <f t="shared" si="0"/>
        <v>2687.19</v>
      </c>
      <c r="H16" s="12">
        <v>2210.7399999999998</v>
      </c>
      <c r="I16" s="12"/>
      <c r="J16" s="12">
        <v>17.2</v>
      </c>
      <c r="K16" s="12">
        <v>65.7</v>
      </c>
      <c r="L16" s="12">
        <v>6.5</v>
      </c>
      <c r="M16" s="12">
        <v>10.8</v>
      </c>
      <c r="N16" s="12">
        <v>75.5</v>
      </c>
      <c r="O16" s="12">
        <v>80.75</v>
      </c>
      <c r="P16" s="12">
        <v>60.5</v>
      </c>
      <c r="Q16" s="12">
        <v>125.2</v>
      </c>
      <c r="R16" s="12">
        <v>0</v>
      </c>
      <c r="S16" s="12">
        <v>34.299999999999997</v>
      </c>
      <c r="T16" s="29">
        <f t="shared" si="1"/>
        <v>476.45</v>
      </c>
      <c r="U16" s="29">
        <f t="shared" si="2"/>
        <v>2687.1899999999996</v>
      </c>
    </row>
    <row r="17" spans="1:21" ht="20.25" customHeight="1">
      <c r="A17" s="40">
        <v>11</v>
      </c>
      <c r="B17" s="22" t="s">
        <v>321</v>
      </c>
      <c r="C17" s="40">
        <v>24</v>
      </c>
      <c r="D17" s="40">
        <v>24</v>
      </c>
      <c r="E17" s="12">
        <f>3462.25-F17</f>
        <v>2955.37</v>
      </c>
      <c r="F17" s="12">
        <v>506.88</v>
      </c>
      <c r="G17" s="12">
        <f t="shared" si="0"/>
        <v>3462.25</v>
      </c>
      <c r="H17" s="12">
        <v>3139.25</v>
      </c>
      <c r="I17" s="12"/>
      <c r="J17" s="12">
        <v>25</v>
      </c>
      <c r="K17" s="12">
        <v>50</v>
      </c>
      <c r="L17" s="12">
        <v>6</v>
      </c>
      <c r="M17" s="12">
        <v>6</v>
      </c>
      <c r="N17" s="12">
        <v>68</v>
      </c>
      <c r="O17" s="12">
        <v>35</v>
      </c>
      <c r="P17" s="12">
        <v>30</v>
      </c>
      <c r="Q17" s="12">
        <v>67</v>
      </c>
      <c r="R17" s="12">
        <v>0</v>
      </c>
      <c r="S17" s="12">
        <v>36</v>
      </c>
      <c r="T17" s="29">
        <f t="shared" si="1"/>
        <v>323</v>
      </c>
      <c r="U17" s="29">
        <f t="shared" si="2"/>
        <v>3462.25</v>
      </c>
    </row>
    <row r="18" spans="1:21" ht="20.25" customHeight="1">
      <c r="A18" s="40">
        <v>12</v>
      </c>
      <c r="B18" s="22" t="s">
        <v>322</v>
      </c>
      <c r="C18" s="40">
        <v>33</v>
      </c>
      <c r="D18" s="40">
        <v>33</v>
      </c>
      <c r="E18" s="12">
        <f>5368.42-F18</f>
        <v>4671.46</v>
      </c>
      <c r="F18" s="12">
        <v>696.96</v>
      </c>
      <c r="G18" s="12">
        <f t="shared" si="0"/>
        <v>5368.42</v>
      </c>
      <c r="H18" s="12">
        <v>4971</v>
      </c>
      <c r="I18" s="12"/>
      <c r="J18" s="12">
        <v>30.024000000000001</v>
      </c>
      <c r="K18" s="12">
        <v>55.13</v>
      </c>
      <c r="L18" s="12">
        <v>18.315999999999999</v>
      </c>
      <c r="M18" s="12">
        <v>10.8</v>
      </c>
      <c r="N18" s="12">
        <v>35.21</v>
      </c>
      <c r="O18" s="12">
        <v>32.021000000000001</v>
      </c>
      <c r="P18" s="12">
        <v>35.625999999999998</v>
      </c>
      <c r="Q18" s="12">
        <v>138.749</v>
      </c>
      <c r="R18" s="12"/>
      <c r="S18" s="12">
        <f>6.21+35.334</f>
        <v>41.544000000000004</v>
      </c>
      <c r="T18" s="29">
        <f t="shared" si="1"/>
        <v>397.41999999999996</v>
      </c>
      <c r="U18" s="29">
        <f t="shared" si="2"/>
        <v>5368.42</v>
      </c>
    </row>
    <row r="19" spans="1:21" ht="20.25" customHeight="1">
      <c r="A19" s="40">
        <v>13</v>
      </c>
      <c r="B19" s="22" t="s">
        <v>323</v>
      </c>
      <c r="C19" s="40">
        <v>18</v>
      </c>
      <c r="D19" s="40">
        <v>18</v>
      </c>
      <c r="E19" s="12">
        <f>2664.6-F19</f>
        <v>2284.44</v>
      </c>
      <c r="F19" s="12">
        <v>380.16</v>
      </c>
      <c r="G19" s="12">
        <f t="shared" si="0"/>
        <v>2664.6</v>
      </c>
      <c r="H19" s="12">
        <v>2360</v>
      </c>
      <c r="I19" s="12"/>
      <c r="J19" s="12">
        <v>14</v>
      </c>
      <c r="K19" s="12">
        <v>60</v>
      </c>
      <c r="L19" s="12">
        <v>12</v>
      </c>
      <c r="M19" s="12">
        <v>7</v>
      </c>
      <c r="N19" s="12">
        <v>45</v>
      </c>
      <c r="O19" s="12">
        <v>51.3</v>
      </c>
      <c r="P19" s="12"/>
      <c r="Q19" s="12">
        <v>96</v>
      </c>
      <c r="R19" s="12"/>
      <c r="S19" s="12">
        <v>19.3</v>
      </c>
      <c r="T19" s="29">
        <f t="shared" si="1"/>
        <v>304.60000000000002</v>
      </c>
      <c r="U19" s="29">
        <f t="shared" si="2"/>
        <v>2664.6</v>
      </c>
    </row>
    <row r="20" spans="1:21" ht="20.25" customHeight="1">
      <c r="A20" s="40">
        <v>14</v>
      </c>
      <c r="B20" s="120" t="s">
        <v>324</v>
      </c>
      <c r="C20" s="40">
        <v>37</v>
      </c>
      <c r="D20" s="40">
        <v>37</v>
      </c>
      <c r="E20" s="12">
        <f>5541.07-F20</f>
        <v>4759.6299999999992</v>
      </c>
      <c r="F20" s="12">
        <v>781.44</v>
      </c>
      <c r="G20" s="12">
        <f t="shared" si="0"/>
        <v>5541.07</v>
      </c>
      <c r="H20" s="12">
        <v>4862.3</v>
      </c>
      <c r="I20" s="12"/>
      <c r="J20" s="12">
        <v>60.091999999999999</v>
      </c>
      <c r="K20" s="12">
        <v>71.48</v>
      </c>
      <c r="L20" s="12">
        <v>30.5</v>
      </c>
      <c r="M20" s="12">
        <v>12</v>
      </c>
      <c r="N20" s="12">
        <v>70</v>
      </c>
      <c r="O20" s="12">
        <v>130.12</v>
      </c>
      <c r="P20" s="12">
        <v>30</v>
      </c>
      <c r="Q20" s="12">
        <v>170</v>
      </c>
      <c r="R20" s="12"/>
      <c r="S20" s="12">
        <f>40-0.226+30-0.196+35</f>
        <v>104.578</v>
      </c>
      <c r="T20" s="29">
        <f t="shared" si="1"/>
        <v>678.77</v>
      </c>
      <c r="U20" s="29">
        <f t="shared" si="2"/>
        <v>5541.07</v>
      </c>
    </row>
    <row r="21" spans="1:21" ht="20.25" customHeight="1">
      <c r="A21" s="40">
        <v>15</v>
      </c>
      <c r="B21" s="120" t="s">
        <v>325</v>
      </c>
      <c r="C21" s="40">
        <v>38</v>
      </c>
      <c r="D21" s="40">
        <v>38</v>
      </c>
      <c r="E21" s="12">
        <f>U21-F21</f>
        <v>5315.2900000000009</v>
      </c>
      <c r="F21" s="12">
        <v>802.56</v>
      </c>
      <c r="G21" s="12">
        <f t="shared" si="0"/>
        <v>6117.85</v>
      </c>
      <c r="H21" s="3">
        <v>5466</v>
      </c>
      <c r="I21" s="12"/>
      <c r="J21" s="3">
        <v>40.1</v>
      </c>
      <c r="K21" s="3">
        <v>45</v>
      </c>
      <c r="L21" s="3">
        <v>19.5</v>
      </c>
      <c r="M21" s="3">
        <v>12</v>
      </c>
      <c r="N21" s="3">
        <v>75</v>
      </c>
      <c r="O21" s="3">
        <v>15</v>
      </c>
      <c r="P21" s="3">
        <v>30</v>
      </c>
      <c r="Q21" s="3">
        <v>250</v>
      </c>
      <c r="R21" s="121"/>
      <c r="S21" s="3">
        <f>4.5+160.75</f>
        <v>165.25</v>
      </c>
      <c r="T21" s="29">
        <f t="shared" si="1"/>
        <v>651.85</v>
      </c>
      <c r="U21" s="29">
        <f t="shared" si="2"/>
        <v>6117.85</v>
      </c>
    </row>
    <row r="22" spans="1:21" ht="20.25" customHeight="1">
      <c r="A22" s="40">
        <v>16</v>
      </c>
      <c r="B22" s="22" t="s">
        <v>326</v>
      </c>
      <c r="C22" s="40">
        <v>18</v>
      </c>
      <c r="D22" s="40">
        <v>18</v>
      </c>
      <c r="E22" s="12">
        <f>2601.57-F22</f>
        <v>2221.4100000000003</v>
      </c>
      <c r="F22" s="12">
        <v>380.16</v>
      </c>
      <c r="G22" s="12">
        <f t="shared" si="0"/>
        <v>2601.5700000000002</v>
      </c>
      <c r="H22" s="12">
        <v>2265.9</v>
      </c>
      <c r="I22" s="12"/>
      <c r="J22" s="12">
        <v>27.7</v>
      </c>
      <c r="K22" s="12">
        <v>53.5</v>
      </c>
      <c r="L22" s="12">
        <v>9.5</v>
      </c>
      <c r="M22" s="12">
        <v>12</v>
      </c>
      <c r="N22" s="12">
        <v>50.5</v>
      </c>
      <c r="O22" s="12">
        <v>50.6</v>
      </c>
      <c r="P22" s="12"/>
      <c r="Q22" s="12">
        <f>80.7+15.67</f>
        <v>96.37</v>
      </c>
      <c r="R22" s="12"/>
      <c r="S22" s="12">
        <f>30.5+5</f>
        <v>35.5</v>
      </c>
      <c r="T22" s="29">
        <f t="shared" si="1"/>
        <v>335.66999999999996</v>
      </c>
      <c r="U22" s="29">
        <f t="shared" si="2"/>
        <v>2601.5700000000002</v>
      </c>
    </row>
    <row r="23" spans="1:21" ht="20.25" customHeight="1">
      <c r="A23" s="40">
        <v>17</v>
      </c>
      <c r="B23" s="22" t="s">
        <v>54</v>
      </c>
      <c r="C23" s="40">
        <v>52</v>
      </c>
      <c r="D23" s="40">
        <v>52</v>
      </c>
      <c r="E23" s="12">
        <f>U23-F23</f>
        <v>6934.32</v>
      </c>
      <c r="F23" s="12">
        <v>1098.2</v>
      </c>
      <c r="G23" s="12">
        <f t="shared" si="0"/>
        <v>8032.5199999999995</v>
      </c>
      <c r="H23" s="12">
        <v>7222.2</v>
      </c>
      <c r="I23" s="12"/>
      <c r="J23" s="12">
        <v>80.400000000000006</v>
      </c>
      <c r="K23" s="122">
        <v>0.42</v>
      </c>
      <c r="L23" s="12">
        <v>55</v>
      </c>
      <c r="M23" s="12">
        <v>17.5</v>
      </c>
      <c r="N23" s="12">
        <v>155.5</v>
      </c>
      <c r="O23" s="12">
        <v>55.5</v>
      </c>
      <c r="P23" s="12">
        <v>50</v>
      </c>
      <c r="Q23" s="12">
        <v>255</v>
      </c>
      <c r="R23" s="12">
        <v>0</v>
      </c>
      <c r="S23" s="12">
        <v>141</v>
      </c>
      <c r="T23" s="29">
        <f t="shared" si="1"/>
        <v>810.31999999999994</v>
      </c>
      <c r="U23" s="29">
        <f t="shared" si="2"/>
        <v>8032.5199999999995</v>
      </c>
    </row>
    <row r="24" spans="1:21" ht="20.25" customHeight="1">
      <c r="A24" s="40">
        <v>18</v>
      </c>
      <c r="B24" s="22" t="s">
        <v>53</v>
      </c>
      <c r="C24" s="40">
        <v>30</v>
      </c>
      <c r="D24" s="40">
        <v>30</v>
      </c>
      <c r="E24" s="12">
        <f>U24-F24</f>
        <v>4002.9999999999995</v>
      </c>
      <c r="F24" s="12">
        <v>633.6</v>
      </c>
      <c r="G24" s="12">
        <f t="shared" si="0"/>
        <v>4636.5999999999995</v>
      </c>
      <c r="H24" s="12">
        <v>4302.2</v>
      </c>
      <c r="I24" s="12"/>
      <c r="J24" s="12">
        <v>25.2</v>
      </c>
      <c r="K24" s="12">
        <v>49.5</v>
      </c>
      <c r="L24" s="12">
        <v>10</v>
      </c>
      <c r="M24" s="12">
        <v>15.5</v>
      </c>
      <c r="N24" s="12">
        <v>55</v>
      </c>
      <c r="O24" s="12">
        <v>30</v>
      </c>
      <c r="P24" s="12">
        <v>15</v>
      </c>
      <c r="Q24" s="12">
        <v>110</v>
      </c>
      <c r="R24" s="122"/>
      <c r="S24" s="12">
        <f>4.5+19.7</f>
        <v>24.2</v>
      </c>
      <c r="T24" s="29">
        <f t="shared" si="1"/>
        <v>334.4</v>
      </c>
      <c r="U24" s="29">
        <f t="shared" si="2"/>
        <v>4636.5999999999995</v>
      </c>
    </row>
    <row r="25" spans="1:21" ht="20.25" customHeight="1">
      <c r="A25" s="40">
        <v>19</v>
      </c>
      <c r="B25" s="22" t="s">
        <v>55</v>
      </c>
      <c r="C25" s="40">
        <v>11</v>
      </c>
      <c r="D25" s="40">
        <v>11</v>
      </c>
      <c r="E25" s="12">
        <f>1739.06-F25</f>
        <v>1506.74</v>
      </c>
      <c r="F25" s="12">
        <v>232.32</v>
      </c>
      <c r="G25" s="12">
        <f t="shared" si="0"/>
        <v>1739.06</v>
      </c>
      <c r="H25" s="12">
        <v>1475.06</v>
      </c>
      <c r="I25" s="12"/>
      <c r="J25" s="12">
        <v>11.2</v>
      </c>
      <c r="K25" s="12">
        <v>45.4</v>
      </c>
      <c r="L25" s="12">
        <v>5.25</v>
      </c>
      <c r="M25" s="12">
        <v>12.75</v>
      </c>
      <c r="N25" s="12">
        <v>45.5</v>
      </c>
      <c r="O25" s="12">
        <v>35.700000000000003</v>
      </c>
      <c r="P25" s="12">
        <v>0</v>
      </c>
      <c r="Q25" s="12">
        <v>90.7</v>
      </c>
      <c r="R25" s="12">
        <v>0</v>
      </c>
      <c r="S25" s="12">
        <v>17.5</v>
      </c>
      <c r="T25" s="29">
        <f t="shared" si="1"/>
        <v>264</v>
      </c>
      <c r="U25" s="29">
        <f t="shared" si="2"/>
        <v>1739.06</v>
      </c>
    </row>
    <row r="26" spans="1:21" ht="20.25" customHeight="1">
      <c r="A26" s="40">
        <v>20</v>
      </c>
      <c r="B26" s="22" t="s">
        <v>52</v>
      </c>
      <c r="C26" s="40">
        <v>30</v>
      </c>
      <c r="D26" s="40">
        <v>30</v>
      </c>
      <c r="E26" s="12">
        <f>4474.9-F26</f>
        <v>3841.2999999999997</v>
      </c>
      <c r="F26" s="12">
        <v>633.6</v>
      </c>
      <c r="G26" s="12">
        <f t="shared" si="0"/>
        <v>4474.8999999999996</v>
      </c>
      <c r="H26" s="12">
        <v>3980</v>
      </c>
      <c r="I26" s="12"/>
      <c r="J26" s="12">
        <v>36</v>
      </c>
      <c r="K26" s="12">
        <v>110</v>
      </c>
      <c r="L26" s="12">
        <v>14.492000000000001</v>
      </c>
      <c r="M26" s="12">
        <v>17.55</v>
      </c>
      <c r="N26" s="12">
        <v>85</v>
      </c>
      <c r="O26" s="12">
        <v>35</v>
      </c>
      <c r="P26" s="12">
        <v>40</v>
      </c>
      <c r="Q26" s="12">
        <v>128</v>
      </c>
      <c r="R26" s="12">
        <v>0</v>
      </c>
      <c r="S26" s="12">
        <v>28.858000000000001</v>
      </c>
      <c r="T26" s="29">
        <f t="shared" si="1"/>
        <v>494.90000000000003</v>
      </c>
      <c r="U26" s="29">
        <f t="shared" si="2"/>
        <v>4474.8999999999996</v>
      </c>
    </row>
    <row r="27" spans="1:21" ht="20.25" customHeight="1">
      <c r="A27" s="40">
        <v>21</v>
      </c>
      <c r="B27" s="22" t="s">
        <v>51</v>
      </c>
      <c r="C27" s="40">
        <v>12</v>
      </c>
      <c r="D27" s="40">
        <v>12</v>
      </c>
      <c r="E27" s="12">
        <f>1663.97-F27</f>
        <v>1410.53</v>
      </c>
      <c r="F27" s="12">
        <v>253.44</v>
      </c>
      <c r="G27" s="12">
        <f t="shared" si="0"/>
        <v>1663.97</v>
      </c>
      <c r="H27" s="12">
        <v>1450.97</v>
      </c>
      <c r="I27" s="12"/>
      <c r="J27" s="12">
        <v>10</v>
      </c>
      <c r="K27" s="12">
        <v>35</v>
      </c>
      <c r="L27" s="12">
        <v>12</v>
      </c>
      <c r="M27" s="12">
        <v>15</v>
      </c>
      <c r="N27" s="12">
        <v>30</v>
      </c>
      <c r="O27" s="12">
        <v>17</v>
      </c>
      <c r="P27" s="12"/>
      <c r="Q27" s="12">
        <v>80</v>
      </c>
      <c r="R27" s="12"/>
      <c r="S27" s="12">
        <v>14</v>
      </c>
      <c r="T27" s="29">
        <f t="shared" si="1"/>
        <v>213</v>
      </c>
      <c r="U27" s="29">
        <f t="shared" si="2"/>
        <v>1663.97</v>
      </c>
    </row>
    <row r="28" spans="1:21" ht="20.25" customHeight="1">
      <c r="A28" s="40">
        <v>22</v>
      </c>
      <c r="B28" s="22" t="s">
        <v>50</v>
      </c>
      <c r="C28" s="40">
        <v>16</v>
      </c>
      <c r="D28" s="40">
        <v>16</v>
      </c>
      <c r="E28" s="12">
        <f>2171.59-F28</f>
        <v>1833.67</v>
      </c>
      <c r="F28" s="12">
        <v>337.92</v>
      </c>
      <c r="G28" s="12">
        <f t="shared" si="0"/>
        <v>2171.59</v>
      </c>
      <c r="H28" s="12">
        <v>1884.6</v>
      </c>
      <c r="I28" s="12"/>
      <c r="J28" s="12">
        <v>15</v>
      </c>
      <c r="K28" s="12">
        <v>42.5</v>
      </c>
      <c r="L28" s="12">
        <v>7</v>
      </c>
      <c r="M28" s="12">
        <v>15.808</v>
      </c>
      <c r="N28" s="12">
        <v>45.5</v>
      </c>
      <c r="O28" s="12">
        <v>35.5</v>
      </c>
      <c r="P28" s="12"/>
      <c r="Q28" s="12">
        <v>100.7</v>
      </c>
      <c r="R28" s="12"/>
      <c r="S28" s="12">
        <f>8.5+10.51+0.972+5</f>
        <v>24.981999999999999</v>
      </c>
      <c r="T28" s="29">
        <f t="shared" si="1"/>
        <v>286.99</v>
      </c>
      <c r="U28" s="29">
        <f t="shared" si="2"/>
        <v>2171.59</v>
      </c>
    </row>
    <row r="29" spans="1:21" ht="20.25" customHeight="1">
      <c r="A29" s="40"/>
      <c r="B29" s="103" t="s">
        <v>19</v>
      </c>
      <c r="C29" s="46">
        <f>SUM(C7:C28)</f>
        <v>596</v>
      </c>
      <c r="D29" s="46">
        <f t="shared" ref="D29:U29" si="3">SUM(D7:D28)</f>
        <v>595</v>
      </c>
      <c r="E29" s="46">
        <f t="shared" si="3"/>
        <v>72259.005999999994</v>
      </c>
      <c r="F29" s="46">
        <f t="shared" si="3"/>
        <v>12397.400000000001</v>
      </c>
      <c r="G29" s="46">
        <f t="shared" si="3"/>
        <v>84656.405999999988</v>
      </c>
      <c r="H29" s="46">
        <f t="shared" si="3"/>
        <v>74193.647000000012</v>
      </c>
      <c r="I29" s="46">
        <f t="shared" si="3"/>
        <v>0</v>
      </c>
      <c r="J29" s="46">
        <f t="shared" si="3"/>
        <v>802.58100000000013</v>
      </c>
      <c r="K29" s="46">
        <f t="shared" si="3"/>
        <v>1247.816</v>
      </c>
      <c r="L29" s="46">
        <f t="shared" si="3"/>
        <v>306.06099999999998</v>
      </c>
      <c r="M29" s="46">
        <f t="shared" si="3"/>
        <v>260.95800000000003</v>
      </c>
      <c r="N29" s="46">
        <f t="shared" si="3"/>
        <v>1387.712</v>
      </c>
      <c r="O29" s="46">
        <f t="shared" si="3"/>
        <v>1069.933</v>
      </c>
      <c r="P29" s="46">
        <f t="shared" si="3"/>
        <v>406.12599999999998</v>
      </c>
      <c r="Q29" s="46">
        <f t="shared" si="3"/>
        <v>3908.0939999999991</v>
      </c>
      <c r="R29" s="46">
        <f t="shared" si="3"/>
        <v>0</v>
      </c>
      <c r="S29" s="46">
        <f t="shared" si="3"/>
        <v>1073.4780000000001</v>
      </c>
      <c r="T29" s="46">
        <f t="shared" si="3"/>
        <v>10462.759</v>
      </c>
      <c r="U29" s="46">
        <f t="shared" si="3"/>
        <v>84656.405999999988</v>
      </c>
    </row>
  </sheetData>
  <autoFilter ref="A6:U28"/>
  <mergeCells count="10">
    <mergeCell ref="A1:U1"/>
    <mergeCell ref="A2:U2"/>
    <mergeCell ref="A4:A6"/>
    <mergeCell ref="B4:B6"/>
    <mergeCell ref="C4:D5"/>
    <mergeCell ref="H5:H6"/>
    <mergeCell ref="U5:U6"/>
    <mergeCell ref="I5:T5"/>
    <mergeCell ref="H4:U4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"/>
  <sheetViews>
    <sheetView workbookViewId="0">
      <selection activeCell="A2" sqref="A2:U2"/>
    </sheetView>
  </sheetViews>
  <sheetFormatPr defaultColWidth="9.140625" defaultRowHeight="12"/>
  <cols>
    <col min="1" max="1" width="4.5703125" style="23" bestFit="1" customWidth="1"/>
    <col min="2" max="2" width="20.28515625" style="17" customWidth="1"/>
    <col min="3" max="4" width="6.85546875" style="17" bestFit="1" customWidth="1"/>
    <col min="5" max="7" width="9.140625" style="17" customWidth="1"/>
    <col min="8" max="8" width="12.5703125" style="17" bestFit="1" customWidth="1"/>
    <col min="9" max="9" width="8.140625" style="17" bestFit="1" customWidth="1"/>
    <col min="10" max="10" width="8.42578125" style="17" bestFit="1" customWidth="1"/>
    <col min="11" max="11" width="9.28515625" style="17" bestFit="1" customWidth="1"/>
    <col min="12" max="12" width="8.7109375" style="17" customWidth="1"/>
    <col min="13" max="13" width="6.7109375" style="17" customWidth="1"/>
    <col min="14" max="14" width="7.140625" style="17" customWidth="1"/>
    <col min="15" max="16" width="9.28515625" style="17" bestFit="1" customWidth="1"/>
    <col min="17" max="17" width="9.5703125" style="17" bestFit="1" customWidth="1"/>
    <col min="18" max="18" width="10.28515625" style="17" bestFit="1" customWidth="1"/>
    <col min="19" max="19" width="5.7109375" style="17" customWidth="1"/>
    <col min="20" max="20" width="8.7109375" style="17" customWidth="1"/>
    <col min="21" max="21" width="10.7109375" style="17" customWidth="1"/>
    <col min="22" max="16384" width="9.140625" style="17"/>
  </cols>
  <sheetData>
    <row r="1" spans="1:21" ht="19.899999999999999" customHeight="1">
      <c r="A1" s="159" t="s">
        <v>347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20.45" customHeight="1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ht="18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4" t="s">
        <v>20</v>
      </c>
    </row>
    <row r="4" spans="1:21" ht="21.75" customHeight="1">
      <c r="A4" s="158" t="s">
        <v>0</v>
      </c>
      <c r="B4" s="158" t="s">
        <v>18</v>
      </c>
      <c r="C4" s="161" t="s">
        <v>1</v>
      </c>
      <c r="D4" s="162"/>
      <c r="E4" s="169" t="s">
        <v>4</v>
      </c>
      <c r="F4" s="170"/>
      <c r="G4" s="171"/>
      <c r="H4" s="158" t="s">
        <v>5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21.75" customHeight="1">
      <c r="A5" s="158"/>
      <c r="B5" s="158"/>
      <c r="C5" s="163"/>
      <c r="D5" s="164"/>
      <c r="E5" s="172"/>
      <c r="F5" s="173"/>
      <c r="G5" s="174"/>
      <c r="H5" s="165" t="s">
        <v>6</v>
      </c>
      <c r="I5" s="197" t="s">
        <v>190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9"/>
      <c r="U5" s="195" t="s">
        <v>19</v>
      </c>
    </row>
    <row r="6" spans="1:21" ht="78" customHeight="1">
      <c r="A6" s="158"/>
      <c r="B6" s="158"/>
      <c r="C6" s="26" t="s">
        <v>2</v>
      </c>
      <c r="D6" s="26" t="s">
        <v>3</v>
      </c>
      <c r="E6" s="26" t="s">
        <v>189</v>
      </c>
      <c r="F6" s="27" t="s">
        <v>191</v>
      </c>
      <c r="G6" s="104" t="s">
        <v>19</v>
      </c>
      <c r="H6" s="165"/>
      <c r="I6" s="27" t="s">
        <v>7</v>
      </c>
      <c r="J6" s="27" t="s">
        <v>8</v>
      </c>
      <c r="K6" s="27" t="s">
        <v>9</v>
      </c>
      <c r="L6" s="27" t="s">
        <v>10</v>
      </c>
      <c r="M6" s="27" t="s">
        <v>11</v>
      </c>
      <c r="N6" s="27" t="s">
        <v>12</v>
      </c>
      <c r="O6" s="27" t="s">
        <v>13</v>
      </c>
      <c r="P6" s="27" t="s">
        <v>14</v>
      </c>
      <c r="Q6" s="27" t="s">
        <v>15</v>
      </c>
      <c r="R6" s="27" t="s">
        <v>17</v>
      </c>
      <c r="S6" s="27" t="s">
        <v>16</v>
      </c>
      <c r="T6" s="27" t="s">
        <v>193</v>
      </c>
      <c r="U6" s="196"/>
    </row>
    <row r="7" spans="1:21" ht="18.75" customHeight="1">
      <c r="A7" s="62">
        <v>1</v>
      </c>
      <c r="B7" s="63" t="s">
        <v>328</v>
      </c>
      <c r="C7" s="64">
        <v>14</v>
      </c>
      <c r="D7" s="64">
        <v>14</v>
      </c>
      <c r="E7" s="65">
        <v>1833</v>
      </c>
      <c r="F7" s="65">
        <v>246</v>
      </c>
      <c r="G7" s="65">
        <f>E7+F7</f>
        <v>2079</v>
      </c>
      <c r="H7" s="65">
        <v>1833</v>
      </c>
      <c r="I7" s="65">
        <v>14.6</v>
      </c>
      <c r="J7" s="65">
        <v>9.5</v>
      </c>
      <c r="K7" s="65">
        <v>10</v>
      </c>
      <c r="L7" s="65">
        <v>7.2</v>
      </c>
      <c r="M7" s="65">
        <v>20</v>
      </c>
      <c r="N7" s="65">
        <v>15</v>
      </c>
      <c r="O7" s="65">
        <v>69</v>
      </c>
      <c r="P7" s="65">
        <v>30</v>
      </c>
      <c r="Q7" s="65">
        <v>60</v>
      </c>
      <c r="R7" s="65"/>
      <c r="S7" s="65">
        <v>11</v>
      </c>
      <c r="T7" s="29">
        <f>SUM(I7:S7)</f>
        <v>246.3</v>
      </c>
      <c r="U7" s="29">
        <f>T7+H7</f>
        <v>2079.3000000000002</v>
      </c>
    </row>
    <row r="8" spans="1:21" ht="18.75" customHeight="1">
      <c r="A8" s="66">
        <v>2</v>
      </c>
      <c r="B8" s="67" t="s">
        <v>327</v>
      </c>
      <c r="C8" s="68">
        <v>17</v>
      </c>
      <c r="D8" s="68">
        <v>17</v>
      </c>
      <c r="E8" s="69">
        <v>1934.6</v>
      </c>
      <c r="F8" s="69">
        <v>192</v>
      </c>
      <c r="G8" s="65">
        <f t="shared" ref="G8:G52" si="0">E8+F8</f>
        <v>2126.6</v>
      </c>
      <c r="H8" s="69">
        <v>1935</v>
      </c>
      <c r="I8" s="69"/>
      <c r="J8" s="69">
        <v>8</v>
      </c>
      <c r="K8" s="69">
        <v>30</v>
      </c>
      <c r="L8" s="69">
        <v>4</v>
      </c>
      <c r="M8" s="69">
        <v>20</v>
      </c>
      <c r="N8" s="69">
        <v>20</v>
      </c>
      <c r="O8" s="69">
        <v>50</v>
      </c>
      <c r="P8" s="69"/>
      <c r="Q8" s="69">
        <v>50</v>
      </c>
      <c r="R8" s="69"/>
      <c r="S8" s="69">
        <v>10</v>
      </c>
      <c r="T8" s="29">
        <f t="shared" ref="T8:T52" si="1">SUM(I8:S8)</f>
        <v>192</v>
      </c>
      <c r="U8" s="29">
        <f t="shared" ref="U8:U52" si="2">T8+H8</f>
        <v>2127</v>
      </c>
    </row>
    <row r="9" spans="1:21" ht="18.75" customHeight="1">
      <c r="A9" s="66">
        <v>3</v>
      </c>
      <c r="B9" s="67" t="s">
        <v>329</v>
      </c>
      <c r="C9" s="70">
        <v>23</v>
      </c>
      <c r="D9" s="70">
        <v>23</v>
      </c>
      <c r="E9" s="71">
        <f>H9</f>
        <v>2308.52</v>
      </c>
      <c r="F9" s="71">
        <f>T9</f>
        <v>439</v>
      </c>
      <c r="G9" s="65">
        <f t="shared" si="0"/>
        <v>2747.52</v>
      </c>
      <c r="H9" s="71">
        <f>2482.52-174</f>
        <v>2308.52</v>
      </c>
      <c r="I9" s="71">
        <v>75</v>
      </c>
      <c r="J9" s="71">
        <v>18</v>
      </c>
      <c r="K9" s="71">
        <v>23</v>
      </c>
      <c r="L9" s="71">
        <v>8</v>
      </c>
      <c r="M9" s="71">
        <v>20</v>
      </c>
      <c r="N9" s="71">
        <v>30</v>
      </c>
      <c r="O9" s="71">
        <v>30</v>
      </c>
      <c r="P9" s="71">
        <v>30</v>
      </c>
      <c r="Q9" s="71">
        <v>165</v>
      </c>
      <c r="R9" s="71"/>
      <c r="S9" s="71">
        <v>40</v>
      </c>
      <c r="T9" s="29">
        <f t="shared" si="1"/>
        <v>439</v>
      </c>
      <c r="U9" s="29">
        <f t="shared" si="2"/>
        <v>2747.52</v>
      </c>
    </row>
    <row r="10" spans="1:21" ht="18.75" customHeight="1">
      <c r="A10" s="66">
        <v>4</v>
      </c>
      <c r="B10" s="67" t="s">
        <v>330</v>
      </c>
      <c r="C10" s="68">
        <v>20</v>
      </c>
      <c r="D10" s="68">
        <v>20</v>
      </c>
      <c r="E10" s="85">
        <v>1882</v>
      </c>
      <c r="F10" s="124">
        <v>371</v>
      </c>
      <c r="G10" s="65">
        <f t="shared" si="0"/>
        <v>2253</v>
      </c>
      <c r="H10" s="124">
        <v>1882</v>
      </c>
      <c r="I10" s="124">
        <v>50</v>
      </c>
      <c r="J10" s="124">
        <v>8</v>
      </c>
      <c r="K10" s="124">
        <v>25</v>
      </c>
      <c r="L10" s="124">
        <v>8</v>
      </c>
      <c r="M10" s="124">
        <v>5</v>
      </c>
      <c r="N10" s="124">
        <v>7</v>
      </c>
      <c r="O10" s="124">
        <v>11</v>
      </c>
      <c r="P10" s="124"/>
      <c r="Q10" s="124">
        <v>81</v>
      </c>
      <c r="R10" s="124"/>
      <c r="S10" s="124">
        <v>176</v>
      </c>
      <c r="T10" s="29">
        <f t="shared" si="1"/>
        <v>371</v>
      </c>
      <c r="U10" s="29">
        <f t="shared" si="2"/>
        <v>2253</v>
      </c>
    </row>
    <row r="11" spans="1:21" ht="18.75" customHeight="1">
      <c r="A11" s="72">
        <v>5</v>
      </c>
      <c r="B11" s="73" t="s">
        <v>331</v>
      </c>
      <c r="C11" s="70">
        <v>12</v>
      </c>
      <c r="D11" s="125">
        <v>12</v>
      </c>
      <c r="E11" s="126">
        <v>1.6919999999999999</v>
      </c>
      <c r="F11" s="127">
        <v>228</v>
      </c>
      <c r="G11" s="65">
        <f t="shared" si="0"/>
        <v>229.69200000000001</v>
      </c>
      <c r="H11" s="126">
        <v>1.6919999999999999</v>
      </c>
      <c r="I11" s="127">
        <v>30</v>
      </c>
      <c r="J11" s="127">
        <v>7</v>
      </c>
      <c r="K11" s="127">
        <v>8</v>
      </c>
      <c r="L11" s="127">
        <v>7</v>
      </c>
      <c r="M11" s="127">
        <v>9</v>
      </c>
      <c r="N11" s="127">
        <v>7</v>
      </c>
      <c r="O11" s="127">
        <v>37</v>
      </c>
      <c r="P11" s="127">
        <v>40</v>
      </c>
      <c r="Q11" s="127">
        <v>48</v>
      </c>
      <c r="R11" s="127"/>
      <c r="S11" s="127">
        <v>35</v>
      </c>
      <c r="T11" s="29">
        <f t="shared" si="1"/>
        <v>228</v>
      </c>
      <c r="U11" s="29">
        <f t="shared" si="2"/>
        <v>229.69200000000001</v>
      </c>
    </row>
    <row r="12" spans="1:21" ht="18.75" customHeight="1">
      <c r="A12" s="74">
        <v>6</v>
      </c>
      <c r="B12" s="75" t="s">
        <v>332</v>
      </c>
      <c r="C12" s="76">
        <v>12</v>
      </c>
      <c r="D12" s="76">
        <v>12</v>
      </c>
      <c r="E12" s="77">
        <f>H12</f>
        <v>1769</v>
      </c>
      <c r="F12" s="77">
        <v>228</v>
      </c>
      <c r="G12" s="65">
        <f t="shared" si="0"/>
        <v>1997</v>
      </c>
      <c r="H12" s="77">
        <v>1769</v>
      </c>
      <c r="I12" s="128">
        <v>50</v>
      </c>
      <c r="J12" s="128">
        <v>10</v>
      </c>
      <c r="K12" s="128">
        <v>5</v>
      </c>
      <c r="L12" s="128">
        <v>3</v>
      </c>
      <c r="M12" s="128">
        <v>15</v>
      </c>
      <c r="N12" s="128">
        <v>5</v>
      </c>
      <c r="O12" s="128">
        <v>20</v>
      </c>
      <c r="P12" s="128">
        <v>29</v>
      </c>
      <c r="Q12" s="128">
        <v>57</v>
      </c>
      <c r="R12" s="128"/>
      <c r="S12" s="128">
        <v>34</v>
      </c>
      <c r="T12" s="29">
        <f t="shared" si="1"/>
        <v>228</v>
      </c>
      <c r="U12" s="29">
        <f t="shared" si="2"/>
        <v>1997</v>
      </c>
    </row>
    <row r="13" spans="1:21" ht="18.75" customHeight="1">
      <c r="A13" s="62">
        <v>7</v>
      </c>
      <c r="B13" s="63" t="s">
        <v>333</v>
      </c>
      <c r="C13" s="64">
        <v>14</v>
      </c>
      <c r="D13" s="64">
        <v>13</v>
      </c>
      <c r="E13" s="65">
        <v>1560</v>
      </c>
      <c r="F13" s="65">
        <v>202</v>
      </c>
      <c r="G13" s="65">
        <f t="shared" si="0"/>
        <v>1762</v>
      </c>
      <c r="H13" s="65">
        <v>1560.3</v>
      </c>
      <c r="I13" s="65">
        <v>41</v>
      </c>
      <c r="J13" s="65">
        <v>16</v>
      </c>
      <c r="K13" s="65">
        <v>8</v>
      </c>
      <c r="L13" s="65">
        <v>7</v>
      </c>
      <c r="M13" s="65">
        <v>7</v>
      </c>
      <c r="N13" s="65">
        <v>17.2</v>
      </c>
      <c r="O13" s="65">
        <v>38</v>
      </c>
      <c r="P13" s="65"/>
      <c r="Q13" s="65">
        <v>57</v>
      </c>
      <c r="R13" s="65"/>
      <c r="S13" s="65">
        <v>11</v>
      </c>
      <c r="T13" s="29">
        <f t="shared" si="1"/>
        <v>202.2</v>
      </c>
      <c r="U13" s="29">
        <f t="shared" si="2"/>
        <v>1762.5</v>
      </c>
    </row>
    <row r="14" spans="1:21" ht="18.75" customHeight="1">
      <c r="A14" s="74">
        <v>8</v>
      </c>
      <c r="B14" s="75" t="s">
        <v>334</v>
      </c>
      <c r="C14" s="76">
        <v>9</v>
      </c>
      <c r="D14" s="76">
        <v>9</v>
      </c>
      <c r="E14" s="77">
        <v>960</v>
      </c>
      <c r="F14" s="77">
        <v>175</v>
      </c>
      <c r="G14" s="65">
        <f t="shared" si="0"/>
        <v>1135</v>
      </c>
      <c r="H14" s="77">
        <v>995</v>
      </c>
      <c r="I14" s="77"/>
      <c r="J14" s="77">
        <v>1.2829999999999999</v>
      </c>
      <c r="K14" s="77">
        <v>32</v>
      </c>
      <c r="L14" s="77"/>
      <c r="M14" s="77">
        <v>23</v>
      </c>
      <c r="N14" s="77">
        <v>4</v>
      </c>
      <c r="O14" s="77">
        <v>14</v>
      </c>
      <c r="P14" s="77">
        <v>18</v>
      </c>
      <c r="Q14" s="77">
        <v>18</v>
      </c>
      <c r="R14" s="77"/>
      <c r="S14" s="77">
        <v>29</v>
      </c>
      <c r="T14" s="29">
        <f t="shared" si="1"/>
        <v>139.28300000000002</v>
      </c>
      <c r="U14" s="29">
        <f t="shared" si="2"/>
        <v>1134.2829999999999</v>
      </c>
    </row>
    <row r="15" spans="1:21" ht="18.75" customHeight="1">
      <c r="A15" s="66">
        <v>9</v>
      </c>
      <c r="B15" s="67" t="s">
        <v>335</v>
      </c>
      <c r="C15" s="78">
        <v>15</v>
      </c>
      <c r="D15" s="78">
        <v>15</v>
      </c>
      <c r="E15" s="79">
        <v>2174</v>
      </c>
      <c r="F15" s="79">
        <v>132</v>
      </c>
      <c r="G15" s="65">
        <f t="shared" si="0"/>
        <v>2306</v>
      </c>
      <c r="H15" s="79">
        <v>2174</v>
      </c>
      <c r="I15" s="79"/>
      <c r="J15" s="79">
        <v>7</v>
      </c>
      <c r="K15" s="79">
        <v>7</v>
      </c>
      <c r="L15" s="79">
        <v>5</v>
      </c>
      <c r="M15" s="79">
        <v>6</v>
      </c>
      <c r="N15" s="79">
        <v>5</v>
      </c>
      <c r="O15" s="79">
        <v>12</v>
      </c>
      <c r="P15" s="79">
        <v>10</v>
      </c>
      <c r="Q15" s="79">
        <v>80</v>
      </c>
      <c r="R15" s="79"/>
      <c r="S15" s="79"/>
      <c r="T15" s="29">
        <f t="shared" si="1"/>
        <v>132</v>
      </c>
      <c r="U15" s="29">
        <f t="shared" si="2"/>
        <v>2306</v>
      </c>
    </row>
    <row r="16" spans="1:21" ht="18.75" customHeight="1">
      <c r="A16" s="66">
        <v>10</v>
      </c>
      <c r="B16" s="80" t="s">
        <v>336</v>
      </c>
      <c r="C16" s="76">
        <v>21</v>
      </c>
      <c r="D16" s="76">
        <v>21</v>
      </c>
      <c r="E16" s="81">
        <f t="shared" ref="E16:E17" si="3">H16</f>
        <v>1890</v>
      </c>
      <c r="F16" s="77">
        <f>SUM(I16:S16)</f>
        <v>464</v>
      </c>
      <c r="G16" s="65">
        <f t="shared" si="0"/>
        <v>2354</v>
      </c>
      <c r="H16" s="77">
        <v>1890</v>
      </c>
      <c r="I16" s="77">
        <v>8</v>
      </c>
      <c r="J16" s="77">
        <v>10</v>
      </c>
      <c r="K16" s="77">
        <v>72</v>
      </c>
      <c r="L16" s="77">
        <v>14</v>
      </c>
      <c r="M16" s="77">
        <v>25</v>
      </c>
      <c r="N16" s="77">
        <v>64</v>
      </c>
      <c r="O16" s="77">
        <v>54</v>
      </c>
      <c r="P16" s="77">
        <v>22</v>
      </c>
      <c r="Q16" s="77">
        <v>120</v>
      </c>
      <c r="R16" s="77"/>
      <c r="S16" s="77">
        <v>75</v>
      </c>
      <c r="T16" s="29">
        <f t="shared" si="1"/>
        <v>464</v>
      </c>
      <c r="U16" s="29">
        <f t="shared" si="2"/>
        <v>2354</v>
      </c>
    </row>
    <row r="17" spans="1:21" ht="18.75" customHeight="1">
      <c r="A17" s="66">
        <v>11</v>
      </c>
      <c r="B17" s="67" t="s">
        <v>337</v>
      </c>
      <c r="C17" s="68">
        <v>14</v>
      </c>
      <c r="D17" s="68">
        <v>14</v>
      </c>
      <c r="E17" s="69">
        <f t="shared" si="3"/>
        <v>1487</v>
      </c>
      <c r="F17" s="69">
        <f>T17</f>
        <v>280</v>
      </c>
      <c r="G17" s="65">
        <f t="shared" si="0"/>
        <v>1767</v>
      </c>
      <c r="H17" s="92">
        <v>1487</v>
      </c>
      <c r="I17" s="129">
        <v>20</v>
      </c>
      <c r="J17" s="129">
        <v>13</v>
      </c>
      <c r="K17" s="129">
        <v>10</v>
      </c>
      <c r="L17" s="129">
        <v>4</v>
      </c>
      <c r="M17" s="129">
        <v>24</v>
      </c>
      <c r="N17" s="129">
        <v>12</v>
      </c>
      <c r="O17" s="129">
        <v>29</v>
      </c>
      <c r="P17" s="129">
        <v>23</v>
      </c>
      <c r="Q17" s="129">
        <v>137</v>
      </c>
      <c r="R17" s="129"/>
      <c r="S17" s="129">
        <v>8</v>
      </c>
      <c r="T17" s="29">
        <f t="shared" si="1"/>
        <v>280</v>
      </c>
      <c r="U17" s="29">
        <f t="shared" si="2"/>
        <v>1767</v>
      </c>
    </row>
    <row r="18" spans="1:21" ht="18.75" customHeight="1">
      <c r="A18" s="82">
        <v>12</v>
      </c>
      <c r="B18" s="82" t="s">
        <v>338</v>
      </c>
      <c r="C18" s="89">
        <v>14</v>
      </c>
      <c r="D18" s="89">
        <v>14</v>
      </c>
      <c r="E18" s="83">
        <v>1893</v>
      </c>
      <c r="F18" s="83">
        <v>269.60000000000002</v>
      </c>
      <c r="G18" s="65">
        <f t="shared" si="0"/>
        <v>2162.6</v>
      </c>
      <c r="H18" s="83">
        <v>1893</v>
      </c>
      <c r="I18" s="83">
        <v>47.7</v>
      </c>
      <c r="J18" s="83">
        <v>7.1</v>
      </c>
      <c r="K18" s="83">
        <v>10</v>
      </c>
      <c r="L18" s="83">
        <v>10</v>
      </c>
      <c r="M18" s="83">
        <v>10.8</v>
      </c>
      <c r="N18" s="83">
        <v>14.4</v>
      </c>
      <c r="O18" s="83">
        <v>8.1999999999999993</v>
      </c>
      <c r="P18" s="83">
        <v>5.6</v>
      </c>
      <c r="Q18" s="83">
        <v>131.6</v>
      </c>
      <c r="R18" s="83"/>
      <c r="S18" s="82">
        <v>24.7</v>
      </c>
      <c r="T18" s="29">
        <f t="shared" si="1"/>
        <v>270.10000000000002</v>
      </c>
      <c r="U18" s="29">
        <f t="shared" si="2"/>
        <v>2163.1</v>
      </c>
    </row>
    <row r="19" spans="1:21" ht="18.75" customHeight="1">
      <c r="A19" s="66">
        <v>13</v>
      </c>
      <c r="B19" s="80" t="s">
        <v>339</v>
      </c>
      <c r="C19" s="84">
        <v>16</v>
      </c>
      <c r="D19" s="84">
        <v>16</v>
      </c>
      <c r="E19" s="85">
        <v>1727</v>
      </c>
      <c r="F19" s="85">
        <f>319</f>
        <v>319</v>
      </c>
      <c r="G19" s="65">
        <f t="shared" si="0"/>
        <v>2046</v>
      </c>
      <c r="H19" s="85">
        <v>1727</v>
      </c>
      <c r="I19" s="85">
        <v>45</v>
      </c>
      <c r="J19" s="85">
        <v>28</v>
      </c>
      <c r="K19" s="85">
        <v>40</v>
      </c>
      <c r="L19" s="86">
        <v>44696</v>
      </c>
      <c r="M19" s="85">
        <v>28</v>
      </c>
      <c r="N19" s="85">
        <v>40</v>
      </c>
      <c r="O19" s="86">
        <v>44737</v>
      </c>
      <c r="P19" s="85">
        <f>26+45</f>
        <v>71</v>
      </c>
      <c r="Q19" s="86">
        <v>44707</v>
      </c>
      <c r="R19" s="85"/>
      <c r="S19" s="85"/>
      <c r="T19" s="29">
        <f t="shared" si="1"/>
        <v>134392</v>
      </c>
      <c r="U19" s="29">
        <f t="shared" si="2"/>
        <v>136119</v>
      </c>
    </row>
    <row r="20" spans="1:21" ht="18.75" customHeight="1">
      <c r="A20" s="66">
        <v>14</v>
      </c>
      <c r="B20" s="67" t="s">
        <v>340</v>
      </c>
      <c r="C20" s="68">
        <v>14</v>
      </c>
      <c r="D20" s="68">
        <v>14</v>
      </c>
      <c r="E20" s="69">
        <v>2021</v>
      </c>
      <c r="F20" s="69">
        <f>322-52</f>
        <v>270</v>
      </c>
      <c r="G20" s="65">
        <f t="shared" si="0"/>
        <v>2291</v>
      </c>
      <c r="H20" s="69">
        <v>2021</v>
      </c>
      <c r="I20" s="69">
        <v>25</v>
      </c>
      <c r="J20" s="69">
        <v>35.700000000000003</v>
      </c>
      <c r="K20" s="69">
        <v>35</v>
      </c>
      <c r="L20" s="69">
        <v>9</v>
      </c>
      <c r="M20" s="69">
        <v>8</v>
      </c>
      <c r="N20" s="69">
        <v>26</v>
      </c>
      <c r="O20" s="69">
        <v>35</v>
      </c>
      <c r="P20" s="69">
        <v>15</v>
      </c>
      <c r="Q20" s="69">
        <v>45</v>
      </c>
      <c r="R20" s="69"/>
      <c r="S20" s="69">
        <v>36</v>
      </c>
      <c r="T20" s="29">
        <f t="shared" si="1"/>
        <v>269.7</v>
      </c>
      <c r="U20" s="29">
        <f t="shared" si="2"/>
        <v>2290.6999999999998</v>
      </c>
    </row>
    <row r="21" spans="1:21" ht="18.75" customHeight="1">
      <c r="A21" s="66">
        <v>15</v>
      </c>
      <c r="B21" s="67" t="s">
        <v>187</v>
      </c>
      <c r="C21" s="76">
        <v>20</v>
      </c>
      <c r="D21" s="76">
        <v>19</v>
      </c>
      <c r="E21" s="77">
        <f>H21</f>
        <v>2450</v>
      </c>
      <c r="F21" s="77">
        <f>SUM(I21:S21)</f>
        <v>361</v>
      </c>
      <c r="G21" s="65">
        <f t="shared" si="0"/>
        <v>2811</v>
      </c>
      <c r="H21" s="77">
        <v>2450</v>
      </c>
      <c r="I21" s="77">
        <v>6</v>
      </c>
      <c r="J21" s="77">
        <v>8</v>
      </c>
      <c r="K21" s="77">
        <v>69</v>
      </c>
      <c r="L21" s="77">
        <v>10</v>
      </c>
      <c r="M21" s="77">
        <v>20</v>
      </c>
      <c r="N21" s="77">
        <v>62</v>
      </c>
      <c r="O21" s="77">
        <v>40</v>
      </c>
      <c r="P21" s="77">
        <v>17</v>
      </c>
      <c r="Q21" s="77">
        <v>79</v>
      </c>
      <c r="R21" s="77"/>
      <c r="S21" s="77">
        <v>50</v>
      </c>
      <c r="T21" s="29">
        <f t="shared" si="1"/>
        <v>361</v>
      </c>
      <c r="U21" s="29">
        <f t="shared" si="2"/>
        <v>2811</v>
      </c>
    </row>
    <row r="22" spans="1:21" ht="18.75" customHeight="1">
      <c r="A22" s="62">
        <v>16</v>
      </c>
      <c r="B22" s="63" t="s">
        <v>341</v>
      </c>
      <c r="C22" s="64">
        <v>12</v>
      </c>
      <c r="D22" s="64">
        <v>12</v>
      </c>
      <c r="E22" s="65">
        <v>1572</v>
      </c>
      <c r="F22" s="65">
        <v>279</v>
      </c>
      <c r="G22" s="65">
        <f t="shared" si="0"/>
        <v>1851</v>
      </c>
      <c r="H22" s="65">
        <v>1571.5</v>
      </c>
      <c r="I22" s="65">
        <v>53</v>
      </c>
      <c r="J22" s="65">
        <v>12</v>
      </c>
      <c r="K22" s="65">
        <v>8</v>
      </c>
      <c r="L22" s="65">
        <v>8</v>
      </c>
      <c r="M22" s="65">
        <v>12</v>
      </c>
      <c r="N22" s="65">
        <v>22</v>
      </c>
      <c r="O22" s="65">
        <v>55</v>
      </c>
      <c r="P22" s="65">
        <v>25</v>
      </c>
      <c r="Q22" s="65">
        <v>64</v>
      </c>
      <c r="R22" s="65"/>
      <c r="S22" s="65">
        <v>20</v>
      </c>
      <c r="T22" s="29">
        <f t="shared" si="1"/>
        <v>279</v>
      </c>
      <c r="U22" s="29">
        <f t="shared" si="2"/>
        <v>1850.5</v>
      </c>
    </row>
    <row r="23" spans="1:21" ht="18.75" customHeight="1">
      <c r="A23" s="66">
        <v>17</v>
      </c>
      <c r="B23" s="67" t="s">
        <v>342</v>
      </c>
      <c r="C23" s="78">
        <v>18</v>
      </c>
      <c r="D23" s="78">
        <v>17</v>
      </c>
      <c r="E23" s="79">
        <v>2863</v>
      </c>
      <c r="F23" s="79">
        <v>115</v>
      </c>
      <c r="G23" s="65">
        <f t="shared" si="0"/>
        <v>2978</v>
      </c>
      <c r="H23" s="79">
        <f>1095+1353+415</f>
        <v>2863</v>
      </c>
      <c r="I23" s="79"/>
      <c r="J23" s="79">
        <v>7</v>
      </c>
      <c r="K23" s="79">
        <v>5</v>
      </c>
      <c r="L23" s="79">
        <v>6</v>
      </c>
      <c r="M23" s="79">
        <v>6</v>
      </c>
      <c r="N23" s="79">
        <v>54</v>
      </c>
      <c r="O23" s="79">
        <v>10</v>
      </c>
      <c r="P23" s="79">
        <v>6</v>
      </c>
      <c r="Q23" s="79">
        <v>21</v>
      </c>
      <c r="R23" s="79"/>
      <c r="S23" s="79"/>
      <c r="T23" s="29">
        <f t="shared" si="1"/>
        <v>115</v>
      </c>
      <c r="U23" s="29">
        <f t="shared" si="2"/>
        <v>2978</v>
      </c>
    </row>
    <row r="24" spans="1:21" ht="18.75" customHeight="1">
      <c r="A24" s="62">
        <v>18</v>
      </c>
      <c r="B24" s="63" t="s">
        <v>343</v>
      </c>
      <c r="C24" s="64">
        <v>15</v>
      </c>
      <c r="D24" s="64">
        <v>15</v>
      </c>
      <c r="E24" s="87">
        <v>2427</v>
      </c>
      <c r="F24" s="87">
        <v>279</v>
      </c>
      <c r="G24" s="65">
        <f t="shared" si="0"/>
        <v>2706</v>
      </c>
      <c r="H24" s="87">
        <v>2427</v>
      </c>
      <c r="I24" s="87">
        <v>14.22</v>
      </c>
      <c r="J24" s="87">
        <v>11.6</v>
      </c>
      <c r="K24" s="87">
        <v>10.8</v>
      </c>
      <c r="L24" s="87">
        <v>4.5</v>
      </c>
      <c r="M24" s="87">
        <v>25</v>
      </c>
      <c r="N24" s="87">
        <v>24</v>
      </c>
      <c r="O24" s="87">
        <v>32.200000000000003</v>
      </c>
      <c r="P24" s="87">
        <v>40</v>
      </c>
      <c r="Q24" s="87">
        <v>23</v>
      </c>
      <c r="R24" s="87"/>
      <c r="S24" s="87">
        <v>93.68</v>
      </c>
      <c r="T24" s="29">
        <f t="shared" si="1"/>
        <v>279</v>
      </c>
      <c r="U24" s="29">
        <f t="shared" si="2"/>
        <v>2706</v>
      </c>
    </row>
    <row r="25" spans="1:21" ht="18.75" customHeight="1">
      <c r="A25" s="66">
        <v>19</v>
      </c>
      <c r="B25" s="67" t="s">
        <v>344</v>
      </c>
      <c r="C25" s="68">
        <v>23</v>
      </c>
      <c r="D25" s="68">
        <v>18</v>
      </c>
      <c r="E25" s="85">
        <v>2347</v>
      </c>
      <c r="F25" s="124">
        <v>360</v>
      </c>
      <c r="G25" s="65">
        <f t="shared" si="0"/>
        <v>2707</v>
      </c>
      <c r="H25" s="124">
        <v>2347</v>
      </c>
      <c r="I25" s="124">
        <v>72</v>
      </c>
      <c r="J25" s="124">
        <v>13</v>
      </c>
      <c r="K25" s="124">
        <v>6</v>
      </c>
      <c r="L25" s="124">
        <v>9</v>
      </c>
      <c r="M25" s="124">
        <v>1</v>
      </c>
      <c r="N25" s="124">
        <v>8</v>
      </c>
      <c r="O25" s="124">
        <v>35</v>
      </c>
      <c r="P25" s="124">
        <v>30</v>
      </c>
      <c r="Q25" s="124">
        <v>95</v>
      </c>
      <c r="R25" s="124"/>
      <c r="S25" s="124">
        <v>91</v>
      </c>
      <c r="T25" s="29">
        <f t="shared" si="1"/>
        <v>360</v>
      </c>
      <c r="U25" s="29">
        <f t="shared" si="2"/>
        <v>2707</v>
      </c>
    </row>
    <row r="26" spans="1:21" ht="18.75" customHeight="1">
      <c r="A26" s="72">
        <v>20</v>
      </c>
      <c r="B26" s="73" t="s">
        <v>345</v>
      </c>
      <c r="C26" s="70">
        <v>18</v>
      </c>
      <c r="D26" s="70">
        <v>17</v>
      </c>
      <c r="E26" s="71">
        <f>H26</f>
        <v>2291.2399999999998</v>
      </c>
      <c r="F26" s="71">
        <f>T26</f>
        <v>338.83</v>
      </c>
      <c r="G26" s="65">
        <f t="shared" si="0"/>
        <v>2630.0699999999997</v>
      </c>
      <c r="H26" s="71">
        <f>(256.488+212.159+77.913)*4+170-65</f>
        <v>2291.2399999999998</v>
      </c>
      <c r="I26" s="71">
        <v>60</v>
      </c>
      <c r="J26" s="71">
        <v>19</v>
      </c>
      <c r="K26" s="71">
        <v>23</v>
      </c>
      <c r="L26" s="71">
        <v>6</v>
      </c>
      <c r="M26" s="71">
        <v>20</v>
      </c>
      <c r="N26" s="71">
        <v>32.28</v>
      </c>
      <c r="O26" s="71">
        <v>20</v>
      </c>
      <c r="P26" s="71">
        <v>20</v>
      </c>
      <c r="Q26" s="71">
        <v>127</v>
      </c>
      <c r="R26" s="71"/>
      <c r="S26" s="71">
        <v>11.55</v>
      </c>
      <c r="T26" s="29">
        <f t="shared" si="1"/>
        <v>338.83</v>
      </c>
      <c r="U26" s="29">
        <f t="shared" si="2"/>
        <v>2630.0699999999997</v>
      </c>
    </row>
    <row r="27" spans="1:21" ht="18.75" customHeight="1">
      <c r="A27" s="66">
        <v>21</v>
      </c>
      <c r="B27" s="67" t="s">
        <v>346</v>
      </c>
      <c r="C27" s="84">
        <v>25</v>
      </c>
      <c r="D27" s="84">
        <v>25</v>
      </c>
      <c r="E27" s="85">
        <v>3665</v>
      </c>
      <c r="F27" s="85">
        <v>403</v>
      </c>
      <c r="G27" s="65">
        <f t="shared" si="0"/>
        <v>4068</v>
      </c>
      <c r="H27" s="85">
        <v>3665</v>
      </c>
      <c r="I27" s="85"/>
      <c r="J27" s="85">
        <v>20</v>
      </c>
      <c r="K27" s="85">
        <v>60</v>
      </c>
      <c r="L27" s="85">
        <v>15</v>
      </c>
      <c r="M27" s="85">
        <v>26</v>
      </c>
      <c r="N27" s="85">
        <v>30</v>
      </c>
      <c r="O27" s="85">
        <v>60</v>
      </c>
      <c r="P27" s="85"/>
      <c r="Q27" s="85">
        <v>176</v>
      </c>
      <c r="R27" s="85"/>
      <c r="S27" s="85">
        <v>16</v>
      </c>
      <c r="T27" s="29">
        <f t="shared" si="1"/>
        <v>403</v>
      </c>
      <c r="U27" s="29">
        <f t="shared" si="2"/>
        <v>4068</v>
      </c>
    </row>
    <row r="28" spans="1:21" ht="18.75" customHeight="1">
      <c r="A28" s="88">
        <v>22</v>
      </c>
      <c r="B28" s="82" t="s">
        <v>179</v>
      </c>
      <c r="C28" s="89">
        <f t="shared" ref="C28:S28" si="4">C29+C30</f>
        <v>20</v>
      </c>
      <c r="D28" s="89">
        <f t="shared" si="4"/>
        <v>20</v>
      </c>
      <c r="E28" s="90">
        <f t="shared" si="4"/>
        <v>3485</v>
      </c>
      <c r="F28" s="90">
        <f t="shared" si="4"/>
        <v>403.29999999999995</v>
      </c>
      <c r="G28" s="65">
        <f t="shared" si="0"/>
        <v>3888.3</v>
      </c>
      <c r="H28" s="90">
        <f t="shared" si="4"/>
        <v>3485</v>
      </c>
      <c r="I28" s="90">
        <f t="shared" si="4"/>
        <v>43.6</v>
      </c>
      <c r="J28" s="90">
        <f t="shared" si="4"/>
        <v>24.9</v>
      </c>
      <c r="K28" s="90">
        <f t="shared" si="4"/>
        <v>23</v>
      </c>
      <c r="L28" s="90">
        <f t="shared" si="4"/>
        <v>18</v>
      </c>
      <c r="M28" s="90">
        <f t="shared" si="4"/>
        <v>36</v>
      </c>
      <c r="N28" s="90">
        <f t="shared" si="4"/>
        <v>30</v>
      </c>
      <c r="O28" s="90">
        <f t="shared" si="4"/>
        <v>66</v>
      </c>
      <c r="P28" s="90">
        <f t="shared" si="4"/>
        <v>53</v>
      </c>
      <c r="Q28" s="90">
        <f t="shared" si="4"/>
        <v>74</v>
      </c>
      <c r="R28" s="90">
        <f t="shared" si="4"/>
        <v>0</v>
      </c>
      <c r="S28" s="90">
        <f t="shared" si="4"/>
        <v>50</v>
      </c>
      <c r="T28" s="29">
        <f t="shared" si="1"/>
        <v>418.5</v>
      </c>
      <c r="U28" s="29">
        <f t="shared" si="2"/>
        <v>3903.5</v>
      </c>
    </row>
    <row r="29" spans="1:21" ht="18.75" customHeight="1">
      <c r="A29" s="88"/>
      <c r="B29" s="82" t="s">
        <v>174</v>
      </c>
      <c r="C29" s="89">
        <v>9</v>
      </c>
      <c r="D29" s="89">
        <v>9</v>
      </c>
      <c r="E29" s="91">
        <v>1549</v>
      </c>
      <c r="F29" s="91">
        <v>183.7</v>
      </c>
      <c r="G29" s="65">
        <f t="shared" si="0"/>
        <v>1732.7</v>
      </c>
      <c r="H29" s="91">
        <v>1549</v>
      </c>
      <c r="I29" s="91">
        <v>18</v>
      </c>
      <c r="J29" s="91">
        <v>8.9</v>
      </c>
      <c r="K29" s="91">
        <v>5</v>
      </c>
      <c r="L29" s="91">
        <v>8</v>
      </c>
      <c r="M29" s="91">
        <v>17</v>
      </c>
      <c r="N29" s="91">
        <v>15</v>
      </c>
      <c r="O29" s="91">
        <v>28</v>
      </c>
      <c r="P29" s="91">
        <v>20</v>
      </c>
      <c r="Q29" s="91">
        <v>44</v>
      </c>
      <c r="R29" s="91"/>
      <c r="S29" s="91">
        <v>20</v>
      </c>
      <c r="T29" s="29">
        <f t="shared" si="1"/>
        <v>183.9</v>
      </c>
      <c r="U29" s="29">
        <f t="shared" si="2"/>
        <v>1732.9</v>
      </c>
    </row>
    <row r="30" spans="1:21" ht="18.75" customHeight="1">
      <c r="A30" s="88"/>
      <c r="B30" s="82" t="s">
        <v>175</v>
      </c>
      <c r="C30" s="89">
        <v>11</v>
      </c>
      <c r="D30" s="89">
        <v>11</v>
      </c>
      <c r="E30" s="91">
        <v>1936</v>
      </c>
      <c r="F30" s="91">
        <v>219.6</v>
      </c>
      <c r="G30" s="65">
        <f t="shared" si="0"/>
        <v>2155.6</v>
      </c>
      <c r="H30" s="91">
        <v>1936</v>
      </c>
      <c r="I30" s="91">
        <v>25.6</v>
      </c>
      <c r="J30" s="91">
        <v>16</v>
      </c>
      <c r="K30" s="91">
        <v>18</v>
      </c>
      <c r="L30" s="91">
        <v>10</v>
      </c>
      <c r="M30" s="91">
        <v>19</v>
      </c>
      <c r="N30" s="91">
        <v>15</v>
      </c>
      <c r="O30" s="91">
        <v>38</v>
      </c>
      <c r="P30" s="91">
        <v>33</v>
      </c>
      <c r="Q30" s="91">
        <v>30</v>
      </c>
      <c r="R30" s="91"/>
      <c r="S30" s="91">
        <v>30</v>
      </c>
      <c r="T30" s="29">
        <f t="shared" si="1"/>
        <v>234.6</v>
      </c>
      <c r="U30" s="29">
        <f t="shared" si="2"/>
        <v>2170.6</v>
      </c>
    </row>
    <row r="31" spans="1:21" ht="18.75" customHeight="1">
      <c r="A31" s="66">
        <v>23</v>
      </c>
      <c r="B31" s="80" t="s">
        <v>188</v>
      </c>
      <c r="C31" s="68">
        <f t="shared" ref="C31:S31" si="5">C32+C33</f>
        <v>25</v>
      </c>
      <c r="D31" s="68">
        <f t="shared" si="5"/>
        <v>21</v>
      </c>
      <c r="E31" s="92">
        <f t="shared" si="5"/>
        <v>2407</v>
      </c>
      <c r="F31" s="92">
        <f t="shared" si="5"/>
        <v>380</v>
      </c>
      <c r="G31" s="65">
        <f t="shared" si="0"/>
        <v>2787</v>
      </c>
      <c r="H31" s="92">
        <f t="shared" si="5"/>
        <v>2407</v>
      </c>
      <c r="I31" s="92">
        <f t="shared" si="5"/>
        <v>110</v>
      </c>
      <c r="J31" s="92">
        <f t="shared" si="5"/>
        <v>40</v>
      </c>
      <c r="K31" s="92">
        <f t="shared" si="5"/>
        <v>75</v>
      </c>
      <c r="L31" s="92">
        <f t="shared" si="5"/>
        <v>11</v>
      </c>
      <c r="M31" s="92">
        <f t="shared" si="5"/>
        <v>40</v>
      </c>
      <c r="N31" s="92">
        <f t="shared" si="5"/>
        <v>0</v>
      </c>
      <c r="O31" s="92">
        <f t="shared" si="5"/>
        <v>33.5</v>
      </c>
      <c r="P31" s="92">
        <f t="shared" si="5"/>
        <v>58</v>
      </c>
      <c r="Q31" s="92">
        <f t="shared" si="5"/>
        <v>12</v>
      </c>
      <c r="R31" s="92">
        <f t="shared" si="5"/>
        <v>0</v>
      </c>
      <c r="S31" s="92">
        <f t="shared" si="5"/>
        <v>0</v>
      </c>
      <c r="T31" s="29">
        <f t="shared" si="1"/>
        <v>379.5</v>
      </c>
      <c r="U31" s="29">
        <f t="shared" si="2"/>
        <v>2786.5</v>
      </c>
    </row>
    <row r="32" spans="1:21" ht="18.75" customHeight="1">
      <c r="A32" s="66"/>
      <c r="B32" s="67" t="s">
        <v>174</v>
      </c>
      <c r="C32" s="68">
        <v>13</v>
      </c>
      <c r="D32" s="68">
        <v>10</v>
      </c>
      <c r="E32" s="69">
        <v>1112</v>
      </c>
      <c r="F32" s="69">
        <v>160</v>
      </c>
      <c r="G32" s="65">
        <f t="shared" si="0"/>
        <v>1272</v>
      </c>
      <c r="H32" s="69">
        <v>1112</v>
      </c>
      <c r="I32" s="69">
        <v>45</v>
      </c>
      <c r="J32" s="69">
        <v>18</v>
      </c>
      <c r="K32" s="69">
        <v>35</v>
      </c>
      <c r="L32" s="93">
        <v>5</v>
      </c>
      <c r="M32" s="69">
        <v>15</v>
      </c>
      <c r="N32" s="69"/>
      <c r="O32" s="93">
        <v>15</v>
      </c>
      <c r="P32" s="69">
        <v>27</v>
      </c>
      <c r="Q32" s="69"/>
      <c r="R32" s="69"/>
      <c r="S32" s="69"/>
      <c r="T32" s="29">
        <f t="shared" si="1"/>
        <v>160</v>
      </c>
      <c r="U32" s="29">
        <f t="shared" si="2"/>
        <v>1272</v>
      </c>
    </row>
    <row r="33" spans="1:21" ht="18.75" customHeight="1">
      <c r="A33" s="66"/>
      <c r="B33" s="67" t="s">
        <v>175</v>
      </c>
      <c r="C33" s="68">
        <v>12</v>
      </c>
      <c r="D33" s="68">
        <v>11</v>
      </c>
      <c r="E33" s="69">
        <v>1295</v>
      </c>
      <c r="F33" s="69">
        <v>220</v>
      </c>
      <c r="G33" s="65">
        <f t="shared" si="0"/>
        <v>1515</v>
      </c>
      <c r="H33" s="69">
        <v>1295</v>
      </c>
      <c r="I33" s="69">
        <v>65</v>
      </c>
      <c r="J33" s="69">
        <v>22</v>
      </c>
      <c r="K33" s="69">
        <v>40</v>
      </c>
      <c r="L33" s="69">
        <v>6</v>
      </c>
      <c r="M33" s="69">
        <v>25</v>
      </c>
      <c r="N33" s="69"/>
      <c r="O33" s="69">
        <v>18.5</v>
      </c>
      <c r="P33" s="69">
        <v>31</v>
      </c>
      <c r="Q33" s="69">
        <v>12</v>
      </c>
      <c r="R33" s="69"/>
      <c r="S33" s="69"/>
      <c r="T33" s="29">
        <f t="shared" si="1"/>
        <v>219.5</v>
      </c>
      <c r="U33" s="29">
        <f t="shared" si="2"/>
        <v>1514.5</v>
      </c>
    </row>
    <row r="34" spans="1:21" ht="18.75" customHeight="1">
      <c r="A34" s="74">
        <v>24</v>
      </c>
      <c r="B34" s="94" t="s">
        <v>185</v>
      </c>
      <c r="C34" s="76">
        <f t="shared" ref="C34:S34" si="6">C35+C36</f>
        <v>19</v>
      </c>
      <c r="D34" s="76">
        <f t="shared" si="6"/>
        <v>19</v>
      </c>
      <c r="E34" s="95">
        <f t="shared" si="6"/>
        <v>2696.6220000000003</v>
      </c>
      <c r="F34" s="95">
        <f t="shared" si="6"/>
        <v>318.11599999999999</v>
      </c>
      <c r="G34" s="65">
        <f t="shared" si="0"/>
        <v>3014.7380000000003</v>
      </c>
      <c r="H34" s="95">
        <f t="shared" si="6"/>
        <v>2696.6220000000003</v>
      </c>
      <c r="I34" s="95">
        <f t="shared" si="6"/>
        <v>3.1</v>
      </c>
      <c r="J34" s="95">
        <f t="shared" si="6"/>
        <v>16</v>
      </c>
      <c r="K34" s="95">
        <f t="shared" si="6"/>
        <v>3.95</v>
      </c>
      <c r="L34" s="95">
        <f t="shared" si="6"/>
        <v>2.5999999999999996</v>
      </c>
      <c r="M34" s="95">
        <f t="shared" si="6"/>
        <v>64.183999999999997</v>
      </c>
      <c r="N34" s="95">
        <f t="shared" si="6"/>
        <v>16.799999999999997</v>
      </c>
      <c r="O34" s="95">
        <f t="shared" si="6"/>
        <v>33.5</v>
      </c>
      <c r="P34" s="95">
        <f t="shared" si="6"/>
        <v>0</v>
      </c>
      <c r="Q34" s="95">
        <f t="shared" si="6"/>
        <v>140.18200000000002</v>
      </c>
      <c r="R34" s="95">
        <f t="shared" si="6"/>
        <v>0</v>
      </c>
      <c r="S34" s="95">
        <f t="shared" si="6"/>
        <v>37.799999999999997</v>
      </c>
      <c r="T34" s="29">
        <f t="shared" si="1"/>
        <v>318.11600000000004</v>
      </c>
      <c r="U34" s="29">
        <f t="shared" si="2"/>
        <v>3014.7380000000003</v>
      </c>
    </row>
    <row r="35" spans="1:21" ht="18.75" customHeight="1">
      <c r="A35" s="74"/>
      <c r="B35" s="75" t="s">
        <v>174</v>
      </c>
      <c r="C35" s="76">
        <v>8</v>
      </c>
      <c r="D35" s="76">
        <v>8</v>
      </c>
      <c r="E35" s="77">
        <v>1103.4590000000001</v>
      </c>
      <c r="F35" s="77">
        <f t="shared" ref="F35:F36" si="7">U35-E35</f>
        <v>72.042999999999893</v>
      </c>
      <c r="G35" s="65">
        <f t="shared" si="0"/>
        <v>1175.502</v>
      </c>
      <c r="H35" s="77">
        <v>1103.4590000000001</v>
      </c>
      <c r="I35" s="77">
        <v>1.3</v>
      </c>
      <c r="J35" s="77">
        <v>8</v>
      </c>
      <c r="K35" s="77">
        <v>2.15</v>
      </c>
      <c r="L35" s="77">
        <v>1.4</v>
      </c>
      <c r="M35" s="77">
        <v>22.184000000000001</v>
      </c>
      <c r="N35" s="77">
        <v>5.6</v>
      </c>
      <c r="O35" s="77">
        <v>2.5</v>
      </c>
      <c r="P35" s="77"/>
      <c r="Q35" s="77">
        <v>19.609000000000002</v>
      </c>
      <c r="R35" s="77"/>
      <c r="S35" s="77">
        <v>9.3000000000000007</v>
      </c>
      <c r="T35" s="29">
        <f t="shared" si="1"/>
        <v>72.043000000000006</v>
      </c>
      <c r="U35" s="29">
        <f t="shared" si="2"/>
        <v>1175.502</v>
      </c>
    </row>
    <row r="36" spans="1:21" ht="18.75" customHeight="1">
      <c r="A36" s="74"/>
      <c r="B36" s="75" t="s">
        <v>175</v>
      </c>
      <c r="C36" s="76">
        <v>11</v>
      </c>
      <c r="D36" s="76">
        <v>11</v>
      </c>
      <c r="E36" s="77">
        <v>1593.163</v>
      </c>
      <c r="F36" s="77">
        <f t="shared" si="7"/>
        <v>246.07300000000009</v>
      </c>
      <c r="G36" s="65">
        <f t="shared" si="0"/>
        <v>1839.2360000000001</v>
      </c>
      <c r="H36" s="77">
        <v>1593.163</v>
      </c>
      <c r="I36" s="77">
        <v>1.8</v>
      </c>
      <c r="J36" s="77">
        <v>8</v>
      </c>
      <c r="K36" s="77">
        <v>1.8</v>
      </c>
      <c r="L36" s="77">
        <v>1.2</v>
      </c>
      <c r="M36" s="77">
        <v>42</v>
      </c>
      <c r="N36" s="77">
        <v>11.2</v>
      </c>
      <c r="O36" s="77">
        <v>31</v>
      </c>
      <c r="P36" s="77"/>
      <c r="Q36" s="77">
        <v>120.57300000000001</v>
      </c>
      <c r="R36" s="77"/>
      <c r="S36" s="77">
        <v>28.5</v>
      </c>
      <c r="T36" s="29">
        <f t="shared" si="1"/>
        <v>246.07300000000001</v>
      </c>
      <c r="U36" s="29">
        <f t="shared" si="2"/>
        <v>1839.2360000000001</v>
      </c>
    </row>
    <row r="37" spans="1:21" ht="18.75" customHeight="1">
      <c r="A37" s="88">
        <v>25</v>
      </c>
      <c r="B37" s="96" t="s">
        <v>178</v>
      </c>
      <c r="C37" s="89">
        <f t="shared" ref="C37:S37" si="8">C38+C39</f>
        <v>23</v>
      </c>
      <c r="D37" s="89">
        <f t="shared" si="8"/>
        <v>23</v>
      </c>
      <c r="E37" s="97">
        <f t="shared" si="8"/>
        <v>3.5880000000000001</v>
      </c>
      <c r="F37" s="90">
        <f t="shared" si="8"/>
        <v>454</v>
      </c>
      <c r="G37" s="65">
        <f t="shared" si="0"/>
        <v>457.58800000000002</v>
      </c>
      <c r="H37" s="98">
        <f t="shared" si="8"/>
        <v>3.5880000000000001</v>
      </c>
      <c r="I37" s="90">
        <f t="shared" si="8"/>
        <v>62</v>
      </c>
      <c r="J37" s="90">
        <f t="shared" si="8"/>
        <v>30</v>
      </c>
      <c r="K37" s="90">
        <f t="shared" si="8"/>
        <v>23</v>
      </c>
      <c r="L37" s="90">
        <f t="shared" si="8"/>
        <v>12</v>
      </c>
      <c r="M37" s="90">
        <f t="shared" si="8"/>
        <v>35</v>
      </c>
      <c r="N37" s="90">
        <f t="shared" si="8"/>
        <v>10</v>
      </c>
      <c r="O37" s="90">
        <f t="shared" si="8"/>
        <v>34</v>
      </c>
      <c r="P37" s="90">
        <f t="shared" si="8"/>
        <v>80</v>
      </c>
      <c r="Q37" s="90">
        <f t="shared" si="8"/>
        <v>125</v>
      </c>
      <c r="R37" s="90">
        <f t="shared" si="8"/>
        <v>0</v>
      </c>
      <c r="S37" s="90">
        <f t="shared" si="8"/>
        <v>45</v>
      </c>
      <c r="T37" s="29">
        <f t="shared" si="1"/>
        <v>456</v>
      </c>
      <c r="U37" s="29">
        <f t="shared" si="2"/>
        <v>459.58800000000002</v>
      </c>
    </row>
    <row r="38" spans="1:21" ht="18.75" customHeight="1">
      <c r="A38" s="88"/>
      <c r="B38" s="82" t="s">
        <v>174</v>
      </c>
      <c r="C38" s="89">
        <v>10</v>
      </c>
      <c r="D38" s="89">
        <v>10</v>
      </c>
      <c r="E38" s="130">
        <v>1.4710000000000001</v>
      </c>
      <c r="F38" s="131">
        <v>194</v>
      </c>
      <c r="G38" s="65">
        <f t="shared" si="0"/>
        <v>195.471</v>
      </c>
      <c r="H38" s="132">
        <v>1.4710000000000001</v>
      </c>
      <c r="I38" s="131">
        <v>32</v>
      </c>
      <c r="J38" s="131">
        <v>15</v>
      </c>
      <c r="K38" s="131">
        <v>13</v>
      </c>
      <c r="L38" s="131">
        <v>6</v>
      </c>
      <c r="M38" s="131">
        <v>15</v>
      </c>
      <c r="N38" s="131">
        <v>5</v>
      </c>
      <c r="O38" s="131">
        <v>14</v>
      </c>
      <c r="P38" s="131">
        <v>35</v>
      </c>
      <c r="Q38" s="131">
        <v>50</v>
      </c>
      <c r="R38" s="131"/>
      <c r="S38" s="133">
        <v>10</v>
      </c>
      <c r="T38" s="29">
        <f t="shared" si="1"/>
        <v>195</v>
      </c>
      <c r="U38" s="29">
        <f t="shared" si="2"/>
        <v>196.471</v>
      </c>
    </row>
    <row r="39" spans="1:21" ht="18.75" customHeight="1">
      <c r="A39" s="88"/>
      <c r="B39" s="82" t="s">
        <v>175</v>
      </c>
      <c r="C39" s="89">
        <v>13</v>
      </c>
      <c r="D39" s="89">
        <v>13</v>
      </c>
      <c r="E39" s="134">
        <v>2.117</v>
      </c>
      <c r="F39" s="131">
        <v>260</v>
      </c>
      <c r="G39" s="65">
        <f t="shared" si="0"/>
        <v>262.11700000000002</v>
      </c>
      <c r="H39" s="132">
        <v>2.117</v>
      </c>
      <c r="I39" s="131">
        <v>30</v>
      </c>
      <c r="J39" s="132">
        <v>15</v>
      </c>
      <c r="K39" s="131">
        <v>10</v>
      </c>
      <c r="L39" s="131">
        <v>6</v>
      </c>
      <c r="M39" s="131">
        <v>20</v>
      </c>
      <c r="N39" s="131">
        <v>5</v>
      </c>
      <c r="O39" s="131">
        <v>20</v>
      </c>
      <c r="P39" s="131">
        <v>45</v>
      </c>
      <c r="Q39" s="131">
        <v>75</v>
      </c>
      <c r="R39" s="131"/>
      <c r="S39" s="133">
        <v>35</v>
      </c>
      <c r="T39" s="29">
        <f t="shared" si="1"/>
        <v>261</v>
      </c>
      <c r="U39" s="29">
        <f t="shared" si="2"/>
        <v>263.11700000000002</v>
      </c>
    </row>
    <row r="40" spans="1:21" ht="18.75" customHeight="1">
      <c r="A40" s="66">
        <v>26</v>
      </c>
      <c r="B40" s="80" t="s">
        <v>180</v>
      </c>
      <c r="C40" s="68">
        <f t="shared" ref="C40:S40" si="9">C41+C42</f>
        <v>22</v>
      </c>
      <c r="D40" s="68">
        <f t="shared" si="9"/>
        <v>21</v>
      </c>
      <c r="E40" s="69">
        <f t="shared" si="9"/>
        <v>3025</v>
      </c>
      <c r="F40" s="69">
        <f t="shared" si="9"/>
        <v>420</v>
      </c>
      <c r="G40" s="65">
        <f t="shared" si="0"/>
        <v>3445</v>
      </c>
      <c r="H40" s="69">
        <f t="shared" si="9"/>
        <v>3025</v>
      </c>
      <c r="I40" s="69">
        <f t="shared" si="9"/>
        <v>64</v>
      </c>
      <c r="J40" s="69">
        <f t="shared" si="9"/>
        <v>12</v>
      </c>
      <c r="K40" s="69">
        <f t="shared" si="9"/>
        <v>20</v>
      </c>
      <c r="L40" s="69">
        <f t="shared" si="9"/>
        <v>7</v>
      </c>
      <c r="M40" s="69">
        <f t="shared" si="9"/>
        <v>51</v>
      </c>
      <c r="N40" s="69">
        <f t="shared" si="9"/>
        <v>16</v>
      </c>
      <c r="O40" s="69">
        <f t="shared" si="9"/>
        <v>54</v>
      </c>
      <c r="P40" s="69">
        <f t="shared" si="9"/>
        <v>50</v>
      </c>
      <c r="Q40" s="69">
        <f t="shared" si="9"/>
        <v>134</v>
      </c>
      <c r="R40" s="69">
        <f t="shared" si="9"/>
        <v>0</v>
      </c>
      <c r="S40" s="69">
        <f t="shared" si="9"/>
        <v>12</v>
      </c>
      <c r="T40" s="29">
        <f t="shared" si="1"/>
        <v>420</v>
      </c>
      <c r="U40" s="29">
        <f t="shared" si="2"/>
        <v>3445</v>
      </c>
    </row>
    <row r="41" spans="1:21" ht="18.75" customHeight="1">
      <c r="A41" s="66"/>
      <c r="B41" s="67" t="s">
        <v>174</v>
      </c>
      <c r="C41" s="68">
        <v>10</v>
      </c>
      <c r="D41" s="68">
        <v>9</v>
      </c>
      <c r="E41" s="69">
        <f t="shared" ref="E41:E42" si="10">H41</f>
        <v>1527</v>
      </c>
      <c r="F41" s="69">
        <f t="shared" ref="F41:F42" si="11">T41</f>
        <v>180</v>
      </c>
      <c r="G41" s="65">
        <f t="shared" si="0"/>
        <v>1707</v>
      </c>
      <c r="H41" s="69">
        <v>1527</v>
      </c>
      <c r="I41" s="129">
        <v>29</v>
      </c>
      <c r="J41" s="129">
        <v>5</v>
      </c>
      <c r="K41" s="129">
        <v>9</v>
      </c>
      <c r="L41" s="129">
        <v>3</v>
      </c>
      <c r="M41" s="129">
        <v>16</v>
      </c>
      <c r="N41" s="129">
        <v>8</v>
      </c>
      <c r="O41" s="129">
        <v>24</v>
      </c>
      <c r="P41" s="129">
        <v>20</v>
      </c>
      <c r="Q41" s="129">
        <v>60</v>
      </c>
      <c r="R41" s="129"/>
      <c r="S41" s="129">
        <v>6</v>
      </c>
      <c r="T41" s="29">
        <f t="shared" si="1"/>
        <v>180</v>
      </c>
      <c r="U41" s="29">
        <f t="shared" si="2"/>
        <v>1707</v>
      </c>
    </row>
    <row r="42" spans="1:21" ht="18.75" customHeight="1">
      <c r="A42" s="66"/>
      <c r="B42" s="67" t="s">
        <v>175</v>
      </c>
      <c r="C42" s="68">
        <v>12</v>
      </c>
      <c r="D42" s="68">
        <v>12</v>
      </c>
      <c r="E42" s="69">
        <f t="shared" si="10"/>
        <v>1498</v>
      </c>
      <c r="F42" s="69">
        <f t="shared" si="11"/>
        <v>240</v>
      </c>
      <c r="G42" s="65">
        <f t="shared" si="0"/>
        <v>1738</v>
      </c>
      <c r="H42" s="123">
        <v>1498</v>
      </c>
      <c r="I42" s="135">
        <v>35</v>
      </c>
      <c r="J42" s="135">
        <v>7</v>
      </c>
      <c r="K42" s="135">
        <v>11</v>
      </c>
      <c r="L42" s="135">
        <v>4</v>
      </c>
      <c r="M42" s="135">
        <v>35</v>
      </c>
      <c r="N42" s="135">
        <v>8</v>
      </c>
      <c r="O42" s="135">
        <v>30</v>
      </c>
      <c r="P42" s="135">
        <v>30</v>
      </c>
      <c r="Q42" s="135">
        <v>74</v>
      </c>
      <c r="R42" s="135"/>
      <c r="S42" s="135">
        <v>6</v>
      </c>
      <c r="T42" s="29">
        <f t="shared" si="1"/>
        <v>240</v>
      </c>
      <c r="U42" s="29">
        <f t="shared" si="2"/>
        <v>1738</v>
      </c>
    </row>
    <row r="43" spans="1:21" ht="18.75" customHeight="1">
      <c r="A43" s="66">
        <v>27</v>
      </c>
      <c r="B43" s="67" t="s">
        <v>181</v>
      </c>
      <c r="C43" s="99">
        <f t="shared" ref="C43:S43" si="12">C44+C45</f>
        <v>21</v>
      </c>
      <c r="D43" s="99">
        <f t="shared" si="12"/>
        <v>21</v>
      </c>
      <c r="E43" s="100">
        <f t="shared" si="12"/>
        <v>3176</v>
      </c>
      <c r="F43" s="100">
        <f t="shared" si="12"/>
        <v>424</v>
      </c>
      <c r="G43" s="65">
        <f t="shared" si="0"/>
        <v>3600</v>
      </c>
      <c r="H43" s="100">
        <f t="shared" si="12"/>
        <v>3176</v>
      </c>
      <c r="I43" s="100">
        <f t="shared" si="12"/>
        <v>33</v>
      </c>
      <c r="J43" s="100">
        <f t="shared" si="12"/>
        <v>95</v>
      </c>
      <c r="K43" s="100">
        <f t="shared" si="12"/>
        <v>38</v>
      </c>
      <c r="L43" s="100">
        <f t="shared" si="12"/>
        <v>10</v>
      </c>
      <c r="M43" s="100">
        <f t="shared" si="12"/>
        <v>27</v>
      </c>
      <c r="N43" s="100">
        <f t="shared" si="12"/>
        <v>18</v>
      </c>
      <c r="O43" s="100">
        <f t="shared" si="12"/>
        <v>27</v>
      </c>
      <c r="P43" s="100">
        <f t="shared" si="12"/>
        <v>30</v>
      </c>
      <c r="Q43" s="100">
        <f t="shared" si="12"/>
        <v>175</v>
      </c>
      <c r="R43" s="100">
        <f t="shared" si="12"/>
        <v>0</v>
      </c>
      <c r="S43" s="100">
        <f t="shared" si="12"/>
        <v>45</v>
      </c>
      <c r="T43" s="29">
        <f t="shared" si="1"/>
        <v>498</v>
      </c>
      <c r="U43" s="29">
        <f t="shared" si="2"/>
        <v>3674</v>
      </c>
    </row>
    <row r="44" spans="1:21" ht="18.75" customHeight="1">
      <c r="A44" s="66"/>
      <c r="B44" s="67" t="s">
        <v>174</v>
      </c>
      <c r="C44" s="68">
        <v>9</v>
      </c>
      <c r="D44" s="68">
        <v>9</v>
      </c>
      <c r="E44" s="69">
        <f>H44</f>
        <v>1291</v>
      </c>
      <c r="F44" s="69">
        <f>9*24-32</f>
        <v>184</v>
      </c>
      <c r="G44" s="65">
        <f t="shared" si="0"/>
        <v>1475</v>
      </c>
      <c r="H44" s="69">
        <v>1291</v>
      </c>
      <c r="I44" s="69">
        <v>15</v>
      </c>
      <c r="J44" s="69">
        <v>45</v>
      </c>
      <c r="K44" s="69">
        <v>18</v>
      </c>
      <c r="L44" s="69">
        <v>5</v>
      </c>
      <c r="M44" s="69">
        <v>12</v>
      </c>
      <c r="N44" s="69">
        <v>8</v>
      </c>
      <c r="O44" s="69">
        <v>12</v>
      </c>
      <c r="P44" s="69"/>
      <c r="Q44" s="69">
        <v>85</v>
      </c>
      <c r="R44" s="69"/>
      <c r="S44" s="69">
        <v>20</v>
      </c>
      <c r="T44" s="29">
        <f t="shared" si="1"/>
        <v>220</v>
      </c>
      <c r="U44" s="29">
        <f t="shared" si="2"/>
        <v>1511</v>
      </c>
    </row>
    <row r="45" spans="1:21" ht="18.75" customHeight="1">
      <c r="A45" s="66"/>
      <c r="B45" s="67" t="s">
        <v>175</v>
      </c>
      <c r="C45" s="68">
        <v>12</v>
      </c>
      <c r="D45" s="68">
        <v>12</v>
      </c>
      <c r="E45" s="69">
        <v>1885</v>
      </c>
      <c r="F45" s="69">
        <f>12*24-48</f>
        <v>240</v>
      </c>
      <c r="G45" s="65">
        <f t="shared" si="0"/>
        <v>2125</v>
      </c>
      <c r="H45" s="69">
        <v>1885</v>
      </c>
      <c r="I45" s="69">
        <v>18</v>
      </c>
      <c r="J45" s="69">
        <v>50</v>
      </c>
      <c r="K45" s="69">
        <v>20</v>
      </c>
      <c r="L45" s="69">
        <v>5</v>
      </c>
      <c r="M45" s="69">
        <v>15</v>
      </c>
      <c r="N45" s="69">
        <v>10</v>
      </c>
      <c r="O45" s="69">
        <v>15</v>
      </c>
      <c r="P45" s="69">
        <v>30</v>
      </c>
      <c r="Q45" s="69">
        <v>90</v>
      </c>
      <c r="R45" s="69"/>
      <c r="S45" s="69">
        <v>25</v>
      </c>
      <c r="T45" s="29">
        <f t="shared" si="1"/>
        <v>278</v>
      </c>
      <c r="U45" s="29">
        <f t="shared" si="2"/>
        <v>2163</v>
      </c>
    </row>
    <row r="46" spans="1:21" ht="18.75" customHeight="1">
      <c r="A46" s="74">
        <v>28</v>
      </c>
      <c r="B46" s="75" t="s">
        <v>177</v>
      </c>
      <c r="C46" s="76">
        <f t="shared" ref="C46:S46" si="13">C47+C48</f>
        <v>20</v>
      </c>
      <c r="D46" s="76">
        <f t="shared" si="13"/>
        <v>20</v>
      </c>
      <c r="E46" s="95">
        <f t="shared" si="13"/>
        <v>3091</v>
      </c>
      <c r="F46" s="95">
        <f t="shared" si="13"/>
        <v>400</v>
      </c>
      <c r="G46" s="65">
        <f t="shared" si="0"/>
        <v>3491</v>
      </c>
      <c r="H46" s="95">
        <f t="shared" si="13"/>
        <v>3091</v>
      </c>
      <c r="I46" s="95">
        <f t="shared" si="13"/>
        <v>37</v>
      </c>
      <c r="J46" s="95">
        <f t="shared" si="13"/>
        <v>8</v>
      </c>
      <c r="K46" s="95">
        <f t="shared" si="13"/>
        <v>8</v>
      </c>
      <c r="L46" s="95">
        <f t="shared" si="13"/>
        <v>7</v>
      </c>
      <c r="M46" s="95">
        <f t="shared" si="13"/>
        <v>53</v>
      </c>
      <c r="N46" s="95">
        <f t="shared" si="13"/>
        <v>34</v>
      </c>
      <c r="O46" s="95">
        <f t="shared" si="13"/>
        <v>27</v>
      </c>
      <c r="P46" s="95">
        <f t="shared" si="13"/>
        <v>24</v>
      </c>
      <c r="Q46" s="95">
        <f t="shared" si="13"/>
        <v>173</v>
      </c>
      <c r="R46" s="95">
        <f t="shared" si="13"/>
        <v>0</v>
      </c>
      <c r="S46" s="95">
        <f t="shared" si="13"/>
        <v>29</v>
      </c>
      <c r="T46" s="29">
        <f t="shared" si="1"/>
        <v>400</v>
      </c>
      <c r="U46" s="29">
        <f t="shared" si="2"/>
        <v>3491</v>
      </c>
    </row>
    <row r="47" spans="1:21" s="35" customFormat="1" ht="18.75" customHeight="1">
      <c r="A47" s="66"/>
      <c r="B47" s="67" t="s">
        <v>174</v>
      </c>
      <c r="C47" s="68">
        <v>9</v>
      </c>
      <c r="D47" s="68">
        <v>9</v>
      </c>
      <c r="E47" s="69">
        <v>1401</v>
      </c>
      <c r="F47" s="129">
        <v>180</v>
      </c>
      <c r="G47" s="65">
        <f t="shared" si="0"/>
        <v>1581</v>
      </c>
      <c r="H47" s="69">
        <v>1401</v>
      </c>
      <c r="I47" s="129">
        <v>16</v>
      </c>
      <c r="J47" s="129">
        <v>3</v>
      </c>
      <c r="K47" s="129">
        <v>4</v>
      </c>
      <c r="L47" s="129">
        <v>3</v>
      </c>
      <c r="M47" s="129">
        <v>25</v>
      </c>
      <c r="N47" s="129">
        <v>16</v>
      </c>
      <c r="O47" s="129">
        <v>13</v>
      </c>
      <c r="P47" s="129">
        <v>12</v>
      </c>
      <c r="Q47" s="129">
        <v>76</v>
      </c>
      <c r="R47" s="129"/>
      <c r="S47" s="129">
        <v>12</v>
      </c>
      <c r="T47" s="29">
        <f t="shared" si="1"/>
        <v>180</v>
      </c>
      <c r="U47" s="29">
        <f t="shared" si="2"/>
        <v>1581</v>
      </c>
    </row>
    <row r="48" spans="1:21" ht="18.75" customHeight="1">
      <c r="A48" s="66"/>
      <c r="B48" s="67" t="s">
        <v>175</v>
      </c>
      <c r="C48" s="68">
        <v>11</v>
      </c>
      <c r="D48" s="68">
        <v>11</v>
      </c>
      <c r="E48" s="123">
        <v>1690</v>
      </c>
      <c r="F48" s="135">
        <v>220</v>
      </c>
      <c r="G48" s="65">
        <f t="shared" si="0"/>
        <v>1910</v>
      </c>
      <c r="H48" s="123">
        <v>1690</v>
      </c>
      <c r="I48" s="135">
        <v>21</v>
      </c>
      <c r="J48" s="135">
        <v>5</v>
      </c>
      <c r="K48" s="135">
        <v>4</v>
      </c>
      <c r="L48" s="135">
        <v>4</v>
      </c>
      <c r="M48" s="135">
        <v>28</v>
      </c>
      <c r="N48" s="135">
        <v>18</v>
      </c>
      <c r="O48" s="135">
        <v>14</v>
      </c>
      <c r="P48" s="135">
        <v>12</v>
      </c>
      <c r="Q48" s="135">
        <v>97</v>
      </c>
      <c r="R48" s="135"/>
      <c r="S48" s="135">
        <v>17</v>
      </c>
      <c r="T48" s="29">
        <f t="shared" si="1"/>
        <v>220</v>
      </c>
      <c r="U48" s="29">
        <f t="shared" si="2"/>
        <v>1910</v>
      </c>
    </row>
    <row r="49" spans="1:21" ht="18.75" customHeight="1">
      <c r="A49" s="62">
        <v>29</v>
      </c>
      <c r="B49" s="136" t="s">
        <v>182</v>
      </c>
      <c r="C49" s="137">
        <v>24</v>
      </c>
      <c r="D49" s="137">
        <v>24</v>
      </c>
      <c r="E49" s="138">
        <v>3215</v>
      </c>
      <c r="F49" s="138">
        <v>398</v>
      </c>
      <c r="G49" s="65">
        <f t="shared" si="0"/>
        <v>3613</v>
      </c>
      <c r="H49" s="138">
        <v>3215</v>
      </c>
      <c r="I49" s="138">
        <v>80</v>
      </c>
      <c r="J49" s="138">
        <v>21</v>
      </c>
      <c r="K49" s="138">
        <v>9</v>
      </c>
      <c r="L49" s="138">
        <v>13</v>
      </c>
      <c r="M49" s="138">
        <v>20</v>
      </c>
      <c r="N49" s="138">
        <v>38</v>
      </c>
      <c r="O49" s="138">
        <v>78</v>
      </c>
      <c r="P49" s="138">
        <v>15</v>
      </c>
      <c r="Q49" s="138">
        <v>90</v>
      </c>
      <c r="R49" s="138"/>
      <c r="S49" s="138">
        <v>34</v>
      </c>
      <c r="T49" s="29">
        <f t="shared" si="1"/>
        <v>398</v>
      </c>
      <c r="U49" s="29">
        <f t="shared" si="2"/>
        <v>3613</v>
      </c>
    </row>
    <row r="50" spans="1:21" ht="18.75" customHeight="1">
      <c r="A50" s="66">
        <v>30</v>
      </c>
      <c r="B50" s="67" t="s">
        <v>183</v>
      </c>
      <c r="C50" s="84">
        <v>14</v>
      </c>
      <c r="D50" s="84">
        <v>14</v>
      </c>
      <c r="E50" s="85">
        <v>2466</v>
      </c>
      <c r="F50" s="85">
        <v>239</v>
      </c>
      <c r="G50" s="65">
        <f t="shared" si="0"/>
        <v>2705</v>
      </c>
      <c r="H50" s="85">
        <v>2466</v>
      </c>
      <c r="I50" s="85"/>
      <c r="J50" s="85">
        <v>10</v>
      </c>
      <c r="K50" s="85">
        <v>30</v>
      </c>
      <c r="L50" s="85">
        <v>10</v>
      </c>
      <c r="M50" s="85">
        <v>25</v>
      </c>
      <c r="N50" s="85">
        <v>40</v>
      </c>
      <c r="O50" s="85">
        <v>50</v>
      </c>
      <c r="P50" s="85"/>
      <c r="Q50" s="85">
        <v>59</v>
      </c>
      <c r="R50" s="85"/>
      <c r="S50" s="85">
        <v>15</v>
      </c>
      <c r="T50" s="29">
        <f t="shared" si="1"/>
        <v>239</v>
      </c>
      <c r="U50" s="29">
        <f t="shared" si="2"/>
        <v>2705</v>
      </c>
    </row>
    <row r="51" spans="1:21" ht="18.75" customHeight="1">
      <c r="A51" s="66">
        <v>31</v>
      </c>
      <c r="B51" s="67" t="s">
        <v>184</v>
      </c>
      <c r="C51" s="68">
        <v>25</v>
      </c>
      <c r="D51" s="68">
        <v>24</v>
      </c>
      <c r="E51" s="85">
        <v>2969</v>
      </c>
      <c r="F51" s="124">
        <v>479</v>
      </c>
      <c r="G51" s="65">
        <f t="shared" si="0"/>
        <v>3448</v>
      </c>
      <c r="H51" s="124">
        <v>2969</v>
      </c>
      <c r="I51" s="124">
        <v>150</v>
      </c>
      <c r="J51" s="124">
        <v>10</v>
      </c>
      <c r="K51" s="124">
        <v>8</v>
      </c>
      <c r="L51" s="124">
        <v>2</v>
      </c>
      <c r="M51" s="124">
        <v>3</v>
      </c>
      <c r="N51" s="124">
        <v>10</v>
      </c>
      <c r="O51" s="124">
        <v>2</v>
      </c>
      <c r="P51" s="124">
        <v>32</v>
      </c>
      <c r="Q51" s="124">
        <v>81</v>
      </c>
      <c r="R51" s="124"/>
      <c r="S51" s="124">
        <v>181</v>
      </c>
      <c r="T51" s="29">
        <f t="shared" si="1"/>
        <v>479</v>
      </c>
      <c r="U51" s="29">
        <f t="shared" si="2"/>
        <v>3448</v>
      </c>
    </row>
    <row r="52" spans="1:21" ht="18.75" customHeight="1">
      <c r="A52" s="72">
        <v>32</v>
      </c>
      <c r="B52" s="73" t="s">
        <v>176</v>
      </c>
      <c r="C52" s="70">
        <v>18</v>
      </c>
      <c r="D52" s="70">
        <v>17</v>
      </c>
      <c r="E52" s="71">
        <f>H52</f>
        <v>2523</v>
      </c>
      <c r="F52" s="71">
        <f>T52</f>
        <v>339.49</v>
      </c>
      <c r="G52" s="65">
        <f t="shared" si="0"/>
        <v>2862.49</v>
      </c>
      <c r="H52" s="71">
        <v>2523</v>
      </c>
      <c r="I52" s="71">
        <v>40</v>
      </c>
      <c r="J52" s="71">
        <v>14</v>
      </c>
      <c r="K52" s="71">
        <v>16</v>
      </c>
      <c r="L52" s="71">
        <v>3.2</v>
      </c>
      <c r="M52" s="71">
        <v>35</v>
      </c>
      <c r="N52" s="71">
        <v>16.5</v>
      </c>
      <c r="O52" s="71">
        <v>45</v>
      </c>
      <c r="P52" s="71">
        <v>44.79</v>
      </c>
      <c r="Q52" s="71">
        <v>100</v>
      </c>
      <c r="R52" s="71"/>
      <c r="S52" s="71">
        <v>25</v>
      </c>
      <c r="T52" s="29">
        <f t="shared" si="1"/>
        <v>339.49</v>
      </c>
      <c r="U52" s="29">
        <f t="shared" si="2"/>
        <v>2862.49</v>
      </c>
    </row>
    <row r="53" spans="1:21" ht="18.75" customHeight="1">
      <c r="A53" s="66"/>
      <c r="B53" s="101" t="s">
        <v>186</v>
      </c>
      <c r="C53" s="102">
        <f>SUM(C7:C27,C28,C31,C34,C37,C40,C43,C46,C49:C52)</f>
        <v>577</v>
      </c>
      <c r="D53" s="102">
        <f t="shared" ref="D53:U53" si="14">SUM(D7:D27,D28,D31,D34,D37,D40,D43,D46,D49:D52)</f>
        <v>561</v>
      </c>
      <c r="E53" s="102">
        <f t="shared" si="14"/>
        <v>70113.262000000002</v>
      </c>
      <c r="F53" s="102">
        <f t="shared" si="14"/>
        <v>10206.336000000001</v>
      </c>
      <c r="G53" s="102">
        <f t="shared" si="14"/>
        <v>80319.598000000013</v>
      </c>
      <c r="H53" s="102">
        <f t="shared" si="14"/>
        <v>70148.462</v>
      </c>
      <c r="I53" s="102">
        <f t="shared" si="14"/>
        <v>1234.22</v>
      </c>
      <c r="J53" s="102">
        <f t="shared" si="14"/>
        <v>550.08299999999997</v>
      </c>
      <c r="K53" s="102">
        <f t="shared" si="14"/>
        <v>750.75</v>
      </c>
      <c r="L53" s="102">
        <f t="shared" si="14"/>
        <v>44936.499999999993</v>
      </c>
      <c r="M53" s="102">
        <f t="shared" si="14"/>
        <v>719.98400000000004</v>
      </c>
      <c r="N53" s="102">
        <f t="shared" si="14"/>
        <v>728.18</v>
      </c>
      <c r="O53" s="102">
        <f t="shared" si="14"/>
        <v>45846.399999999994</v>
      </c>
      <c r="P53" s="102">
        <f t="shared" si="14"/>
        <v>818.39</v>
      </c>
      <c r="Q53" s="102">
        <f t="shared" si="14"/>
        <v>47504.781999999999</v>
      </c>
      <c r="R53" s="102">
        <f t="shared" si="14"/>
        <v>0</v>
      </c>
      <c r="S53" s="102">
        <f t="shared" si="14"/>
        <v>1245.73</v>
      </c>
      <c r="T53" s="102">
        <f t="shared" si="14"/>
        <v>144335.019</v>
      </c>
      <c r="U53" s="102">
        <f t="shared" si="14"/>
        <v>214483.481</v>
      </c>
    </row>
  </sheetData>
  <autoFilter ref="A6:U53"/>
  <mergeCells count="10">
    <mergeCell ref="C4:D5"/>
    <mergeCell ref="A1:U1"/>
    <mergeCell ref="A2:U2"/>
    <mergeCell ref="H5:H6"/>
    <mergeCell ref="U5:U6"/>
    <mergeCell ref="I5:T5"/>
    <mergeCell ref="H4:U4"/>
    <mergeCell ref="A4:A6"/>
    <mergeCell ref="B4:B6"/>
    <mergeCell ref="E4:G5"/>
  </mergeCells>
  <pageMargins left="0.2" right="0.2" top="0.39" bottom="0.27" header="0.3" footer="0.2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F10" sqref="F10"/>
    </sheetView>
  </sheetViews>
  <sheetFormatPr defaultColWidth="9.140625" defaultRowHeight="12"/>
  <cols>
    <col min="1" max="1" width="4.5703125" style="105" bestFit="1" customWidth="1"/>
    <col min="2" max="2" width="22.7109375" style="17" customWidth="1"/>
    <col min="3" max="4" width="6.85546875" style="17" bestFit="1" customWidth="1"/>
    <col min="5" max="5" width="7.7109375" style="17" customWidth="1"/>
    <col min="6" max="7" width="9.140625" style="17" customWidth="1"/>
    <col min="8" max="8" width="11.7109375" style="17" customWidth="1"/>
    <col min="9" max="9" width="8.140625" style="17" bestFit="1" customWidth="1"/>
    <col min="10" max="10" width="8.42578125" style="17" bestFit="1" customWidth="1"/>
    <col min="11" max="11" width="9.28515625" style="17" bestFit="1" customWidth="1"/>
    <col min="12" max="12" width="8.7109375" style="17" customWidth="1"/>
    <col min="13" max="14" width="6.85546875" style="17" customWidth="1"/>
    <col min="15" max="16" width="9.28515625" style="17" bestFit="1" customWidth="1"/>
    <col min="17" max="17" width="9.5703125" style="17" bestFit="1" customWidth="1"/>
    <col min="18" max="18" width="10.28515625" style="17" bestFit="1" customWidth="1"/>
    <col min="19" max="19" width="6.28515625" style="17" customWidth="1"/>
    <col min="20" max="20" width="7.5703125" style="17" customWidth="1"/>
    <col min="21" max="21" width="10.7109375" style="17" customWidth="1"/>
    <col min="22" max="25" width="0" style="17" hidden="1" customWidth="1"/>
    <col min="26" max="16384" width="9.140625" style="17"/>
  </cols>
  <sheetData>
    <row r="1" spans="1:24" ht="19.899999999999999" customHeight="1">
      <c r="A1" s="159" t="s">
        <v>348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4" ht="20.45" customHeight="1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4" ht="18" customHeight="1">
      <c r="U3" s="24" t="s">
        <v>20</v>
      </c>
    </row>
    <row r="4" spans="1:24" ht="21.75" customHeight="1">
      <c r="A4" s="158" t="s">
        <v>0</v>
      </c>
      <c r="B4" s="158" t="s">
        <v>18</v>
      </c>
      <c r="C4" s="161" t="s">
        <v>1</v>
      </c>
      <c r="D4" s="162"/>
      <c r="E4" s="169" t="s">
        <v>4</v>
      </c>
      <c r="F4" s="170"/>
      <c r="G4" s="171"/>
      <c r="H4" s="200" t="s">
        <v>5</v>
      </c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2"/>
      <c r="V4" s="166" t="s">
        <v>194</v>
      </c>
      <c r="W4" s="167"/>
    </row>
    <row r="5" spans="1:24" ht="21.75" customHeight="1">
      <c r="A5" s="158"/>
      <c r="B5" s="158"/>
      <c r="C5" s="163"/>
      <c r="D5" s="164"/>
      <c r="E5" s="172"/>
      <c r="F5" s="173"/>
      <c r="G5" s="174"/>
      <c r="H5" s="165" t="s">
        <v>6</v>
      </c>
      <c r="I5" s="158" t="s">
        <v>190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95" t="s">
        <v>19</v>
      </c>
      <c r="V5" s="168" t="s">
        <v>189</v>
      </c>
      <c r="W5" s="157" t="s">
        <v>191</v>
      </c>
    </row>
    <row r="6" spans="1:24" ht="78" customHeight="1">
      <c r="A6" s="158"/>
      <c r="B6" s="158"/>
      <c r="C6" s="26" t="s">
        <v>2</v>
      </c>
      <c r="D6" s="26" t="s">
        <v>3</v>
      </c>
      <c r="E6" s="26" t="s">
        <v>189</v>
      </c>
      <c r="F6" s="104" t="s">
        <v>191</v>
      </c>
      <c r="G6" s="104" t="s">
        <v>19</v>
      </c>
      <c r="H6" s="165"/>
      <c r="I6" s="104" t="s">
        <v>7</v>
      </c>
      <c r="J6" s="104" t="s">
        <v>8</v>
      </c>
      <c r="K6" s="104" t="s">
        <v>9</v>
      </c>
      <c r="L6" s="104" t="s">
        <v>10</v>
      </c>
      <c r="M6" s="104" t="s">
        <v>11</v>
      </c>
      <c r="N6" s="104" t="s">
        <v>12</v>
      </c>
      <c r="O6" s="104" t="s">
        <v>13</v>
      </c>
      <c r="P6" s="104" t="s">
        <v>14</v>
      </c>
      <c r="Q6" s="104" t="s">
        <v>15</v>
      </c>
      <c r="R6" s="104" t="s">
        <v>17</v>
      </c>
      <c r="S6" s="104" t="s">
        <v>16</v>
      </c>
      <c r="T6" s="104" t="s">
        <v>193</v>
      </c>
      <c r="U6" s="196"/>
      <c r="V6" s="168"/>
      <c r="W6" s="157"/>
    </row>
    <row r="7" spans="1:24" ht="21.75" customHeight="1">
      <c r="A7" s="40">
        <v>1</v>
      </c>
      <c r="B7" s="21" t="s">
        <v>56</v>
      </c>
      <c r="C7" s="139">
        <v>72</v>
      </c>
      <c r="D7" s="139">
        <v>72</v>
      </c>
      <c r="E7" s="37">
        <v>10079</v>
      </c>
      <c r="F7" s="37">
        <v>1299</v>
      </c>
      <c r="G7" s="37">
        <f>F7+E7</f>
        <v>11378</v>
      </c>
      <c r="H7" s="37">
        <v>10180.6</v>
      </c>
      <c r="I7" s="37"/>
      <c r="J7" s="37">
        <v>45</v>
      </c>
      <c r="K7" s="37">
        <v>195</v>
      </c>
      <c r="L7" s="37">
        <v>40</v>
      </c>
      <c r="M7" s="37">
        <v>80</v>
      </c>
      <c r="N7" s="37">
        <v>90</v>
      </c>
      <c r="O7" s="37">
        <v>150</v>
      </c>
      <c r="P7" s="37">
        <v>130</v>
      </c>
      <c r="Q7" s="37">
        <v>317</v>
      </c>
      <c r="R7" s="37"/>
      <c r="S7" s="37">
        <v>150</v>
      </c>
      <c r="T7" s="29">
        <f>SUM(I7:S7)</f>
        <v>1197</v>
      </c>
      <c r="U7" s="29">
        <f>T7+H7</f>
        <v>11377.6</v>
      </c>
      <c r="V7" s="28">
        <f>E7-H7</f>
        <v>-101.60000000000036</v>
      </c>
      <c r="W7" s="28">
        <f>F7-T7</f>
        <v>102</v>
      </c>
      <c r="X7" s="61">
        <f>F7/C7</f>
        <v>18.041666666666668</v>
      </c>
    </row>
    <row r="8" spans="1:24" ht="21.75" customHeight="1">
      <c r="A8" s="40">
        <v>2</v>
      </c>
      <c r="B8" s="110" t="s">
        <v>57</v>
      </c>
      <c r="C8" s="139">
        <v>68</v>
      </c>
      <c r="D8" s="139">
        <v>64</v>
      </c>
      <c r="E8" s="139">
        <v>10407.4</v>
      </c>
      <c r="F8" s="118">
        <v>1314</v>
      </c>
      <c r="G8" s="37">
        <f t="shared" ref="G8:G21" si="0">F8+E8</f>
        <v>11721.4</v>
      </c>
      <c r="H8" s="118">
        <v>10500</v>
      </c>
      <c r="I8" s="118"/>
      <c r="J8" s="118">
        <v>90</v>
      </c>
      <c r="K8" s="118">
        <v>120</v>
      </c>
      <c r="L8" s="118">
        <v>40</v>
      </c>
      <c r="M8" s="118">
        <v>130</v>
      </c>
      <c r="N8" s="118">
        <v>120</v>
      </c>
      <c r="O8" s="118">
        <v>120</v>
      </c>
      <c r="P8" s="118">
        <v>60</v>
      </c>
      <c r="Q8" s="118">
        <v>421</v>
      </c>
      <c r="R8" s="118"/>
      <c r="S8" s="37">
        <v>150</v>
      </c>
      <c r="T8" s="29">
        <f t="shared" ref="T8:T10" si="1">SUM(I8:S8)</f>
        <v>1251</v>
      </c>
      <c r="U8" s="29">
        <f t="shared" ref="U8:U11" si="2">T8+H8</f>
        <v>11751</v>
      </c>
      <c r="V8" s="28">
        <f t="shared" ref="V8:V10" si="3">E8-H8</f>
        <v>-92.600000000000364</v>
      </c>
      <c r="W8" s="28">
        <f t="shared" ref="W8:W12" si="4">F8-T8</f>
        <v>63</v>
      </c>
      <c r="X8" s="61">
        <f t="shared" ref="X8:X13" si="5">F8/C8</f>
        <v>19.323529411764707</v>
      </c>
    </row>
    <row r="9" spans="1:24" ht="21.75" customHeight="1">
      <c r="A9" s="40">
        <v>3</v>
      </c>
      <c r="B9" s="22" t="s">
        <v>58</v>
      </c>
      <c r="C9" s="139">
        <v>56</v>
      </c>
      <c r="D9" s="139">
        <v>53</v>
      </c>
      <c r="E9" s="139">
        <v>7647</v>
      </c>
      <c r="F9" s="114">
        <v>1142.8</v>
      </c>
      <c r="G9" s="37">
        <f t="shared" si="0"/>
        <v>8789.7999999999993</v>
      </c>
      <c r="H9" s="139">
        <v>7647</v>
      </c>
      <c r="I9" s="139">
        <v>40</v>
      </c>
      <c r="J9" s="139">
        <v>60</v>
      </c>
      <c r="K9" s="139">
        <v>50</v>
      </c>
      <c r="L9" s="139">
        <v>20</v>
      </c>
      <c r="M9" s="139">
        <v>300</v>
      </c>
      <c r="N9" s="139">
        <v>74</v>
      </c>
      <c r="O9" s="139">
        <v>178</v>
      </c>
      <c r="P9" s="139">
        <v>60</v>
      </c>
      <c r="Q9" s="139">
        <v>125</v>
      </c>
      <c r="R9" s="139"/>
      <c r="S9" s="114">
        <v>235.8</v>
      </c>
      <c r="T9" s="29">
        <v>1142.8</v>
      </c>
      <c r="U9" s="29">
        <f t="shared" si="2"/>
        <v>8789.7999999999993</v>
      </c>
      <c r="V9" s="28">
        <f t="shared" si="3"/>
        <v>0</v>
      </c>
      <c r="W9" s="28">
        <f t="shared" si="4"/>
        <v>0</v>
      </c>
      <c r="X9" s="61">
        <f t="shared" si="5"/>
        <v>20.407142857142855</v>
      </c>
    </row>
    <row r="10" spans="1:24" ht="21.75" customHeight="1">
      <c r="A10" s="40">
        <v>4</v>
      </c>
      <c r="B10" s="120" t="s">
        <v>170</v>
      </c>
      <c r="C10" s="139">
        <v>39</v>
      </c>
      <c r="D10" s="139">
        <v>33</v>
      </c>
      <c r="E10" s="140">
        <v>6025</v>
      </c>
      <c r="F10" s="140">
        <v>797</v>
      </c>
      <c r="G10" s="37">
        <f t="shared" si="0"/>
        <v>6822</v>
      </c>
      <c r="H10" s="114">
        <v>6150.5</v>
      </c>
      <c r="I10" s="114"/>
      <c r="J10" s="114">
        <v>42</v>
      </c>
      <c r="K10" s="114">
        <v>59</v>
      </c>
      <c r="L10" s="114">
        <v>10.320162</v>
      </c>
      <c r="M10" s="114">
        <v>234.119</v>
      </c>
      <c r="N10" s="114">
        <v>45.899000000000001</v>
      </c>
      <c r="O10" s="114">
        <v>87.433999999999997</v>
      </c>
      <c r="P10" s="114">
        <v>53.977838000000006</v>
      </c>
      <c r="Q10" s="114">
        <v>87.896000000000001</v>
      </c>
      <c r="R10" s="114">
        <v>2.2999999999999998</v>
      </c>
      <c r="S10" s="114">
        <v>174.05399999999997</v>
      </c>
      <c r="T10" s="29">
        <f t="shared" si="1"/>
        <v>796.99999999999989</v>
      </c>
      <c r="U10" s="29">
        <f t="shared" si="2"/>
        <v>6947.5</v>
      </c>
      <c r="V10" s="28">
        <f t="shared" si="3"/>
        <v>-125.5</v>
      </c>
      <c r="W10" s="28">
        <f t="shared" si="4"/>
        <v>0</v>
      </c>
      <c r="X10" s="61">
        <f t="shared" si="5"/>
        <v>20.435897435897434</v>
      </c>
    </row>
    <row r="11" spans="1:24" ht="21.75" customHeight="1">
      <c r="A11" s="40">
        <v>5</v>
      </c>
      <c r="B11" s="120" t="s">
        <v>59</v>
      </c>
      <c r="C11" s="139">
        <v>44</v>
      </c>
      <c r="D11" s="139">
        <v>39</v>
      </c>
      <c r="E11" s="141">
        <v>7985</v>
      </c>
      <c r="F11" s="141">
        <v>865</v>
      </c>
      <c r="G11" s="37">
        <f t="shared" si="0"/>
        <v>8850</v>
      </c>
      <c r="H11" s="20">
        <v>7985</v>
      </c>
      <c r="I11" s="20">
        <v>30</v>
      </c>
      <c r="J11" s="20">
        <v>35</v>
      </c>
      <c r="K11" s="20">
        <v>50</v>
      </c>
      <c r="L11" s="20">
        <v>35</v>
      </c>
      <c r="M11" s="20">
        <v>230</v>
      </c>
      <c r="N11" s="20">
        <v>230</v>
      </c>
      <c r="O11" s="20">
        <v>46</v>
      </c>
      <c r="P11" s="20">
        <v>30</v>
      </c>
      <c r="Q11" s="20">
        <v>109</v>
      </c>
      <c r="R11" s="20"/>
      <c r="S11" s="20">
        <v>70</v>
      </c>
      <c r="T11" s="29">
        <v>865</v>
      </c>
      <c r="U11" s="29">
        <f t="shared" si="2"/>
        <v>8850</v>
      </c>
      <c r="V11" s="28">
        <f t="shared" ref="V11:V21" si="6">E11-H11</f>
        <v>0</v>
      </c>
      <c r="W11" s="28">
        <f t="shared" si="4"/>
        <v>0</v>
      </c>
      <c r="X11" s="61">
        <f t="shared" si="5"/>
        <v>19.65909090909091</v>
      </c>
    </row>
    <row r="12" spans="1:24" ht="21.75" customHeight="1">
      <c r="A12" s="40">
        <v>6</v>
      </c>
      <c r="B12" s="21" t="s">
        <v>60</v>
      </c>
      <c r="C12" s="139">
        <v>27</v>
      </c>
      <c r="D12" s="139">
        <v>27</v>
      </c>
      <c r="E12" s="139">
        <v>2927</v>
      </c>
      <c r="F12" s="118">
        <v>580</v>
      </c>
      <c r="G12" s="37">
        <f t="shared" si="0"/>
        <v>3507</v>
      </c>
      <c r="H12" s="118">
        <v>2927</v>
      </c>
      <c r="I12" s="118">
        <v>18</v>
      </c>
      <c r="J12" s="118">
        <v>18</v>
      </c>
      <c r="K12" s="118">
        <v>40</v>
      </c>
      <c r="L12" s="118">
        <v>16</v>
      </c>
      <c r="M12" s="118">
        <v>108</v>
      </c>
      <c r="N12" s="118">
        <v>200</v>
      </c>
      <c r="O12" s="118">
        <v>40</v>
      </c>
      <c r="P12" s="118">
        <v>40</v>
      </c>
      <c r="Q12" s="118">
        <v>70</v>
      </c>
      <c r="R12" s="118"/>
      <c r="S12" s="118">
        <v>30</v>
      </c>
      <c r="T12" s="29">
        <f t="shared" ref="T12:T21" si="7">SUM(I12:S12)</f>
        <v>580</v>
      </c>
      <c r="U12" s="29">
        <f t="shared" ref="U12:U21" si="8">T12+H12</f>
        <v>3507</v>
      </c>
      <c r="V12" s="28">
        <f t="shared" si="6"/>
        <v>0</v>
      </c>
      <c r="W12" s="28">
        <f t="shared" si="4"/>
        <v>0</v>
      </c>
      <c r="X12" s="61">
        <f t="shared" si="5"/>
        <v>21.481481481481481</v>
      </c>
    </row>
    <row r="13" spans="1:24" ht="21.75" customHeight="1">
      <c r="A13" s="40">
        <v>7</v>
      </c>
      <c r="B13" s="120" t="s">
        <v>61</v>
      </c>
      <c r="C13" s="139">
        <v>56</v>
      </c>
      <c r="D13" s="139">
        <v>56</v>
      </c>
      <c r="E13" s="142">
        <v>7282.6</v>
      </c>
      <c r="F13" s="143">
        <v>956.2</v>
      </c>
      <c r="G13" s="37">
        <f t="shared" si="0"/>
        <v>8238.8000000000011</v>
      </c>
      <c r="H13" s="143">
        <v>7539.6120000000001</v>
      </c>
      <c r="I13" s="3"/>
      <c r="J13" s="144">
        <v>36</v>
      </c>
      <c r="K13" s="144">
        <v>120</v>
      </c>
      <c r="L13" s="144">
        <v>28</v>
      </c>
      <c r="M13" s="144">
        <v>65</v>
      </c>
      <c r="N13" s="144">
        <v>55</v>
      </c>
      <c r="O13" s="144">
        <v>57</v>
      </c>
      <c r="P13" s="144">
        <v>50</v>
      </c>
      <c r="Q13" s="144">
        <v>275</v>
      </c>
      <c r="R13" s="144"/>
      <c r="S13" s="144">
        <v>270</v>
      </c>
      <c r="T13" s="29">
        <v>956</v>
      </c>
      <c r="U13" s="29">
        <v>8238.6</v>
      </c>
      <c r="V13" s="28">
        <f t="shared" si="6"/>
        <v>-257.01199999999972</v>
      </c>
      <c r="W13" s="28">
        <f t="shared" ref="W13:W21" si="9">F13-T13</f>
        <v>0.20000000000004547</v>
      </c>
      <c r="X13" s="61">
        <f t="shared" si="5"/>
        <v>17.074999999999999</v>
      </c>
    </row>
    <row r="14" spans="1:24" ht="21.75" customHeight="1">
      <c r="A14" s="40">
        <v>8</v>
      </c>
      <c r="B14" s="22" t="s">
        <v>42</v>
      </c>
      <c r="C14" s="139">
        <v>36</v>
      </c>
      <c r="D14" s="139">
        <v>35</v>
      </c>
      <c r="E14" s="145">
        <f>U14-F14</f>
        <v>4653.24</v>
      </c>
      <c r="F14" s="20">
        <v>776.16</v>
      </c>
      <c r="G14" s="37">
        <f t="shared" si="0"/>
        <v>5429.4</v>
      </c>
      <c r="H14" s="20">
        <v>4724</v>
      </c>
      <c r="I14" s="20">
        <v>55</v>
      </c>
      <c r="J14" s="20">
        <v>50.9</v>
      </c>
      <c r="K14" s="20">
        <v>102</v>
      </c>
      <c r="L14" s="20">
        <v>21.5</v>
      </c>
      <c r="M14" s="20">
        <v>139</v>
      </c>
      <c r="N14" s="20">
        <v>15</v>
      </c>
      <c r="O14" s="20">
        <v>150</v>
      </c>
      <c r="P14" s="20">
        <v>55</v>
      </c>
      <c r="Q14" s="20">
        <v>55</v>
      </c>
      <c r="R14" s="20"/>
      <c r="S14" s="20">
        <v>62</v>
      </c>
      <c r="T14" s="29">
        <f t="shared" ref="T14" si="10">SUM(I14:S14)</f>
        <v>705.4</v>
      </c>
      <c r="U14" s="29">
        <f t="shared" ref="U14" si="11">T14+H14</f>
        <v>5429.4</v>
      </c>
      <c r="V14" s="28">
        <f t="shared" si="6"/>
        <v>-70.760000000000218</v>
      </c>
      <c r="W14" s="28">
        <f t="shared" si="9"/>
        <v>70.759999999999991</v>
      </c>
      <c r="X14" s="61">
        <f>F14/C14</f>
        <v>21.56</v>
      </c>
    </row>
    <row r="15" spans="1:24" ht="21.75" customHeight="1">
      <c r="A15" s="40">
        <v>9</v>
      </c>
      <c r="B15" s="22" t="s">
        <v>62</v>
      </c>
      <c r="C15" s="139">
        <v>43</v>
      </c>
      <c r="D15" s="139">
        <v>36</v>
      </c>
      <c r="E15" s="31">
        <v>5719.9</v>
      </c>
      <c r="F15" s="30">
        <v>873</v>
      </c>
      <c r="G15" s="37">
        <f t="shared" si="0"/>
        <v>6592.9</v>
      </c>
      <c r="H15" s="30">
        <v>5719.9</v>
      </c>
      <c r="I15" s="30">
        <v>20</v>
      </c>
      <c r="J15" s="30">
        <v>42.075000000000003</v>
      </c>
      <c r="K15" s="30">
        <v>76.108000000000004</v>
      </c>
      <c r="L15" s="30">
        <v>31.347999999999999</v>
      </c>
      <c r="M15" s="30">
        <v>185.166</v>
      </c>
      <c r="N15" s="30">
        <v>15.8</v>
      </c>
      <c r="O15" s="30">
        <v>110.515</v>
      </c>
      <c r="P15" s="30">
        <v>77.578999999999994</v>
      </c>
      <c r="Q15" s="30">
        <v>205.83799999999999</v>
      </c>
      <c r="R15" s="30">
        <v>0</v>
      </c>
      <c r="S15" s="30">
        <v>108.399</v>
      </c>
      <c r="T15" s="29">
        <v>872.82799999999997</v>
      </c>
      <c r="U15" s="29">
        <v>6592.7279999999992</v>
      </c>
      <c r="V15" s="28">
        <f t="shared" si="6"/>
        <v>0</v>
      </c>
      <c r="W15" s="28">
        <f t="shared" si="9"/>
        <v>0.17200000000002547</v>
      </c>
      <c r="X15" s="61">
        <f t="shared" ref="X15:X21" si="12">F15/C15</f>
        <v>20.302325581395348</v>
      </c>
    </row>
    <row r="16" spans="1:24" ht="21.75" customHeight="1">
      <c r="A16" s="40">
        <v>10</v>
      </c>
      <c r="B16" s="120" t="s">
        <v>171</v>
      </c>
      <c r="C16" s="146">
        <v>43</v>
      </c>
      <c r="D16" s="146">
        <v>33</v>
      </c>
      <c r="E16" s="147">
        <f>5642+57.8</f>
        <v>5699.8</v>
      </c>
      <c r="F16" s="12">
        <v>861</v>
      </c>
      <c r="G16" s="37">
        <f t="shared" si="0"/>
        <v>6560.8</v>
      </c>
      <c r="H16" s="12">
        <f>5642+57.8</f>
        <v>5699.8</v>
      </c>
      <c r="I16" s="12"/>
      <c r="J16" s="12">
        <v>60</v>
      </c>
      <c r="K16" s="12">
        <v>85</v>
      </c>
      <c r="L16" s="12">
        <v>10</v>
      </c>
      <c r="M16" s="12">
        <v>282</v>
      </c>
      <c r="N16" s="12">
        <v>20</v>
      </c>
      <c r="O16" s="12">
        <v>40</v>
      </c>
      <c r="P16" s="12">
        <v>44</v>
      </c>
      <c r="Q16" s="12">
        <v>200</v>
      </c>
      <c r="R16" s="12">
        <v>0</v>
      </c>
      <c r="S16" s="12">
        <v>120</v>
      </c>
      <c r="T16" s="29">
        <f t="shared" si="7"/>
        <v>861</v>
      </c>
      <c r="U16" s="29">
        <f t="shared" si="8"/>
        <v>6560.8</v>
      </c>
      <c r="V16" s="28">
        <f t="shared" si="6"/>
        <v>0</v>
      </c>
      <c r="W16" s="28">
        <f t="shared" si="9"/>
        <v>0</v>
      </c>
      <c r="X16" s="61">
        <f t="shared" si="12"/>
        <v>20.023255813953487</v>
      </c>
    </row>
    <row r="17" spans="1:24" ht="21.75" customHeight="1">
      <c r="A17" s="40">
        <v>11</v>
      </c>
      <c r="B17" s="22" t="s">
        <v>172</v>
      </c>
      <c r="C17" s="139">
        <v>54</v>
      </c>
      <c r="D17" s="139">
        <v>49</v>
      </c>
      <c r="E17" s="148">
        <v>6602</v>
      </c>
      <c r="F17" s="29">
        <v>1102.5999999999999</v>
      </c>
      <c r="G17" s="37">
        <f t="shared" si="0"/>
        <v>7704.6</v>
      </c>
      <c r="H17" s="29">
        <v>6602</v>
      </c>
      <c r="I17" s="29"/>
      <c r="J17" s="29">
        <v>56</v>
      </c>
      <c r="K17" s="29">
        <v>115</v>
      </c>
      <c r="L17" s="29">
        <v>6</v>
      </c>
      <c r="M17" s="29">
        <v>257</v>
      </c>
      <c r="N17" s="29">
        <v>90</v>
      </c>
      <c r="O17" s="29">
        <v>108</v>
      </c>
      <c r="P17" s="29">
        <v>25</v>
      </c>
      <c r="Q17" s="29">
        <v>214</v>
      </c>
      <c r="R17" s="29">
        <v>10</v>
      </c>
      <c r="S17" s="29">
        <v>221.6</v>
      </c>
      <c r="T17" s="29">
        <f t="shared" ref="T17" si="13">SUM(I17:S17)</f>
        <v>1102.5999999999999</v>
      </c>
      <c r="U17" s="29">
        <f t="shared" si="8"/>
        <v>7704.6</v>
      </c>
      <c r="V17" s="28">
        <f t="shared" si="6"/>
        <v>0</v>
      </c>
      <c r="W17" s="28">
        <f t="shared" si="9"/>
        <v>0</v>
      </c>
      <c r="X17" s="61">
        <f t="shared" si="12"/>
        <v>20.418518518518518</v>
      </c>
    </row>
    <row r="18" spans="1:24" s="106" customFormat="1" ht="21.75" customHeight="1">
      <c r="A18" s="40">
        <v>12</v>
      </c>
      <c r="B18" s="21" t="s">
        <v>63</v>
      </c>
      <c r="C18" s="149">
        <v>50</v>
      </c>
      <c r="D18" s="149">
        <v>48</v>
      </c>
      <c r="E18" s="150">
        <v>6471.9</v>
      </c>
      <c r="F18" s="151">
        <v>971.1</v>
      </c>
      <c r="G18" s="37">
        <f t="shared" si="0"/>
        <v>7443</v>
      </c>
      <c r="H18" s="152">
        <f>6471.9</f>
        <v>6471.9</v>
      </c>
      <c r="I18" s="152">
        <v>100</v>
      </c>
      <c r="J18" s="152">
        <v>32</v>
      </c>
      <c r="K18" s="152">
        <v>50</v>
      </c>
      <c r="L18" s="152">
        <v>25</v>
      </c>
      <c r="M18" s="152">
        <v>208</v>
      </c>
      <c r="N18" s="152">
        <v>84</v>
      </c>
      <c r="O18" s="152">
        <v>50</v>
      </c>
      <c r="P18" s="152">
        <v>110</v>
      </c>
      <c r="Q18" s="152">
        <v>210</v>
      </c>
      <c r="R18" s="152">
        <v>2</v>
      </c>
      <c r="S18" s="152">
        <v>100</v>
      </c>
      <c r="T18" s="29">
        <f t="shared" ref="T18" si="14">SUM(I18:S18)</f>
        <v>971</v>
      </c>
      <c r="U18" s="29">
        <f t="shared" si="8"/>
        <v>7442.9</v>
      </c>
      <c r="V18" s="28">
        <f t="shared" si="6"/>
        <v>0</v>
      </c>
      <c r="W18" s="28">
        <f t="shared" si="9"/>
        <v>0.10000000000002274</v>
      </c>
      <c r="X18" s="61">
        <f t="shared" si="12"/>
        <v>19.422000000000001</v>
      </c>
    </row>
    <row r="19" spans="1:24" ht="21.75" customHeight="1">
      <c r="A19" s="40">
        <v>13</v>
      </c>
      <c r="B19" s="22" t="s">
        <v>64</v>
      </c>
      <c r="C19" s="139">
        <v>38</v>
      </c>
      <c r="D19" s="139">
        <v>34</v>
      </c>
      <c r="E19" s="139">
        <v>5659</v>
      </c>
      <c r="F19" s="153">
        <v>800</v>
      </c>
      <c r="G19" s="37">
        <f t="shared" si="0"/>
        <v>6459</v>
      </c>
      <c r="H19" s="153">
        <v>5659</v>
      </c>
      <c r="I19" s="153"/>
      <c r="J19" s="153">
        <v>55</v>
      </c>
      <c r="K19" s="153">
        <v>100</v>
      </c>
      <c r="L19" s="153">
        <v>40</v>
      </c>
      <c r="M19" s="153">
        <v>170</v>
      </c>
      <c r="N19" s="153">
        <v>30</v>
      </c>
      <c r="O19" s="153">
        <v>70</v>
      </c>
      <c r="P19" s="153">
        <v>50</v>
      </c>
      <c r="Q19" s="153">
        <v>200</v>
      </c>
      <c r="R19" s="153"/>
      <c r="S19" s="153">
        <v>85</v>
      </c>
      <c r="T19" s="29">
        <f t="shared" si="7"/>
        <v>800</v>
      </c>
      <c r="U19" s="29">
        <f t="shared" si="8"/>
        <v>6459</v>
      </c>
      <c r="V19" s="28">
        <f t="shared" si="6"/>
        <v>0</v>
      </c>
      <c r="W19" s="28">
        <f t="shared" si="9"/>
        <v>0</v>
      </c>
      <c r="X19" s="61">
        <f t="shared" si="12"/>
        <v>21.05263157894737</v>
      </c>
    </row>
    <row r="20" spans="1:24" ht="21.75" customHeight="1">
      <c r="A20" s="40">
        <v>14</v>
      </c>
      <c r="B20" s="22" t="s">
        <v>192</v>
      </c>
      <c r="C20" s="20">
        <v>56</v>
      </c>
      <c r="D20" s="20">
        <v>53</v>
      </c>
      <c r="E20" s="20">
        <v>6861.8</v>
      </c>
      <c r="F20" s="20">
        <f>SUM(I20:S20)</f>
        <v>1087</v>
      </c>
      <c r="G20" s="37">
        <f t="shared" si="0"/>
        <v>7948.8</v>
      </c>
      <c r="H20" s="20">
        <v>6861.8</v>
      </c>
      <c r="I20" s="139"/>
      <c r="J20" s="20">
        <v>61.719316999999997</v>
      </c>
      <c r="K20" s="20">
        <v>61.829031000000001</v>
      </c>
      <c r="L20" s="20">
        <v>13.982177</v>
      </c>
      <c r="M20" s="20">
        <v>212.03100000000001</v>
      </c>
      <c r="N20" s="20">
        <v>46.34</v>
      </c>
      <c r="O20" s="20">
        <v>122.4</v>
      </c>
      <c r="P20" s="20">
        <v>41.3</v>
      </c>
      <c r="Q20" s="20">
        <v>247.54842999999997</v>
      </c>
      <c r="R20" s="20">
        <v>20</v>
      </c>
      <c r="S20" s="20">
        <v>259.85004500000002</v>
      </c>
      <c r="T20" s="29">
        <f t="shared" si="7"/>
        <v>1087</v>
      </c>
      <c r="U20" s="29">
        <f t="shared" si="8"/>
        <v>7948.8</v>
      </c>
      <c r="V20" s="28">
        <f t="shared" si="6"/>
        <v>0</v>
      </c>
      <c r="W20" s="28">
        <f t="shared" si="9"/>
        <v>0</v>
      </c>
      <c r="X20" s="61">
        <f t="shared" si="12"/>
        <v>19.410714285714285</v>
      </c>
    </row>
    <row r="21" spans="1:24" ht="21.75" customHeight="1">
      <c r="A21" s="40">
        <v>15</v>
      </c>
      <c r="B21" s="21" t="s">
        <v>173</v>
      </c>
      <c r="C21" s="154">
        <v>35</v>
      </c>
      <c r="D21" s="154">
        <v>29</v>
      </c>
      <c r="E21" s="155">
        <v>4196.01</v>
      </c>
      <c r="F21" s="155">
        <v>624.79999999999995</v>
      </c>
      <c r="G21" s="37">
        <f t="shared" si="0"/>
        <v>4820.8100000000004</v>
      </c>
      <c r="H21" s="156">
        <v>4335</v>
      </c>
      <c r="I21" s="156"/>
      <c r="J21" s="155">
        <v>15</v>
      </c>
      <c r="K21" s="155">
        <v>50</v>
      </c>
      <c r="L21" s="155">
        <v>30</v>
      </c>
      <c r="M21" s="155">
        <v>50</v>
      </c>
      <c r="N21" s="155">
        <v>50.8</v>
      </c>
      <c r="O21" s="155">
        <v>60</v>
      </c>
      <c r="P21" s="155">
        <v>50</v>
      </c>
      <c r="Q21" s="156">
        <v>100</v>
      </c>
      <c r="R21" s="37"/>
      <c r="S21" s="29">
        <v>80</v>
      </c>
      <c r="T21" s="29">
        <f t="shared" si="7"/>
        <v>485.8</v>
      </c>
      <c r="U21" s="29">
        <f t="shared" si="8"/>
        <v>4820.8</v>
      </c>
      <c r="V21" s="28">
        <f t="shared" si="6"/>
        <v>-138.98999999999978</v>
      </c>
      <c r="W21" s="28">
        <f t="shared" si="9"/>
        <v>138.99999999999994</v>
      </c>
      <c r="X21" s="61">
        <f t="shared" si="12"/>
        <v>17.851428571428571</v>
      </c>
    </row>
    <row r="22" spans="1:24" s="35" customFormat="1" ht="21.75" customHeight="1">
      <c r="A22" s="158" t="s">
        <v>19</v>
      </c>
      <c r="B22" s="158"/>
      <c r="C22" s="33">
        <f>SUM(C7:C21)</f>
        <v>717</v>
      </c>
      <c r="D22" s="33">
        <f t="shared" ref="D22:U22" si="15">SUM(D7:D21)</f>
        <v>661</v>
      </c>
      <c r="E22" s="33">
        <f t="shared" si="15"/>
        <v>98216.65</v>
      </c>
      <c r="F22" s="33">
        <f t="shared" si="15"/>
        <v>14049.66</v>
      </c>
      <c r="G22" s="33">
        <f t="shared" si="15"/>
        <v>112266.31000000001</v>
      </c>
      <c r="H22" s="33">
        <f t="shared" si="15"/>
        <v>99003.111999999994</v>
      </c>
      <c r="I22" s="33">
        <f t="shared" si="15"/>
        <v>263</v>
      </c>
      <c r="J22" s="33">
        <f t="shared" si="15"/>
        <v>698.69431699999996</v>
      </c>
      <c r="K22" s="33">
        <f t="shared" si="15"/>
        <v>1273.9370309999999</v>
      </c>
      <c r="L22" s="33">
        <f t="shared" si="15"/>
        <v>367.15033899999997</v>
      </c>
      <c r="M22" s="33">
        <f>SUM(M7:M20)</f>
        <v>2600.3159999999998</v>
      </c>
      <c r="N22" s="33">
        <f>SUM(N7:N20)</f>
        <v>1116.039</v>
      </c>
      <c r="O22" s="33">
        <f t="shared" si="15"/>
        <v>1389.3490000000002</v>
      </c>
      <c r="P22" s="33">
        <f t="shared" si="15"/>
        <v>876.85683799999993</v>
      </c>
      <c r="Q22" s="33">
        <f t="shared" si="15"/>
        <v>2837.2824299999997</v>
      </c>
      <c r="R22" s="33">
        <f t="shared" si="15"/>
        <v>34.299999999999997</v>
      </c>
      <c r="S22" s="33">
        <f t="shared" si="15"/>
        <v>2116.7030449999997</v>
      </c>
      <c r="T22" s="33">
        <f t="shared" si="15"/>
        <v>13674.428</v>
      </c>
      <c r="U22" s="33">
        <f t="shared" si="15"/>
        <v>112420.52800000001</v>
      </c>
      <c r="V22" s="34">
        <f>SUM(V7:V21)</f>
        <v>-786.46200000000044</v>
      </c>
      <c r="W22" s="34">
        <f>SUM(W7:W21)</f>
        <v>375.23200000000003</v>
      </c>
    </row>
    <row r="32" spans="1:24">
      <c r="R32" s="36"/>
    </row>
  </sheetData>
  <autoFilter ref="A6:X22"/>
  <mergeCells count="14">
    <mergeCell ref="V4:W4"/>
    <mergeCell ref="V5:V6"/>
    <mergeCell ref="W5:W6"/>
    <mergeCell ref="A22:B22"/>
    <mergeCell ref="A1:U1"/>
    <mergeCell ref="A2:U2"/>
    <mergeCell ref="A4:A6"/>
    <mergeCell ref="B4:B6"/>
    <mergeCell ref="H4:U4"/>
    <mergeCell ref="H5:H6"/>
    <mergeCell ref="C4:D5"/>
    <mergeCell ref="U5:U6"/>
    <mergeCell ref="I5:T5"/>
    <mergeCell ref="E4:G5"/>
  </mergeCells>
  <pageMargins left="0.2" right="0.2" top="0.39" bottom="0.27" header="0.3" footer="0.2"/>
  <pageSetup paperSize="9" scale="7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948998cdeabfb4e6</MaTinBai>
    <_dlc_DocId xmlns="ae4e42cd-c673-4541-a17d-d353a4125f5e">DDYPFUVZ5X6F-6-4497</_dlc_DocId>
    <_dlc_DocIdUrl xmlns="ae4e42cd-c673-4541-a17d-d353a4125f5e">
      <Url>https://dbdc.backan.gov.vn/_layouts/15/DocIdRedir.aspx?ID=DDYPFUVZ5X6F-6-4497</Url>
      <Description>DDYPFUVZ5X6F-6-4497</Description>
    </_dlc_DocIdUrl>
  </documentManagement>
</p:properties>
</file>

<file path=customXml/itemProps1.xml><?xml version="1.0" encoding="utf-8"?>
<ds:datastoreItem xmlns:ds="http://schemas.openxmlformats.org/officeDocument/2006/customXml" ds:itemID="{7E07DE98-D5D3-4810-A95C-DD8BE0B8FC99}"/>
</file>

<file path=customXml/itemProps2.xml><?xml version="1.0" encoding="utf-8"?>
<ds:datastoreItem xmlns:ds="http://schemas.openxmlformats.org/officeDocument/2006/customXml" ds:itemID="{1414A0D2-0AEC-4CE7-81E6-396AA71725AA}"/>
</file>

<file path=customXml/itemProps3.xml><?xml version="1.0" encoding="utf-8"?>
<ds:datastoreItem xmlns:ds="http://schemas.openxmlformats.org/officeDocument/2006/customXml" ds:itemID="{C6346314-1618-4D43-8FD3-AC1AC13FEAD0}"/>
</file>

<file path=customXml/itemProps4.xml><?xml version="1.0" encoding="utf-8"?>
<ds:datastoreItem xmlns:ds="http://schemas.openxmlformats.org/officeDocument/2006/customXml" ds:itemID="{844F24EB-BB2A-48DB-81E5-316499302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2022-PN</vt:lpstr>
      <vt:lpstr>2022 -BB</vt:lpstr>
      <vt:lpstr>2022-CD</vt:lpstr>
      <vt:lpstr>2022-NR</vt:lpstr>
      <vt:lpstr>2022-CM</vt:lpstr>
      <vt:lpstr>2022-NS</vt:lpstr>
      <vt:lpstr>2022-TP</vt:lpstr>
      <vt:lpstr>2022-BT</vt:lpstr>
      <vt:lpstr>2022-So</vt:lpstr>
      <vt:lpstr>'2022 -BB'!Print_Titles</vt:lpstr>
      <vt:lpstr>'2022-BT'!Print_Titles</vt:lpstr>
      <vt:lpstr>'2022-CD'!Print_Titles</vt:lpstr>
      <vt:lpstr>'2022-CM'!Print_Titles</vt:lpstr>
      <vt:lpstr>'2022-NR'!Print_Titles</vt:lpstr>
      <vt:lpstr>'2022-NS'!Print_Titles</vt:lpstr>
      <vt:lpstr>'2022-PN'!Print_Titles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QUỲNH HƯƠNG</dc:creator>
  <cp:lastModifiedBy>Admin</cp:lastModifiedBy>
  <cp:lastPrinted>2022-09-13T07:37:41Z</cp:lastPrinted>
  <dcterms:created xsi:type="dcterms:W3CDTF">2015-06-05T18:17:20Z</dcterms:created>
  <dcterms:modified xsi:type="dcterms:W3CDTF">2022-09-20T08:39:41Z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676eae4c-7bd5-412b-a0c9-a55256b6f7a6</vt:lpwstr>
  </property>
</Properties>
</file>