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firstSheet="1" activeTab="8"/>
  </bookViews>
  <sheets>
    <sheet name="2021-PN" sheetId="1" r:id="rId1"/>
    <sheet name="2021-BB" sheetId="5" r:id="rId2"/>
    <sheet name="2021-CD" sheetId="6" r:id="rId3"/>
    <sheet name="2021-NR" sheetId="7" r:id="rId4"/>
    <sheet name="2021-CM" sheetId="11" r:id="rId5"/>
    <sheet name="2021-NS" sheetId="9" r:id="rId6"/>
    <sheet name="2021-TP" sheetId="10" r:id="rId7"/>
    <sheet name="2021-BT" sheetId="13" r:id="rId8"/>
    <sheet name="2021-SO" sheetId="12" r:id="rId9"/>
  </sheets>
  <definedNames>
    <definedName name="_xlnm._FilterDatabase" localSheetId="1" hidden="1">'2021-BB'!$A$6:$U$51</definedName>
    <definedName name="_xlnm._FilterDatabase" localSheetId="7" hidden="1">'2021-BT'!$A$6:$U$53</definedName>
    <definedName name="_xlnm._FilterDatabase" localSheetId="2" hidden="1">'2021-CD'!$A$6:$U$54</definedName>
    <definedName name="_xlnm._FilterDatabase" localSheetId="4" hidden="1">'2021-CM'!$A$6:$T$50</definedName>
    <definedName name="_xlnm._FilterDatabase" localSheetId="3" hidden="1">'2021-NR'!$A$6:$U$203</definedName>
    <definedName name="_xlnm._FilterDatabase" localSheetId="5" hidden="1">'2021-NS'!$A$6:$T$38</definedName>
    <definedName name="_xlnm._FilterDatabase" localSheetId="0" hidden="1">'2021-PN'!$A$6:$U$41</definedName>
    <definedName name="_xlnm._FilterDatabase" localSheetId="8" hidden="1">'2021-SO'!$A$6:$U$19</definedName>
    <definedName name="_xlnm._FilterDatabase" localSheetId="6" hidden="1">'2021-TP'!$A$6:$U$29</definedName>
    <definedName name="_xlnm.Print_Titles" localSheetId="1">'2021-BB'!$4:$6</definedName>
    <definedName name="_xlnm.Print_Titles" localSheetId="7">'2021-BT'!$4:$6</definedName>
    <definedName name="_xlnm.Print_Titles" localSheetId="2">'2021-CD'!$4:$6</definedName>
    <definedName name="_xlnm.Print_Titles" localSheetId="4">'2021-CM'!$4:$6</definedName>
    <definedName name="_xlnm.Print_Titles" localSheetId="3">'2021-NR'!$4:$6</definedName>
    <definedName name="_xlnm.Print_Titles" localSheetId="0">'2021-PN'!$4:$6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2"/>
  <c r="I22"/>
  <c r="L22"/>
  <c r="M22"/>
  <c r="O22"/>
  <c r="P22"/>
  <c r="C22"/>
  <c r="G8"/>
  <c r="G9"/>
  <c r="G10"/>
  <c r="G11"/>
  <c r="G12"/>
  <c r="G13"/>
  <c r="G15"/>
  <c r="G16"/>
  <c r="G17"/>
  <c r="G19"/>
  <c r="G20"/>
  <c r="G21"/>
  <c r="G7"/>
  <c r="G8" i="13"/>
  <c r="G10"/>
  <c r="G11"/>
  <c r="G12"/>
  <c r="G13"/>
  <c r="G15"/>
  <c r="G16"/>
  <c r="G18"/>
  <c r="G19"/>
  <c r="G21"/>
  <c r="G23"/>
  <c r="G24"/>
  <c r="G25"/>
  <c r="G26"/>
  <c r="G32"/>
  <c r="G33"/>
  <c r="G35"/>
  <c r="G36"/>
  <c r="G39"/>
  <c r="G44"/>
  <c r="G45"/>
  <c r="G47"/>
  <c r="G48"/>
  <c r="G49"/>
  <c r="G50"/>
  <c r="G51"/>
  <c r="G52"/>
  <c r="G7"/>
  <c r="G29" i="10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7"/>
  <c r="G8" i="7"/>
  <c r="G10"/>
  <c r="G11"/>
  <c r="G12"/>
  <c r="G14"/>
  <c r="G15"/>
  <c r="G17"/>
  <c r="G18"/>
  <c r="G19"/>
  <c r="G22"/>
  <c r="G23"/>
  <c r="G25"/>
  <c r="G27"/>
  <c r="G28"/>
  <c r="G29"/>
  <c r="G31"/>
  <c r="G33"/>
  <c r="G37"/>
  <c r="G42"/>
  <c r="G44"/>
  <c r="G45"/>
  <c r="G46"/>
  <c r="G47"/>
  <c r="G48"/>
  <c r="G7"/>
  <c r="G44" i="6"/>
  <c r="G45"/>
  <c r="G52" i="5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7"/>
  <c r="G8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7"/>
  <c r="S16" i="12"/>
  <c r="Q16"/>
  <c r="O16"/>
  <c r="N16"/>
  <c r="M16"/>
  <c r="K16"/>
  <c r="K22" s="1"/>
  <c r="J16"/>
  <c r="J22" s="1"/>
  <c r="H16"/>
  <c r="E16"/>
  <c r="H52" i="13"/>
  <c r="S46"/>
  <c r="R46"/>
  <c r="Q46"/>
  <c r="P46"/>
  <c r="O46"/>
  <c r="N46"/>
  <c r="M46"/>
  <c r="L46"/>
  <c r="K46"/>
  <c r="J46"/>
  <c r="I46"/>
  <c r="H46"/>
  <c r="F46"/>
  <c r="E46"/>
  <c r="G46" s="1"/>
  <c r="D46"/>
  <c r="C46"/>
  <c r="H45"/>
  <c r="H44"/>
  <c r="S43"/>
  <c r="R43"/>
  <c r="Q43"/>
  <c r="P43"/>
  <c r="O43"/>
  <c r="N43"/>
  <c r="M43"/>
  <c r="L43"/>
  <c r="K43"/>
  <c r="J43"/>
  <c r="I43"/>
  <c r="E43"/>
  <c r="G43" s="1"/>
  <c r="D43"/>
  <c r="C43"/>
  <c r="E42"/>
  <c r="E41"/>
  <c r="E40" s="1"/>
  <c r="S40"/>
  <c r="R40"/>
  <c r="Q40"/>
  <c r="P40"/>
  <c r="O40"/>
  <c r="N40"/>
  <c r="M40"/>
  <c r="L40"/>
  <c r="K40"/>
  <c r="J40"/>
  <c r="I40"/>
  <c r="H40"/>
  <c r="D40"/>
  <c r="C40"/>
  <c r="F39"/>
  <c r="P38"/>
  <c r="P37" s="1"/>
  <c r="F38"/>
  <c r="G38" s="1"/>
  <c r="S37"/>
  <c r="R37"/>
  <c r="Q37"/>
  <c r="O37"/>
  <c r="N37"/>
  <c r="M37"/>
  <c r="L37"/>
  <c r="K37"/>
  <c r="J37"/>
  <c r="I37"/>
  <c r="H37"/>
  <c r="F37"/>
  <c r="E37"/>
  <c r="G37" s="1"/>
  <c r="D37"/>
  <c r="C37"/>
  <c r="S34"/>
  <c r="R34"/>
  <c r="Q34"/>
  <c r="P34"/>
  <c r="O34"/>
  <c r="N34"/>
  <c r="M34"/>
  <c r="L34"/>
  <c r="K34"/>
  <c r="J34"/>
  <c r="I34"/>
  <c r="H34"/>
  <c r="F34"/>
  <c r="E34"/>
  <c r="G34" s="1"/>
  <c r="D34"/>
  <c r="C34"/>
  <c r="S31"/>
  <c r="R31"/>
  <c r="Q31"/>
  <c r="P31"/>
  <c r="O31"/>
  <c r="N31"/>
  <c r="M31"/>
  <c r="L31"/>
  <c r="K31"/>
  <c r="J31"/>
  <c r="I31"/>
  <c r="H31"/>
  <c r="F31"/>
  <c r="E31"/>
  <c r="G31" s="1"/>
  <c r="D31"/>
  <c r="C31"/>
  <c r="E30"/>
  <c r="E29"/>
  <c r="E28" s="1"/>
  <c r="S28"/>
  <c r="R28"/>
  <c r="Q28"/>
  <c r="P28"/>
  <c r="O28"/>
  <c r="O53" s="1"/>
  <c r="N28"/>
  <c r="M28"/>
  <c r="M53" s="1"/>
  <c r="L28"/>
  <c r="K28"/>
  <c r="K53" s="1"/>
  <c r="J28"/>
  <c r="I28"/>
  <c r="H28"/>
  <c r="D28"/>
  <c r="D53" s="1"/>
  <c r="C28"/>
  <c r="I27"/>
  <c r="H27"/>
  <c r="E27" s="1"/>
  <c r="H24"/>
  <c r="F22"/>
  <c r="E22"/>
  <c r="G22" s="1"/>
  <c r="S21"/>
  <c r="H21"/>
  <c r="E20"/>
  <c r="H19"/>
  <c r="P18"/>
  <c r="H17"/>
  <c r="F17"/>
  <c r="G17" s="1"/>
  <c r="E17"/>
  <c r="H16"/>
  <c r="E14"/>
  <c r="E9"/>
  <c r="E53" s="1"/>
  <c r="J53" l="1"/>
  <c r="L53"/>
  <c r="N53"/>
  <c r="S53"/>
  <c r="C53"/>
  <c r="Q53"/>
  <c r="R53"/>
  <c r="P53"/>
  <c r="I53"/>
  <c r="H43"/>
  <c r="H53" s="1"/>
  <c r="S18" i="12" l="1"/>
  <c r="S22" s="1"/>
  <c r="R18"/>
  <c r="R22" s="1"/>
  <c r="Q18"/>
  <c r="Q22" s="1"/>
  <c r="H18"/>
  <c r="H22" s="1"/>
  <c r="F18"/>
  <c r="F22" s="1"/>
  <c r="E18"/>
  <c r="G18" l="1"/>
  <c r="T21"/>
  <c r="T19"/>
  <c r="U21" l="1"/>
  <c r="T17"/>
  <c r="U17" s="1"/>
  <c r="T8" l="1"/>
  <c r="U8" s="1"/>
  <c r="T9"/>
  <c r="T10"/>
  <c r="U10" s="1"/>
  <c r="U9" l="1"/>
  <c r="T14"/>
  <c r="U14" s="1"/>
  <c r="E14" s="1"/>
  <c r="E22" l="1"/>
  <c r="G14"/>
  <c r="G22" s="1"/>
  <c r="T51" i="5"/>
  <c r="U51" s="1"/>
  <c r="T50"/>
  <c r="U50" s="1"/>
  <c r="S49"/>
  <c r="T49" s="1"/>
  <c r="H49"/>
  <c r="T48"/>
  <c r="U48" s="1"/>
  <c r="T47"/>
  <c r="U47" s="1"/>
  <c r="T46"/>
  <c r="H46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S34"/>
  <c r="T34" s="1"/>
  <c r="H34"/>
  <c r="T33"/>
  <c r="U33" s="1"/>
  <c r="T32"/>
  <c r="U32" s="1"/>
  <c r="S31"/>
  <c r="P31"/>
  <c r="O31"/>
  <c r="M31"/>
  <c r="T31" s="1"/>
  <c r="U31" s="1"/>
  <c r="K31"/>
  <c r="U30"/>
  <c r="T30"/>
  <c r="U29"/>
  <c r="T29"/>
  <c r="S28"/>
  <c r="T28" s="1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S19"/>
  <c r="T19" s="1"/>
  <c r="H19"/>
  <c r="T18"/>
  <c r="U18" s="1"/>
  <c r="T17"/>
  <c r="U17" s="1"/>
  <c r="Q16"/>
  <c r="T16" s="1"/>
  <c r="H16"/>
  <c r="T15"/>
  <c r="U15" s="1"/>
  <c r="T14"/>
  <c r="U14" s="1"/>
  <c r="T13"/>
  <c r="U13" s="1"/>
  <c r="T12"/>
  <c r="U12" s="1"/>
  <c r="T11"/>
  <c r="U11" s="1"/>
  <c r="T10"/>
  <c r="U10" s="1"/>
  <c r="T9"/>
  <c r="U9" s="1"/>
  <c r="T8"/>
  <c r="U8" s="1"/>
  <c r="T7"/>
  <c r="U7" s="1"/>
  <c r="U16" l="1"/>
  <c r="U19"/>
  <c r="U34"/>
  <c r="U46"/>
  <c r="U49"/>
  <c r="F49" i="11" l="1"/>
  <c r="F48"/>
  <c r="F47"/>
  <c r="F46"/>
  <c r="F45"/>
  <c r="F44"/>
  <c r="F43"/>
  <c r="F42"/>
  <c r="F41"/>
  <c r="G40"/>
  <c r="F40"/>
  <c r="F39"/>
  <c r="F38"/>
  <c r="F37"/>
  <c r="F36"/>
  <c r="P35"/>
  <c r="O35"/>
  <c r="F35"/>
  <c r="F34"/>
  <c r="F33"/>
  <c r="F32"/>
  <c r="F31"/>
  <c r="F30"/>
  <c r="F29"/>
  <c r="R28"/>
  <c r="F28"/>
  <c r="F27"/>
  <c r="F26"/>
  <c r="F24"/>
  <c r="J23"/>
  <c r="H23"/>
  <c r="F23"/>
  <c r="F22"/>
  <c r="F21"/>
  <c r="O19"/>
  <c r="F19"/>
  <c r="F18"/>
  <c r="F17"/>
  <c r="F16"/>
  <c r="F15"/>
  <c r="F14"/>
  <c r="F13"/>
  <c r="F12"/>
  <c r="F11"/>
  <c r="F10"/>
  <c r="R9"/>
  <c r="F9"/>
  <c r="F8"/>
  <c r="J7"/>
  <c r="H7"/>
  <c r="F7"/>
  <c r="F53" i="6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H45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G54" l="1"/>
  <c r="Q38" i="9" l="1"/>
  <c r="O38"/>
  <c r="N38"/>
  <c r="M38"/>
  <c r="L38"/>
  <c r="K38"/>
  <c r="J38"/>
  <c r="I38"/>
  <c r="F38"/>
  <c r="E38"/>
  <c r="D38"/>
  <c r="C38"/>
  <c r="S37"/>
  <c r="R36"/>
  <c r="S36" s="1"/>
  <c r="G36"/>
  <c r="P35"/>
  <c r="H35"/>
  <c r="G35"/>
  <c r="S34"/>
  <c r="T33"/>
  <c r="S32"/>
  <c r="S31"/>
  <c r="R30"/>
  <c r="S30" s="1"/>
  <c r="R29"/>
  <c r="S29" s="1"/>
  <c r="R28"/>
  <c r="S28" s="1"/>
  <c r="G28"/>
  <c r="R27"/>
  <c r="S27" s="1"/>
  <c r="G27"/>
  <c r="S26"/>
  <c r="G26"/>
  <c r="H25"/>
  <c r="S25" s="1"/>
  <c r="G25"/>
  <c r="S24"/>
  <c r="S23"/>
  <c r="S22"/>
  <c r="S21"/>
  <c r="S20"/>
  <c r="R19"/>
  <c r="S19" s="1"/>
  <c r="R18"/>
  <c r="S18" s="1"/>
  <c r="R17"/>
  <c r="S17" s="1"/>
  <c r="G17"/>
  <c r="P16"/>
  <c r="G16"/>
  <c r="S15"/>
  <c r="H14"/>
  <c r="G14"/>
  <c r="S13"/>
  <c r="S12"/>
  <c r="S11"/>
  <c r="S10"/>
  <c r="S9"/>
  <c r="R8"/>
  <c r="S8" s="1"/>
  <c r="R7"/>
  <c r="T20" l="1"/>
  <c r="T21"/>
  <c r="T22"/>
  <c r="T23"/>
  <c r="T24"/>
  <c r="G38"/>
  <c r="R38"/>
  <c r="T9"/>
  <c r="T10"/>
  <c r="T11"/>
  <c r="T12"/>
  <c r="T13"/>
  <c r="H38"/>
  <c r="T15"/>
  <c r="P38"/>
  <c r="T34"/>
  <c r="S35"/>
  <c r="T35" s="1"/>
  <c r="S7"/>
  <c r="T17"/>
  <c r="T19"/>
  <c r="T8"/>
  <c r="T25"/>
  <c r="T29"/>
  <c r="S14"/>
  <c r="S16"/>
  <c r="T18"/>
  <c r="T26"/>
  <c r="T27"/>
  <c r="T28"/>
  <c r="T30"/>
  <c r="T31"/>
  <c r="T32"/>
  <c r="T36"/>
  <c r="T37"/>
  <c r="T7" l="1"/>
  <c r="T14"/>
  <c r="S38"/>
  <c r="T16"/>
  <c r="T38" l="1"/>
  <c r="T8" i="1"/>
  <c r="T9"/>
  <c r="U9"/>
  <c r="T10"/>
  <c r="T11"/>
  <c r="T12"/>
  <c r="T13"/>
  <c r="T14"/>
  <c r="T15"/>
  <c r="T16"/>
  <c r="T17"/>
  <c r="T18"/>
  <c r="T19"/>
  <c r="U19" s="1"/>
  <c r="T20"/>
  <c r="T21"/>
  <c r="T22"/>
  <c r="T23"/>
  <c r="T24"/>
  <c r="T25"/>
  <c r="T26"/>
  <c r="T27"/>
  <c r="U27" s="1"/>
  <c r="T28"/>
  <c r="T29"/>
  <c r="T30"/>
  <c r="T31"/>
  <c r="T32"/>
  <c r="T33"/>
  <c r="T34"/>
  <c r="T35"/>
  <c r="U35" s="1"/>
  <c r="T36"/>
  <c r="T37"/>
  <c r="T38"/>
  <c r="T39"/>
  <c r="U39"/>
  <c r="T40"/>
  <c r="T7"/>
  <c r="U38" l="1"/>
  <c r="U34"/>
  <c r="U32"/>
  <c r="U30"/>
  <c r="U26"/>
  <c r="U24"/>
  <c r="U21"/>
  <c r="U18"/>
  <c r="U16"/>
  <c r="U13"/>
  <c r="U11"/>
  <c r="U8"/>
  <c r="U40"/>
  <c r="U37"/>
  <c r="U36"/>
  <c r="U33"/>
  <c r="U31"/>
  <c r="U29"/>
  <c r="U28"/>
  <c r="U25"/>
  <c r="U23"/>
  <c r="U22"/>
  <c r="U20"/>
  <c r="U17"/>
  <c r="U15"/>
  <c r="U14"/>
  <c r="U12"/>
  <c r="U10"/>
  <c r="U7"/>
  <c r="T9" i="6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43"/>
  <c r="U43" s="1"/>
  <c r="T44"/>
  <c r="U44" s="1"/>
  <c r="T45"/>
  <c r="U45" s="1"/>
  <c r="T46"/>
  <c r="T47"/>
  <c r="U47" s="1"/>
  <c r="T48"/>
  <c r="T49"/>
  <c r="U49" s="1"/>
  <c r="T50"/>
  <c r="T51"/>
  <c r="U51" s="1"/>
  <c r="T52"/>
  <c r="T53"/>
  <c r="U53" s="1"/>
  <c r="T8"/>
  <c r="U8" s="1"/>
  <c r="T7"/>
  <c r="T8" i="7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43"/>
  <c r="U43" s="1"/>
  <c r="T44"/>
  <c r="U44" s="1"/>
  <c r="T45"/>
  <c r="U45" s="1"/>
  <c r="T46"/>
  <c r="U46" s="1"/>
  <c r="T47"/>
  <c r="U47" s="1"/>
  <c r="T48"/>
  <c r="U48" s="1"/>
  <c r="T7"/>
  <c r="U7" s="1"/>
  <c r="S8" i="11"/>
  <c r="T8" s="1"/>
  <c r="S9"/>
  <c r="T9" s="1"/>
  <c r="S10"/>
  <c r="T10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/>
  <c r="S35"/>
  <c r="T35" s="1"/>
  <c r="S36"/>
  <c r="T36" s="1"/>
  <c r="S37"/>
  <c r="T37" s="1"/>
  <c r="S38"/>
  <c r="T38" s="1"/>
  <c r="S39"/>
  <c r="T39" s="1"/>
  <c r="S40"/>
  <c r="T40" s="1"/>
  <c r="S41"/>
  <c r="T41" s="1"/>
  <c r="S42"/>
  <c r="T42" s="1"/>
  <c r="S43"/>
  <c r="T43" s="1"/>
  <c r="S44"/>
  <c r="T44"/>
  <c r="S45"/>
  <c r="T45" s="1"/>
  <c r="S46"/>
  <c r="T46" s="1"/>
  <c r="S47"/>
  <c r="T47" s="1"/>
  <c r="S48"/>
  <c r="T48" s="1"/>
  <c r="S49"/>
  <c r="T49" s="1"/>
  <c r="S7"/>
  <c r="T7" s="1"/>
  <c r="T7" i="13"/>
  <c r="T8"/>
  <c r="U8" s="1"/>
  <c r="T9"/>
  <c r="T10"/>
  <c r="U10" s="1"/>
  <c r="T11"/>
  <c r="U11" s="1"/>
  <c r="T12"/>
  <c r="U12"/>
  <c r="T13"/>
  <c r="U13" s="1"/>
  <c r="T14"/>
  <c r="F14" s="1"/>
  <c r="G14" s="1"/>
  <c r="T15"/>
  <c r="U15" s="1"/>
  <c r="T16"/>
  <c r="U16" s="1"/>
  <c r="T17"/>
  <c r="U17" s="1"/>
  <c r="T18"/>
  <c r="U18" s="1"/>
  <c r="T19"/>
  <c r="U19" s="1"/>
  <c r="T20"/>
  <c r="F20" s="1"/>
  <c r="G20" s="1"/>
  <c r="T21"/>
  <c r="U21" s="1"/>
  <c r="T22"/>
  <c r="U22" s="1"/>
  <c r="T23"/>
  <c r="U23" s="1"/>
  <c r="T24"/>
  <c r="U24" s="1"/>
  <c r="T25"/>
  <c r="U25" s="1"/>
  <c r="T26"/>
  <c r="U26" s="1"/>
  <c r="T27"/>
  <c r="T28"/>
  <c r="T29"/>
  <c r="T30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T42"/>
  <c r="T43"/>
  <c r="U43" s="1"/>
  <c r="T44"/>
  <c r="U44" s="1"/>
  <c r="T45"/>
  <c r="T46"/>
  <c r="U46" s="1"/>
  <c r="T47"/>
  <c r="T48"/>
  <c r="U48" s="1"/>
  <c r="T49"/>
  <c r="T50"/>
  <c r="U50" s="1"/>
  <c r="T51"/>
  <c r="T52"/>
  <c r="U52" s="1"/>
  <c r="U20" l="1"/>
  <c r="U7"/>
  <c r="T53"/>
  <c r="U14"/>
  <c r="U41"/>
  <c r="F41"/>
  <c r="G41" s="1"/>
  <c r="U42"/>
  <c r="F42"/>
  <c r="G42" s="1"/>
  <c r="U30"/>
  <c r="F30"/>
  <c r="G30" s="1"/>
  <c r="U29"/>
  <c r="F29"/>
  <c r="G29" s="1"/>
  <c r="U27"/>
  <c r="F27"/>
  <c r="G27" s="1"/>
  <c r="U9"/>
  <c r="F9"/>
  <c r="U7" i="6"/>
  <c r="U28" i="13"/>
  <c r="U52" i="6"/>
  <c r="U48"/>
  <c r="U50"/>
  <c r="U46"/>
  <c r="U47" i="13"/>
  <c r="U51"/>
  <c r="U49"/>
  <c r="U45"/>
  <c r="T7" i="10"/>
  <c r="T10"/>
  <c r="T13"/>
  <c r="T14"/>
  <c r="U14" s="1"/>
  <c r="T17"/>
  <c r="U17" s="1"/>
  <c r="T19"/>
  <c r="T24"/>
  <c r="U24" s="1"/>
  <c r="G9" i="13" l="1"/>
  <c r="U53"/>
  <c r="F40"/>
  <c r="G40" s="1"/>
  <c r="F28"/>
  <c r="G28" s="1"/>
  <c r="T11" i="12"/>
  <c r="T12"/>
  <c r="T13"/>
  <c r="T16"/>
  <c r="T7"/>
  <c r="G53" i="13" l="1"/>
  <c r="F53"/>
  <c r="U13" i="12"/>
  <c r="U11"/>
  <c r="U19"/>
  <c r="U7"/>
  <c r="U16"/>
  <c r="U12"/>
  <c r="T18" l="1"/>
  <c r="N20"/>
  <c r="U18" l="1"/>
  <c r="T20"/>
  <c r="U20" s="1"/>
  <c r="N22"/>
  <c r="R29" i="10"/>
  <c r="P29"/>
  <c r="I29"/>
  <c r="D29"/>
  <c r="C29"/>
  <c r="S28"/>
  <c r="T28" s="1"/>
  <c r="H28"/>
  <c r="F28"/>
  <c r="E28"/>
  <c r="S27"/>
  <c r="T27" s="1"/>
  <c r="H27"/>
  <c r="F27"/>
  <c r="S26"/>
  <c r="T26" s="1"/>
  <c r="U26" s="1"/>
  <c r="F26"/>
  <c r="E26"/>
  <c r="S25"/>
  <c r="T25" s="1"/>
  <c r="H25"/>
  <c r="F25"/>
  <c r="F24"/>
  <c r="E24"/>
  <c r="S23"/>
  <c r="T23" s="1"/>
  <c r="U23" s="1"/>
  <c r="F23"/>
  <c r="E23"/>
  <c r="S22"/>
  <c r="Q22"/>
  <c r="O22"/>
  <c r="O29" s="1"/>
  <c r="N22"/>
  <c r="N29" s="1"/>
  <c r="M22"/>
  <c r="M29" s="1"/>
  <c r="L22"/>
  <c r="L29" s="1"/>
  <c r="K22"/>
  <c r="K29" s="1"/>
  <c r="J22"/>
  <c r="H22"/>
  <c r="F22"/>
  <c r="E22"/>
  <c r="S21"/>
  <c r="Q21"/>
  <c r="F21"/>
  <c r="S20"/>
  <c r="T20" s="1"/>
  <c r="U20" s="1"/>
  <c r="F20"/>
  <c r="E20"/>
  <c r="H19"/>
  <c r="F19"/>
  <c r="S18"/>
  <c r="T18" s="1"/>
  <c r="U18" s="1"/>
  <c r="F18"/>
  <c r="F17"/>
  <c r="E17"/>
  <c r="S16"/>
  <c r="T16" s="1"/>
  <c r="H16"/>
  <c r="F16"/>
  <c r="E16"/>
  <c r="S15"/>
  <c r="T15" s="1"/>
  <c r="U15" s="1"/>
  <c r="F15"/>
  <c r="E15"/>
  <c r="F14"/>
  <c r="E14"/>
  <c r="H13"/>
  <c r="F13"/>
  <c r="S12"/>
  <c r="T12" s="1"/>
  <c r="U12" s="1"/>
  <c r="F12"/>
  <c r="S11"/>
  <c r="T11" s="1"/>
  <c r="U11" s="1"/>
  <c r="F11"/>
  <c r="H10"/>
  <c r="F10"/>
  <c r="S9"/>
  <c r="T9" s="1"/>
  <c r="U9" s="1"/>
  <c r="F9"/>
  <c r="S8"/>
  <c r="T8" s="1"/>
  <c r="U8" s="1"/>
  <c r="H8"/>
  <c r="F8"/>
  <c r="H7"/>
  <c r="F7"/>
  <c r="T22" i="12" l="1"/>
  <c r="U22"/>
  <c r="U25" i="10"/>
  <c r="U27"/>
  <c r="U28"/>
  <c r="U10"/>
  <c r="U13"/>
  <c r="Q29"/>
  <c r="T21"/>
  <c r="U21" s="1"/>
  <c r="H29"/>
  <c r="U7"/>
  <c r="U16"/>
  <c r="U19"/>
  <c r="J29"/>
  <c r="T22"/>
  <c r="U22" s="1"/>
  <c r="F29"/>
  <c r="S29"/>
  <c r="E29"/>
  <c r="T29" l="1"/>
  <c r="U29" l="1"/>
  <c r="S49" i="7" l="1"/>
  <c r="R49"/>
  <c r="Q49"/>
  <c r="P49"/>
  <c r="O49"/>
  <c r="N49"/>
  <c r="M49"/>
  <c r="L49"/>
  <c r="K49"/>
  <c r="J49"/>
  <c r="I49"/>
  <c r="H49"/>
  <c r="F49"/>
  <c r="D49"/>
  <c r="C49"/>
  <c r="E43"/>
  <c r="G43" s="1"/>
  <c r="E41"/>
  <c r="G41" s="1"/>
  <c r="E40"/>
  <c r="G40" s="1"/>
  <c r="E39"/>
  <c r="G39" s="1"/>
  <c r="E38"/>
  <c r="G38" s="1"/>
  <c r="E36"/>
  <c r="G36" s="1"/>
  <c r="E35"/>
  <c r="G35" s="1"/>
  <c r="E34"/>
  <c r="G34" s="1"/>
  <c r="E32"/>
  <c r="G32" s="1"/>
  <c r="E30"/>
  <c r="G30" s="1"/>
  <c r="E26"/>
  <c r="G26" s="1"/>
  <c r="E24"/>
  <c r="G24" s="1"/>
  <c r="E21"/>
  <c r="G21" s="1"/>
  <c r="E20"/>
  <c r="G20" s="1"/>
  <c r="E16"/>
  <c r="G16" s="1"/>
  <c r="E13"/>
  <c r="G13" s="1"/>
  <c r="E9"/>
  <c r="G9" s="1"/>
  <c r="G49" l="1"/>
  <c r="E49"/>
  <c r="T49"/>
  <c r="U49"/>
  <c r="S54" i="6" l="1"/>
  <c r="R54"/>
  <c r="Q54"/>
  <c r="P54"/>
  <c r="O54"/>
  <c r="N54"/>
  <c r="M54"/>
  <c r="L54"/>
  <c r="K54"/>
  <c r="J54"/>
  <c r="I54"/>
  <c r="H54"/>
  <c r="E54"/>
  <c r="D54"/>
  <c r="C54"/>
  <c r="F54"/>
  <c r="T54" l="1"/>
  <c r="U54"/>
  <c r="R52" i="5" l="1"/>
  <c r="P52"/>
  <c r="N52"/>
  <c r="L52"/>
  <c r="J52"/>
  <c r="I52"/>
  <c r="F52"/>
  <c r="E52"/>
  <c r="D52"/>
  <c r="C52"/>
  <c r="H52"/>
  <c r="O52"/>
  <c r="M52"/>
  <c r="K52"/>
  <c r="S52"/>
  <c r="Q52"/>
  <c r="T52" l="1"/>
  <c r="U52" l="1"/>
  <c r="Q50" i="11" l="1"/>
  <c r="N50"/>
  <c r="M50"/>
  <c r="L50"/>
  <c r="K50"/>
  <c r="I50"/>
  <c r="D50"/>
  <c r="C50"/>
  <c r="P50"/>
  <c r="G50" l="1"/>
  <c r="J50"/>
  <c r="H50"/>
  <c r="R50"/>
  <c r="O50"/>
  <c r="S50" l="1"/>
  <c r="T50"/>
  <c r="E50"/>
  <c r="F50" l="1"/>
</calcChain>
</file>

<file path=xl/sharedStrings.xml><?xml version="1.0" encoding="utf-8"?>
<sst xmlns="http://schemas.openxmlformats.org/spreadsheetml/2006/main" count="600" uniqueCount="348">
  <si>
    <t>STT</t>
  </si>
  <si>
    <t>Biên chế, HĐ 68</t>
  </si>
  <si>
    <t>Số được giao</t>
  </si>
  <si>
    <t>Số có mặt</t>
  </si>
  <si>
    <t>Kinh phí được giao thực hiện tự chủ</t>
  </si>
  <si>
    <t>Kinh phí đã sử dụng</t>
  </si>
  <si>
    <t>Chi lương, phụ cấp và các khoản đóng góp theo lương</t>
  </si>
  <si>
    <t>Chi thanh toán hàng hoá dịch vụ</t>
  </si>
  <si>
    <t>Chi thanh toán dịch vụ công cộng</t>
  </si>
  <si>
    <t>Chi văn phòng phẩm</t>
  </si>
  <si>
    <t>Chi thông tin tuyên tuyền liên lạc</t>
  </si>
  <si>
    <t>Chi công tác phí</t>
  </si>
  <si>
    <t>Chi thuê mướn</t>
  </si>
  <si>
    <t>Sửa chữa, duy trì tài sản phục vụ chuyên môn</t>
  </si>
  <si>
    <t>Mua sắm tài sản phục vụ chuyên môn</t>
  </si>
  <si>
    <t>Chi phí nghiệp vụ chuyên môn</t>
  </si>
  <si>
    <t>Chi khác</t>
  </si>
  <si>
    <t>Chi cho công tác đào tạo bồi dưỡng</t>
  </si>
  <si>
    <t>Đơn vị</t>
  </si>
  <si>
    <t>Tổng cộng</t>
  </si>
  <si>
    <t>Đơn vị tính: Triệu đồng</t>
  </si>
  <si>
    <t>THCS Phương Viên</t>
  </si>
  <si>
    <t>THCS Thị trấn Bằng Lũng</t>
  </si>
  <si>
    <t>THCS Hoàng Văn Thụ</t>
  </si>
  <si>
    <t>THCS Đồng Lạc</t>
  </si>
  <si>
    <t>THCS Nam Cường</t>
  </si>
  <si>
    <t>PTDT Nội trú</t>
  </si>
  <si>
    <t>TH&amp;THCS Bằng Phúc</t>
  </si>
  <si>
    <t>TH&amp;THCS Đồng Thắng</t>
  </si>
  <si>
    <t>TH&amp;THCS Đại Sảo</t>
  </si>
  <si>
    <t>TH&amp;THCS Yên Mỹ</t>
  </si>
  <si>
    <t>TH&amp;THCS Yên Phong</t>
  </si>
  <si>
    <t>TH&amp;THCS Nghĩa Tá</t>
  </si>
  <si>
    <t>TH&amp;THCS Lương Bằng</t>
  </si>
  <si>
    <t>-</t>
  </si>
  <si>
    <t>TH&amp;THCS Yên Thịnh</t>
  </si>
  <si>
    <t xml:space="preserve"> </t>
  </si>
  <si>
    <t>THPT Phủ Thông</t>
  </si>
  <si>
    <t>MN Quốc lập Nà Khoang</t>
  </si>
  <si>
    <t>TH và THCS Nà Khoang</t>
  </si>
  <si>
    <t xml:space="preserve">THCS Bằng Vân </t>
  </si>
  <si>
    <t>THCS Xuất Hóa</t>
  </si>
  <si>
    <t>THCS Nông Thượng</t>
  </si>
  <si>
    <t>THCS Huyền Tụng</t>
  </si>
  <si>
    <t xml:space="preserve">THCS Đức Xuân </t>
  </si>
  <si>
    <t>THCS Bắc Kạn</t>
  </si>
  <si>
    <t>THCS Dương Quang</t>
  </si>
  <si>
    <t>MNNT Minh Khai</t>
  </si>
  <si>
    <t>THPT Bắc Kạn</t>
  </si>
  <si>
    <t>THPT Chuyên Bắc Kạn</t>
  </si>
  <si>
    <t>THPT Chợ Đồn</t>
  </si>
  <si>
    <t>THCS và THPT Nà Phặc</t>
  </si>
  <si>
    <t xml:space="preserve">THPT Ngân Sơn </t>
  </si>
  <si>
    <t>PTDT Nội trú Bắc Kạn</t>
  </si>
  <si>
    <t>THPT Quảng Khê</t>
  </si>
  <si>
    <t>THPT Chợ Mới</t>
  </si>
  <si>
    <t>THPT Yên Hân</t>
  </si>
  <si>
    <t>Tiểu học Cao Tân</t>
  </si>
  <si>
    <t>Tiểu học Cổ Linh</t>
  </si>
  <si>
    <t>PTDTBT TH Công Bằng</t>
  </si>
  <si>
    <t>Tiểu học Bộc Bố</t>
  </si>
  <si>
    <t>PTDTBT TH&amp;THCS Nhạn Môn (TH)</t>
  </si>
  <si>
    <t>Tiểu học Bằng Thành I</t>
  </si>
  <si>
    <t>PTDTBT TH Bằng Thành II</t>
  </si>
  <si>
    <t>Tiểu học Xuân La</t>
  </si>
  <si>
    <t>Tiểu học Nghiên Loan I</t>
  </si>
  <si>
    <t>Tiểu học Nghiên Loan II</t>
  </si>
  <si>
    <t xml:space="preserve"> TH&amp;THCS An Thắng (TH)</t>
  </si>
  <si>
    <t>PTDTBT THCS Cao Tân</t>
  </si>
  <si>
    <t>PTDTBT THCS Cổ Linh</t>
  </si>
  <si>
    <t>PTDTBT THCS Công Bằng</t>
  </si>
  <si>
    <t>PTDTBT TH&amp;THCS Giáo Hiệu ( THCS)</t>
  </si>
  <si>
    <t>THCS Bộc Bố</t>
  </si>
  <si>
    <t>PTDTBT TH&amp;THCS Nhạn Môn (THCS)</t>
  </si>
  <si>
    <t>PTDTBT THCS Bằng Thành</t>
  </si>
  <si>
    <t>PTDTBT THCS Xuân La</t>
  </si>
  <si>
    <t>PTDTBT THCS Nghiên Loan</t>
  </si>
  <si>
    <t>TH&amp;THCS An Thắng (THCS)</t>
  </si>
  <si>
    <t>PTDT Nội trú Pác Nặm</t>
  </si>
  <si>
    <t>Mầm non Bành Trạch</t>
  </si>
  <si>
    <t xml:space="preserve">Mầm non Cao Thượng </t>
  </si>
  <si>
    <t>Mầm non Chu Hương</t>
  </si>
  <si>
    <t>Mầm non Địa Linh</t>
  </si>
  <si>
    <t>Mầm non Đồng Phúc</t>
  </si>
  <si>
    <t>Mầm non Hà Hiệu</t>
  </si>
  <si>
    <t>Mầm non Hoàng Trĩ</t>
  </si>
  <si>
    <t>Mầm non Khang Ninh</t>
  </si>
  <si>
    <t>Mầm non Mỹ Phương</t>
  </si>
  <si>
    <t xml:space="preserve">Mầm non Nam Mẫu </t>
  </si>
  <si>
    <t>Mầm non Phúc Lộc</t>
  </si>
  <si>
    <t>Mầm non Quảng Khê</t>
  </si>
  <si>
    <t xml:space="preserve">Mầm non TT Chợ Rã </t>
  </si>
  <si>
    <t>Mầm non Thượng Giáo</t>
  </si>
  <si>
    <t>Mầm non Yến Dương</t>
  </si>
  <si>
    <t>Tiểu học Bành Trạch</t>
  </si>
  <si>
    <t xml:space="preserve">Tiểu học Cao Thượng </t>
  </si>
  <si>
    <t>Tiểu học Chu Hương</t>
  </si>
  <si>
    <t>Tiểu học Địa Linh</t>
  </si>
  <si>
    <t>Tiểu học Đồng Phúc</t>
  </si>
  <si>
    <t>Tiểu học Hà Hiệu</t>
  </si>
  <si>
    <t>TH&amp;THCS Hoàng Trĩ (TH)</t>
  </si>
  <si>
    <t>Tiểu học Khang Ninh</t>
  </si>
  <si>
    <t>Tiểu học Mỹ Phương</t>
  </si>
  <si>
    <t>TH&amp;THCS Nam Mẫu (TH)</t>
  </si>
  <si>
    <t>PTDTBT Tiểu học Phúc Lộc</t>
  </si>
  <si>
    <t>Tiểu học Quảng Khê</t>
  </si>
  <si>
    <t xml:space="preserve">Tiểu học Thị trấn Chợ Rã </t>
  </si>
  <si>
    <t>Tiểu học Thượng Giáo</t>
  </si>
  <si>
    <t>Tiểu học Yến Dương</t>
  </si>
  <si>
    <t>THCS Bành Trạch</t>
  </si>
  <si>
    <t xml:space="preserve">PTDTBT THCS Cao Thượng </t>
  </si>
  <si>
    <t>THCS Chu Hương</t>
  </si>
  <si>
    <t>THCS Địa Linh</t>
  </si>
  <si>
    <t>THCS Đồng Phúc</t>
  </si>
  <si>
    <t>THCS Hà Hiệu</t>
  </si>
  <si>
    <t>TH&amp;THCS Hoàng Trĩ (THCS)</t>
  </si>
  <si>
    <t>THCS Khang Ninh</t>
  </si>
  <si>
    <t>THCS Mỹ Phương</t>
  </si>
  <si>
    <t>TH&amp;THCS Nam Mẫu (THCS)</t>
  </si>
  <si>
    <t>THCS Phúc Lộc</t>
  </si>
  <si>
    <t>PTDT Nội trú Ba Bể</t>
  </si>
  <si>
    <t xml:space="preserve">THCS Thị trấn Chợ Rã </t>
  </si>
  <si>
    <t>THCS Thượng Giáo</t>
  </si>
  <si>
    <t>THCS Yến Dương</t>
  </si>
  <si>
    <t>PTDTBT Tiểu học Đổng Xá</t>
  </si>
  <si>
    <t>Tiểu học Trần Phú</t>
  </si>
  <si>
    <t>Tiểu học Yến Lạc</t>
  </si>
  <si>
    <t>PTDTBT Tiểu học Văn Vũ</t>
  </si>
  <si>
    <t>PTDTBT THCS Đổng Xá</t>
  </si>
  <si>
    <t>PTDTBT THCS Văn Vũ</t>
  </si>
  <si>
    <t>PTDT Nội Trú</t>
  </si>
  <si>
    <t>TH&amp;THCS Liêm Thủy</t>
  </si>
  <si>
    <t>TH&amp;THCS Xuân Dương</t>
  </si>
  <si>
    <t>TH&amp;THCS Dương Sơn</t>
  </si>
  <si>
    <t>TH&amp;THCS Côn Minh</t>
  </si>
  <si>
    <t>TH&amp;THCS Quang Phong</t>
  </si>
  <si>
    <t>TH&amp;THCS Cư Lễ</t>
  </si>
  <si>
    <t>TH&amp;THCS Lam Sơn</t>
  </si>
  <si>
    <t>TH&amp;THCS Kim Lư</t>
  </si>
  <si>
    <t>TH&amp;THCS Cường Lợi</t>
  </si>
  <si>
    <t>TH&amp;THCS Văn Minh</t>
  </si>
  <si>
    <t>TH&amp;THCS Lương Thành</t>
  </si>
  <si>
    <t>TH&amp;THCS Lạng San</t>
  </si>
  <si>
    <t>TH&amp;THCS Lương Thượng</t>
  </si>
  <si>
    <t>PTDTBT TH&amp;THCS Kim Hỷ</t>
  </si>
  <si>
    <t>TH&amp;THCS Ân Tình</t>
  </si>
  <si>
    <t>TH&amp;THCS Thanh Bình (TH)</t>
  </si>
  <si>
    <t>TH&amp;THCS Tân Sơn (TH)</t>
  </si>
  <si>
    <t>TH&amp;THCS Mai Lạp (TH)</t>
  </si>
  <si>
    <t>PTDT NT THCS Chợ Mới</t>
  </si>
  <si>
    <t>THCS Nông Hạ</t>
  </si>
  <si>
    <t>THCS Cao Kỳ</t>
  </si>
  <si>
    <t>THCS Như Cố</t>
  </si>
  <si>
    <t>THCS Quảng Chu</t>
  </si>
  <si>
    <t>TH&amp;THCS Thanh Bình (THCS)</t>
  </si>
  <si>
    <t>TH&amp;THCS Thanh Mai (THCS)</t>
  </si>
  <si>
    <t>TH&amp;THCS Mai Lạp (THCS)</t>
  </si>
  <si>
    <t>TH&amp;THCS Giáo Hiệu (TH)</t>
  </si>
  <si>
    <t>TH&amp;THCS Thanh Mai (TH)</t>
  </si>
  <si>
    <t>THCS  Đồng Tâm</t>
  </si>
  <si>
    <t>TH&amp;THCS Tân Sơn (THCS)</t>
  </si>
  <si>
    <t>THPT Bộc Bố</t>
  </si>
  <si>
    <t>THPT Na Rì</t>
  </si>
  <si>
    <t>Tiểu học (072)</t>
  </si>
  <si>
    <t>THCS (073)</t>
  </si>
  <si>
    <t>THCS Quân Hà</t>
  </si>
  <si>
    <t>TH&amp;THCS Vũ Muộn</t>
  </si>
  <si>
    <t>TH&amp;THCS Sỹ Bình</t>
  </si>
  <si>
    <t>TH&amp;THCS Mỹ Thanh</t>
  </si>
  <si>
    <t xml:space="preserve">TH&amp;THCS Cao Sơn </t>
  </si>
  <si>
    <t>TH&amp;THCS Dương Phong</t>
  </si>
  <si>
    <t>TH&amp;THCS Quang Thuận</t>
  </si>
  <si>
    <t xml:space="preserve">TH&amp;THCS Vi Hương </t>
  </si>
  <si>
    <t>THCS Cẩm Giàng</t>
  </si>
  <si>
    <t>THCS Đôn Phong</t>
  </si>
  <si>
    <t xml:space="preserve">PTDTBTTHCS Lãng Ngâm  </t>
  </si>
  <si>
    <t>THPT Ba Bể</t>
  </si>
  <si>
    <t>TT GDTEKT tỉnh Bắc Kạn</t>
  </si>
  <si>
    <t>Tổng</t>
  </si>
  <si>
    <t>KP chi trả lương</t>
  </si>
  <si>
    <t>KP chi phục vụ hoạt động</t>
  </si>
  <si>
    <t>Chi phục vụ hoạt động</t>
  </si>
  <si>
    <t>THCS Phủ Thông</t>
  </si>
  <si>
    <t>THPT Bình Trung</t>
  </si>
  <si>
    <t>Mầm non Cao Tân</t>
  </si>
  <si>
    <t>Mầm non Cổ Linh</t>
  </si>
  <si>
    <t>Mầm non Công Bằng</t>
  </si>
  <si>
    <t>Mầm non Giáo Hiệu</t>
  </si>
  <si>
    <t>Mầm non Bộc Bố</t>
  </si>
  <si>
    <t>Mầm non Nhạn Môn</t>
  </si>
  <si>
    <t>Mầm non Bằng Thành</t>
  </si>
  <si>
    <t>Mầm non Xuân La</t>
  </si>
  <si>
    <t>Mầm non Nghiên Loan I</t>
  </si>
  <si>
    <t>Mầm non Nghiên Loan II</t>
  </si>
  <si>
    <t>Mầm non An Thắng</t>
  </si>
  <si>
    <t>BẢNG TỔNG HỢP SỬ DỤNG KINH PHÍ ĐƯỢC GIAO THỰC HIỆN TỰ CHỦ NĂM 2021 - HUYỆN BA BỂ</t>
  </si>
  <si>
    <t>BẢNG TỔNG HỢP SỬ DỤNG KINH PHÍ ĐƯỢC GIAO THỰC HIỆN TỰ CHỦ NĂM 2021 - HUYỆN PÁC NẶM</t>
  </si>
  <si>
    <t>Mầm non Bằng Phúc</t>
  </si>
  <si>
    <t>Mầm non Phương Viên</t>
  </si>
  <si>
    <t xml:space="preserve">Mầm non Đồng Thắng </t>
  </si>
  <si>
    <t>Mầm non Đại Sảo</t>
  </si>
  <si>
    <t>Mầm non Yên Mỹ</t>
  </si>
  <si>
    <t>Mầm non Yên Phong</t>
  </si>
  <si>
    <t>Mầm non Bình Trung</t>
  </si>
  <si>
    <t>Mầm non Nghĩa Tá</t>
  </si>
  <si>
    <t>Mầm non Lương Bằng</t>
  </si>
  <si>
    <t>Mầm non Bằng Lãng</t>
  </si>
  <si>
    <t>Mầm non Thị trấn Bằng Lũng</t>
  </si>
  <si>
    <t>Mầm non Ngọc Phái</t>
  </si>
  <si>
    <t>Mầm non Quảng Bạch</t>
  </si>
  <si>
    <t>Mầm non Tân Lập</t>
  </si>
  <si>
    <t>Mầm non Đồng Lạc</t>
  </si>
  <si>
    <t>Mầm non Nam Cường</t>
  </si>
  <si>
    <t>Mầm non Xuân Lạc</t>
  </si>
  <si>
    <t>Mầm non Yên Thượng</t>
  </si>
  <si>
    <t>Mầm non Yên Thịnh</t>
  </si>
  <si>
    <t>Mầm non Bản Thi</t>
  </si>
  <si>
    <t>Tiểu học Phương Viên</t>
  </si>
  <si>
    <t>Tiểu học Bình Trung</t>
  </si>
  <si>
    <t>Tiểu học Bằng Lãng</t>
  </si>
  <si>
    <t>Tiểu học Ngọc Phái</t>
  </si>
  <si>
    <t>Tiểu học Quảng Bạch</t>
  </si>
  <si>
    <t>Tiểu học Tân Lập</t>
  </si>
  <si>
    <t>Tiểu học Đồng Lạc</t>
  </si>
  <si>
    <t>Tiểu học Nam Cường</t>
  </si>
  <si>
    <t>Tiểu học Xuân Lạc</t>
  </si>
  <si>
    <t>Tiểu học Bản Tiểu học</t>
  </si>
  <si>
    <t>PTDTBT THCS Xuân Lạc</t>
  </si>
  <si>
    <t>THCS Trần Phú</t>
  </si>
  <si>
    <t>THCS Yến Lạc</t>
  </si>
  <si>
    <t>BẢNG TỔNG HỢP SỬ DỤNG KINH PHÍ ĐƯỢC GIAO THỰC HIỆN TỰ CHỦ NĂM 2021 - HUYỆN CHỢ ĐỒN</t>
  </si>
  <si>
    <t>BẢNG TỔNG HỢP SỬ DỤNG KINH PHÍ ĐƯỢC GIAO THỰC HIỆN TỰ CHỦ NĂM 2021 - HUYỆN NA RÌ</t>
  </si>
  <si>
    <t>Mầm non Liêm Thủy</t>
  </si>
  <si>
    <t xml:space="preserve">Mầm non Đổng Xá </t>
  </si>
  <si>
    <t xml:space="preserve">Mầm non Xuân Dương </t>
  </si>
  <si>
    <t>Mầm non Dương Sơn</t>
  </si>
  <si>
    <t>Mầm non Côn Minh</t>
  </si>
  <si>
    <t>Mầm non Quang Phong</t>
  </si>
  <si>
    <t>Mầm non Trần Phú</t>
  </si>
  <si>
    <t>Mầm non Cư Lễ</t>
  </si>
  <si>
    <t>Mầm non Yến Lạc</t>
  </si>
  <si>
    <t>Mầm non Kim Lư</t>
  </si>
  <si>
    <t>Mầm non Cường Lợi</t>
  </si>
  <si>
    <t>Mầm non Vũ Loan</t>
  </si>
  <si>
    <t>Mầm non Văn Học</t>
  </si>
  <si>
    <t>Mầm non Văn Minh</t>
  </si>
  <si>
    <t>Mầm non Sơn Thành</t>
  </si>
  <si>
    <t>Mầm non Văn Lang</t>
  </si>
  <si>
    <t>Mầm non Lương Thượng</t>
  </si>
  <si>
    <t>Mầm non Kim Hỷ</t>
  </si>
  <si>
    <t>BẢNG TỔNG HỢP SỬ DỤNG KINH PHÍ ĐƯỢC GIAO THỰC HIỆN TỰ CHỦ NĂM 2021 - HUYỆN CHỢ MỚI</t>
  </si>
  <si>
    <t>Mầm non Bình Văn</t>
  </si>
  <si>
    <t>Mầm non Cao Kỳ</t>
  </si>
  <si>
    <t>Mầm non Hoà Mục</t>
  </si>
  <si>
    <t>Mầm non Mai Lạp</t>
  </si>
  <si>
    <t>Mầm non Nông Hạ</t>
  </si>
  <si>
    <t>Mầm non Quảng Chu</t>
  </si>
  <si>
    <t>Mầm non Tân sơn</t>
  </si>
  <si>
    <t>Mầm non Thanh Vận</t>
  </si>
  <si>
    <t>Mầm non Thanh Thịnh</t>
  </si>
  <si>
    <t>Mầm non Yên Hân</t>
  </si>
  <si>
    <t>Mầm non Thanh Mai</t>
  </si>
  <si>
    <t>Mầm non Như Cố</t>
  </si>
  <si>
    <t>Mầm non Yên Cư</t>
  </si>
  <si>
    <t>Mầm non Yên Đĩnh</t>
  </si>
  <si>
    <t>MN Đồng Tâm (MN CM + MN Yên Đĩnh)</t>
  </si>
  <si>
    <t>Mầm non Chợ Mới</t>
  </si>
  <si>
    <t>Tiểu học Bình Văn</t>
  </si>
  <si>
    <t>Tiểu học Cao Kỳ</t>
  </si>
  <si>
    <t>Tiểu học Chợ Mới</t>
  </si>
  <si>
    <t>Tiểu học Yên Đĩnh</t>
  </si>
  <si>
    <t>Tiểu học Hoà Mục</t>
  </si>
  <si>
    <t>Tiểu học Như Cố</t>
  </si>
  <si>
    <t>Tiểu học Nông Hạ</t>
  </si>
  <si>
    <t>Tiểu học Quảng Chu</t>
  </si>
  <si>
    <t>Tiểu học Yên Hân</t>
  </si>
  <si>
    <t>Tiểu học Yên Cư</t>
  </si>
  <si>
    <t>TH Đồng Tâm (TH Chợ Mới + TH Yên Đĩnh)</t>
  </si>
  <si>
    <t>Tiểu học Thanh Vận</t>
  </si>
  <si>
    <t>Tiểu học Nông Thịnh</t>
  </si>
  <si>
    <t>Mầm non Cốc Đán</t>
  </si>
  <si>
    <t>Mầm non Thượng Ân</t>
  </si>
  <si>
    <t>Mầm non Bằng Vân</t>
  </si>
  <si>
    <t>Mầm non Đức Vân</t>
  </si>
  <si>
    <t>Mầm non Vân Tùng</t>
  </si>
  <si>
    <t>Mầm non Thượng Quan</t>
  </si>
  <si>
    <t>Mầm non Thuần Mang</t>
  </si>
  <si>
    <t>Mầm non Hiệp lực</t>
  </si>
  <si>
    <t>Mầm non Trung Hòa</t>
  </si>
  <si>
    <t>Mầm non Nà Phặc</t>
  </si>
  <si>
    <t>TH và THCS Thượng Ân</t>
  </si>
  <si>
    <t xml:space="preserve">Tiểu học Bằng Vân </t>
  </si>
  <si>
    <t>Tiểu học Đức Vân</t>
  </si>
  <si>
    <t xml:space="preserve">Tiểu học Vân Tùng  </t>
  </si>
  <si>
    <t>Tiểu học Hiệp Lực</t>
  </si>
  <si>
    <t>Tiểu học Trung Hòa</t>
  </si>
  <si>
    <t>Tiểu học Nà Phặc</t>
  </si>
  <si>
    <t>BẢNG TỔNG HỢP SỬ DỤNG KINH PHÍ ĐƯỢC GIAO Tiểu họcỰC HIỆN TỰ CHỦ NĂM 2021 - HUYỆN NGÂN SƠN</t>
  </si>
  <si>
    <t>Tiểu học Cốc Đán</t>
  </si>
  <si>
    <t xml:space="preserve">Tiểu học Thượng Quan  </t>
  </si>
  <si>
    <t>Tiểu học Thuần Mang</t>
  </si>
  <si>
    <t>PTDTBT THCS Cốc Đán</t>
  </si>
  <si>
    <t>PTDTBT THCS Thượng Quan</t>
  </si>
  <si>
    <t xml:space="preserve">PTDTBT THCS Thuần Mang  </t>
  </si>
  <si>
    <t>PT Dân tộc nội trú</t>
  </si>
  <si>
    <t xml:space="preserve">THCS Vân Tùng </t>
  </si>
  <si>
    <t>BẢNG TỔNG HỢP SỬ DỤNG KINH PHÍ ĐƯỢC GIAO THỰC HIỆN TỰ CHỦ NĂM 2021 - THÀNH PHỐ BẮC KẠN</t>
  </si>
  <si>
    <t>Tiểu học Đức Xuân</t>
  </si>
  <si>
    <t>Tiểu học Dương Quang</t>
  </si>
  <si>
    <t>Tiểu học Huyền Tụng</t>
  </si>
  <si>
    <t>Tiểu học Nông Tiểu họcượng</t>
  </si>
  <si>
    <t>Tiểu học Phùng Chí Kiên</t>
  </si>
  <si>
    <t>Tiểu học Sông Cầu</t>
  </si>
  <si>
    <t>Tiểu học Xuất Hóa</t>
  </si>
  <si>
    <t>Mầm non Đức Xuân</t>
  </si>
  <si>
    <t>Mầm non Dương Quang</t>
  </si>
  <si>
    <t>Mầm non Huyền Tụng</t>
  </si>
  <si>
    <t>Mầm non Nông Thượng</t>
  </si>
  <si>
    <t>Mầm non Phùng Chí Kiên</t>
  </si>
  <si>
    <t>Mầm non Sông Cầu</t>
  </si>
  <si>
    <t>Mầm non Xuất Hóa</t>
  </si>
  <si>
    <t>Tiểu học NT Minh Khai</t>
  </si>
  <si>
    <t>BẢNG TỔNG HỢP SỬ DỤNG KINH PHÍ ĐƯỢC GIAO THỰC HIỆN TỰ CHỦ NĂM 2021 - HUYỆN BẠCH THÔNG</t>
  </si>
  <si>
    <t>Mầm non Lục Bình</t>
  </si>
  <si>
    <t>Mầm non  Đôn Phong</t>
  </si>
  <si>
    <t>Mầm non Quân Bình</t>
  </si>
  <si>
    <t>Mầm non Phương Thông</t>
  </si>
  <si>
    <t>Mầm non Vũ Muộn</t>
  </si>
  <si>
    <t>Mầm non Cẩm Giàng</t>
  </si>
  <si>
    <t>Mầm non Cao Sơn</t>
  </si>
  <si>
    <t xml:space="preserve"> Mầm non Quang Thuận</t>
  </si>
  <si>
    <t>Mầm non Mỹ Thanh</t>
  </si>
  <si>
    <t>Mầm non Nguyên Phúc</t>
  </si>
  <si>
    <t>Mầm non Tân Tú</t>
  </si>
  <si>
    <t>Mầm non Dương Phong</t>
  </si>
  <si>
    <t>Mầm non Vi Hương</t>
  </si>
  <si>
    <t>Mầm non Sỹ Bình</t>
  </si>
  <si>
    <t>Tiểu học Phương Tiểu họcông</t>
  </si>
  <si>
    <t>Tiểu học Tân Tiến</t>
  </si>
  <si>
    <t>Tiểu học Cẩm Giàng</t>
  </si>
  <si>
    <t>Tiểu học Nguyên Phúc</t>
  </si>
  <si>
    <t>Tiểu học Lục Bình</t>
  </si>
  <si>
    <t>Tiểu học  Đôn Phong</t>
  </si>
  <si>
    <t>Tiểu học Quân Hà</t>
  </si>
  <si>
    <t>BẢNG TỔNG HỢP SỬ DỤNG KINH PHÍ ĐƯỢC GIAO THỰC HIỆN TỰ CHỦ NĂM 2021 - TRỰC THUỘC SỞ GD&amp;ĐT</t>
  </si>
  <si>
    <t>Tiểu học Yên Thượng</t>
  </si>
  <si>
    <t>Tiểu học thị trấn Bằng Lũng</t>
  </si>
  <si>
    <t>(Kèm theo Báo cáo số 1291/BC-SGDĐT ngày 10/6/2022 của Sở GD&amp;ĐT)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</si>
</sst>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(* #,##0.0_);_(* \(#,##0.0\);_(* &quot;-&quot;??_);_(@_)"/>
    <numFmt numFmtId="168" formatCode="_-* #,##0.000_-;\-* #,##0.000_-;_-* &quot;-&quot;??_-;_-@_-"/>
    <numFmt numFmtId="169" formatCode="#,##0.000"/>
    <numFmt numFmtId="170" formatCode="_(* #,##0.0_);_(* \(#,##0.0\);_(* &quot;-&quot;_);_(@_)"/>
    <numFmt numFmtId="171" formatCode="#,##0.0"/>
    <numFmt numFmtId="172" formatCode="0.0"/>
    <numFmt numFmtId="173" formatCode="_-* #,##0_-;\-* #,##0_-;_-* &quot;-&quot;??_-;_-@"/>
    <numFmt numFmtId="174" formatCode="_-* #,##0.0_-;\-* #,##0.0_-;_-* &quot;-&quot;??_-;_-@"/>
  </numFmts>
  <fonts count="2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9"/>
      <name val="&quot;Times New Roman&quot;"/>
    </font>
    <font>
      <sz val="11"/>
      <name val="Calibri"/>
      <family val="2"/>
    </font>
    <font>
      <sz val="8"/>
      <name val="Times New Roman"/>
      <family val="1"/>
    </font>
    <font>
      <sz val="7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ED7D31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10" fillId="0" borderId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89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65" fontId="6" fillId="0" borderId="1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right" vertical="center" shrinkToFit="1"/>
    </xf>
    <xf numFmtId="3" fontId="8" fillId="0" borderId="1" xfId="1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41" fontId="8" fillId="0" borderId="1" xfId="4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4" fontId="8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166" fontId="11" fillId="0" borderId="1" xfId="1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6" fontId="8" fillId="0" borderId="1" xfId="1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/>
    </xf>
    <xf numFmtId="0" fontId="8" fillId="0" borderId="1" xfId="0" quotePrefix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horizontal="right" vertical="center"/>
    </xf>
    <xf numFmtId="41" fontId="8" fillId="0" borderId="0" xfId="0" applyNumberFormat="1" applyFont="1" applyFill="1" applyAlignment="1">
      <alignment vertical="center"/>
    </xf>
    <xf numFmtId="41" fontId="11" fillId="0" borderId="1" xfId="0" applyNumberFormat="1" applyFont="1" applyFill="1" applyBorder="1" applyAlignment="1">
      <alignment horizontal="right" vertical="center"/>
    </xf>
    <xf numFmtId="41" fontId="8" fillId="0" borderId="0" xfId="4" applyFont="1" applyFill="1" applyAlignment="1">
      <alignment vertical="center"/>
    </xf>
    <xf numFmtId="170" fontId="8" fillId="0" borderId="0" xfId="0" applyNumberFormat="1" applyFont="1" applyFill="1" applyAlignment="1">
      <alignment vertical="center"/>
    </xf>
    <xf numFmtId="170" fontId="8" fillId="0" borderId="0" xfId="4" applyNumberFormat="1" applyFont="1" applyFill="1" applyAlignment="1">
      <alignment vertical="center"/>
    </xf>
    <xf numFmtId="0" fontId="16" fillId="0" borderId="0" xfId="0" applyFont="1" applyFill="1"/>
    <xf numFmtId="0" fontId="8" fillId="0" borderId="1" xfId="0" applyFont="1" applyFill="1" applyBorder="1" applyAlignment="1">
      <alignment horizontal="center" vertical="center"/>
    </xf>
    <xf numFmtId="169" fontId="8" fillId="0" borderId="1" xfId="1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9" fontId="8" fillId="0" borderId="1" xfId="0" applyNumberFormat="1" applyFont="1" applyFill="1" applyBorder="1" applyAlignment="1">
      <alignment horizontal="right" vertical="center"/>
    </xf>
    <xf numFmtId="171" fontId="8" fillId="0" borderId="1" xfId="0" applyNumberFormat="1" applyFont="1" applyFill="1" applyBorder="1" applyAlignment="1">
      <alignment horizontal="right" vertical="center"/>
    </xf>
    <xf numFmtId="168" fontId="8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right" vertical="center"/>
    </xf>
    <xf numFmtId="173" fontId="8" fillId="2" borderId="12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right" vertical="center"/>
    </xf>
    <xf numFmtId="173" fontId="8" fillId="3" borderId="12" xfId="0" applyNumberFormat="1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right" vertical="center"/>
    </xf>
    <xf numFmtId="173" fontId="8" fillId="4" borderId="12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right" vertical="center"/>
    </xf>
    <xf numFmtId="173" fontId="8" fillId="6" borderId="12" xfId="0" applyNumberFormat="1" applyFont="1" applyFill="1" applyBorder="1" applyAlignment="1">
      <alignment vertical="center"/>
    </xf>
    <xf numFmtId="173" fontId="8" fillId="5" borderId="12" xfId="0" applyNumberFormat="1" applyFont="1" applyFill="1" applyBorder="1" applyAlignment="1">
      <alignment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right" vertical="center"/>
    </xf>
    <xf numFmtId="173" fontId="17" fillId="7" borderId="12" xfId="0" applyNumberFormat="1" applyFont="1" applyFill="1" applyBorder="1"/>
    <xf numFmtId="173" fontId="17" fillId="7" borderId="13" xfId="0" applyNumberFormat="1" applyFont="1" applyFill="1" applyBorder="1"/>
    <xf numFmtId="173" fontId="8" fillId="7" borderId="12" xfId="0" applyNumberFormat="1" applyFont="1" applyFill="1" applyBorder="1" applyAlignment="1">
      <alignment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right" vertical="center"/>
    </xf>
    <xf numFmtId="173" fontId="8" fillId="8" borderId="12" xfId="0" applyNumberFormat="1" applyFont="1" applyFill="1" applyBorder="1" applyAlignment="1">
      <alignment vertical="center"/>
    </xf>
    <xf numFmtId="0" fontId="8" fillId="9" borderId="12" xfId="0" applyFont="1" applyFill="1" applyBorder="1" applyAlignment="1">
      <alignment horizontal="right" vertical="center"/>
    </xf>
    <xf numFmtId="173" fontId="8" fillId="9" borderId="12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right" vertical="center"/>
    </xf>
    <xf numFmtId="173" fontId="8" fillId="2" borderId="12" xfId="0" applyNumberFormat="1" applyFont="1" applyFill="1" applyBorder="1" applyAlignment="1">
      <alignment horizontal="center" vertical="center"/>
    </xf>
    <xf numFmtId="174" fontId="8" fillId="2" borderId="12" xfId="0" applyNumberFormat="1" applyFont="1" applyFill="1" applyBorder="1" applyAlignment="1">
      <alignment horizontal="center" vertical="center"/>
    </xf>
    <xf numFmtId="173" fontId="8" fillId="4" borderId="12" xfId="0" applyNumberFormat="1" applyFont="1" applyFill="1" applyBorder="1" applyAlignment="1">
      <alignment horizontal="right" vertical="center"/>
    </xf>
    <xf numFmtId="0" fontId="8" fillId="6" borderId="12" xfId="0" applyFont="1" applyFill="1" applyBorder="1" applyAlignment="1">
      <alignment horizontal="left" vertical="center"/>
    </xf>
    <xf numFmtId="173" fontId="8" fillId="6" borderId="12" xfId="0" applyNumberFormat="1" applyFont="1" applyFill="1" applyBorder="1" applyAlignment="1">
      <alignment horizontal="right" vertical="center"/>
    </xf>
    <xf numFmtId="173" fontId="8" fillId="7" borderId="12" xfId="0" applyNumberFormat="1" applyFont="1" applyFill="1" applyBorder="1" applyAlignment="1">
      <alignment horizontal="right" vertical="center"/>
    </xf>
    <xf numFmtId="173" fontId="8" fillId="5" borderId="12" xfId="0" applyNumberFormat="1" applyFont="1" applyFill="1" applyBorder="1" applyAlignment="1">
      <alignment horizontal="right" vertical="center"/>
    </xf>
    <xf numFmtId="173" fontId="17" fillId="6" borderId="12" xfId="0" applyNumberFormat="1" applyFont="1" applyFill="1" applyBorder="1"/>
    <xf numFmtId="173" fontId="17" fillId="6" borderId="13" xfId="0" applyNumberFormat="1" applyFont="1" applyFill="1" applyBorder="1"/>
    <xf numFmtId="173" fontId="17" fillId="6" borderId="16" xfId="0" applyNumberFormat="1" applyFont="1" applyFill="1" applyBorder="1"/>
    <xf numFmtId="173" fontId="17" fillId="6" borderId="17" xfId="0" applyNumberFormat="1" applyFont="1" applyFill="1" applyBorder="1"/>
    <xf numFmtId="0" fontId="11" fillId="5" borderId="12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173" fontId="7" fillId="0" borderId="12" xfId="0" applyNumberFormat="1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43" fontId="8" fillId="0" borderId="1" xfId="1" applyNumberFormat="1" applyFont="1" applyFill="1" applyBorder="1" applyAlignment="1">
      <alignment vertical="center"/>
    </xf>
    <xf numFmtId="167" fontId="8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165" fontId="8" fillId="0" borderId="1" xfId="1" applyNumberFormat="1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165" fontId="7" fillId="0" borderId="12" xfId="1" applyNumberFormat="1" applyFont="1" applyBorder="1" applyAlignment="1">
      <alignment horizontal="right" vertical="center"/>
    </xf>
    <xf numFmtId="172" fontId="8" fillId="0" borderId="1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6" fontId="8" fillId="0" borderId="1" xfId="1" applyNumberFormat="1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vertical="center"/>
    </xf>
    <xf numFmtId="166" fontId="8" fillId="0" borderId="1" xfId="7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18" fillId="5" borderId="15" xfId="0" applyFont="1" applyFill="1" applyBorder="1"/>
    <xf numFmtId="0" fontId="18" fillId="5" borderId="16" xfId="0" applyFont="1" applyFill="1" applyBorder="1"/>
    <xf numFmtId="0" fontId="8" fillId="7" borderId="14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8" fillId="0" borderId="13" xfId="0" applyFont="1" applyBorder="1"/>
    <xf numFmtId="0" fontId="8" fillId="4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</cellXfs>
  <cellStyles count="8">
    <cellStyle name="Chuẩn 2" xfId="2"/>
    <cellStyle name="Comma" xfId="1" builtinId="3"/>
    <cellStyle name="Comma [0]" xfId="4" builtinId="6"/>
    <cellStyle name="Comma 2" xfId="7"/>
    <cellStyle name="Dấu_phảy 2" xfId="5"/>
    <cellStyle name="Normal" xfId="0" builtinId="0"/>
    <cellStyle name="Normal 16" xfId="3"/>
    <cellStyle name="Normal 2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1"/>
  <sheetViews>
    <sheetView workbookViewId="0">
      <selection activeCell="A2" sqref="A2:U2"/>
    </sheetView>
  </sheetViews>
  <sheetFormatPr defaultColWidth="9.140625" defaultRowHeight="15"/>
  <cols>
    <col min="1" max="1" width="5.140625" style="16" customWidth="1"/>
    <col min="2" max="2" width="28.7109375" style="15" customWidth="1"/>
    <col min="3" max="3" width="7" style="15" customWidth="1"/>
    <col min="4" max="4" width="5.140625" style="15" customWidth="1"/>
    <col min="5" max="5" width="8.85546875" style="15" customWidth="1"/>
    <col min="6" max="7" width="8.5703125" style="15" customWidth="1"/>
    <col min="8" max="8" width="9.85546875" style="15" customWidth="1"/>
    <col min="9" max="9" width="8.140625" style="15" customWidth="1"/>
    <col min="10" max="10" width="9" style="15" customWidth="1"/>
    <col min="11" max="12" width="8.85546875" style="15" customWidth="1"/>
    <col min="13" max="13" width="6.5703125" style="15" customWidth="1"/>
    <col min="14" max="14" width="6.140625" style="15" customWidth="1"/>
    <col min="15" max="15" width="9.140625" style="15" customWidth="1"/>
    <col min="16" max="16" width="8.7109375" style="15" customWidth="1"/>
    <col min="17" max="17" width="8.42578125" style="15" customWidth="1"/>
    <col min="18" max="18" width="10" style="15" customWidth="1"/>
    <col min="19" max="19" width="5.85546875" style="15" customWidth="1"/>
    <col min="20" max="20" width="7" style="15" customWidth="1"/>
    <col min="21" max="21" width="12.7109375" style="15" bestFit="1" customWidth="1"/>
    <col min="22" max="16384" width="9.140625" style="15"/>
  </cols>
  <sheetData>
    <row r="1" spans="1:21">
      <c r="A1" s="147" t="s">
        <v>196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24.6" customHeight="1">
      <c r="A2" s="148" t="s">
        <v>347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18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17" t="s">
        <v>20</v>
      </c>
    </row>
    <row r="4" spans="1:21" ht="21.75" customHeight="1">
      <c r="A4" s="142" t="s">
        <v>0</v>
      </c>
      <c r="B4" s="142" t="s">
        <v>18</v>
      </c>
      <c r="C4" s="143" t="s">
        <v>1</v>
      </c>
      <c r="D4" s="144"/>
      <c r="E4" s="150" t="s">
        <v>4</v>
      </c>
      <c r="F4" s="151"/>
      <c r="G4" s="152"/>
      <c r="H4" s="156" t="s">
        <v>5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8"/>
    </row>
    <row r="5" spans="1:21" ht="21.75" customHeight="1">
      <c r="A5" s="142"/>
      <c r="B5" s="142"/>
      <c r="C5" s="145"/>
      <c r="D5" s="146"/>
      <c r="E5" s="153"/>
      <c r="F5" s="154"/>
      <c r="G5" s="155"/>
      <c r="H5" s="149" t="s">
        <v>6</v>
      </c>
      <c r="I5" s="142" t="s">
        <v>181</v>
      </c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9" t="s">
        <v>19</v>
      </c>
    </row>
    <row r="6" spans="1:21" ht="64.5" customHeight="1">
      <c r="A6" s="142"/>
      <c r="B6" s="142"/>
      <c r="C6" s="18" t="s">
        <v>2</v>
      </c>
      <c r="D6" s="18" t="s">
        <v>3</v>
      </c>
      <c r="E6" s="48" t="s">
        <v>179</v>
      </c>
      <c r="F6" s="48" t="s">
        <v>180</v>
      </c>
      <c r="G6" s="117" t="s">
        <v>19</v>
      </c>
      <c r="H6" s="149"/>
      <c r="I6" s="48" t="s">
        <v>7</v>
      </c>
      <c r="J6" s="48" t="s">
        <v>8</v>
      </c>
      <c r="K6" s="48" t="s">
        <v>9</v>
      </c>
      <c r="L6" s="48" t="s">
        <v>10</v>
      </c>
      <c r="M6" s="48" t="s">
        <v>11</v>
      </c>
      <c r="N6" s="48" t="s">
        <v>12</v>
      </c>
      <c r="O6" s="48" t="s">
        <v>13</v>
      </c>
      <c r="P6" s="48" t="s">
        <v>14</v>
      </c>
      <c r="Q6" s="48" t="s">
        <v>15</v>
      </c>
      <c r="R6" s="48" t="s">
        <v>17</v>
      </c>
      <c r="S6" s="48" t="s">
        <v>16</v>
      </c>
      <c r="T6" s="48" t="s">
        <v>178</v>
      </c>
      <c r="U6" s="149"/>
    </row>
    <row r="7" spans="1:21" s="29" customFormat="1" ht="20.25" customHeight="1">
      <c r="A7" s="59">
        <v>1</v>
      </c>
      <c r="B7" s="45" t="s">
        <v>184</v>
      </c>
      <c r="C7" s="45">
        <v>23</v>
      </c>
      <c r="D7" s="45">
        <v>22</v>
      </c>
      <c r="E7" s="64">
        <v>2566.2240000000002</v>
      </c>
      <c r="F7" s="50">
        <v>383.64000000000004</v>
      </c>
      <c r="G7" s="31">
        <f>E7+F7</f>
        <v>2949.864</v>
      </c>
      <c r="H7" s="31">
        <v>2517.3290000000002</v>
      </c>
      <c r="I7" s="31"/>
      <c r="J7" s="31">
        <v>21.419364999999999</v>
      </c>
      <c r="K7" s="31">
        <v>65.995999999999995</v>
      </c>
      <c r="L7" s="31">
        <v>4.60745</v>
      </c>
      <c r="M7" s="31">
        <v>72.16</v>
      </c>
      <c r="N7" s="31">
        <v>24</v>
      </c>
      <c r="O7" s="31">
        <v>0.3</v>
      </c>
      <c r="P7" s="31">
        <v>12.5</v>
      </c>
      <c r="Q7" s="31">
        <v>184.643</v>
      </c>
      <c r="R7" s="31"/>
      <c r="S7" s="31">
        <v>47.231999999999999</v>
      </c>
      <c r="T7" s="46">
        <f>SUM(I7:S7)</f>
        <v>432.85781499999996</v>
      </c>
      <c r="U7" s="42">
        <f>T7+H7</f>
        <v>2950.186815</v>
      </c>
    </row>
    <row r="8" spans="1:21" s="29" customFormat="1" ht="20.25" customHeight="1">
      <c r="A8" s="59">
        <v>2</v>
      </c>
      <c r="B8" s="45" t="s">
        <v>185</v>
      </c>
      <c r="C8" s="45">
        <v>25</v>
      </c>
      <c r="D8" s="45">
        <v>22</v>
      </c>
      <c r="E8" s="64">
        <v>2754.965835</v>
      </c>
      <c r="F8" s="50">
        <v>417</v>
      </c>
      <c r="G8" s="31">
        <f t="shared" ref="G8:G40" si="0">E8+F8</f>
        <v>3171.965835</v>
      </c>
      <c r="H8" s="31">
        <v>2507.8736790000003</v>
      </c>
      <c r="I8" s="31"/>
      <c r="J8" s="31">
        <v>24.244104</v>
      </c>
      <c r="K8" s="31">
        <v>156.30730500000001</v>
      </c>
      <c r="L8" s="31">
        <v>6.6182470000000002</v>
      </c>
      <c r="M8" s="31">
        <v>72.394999999999996</v>
      </c>
      <c r="N8" s="31">
        <v>26.4</v>
      </c>
      <c r="O8" s="31">
        <v>33.770000000000003</v>
      </c>
      <c r="P8" s="31">
        <v>67.22</v>
      </c>
      <c r="Q8" s="31">
        <v>142.34800000000001</v>
      </c>
      <c r="R8" s="31"/>
      <c r="S8" s="31">
        <v>134.7895</v>
      </c>
      <c r="T8" s="46">
        <f t="shared" ref="T8:T40" si="1">SUM(I8:S8)</f>
        <v>664.09215600000005</v>
      </c>
      <c r="U8" s="42">
        <f t="shared" ref="U8:U40" si="2">T8+H8</f>
        <v>3171.9658350000004</v>
      </c>
    </row>
    <row r="9" spans="1:21" s="29" customFormat="1" ht="20.25" customHeight="1">
      <c r="A9" s="59">
        <v>3</v>
      </c>
      <c r="B9" s="45" t="s">
        <v>186</v>
      </c>
      <c r="C9" s="45">
        <v>13</v>
      </c>
      <c r="D9" s="45">
        <v>12</v>
      </c>
      <c r="E9" s="64">
        <v>1753.2160000000001</v>
      </c>
      <c r="F9" s="50">
        <v>216.84</v>
      </c>
      <c r="G9" s="31">
        <f t="shared" si="0"/>
        <v>1970.056</v>
      </c>
      <c r="H9" s="31">
        <v>1609.2570000000001</v>
      </c>
      <c r="I9" s="31">
        <v>32.249000000000002</v>
      </c>
      <c r="J9" s="31">
        <v>14.86</v>
      </c>
      <c r="K9" s="31">
        <v>63.18</v>
      </c>
      <c r="L9" s="31">
        <v>2.6869999999999998</v>
      </c>
      <c r="M9" s="31">
        <v>46.305999999999997</v>
      </c>
      <c r="N9" s="31">
        <v>27.6</v>
      </c>
      <c r="O9" s="31"/>
      <c r="P9" s="31"/>
      <c r="Q9" s="31">
        <v>44.682000000000002</v>
      </c>
      <c r="R9" s="31"/>
      <c r="S9" s="31">
        <v>129.23500000000001</v>
      </c>
      <c r="T9" s="46">
        <f t="shared" si="1"/>
        <v>360.79899999999998</v>
      </c>
      <c r="U9" s="42">
        <f t="shared" si="2"/>
        <v>1970.056</v>
      </c>
    </row>
    <row r="10" spans="1:21" s="29" customFormat="1" ht="20.25" customHeight="1">
      <c r="A10" s="59">
        <v>4</v>
      </c>
      <c r="B10" s="45" t="s">
        <v>187</v>
      </c>
      <c r="C10" s="45">
        <v>12</v>
      </c>
      <c r="D10" s="45">
        <v>12</v>
      </c>
      <c r="E10" s="64">
        <v>1627.3979999999999</v>
      </c>
      <c r="F10" s="50">
        <v>200.16</v>
      </c>
      <c r="G10" s="31">
        <f t="shared" si="0"/>
        <v>1827.558</v>
      </c>
      <c r="H10" s="31">
        <v>1521.751</v>
      </c>
      <c r="I10" s="31">
        <v>20.98</v>
      </c>
      <c r="J10" s="31">
        <v>13.825666999999999</v>
      </c>
      <c r="K10" s="31">
        <v>15</v>
      </c>
      <c r="L10" s="31">
        <v>7.6390000000000002</v>
      </c>
      <c r="M10" s="31">
        <v>20.23</v>
      </c>
      <c r="N10" s="31">
        <v>23.12</v>
      </c>
      <c r="O10" s="31">
        <v>20.3</v>
      </c>
      <c r="P10" s="31">
        <v>55.01</v>
      </c>
      <c r="Q10" s="31">
        <v>56.01</v>
      </c>
      <c r="R10" s="31"/>
      <c r="S10" s="31">
        <v>73.691999999999993</v>
      </c>
      <c r="T10" s="46">
        <f t="shared" si="1"/>
        <v>305.806667</v>
      </c>
      <c r="U10" s="42">
        <f t="shared" si="2"/>
        <v>1827.557667</v>
      </c>
    </row>
    <row r="11" spans="1:21" s="29" customFormat="1" ht="20.25" customHeight="1">
      <c r="A11" s="59">
        <v>5</v>
      </c>
      <c r="B11" s="45" t="s">
        <v>188</v>
      </c>
      <c r="C11" s="45">
        <v>28</v>
      </c>
      <c r="D11" s="45">
        <v>22</v>
      </c>
      <c r="E11" s="64">
        <v>3162.4821800000004</v>
      </c>
      <c r="F11" s="50">
        <v>467.04000000000008</v>
      </c>
      <c r="G11" s="31">
        <f t="shared" si="0"/>
        <v>3629.5221800000004</v>
      </c>
      <c r="H11" s="28">
        <v>3043.2533750000002</v>
      </c>
      <c r="I11" s="28"/>
      <c r="J11" s="28">
        <v>21.644760000000002</v>
      </c>
      <c r="K11" s="28">
        <v>66.569000000000003</v>
      </c>
      <c r="L11" s="28">
        <v>3.7914500000000002</v>
      </c>
      <c r="M11" s="28">
        <v>34.242000000000004</v>
      </c>
      <c r="N11" s="28">
        <v>1.56</v>
      </c>
      <c r="O11" s="28"/>
      <c r="P11" s="28"/>
      <c r="Q11" s="28">
        <v>266.726</v>
      </c>
      <c r="R11" s="28"/>
      <c r="S11" s="28">
        <v>191.73559499999999</v>
      </c>
      <c r="T11" s="46">
        <f t="shared" si="1"/>
        <v>586.26880499999993</v>
      </c>
      <c r="U11" s="42">
        <f t="shared" si="2"/>
        <v>3629.5221799999999</v>
      </c>
    </row>
    <row r="12" spans="1:21" s="29" customFormat="1" ht="20.25" customHeight="1">
      <c r="A12" s="59">
        <v>6</v>
      </c>
      <c r="B12" s="45" t="s">
        <v>189</v>
      </c>
      <c r="C12" s="45">
        <v>13</v>
      </c>
      <c r="D12" s="45">
        <v>13</v>
      </c>
      <c r="E12" s="64">
        <v>1687.7036000000001</v>
      </c>
      <c r="F12" s="50">
        <v>216.84</v>
      </c>
      <c r="G12" s="31">
        <f t="shared" si="0"/>
        <v>1904.5436</v>
      </c>
      <c r="H12" s="31">
        <v>1670.731299</v>
      </c>
      <c r="I12" s="31">
        <v>62.1</v>
      </c>
      <c r="J12" s="31">
        <v>5.891108</v>
      </c>
      <c r="K12" s="31">
        <v>45.043999999999997</v>
      </c>
      <c r="L12" s="31">
        <v>2.6235040000000001</v>
      </c>
      <c r="M12" s="31">
        <v>7.02</v>
      </c>
      <c r="N12" s="31">
        <v>26.52</v>
      </c>
      <c r="O12" s="31">
        <v>1.1599999999999999</v>
      </c>
      <c r="P12" s="31"/>
      <c r="Q12" s="31">
        <v>3.0880000000000001</v>
      </c>
      <c r="R12" s="31"/>
      <c r="S12" s="31">
        <v>79.334609000000015</v>
      </c>
      <c r="T12" s="46">
        <f t="shared" si="1"/>
        <v>232.78122100000002</v>
      </c>
      <c r="U12" s="42">
        <f t="shared" si="2"/>
        <v>1903.51252</v>
      </c>
    </row>
    <row r="13" spans="1:21" s="29" customFormat="1" ht="20.25" customHeight="1">
      <c r="A13" s="59">
        <v>7</v>
      </c>
      <c r="B13" s="45" t="s">
        <v>190</v>
      </c>
      <c r="C13" s="45">
        <v>22</v>
      </c>
      <c r="D13" s="45">
        <v>21</v>
      </c>
      <c r="E13" s="64">
        <v>2556.5009999999997</v>
      </c>
      <c r="F13" s="50">
        <v>366.96</v>
      </c>
      <c r="G13" s="31">
        <f t="shared" si="0"/>
        <v>2923.4609999999998</v>
      </c>
      <c r="H13" s="31">
        <v>2413.4524310000002</v>
      </c>
      <c r="I13" s="31"/>
      <c r="J13" s="31">
        <v>12.726793000000001</v>
      </c>
      <c r="K13" s="31">
        <v>90.108000000000004</v>
      </c>
      <c r="L13" s="31">
        <v>9.3149999999999995</v>
      </c>
      <c r="M13" s="31">
        <v>55.343000000000004</v>
      </c>
      <c r="N13" s="31">
        <v>24</v>
      </c>
      <c r="O13" s="31">
        <v>9.6449999999999996</v>
      </c>
      <c r="P13" s="31"/>
      <c r="Q13" s="31">
        <v>131.262</v>
      </c>
      <c r="R13" s="31"/>
      <c r="S13" s="31">
        <v>177.559</v>
      </c>
      <c r="T13" s="46">
        <f t="shared" si="1"/>
        <v>509.95879300000001</v>
      </c>
      <c r="U13" s="42">
        <f t="shared" si="2"/>
        <v>2923.4112240000004</v>
      </c>
    </row>
    <row r="14" spans="1:21" s="29" customFormat="1" ht="20.25" customHeight="1">
      <c r="A14" s="59">
        <v>8</v>
      </c>
      <c r="B14" s="45" t="s">
        <v>191</v>
      </c>
      <c r="C14" s="45">
        <v>13</v>
      </c>
      <c r="D14" s="45">
        <v>12</v>
      </c>
      <c r="E14" s="64">
        <v>1815.8620500000002</v>
      </c>
      <c r="F14" s="50">
        <v>216.84</v>
      </c>
      <c r="G14" s="31">
        <f t="shared" si="0"/>
        <v>2032.7020500000001</v>
      </c>
      <c r="H14" s="31">
        <v>1770.486924</v>
      </c>
      <c r="I14" s="31">
        <v>41.695</v>
      </c>
      <c r="J14" s="31">
        <v>11.606782000000001</v>
      </c>
      <c r="K14" s="31"/>
      <c r="L14" s="31">
        <v>4.2023999999999999</v>
      </c>
      <c r="M14" s="31">
        <v>15.772</v>
      </c>
      <c r="N14" s="31">
        <v>30</v>
      </c>
      <c r="O14" s="31">
        <v>16.3</v>
      </c>
      <c r="P14" s="31">
        <v>10.5</v>
      </c>
      <c r="Q14" s="31">
        <v>76.040999999999997</v>
      </c>
      <c r="R14" s="31"/>
      <c r="S14" s="31">
        <v>56.097943999999998</v>
      </c>
      <c r="T14" s="46">
        <f t="shared" si="1"/>
        <v>262.215126</v>
      </c>
      <c r="U14" s="42">
        <f t="shared" si="2"/>
        <v>2032.7020500000001</v>
      </c>
    </row>
    <row r="15" spans="1:21" s="29" customFormat="1" ht="20.25" customHeight="1">
      <c r="A15" s="59">
        <v>9</v>
      </c>
      <c r="B15" s="45" t="s">
        <v>192</v>
      </c>
      <c r="C15" s="45">
        <v>16</v>
      </c>
      <c r="D15" s="45">
        <v>16</v>
      </c>
      <c r="E15" s="64">
        <v>2158.2210529999998</v>
      </c>
      <c r="F15" s="50">
        <v>266.88</v>
      </c>
      <c r="G15" s="31">
        <f t="shared" si="0"/>
        <v>2425.1010529999999</v>
      </c>
      <c r="H15" s="31">
        <v>2019.2313360000001</v>
      </c>
      <c r="I15" s="31">
        <v>35.433999999999997</v>
      </c>
      <c r="J15" s="31">
        <v>9.9509000000000007</v>
      </c>
      <c r="K15" s="31">
        <v>0.57999999999999996</v>
      </c>
      <c r="L15" s="31">
        <v>5.8305999999999996</v>
      </c>
      <c r="M15" s="31">
        <v>49.244</v>
      </c>
      <c r="N15" s="31">
        <v>27.38</v>
      </c>
      <c r="O15" s="31">
        <v>10.34</v>
      </c>
      <c r="P15" s="31"/>
      <c r="Q15" s="31">
        <v>108.255</v>
      </c>
      <c r="R15" s="31"/>
      <c r="S15" s="31">
        <v>152.39599999999999</v>
      </c>
      <c r="T15" s="46">
        <f t="shared" si="1"/>
        <v>399.41049999999996</v>
      </c>
      <c r="U15" s="42">
        <f t="shared" si="2"/>
        <v>2418.6418359999998</v>
      </c>
    </row>
    <row r="16" spans="1:21" s="29" customFormat="1" ht="20.25" customHeight="1">
      <c r="A16" s="59">
        <v>10</v>
      </c>
      <c r="B16" s="45" t="s">
        <v>193</v>
      </c>
      <c r="C16" s="45">
        <v>14</v>
      </c>
      <c r="D16" s="45">
        <v>14</v>
      </c>
      <c r="E16" s="64">
        <v>1755.6362899999999</v>
      </c>
      <c r="F16" s="50">
        <v>233.52000000000004</v>
      </c>
      <c r="G16" s="31">
        <f t="shared" si="0"/>
        <v>1989.1562899999999</v>
      </c>
      <c r="H16" s="31">
        <v>1604.852216</v>
      </c>
      <c r="I16" s="31">
        <v>11.325272</v>
      </c>
      <c r="J16" s="31">
        <v>5.5929979999999997</v>
      </c>
      <c r="K16" s="31">
        <v>5.7590000000000003</v>
      </c>
      <c r="L16" s="31">
        <v>4.956804</v>
      </c>
      <c r="M16" s="31">
        <v>66.388999999999996</v>
      </c>
      <c r="N16" s="31">
        <v>25.45</v>
      </c>
      <c r="O16" s="31"/>
      <c r="P16" s="31"/>
      <c r="Q16" s="31">
        <v>75.334999999999994</v>
      </c>
      <c r="R16" s="31"/>
      <c r="S16" s="31">
        <v>189.49600000000001</v>
      </c>
      <c r="T16" s="46">
        <f t="shared" si="1"/>
        <v>384.30407400000001</v>
      </c>
      <c r="U16" s="42">
        <f t="shared" si="2"/>
        <v>1989.1562899999999</v>
      </c>
    </row>
    <row r="17" spans="1:21" s="29" customFormat="1" ht="20.25" customHeight="1">
      <c r="A17" s="59">
        <v>11</v>
      </c>
      <c r="B17" s="45" t="s">
        <v>194</v>
      </c>
      <c r="C17" s="45">
        <v>11</v>
      </c>
      <c r="D17" s="45">
        <v>10</v>
      </c>
      <c r="E17" s="64">
        <v>1243.52</v>
      </c>
      <c r="F17" s="50">
        <v>183.48</v>
      </c>
      <c r="G17" s="31">
        <f t="shared" si="0"/>
        <v>1427</v>
      </c>
      <c r="H17" s="31">
        <v>1147.3</v>
      </c>
      <c r="I17" s="31">
        <v>22</v>
      </c>
      <c r="J17" s="31">
        <v>15.8</v>
      </c>
      <c r="K17" s="31">
        <v>9.1</v>
      </c>
      <c r="L17" s="31">
        <v>2</v>
      </c>
      <c r="M17" s="31">
        <v>26.8</v>
      </c>
      <c r="N17" s="31">
        <v>20.8</v>
      </c>
      <c r="O17" s="31">
        <v>28.417000000000002</v>
      </c>
      <c r="P17" s="31"/>
      <c r="Q17" s="31">
        <v>50.9</v>
      </c>
      <c r="R17" s="31"/>
      <c r="S17" s="31">
        <v>103.883</v>
      </c>
      <c r="T17" s="46">
        <f t="shared" si="1"/>
        <v>279.7</v>
      </c>
      <c r="U17" s="42">
        <f t="shared" si="2"/>
        <v>1427</v>
      </c>
    </row>
    <row r="18" spans="1:21" s="29" customFormat="1" ht="20.25" customHeight="1">
      <c r="A18" s="59">
        <v>12</v>
      </c>
      <c r="B18" s="45" t="s">
        <v>57</v>
      </c>
      <c r="C18" s="45">
        <v>40</v>
      </c>
      <c r="D18" s="45">
        <v>38</v>
      </c>
      <c r="E18" s="64">
        <v>5763.9024980000004</v>
      </c>
      <c r="F18" s="50">
        <v>667.2</v>
      </c>
      <c r="G18" s="31">
        <f t="shared" si="0"/>
        <v>6431.1024980000002</v>
      </c>
      <c r="H18" s="31">
        <v>5753.4235849999995</v>
      </c>
      <c r="I18" s="31"/>
      <c r="J18" s="31">
        <v>29.745543000000001</v>
      </c>
      <c r="K18" s="31">
        <v>165.09299999999999</v>
      </c>
      <c r="L18" s="31">
        <v>3.4887700000000001</v>
      </c>
      <c r="M18" s="31">
        <v>166.756</v>
      </c>
      <c r="N18" s="31">
        <v>26</v>
      </c>
      <c r="O18" s="31">
        <v>6.8</v>
      </c>
      <c r="P18" s="31">
        <v>100</v>
      </c>
      <c r="Q18" s="31">
        <v>116.4396</v>
      </c>
      <c r="R18" s="31"/>
      <c r="S18" s="31">
        <v>63.355999999999995</v>
      </c>
      <c r="T18" s="46">
        <f t="shared" si="1"/>
        <v>677.67891299999997</v>
      </c>
      <c r="U18" s="42">
        <f t="shared" si="2"/>
        <v>6431.1024979999993</v>
      </c>
    </row>
    <row r="19" spans="1:21" s="29" customFormat="1" ht="20.25" customHeight="1">
      <c r="A19" s="59">
        <v>13</v>
      </c>
      <c r="B19" s="45" t="s">
        <v>58</v>
      </c>
      <c r="C19" s="45">
        <v>49</v>
      </c>
      <c r="D19" s="45">
        <v>43</v>
      </c>
      <c r="E19" s="64">
        <v>7025.2666170000002</v>
      </c>
      <c r="F19" s="50">
        <v>817.31999999999994</v>
      </c>
      <c r="G19" s="31">
        <f t="shared" si="0"/>
        <v>7842.5866169999999</v>
      </c>
      <c r="H19" s="31">
        <v>6525.9933220000003</v>
      </c>
      <c r="I19" s="31"/>
      <c r="J19" s="31">
        <v>29.345952</v>
      </c>
      <c r="K19" s="31">
        <v>203.34700000000001</v>
      </c>
      <c r="L19" s="31">
        <v>36.248331</v>
      </c>
      <c r="M19" s="31">
        <v>165.441</v>
      </c>
      <c r="N19" s="31">
        <v>33.694499999999998</v>
      </c>
      <c r="O19" s="31">
        <v>231.7045</v>
      </c>
      <c r="P19" s="31">
        <v>235.39</v>
      </c>
      <c r="Q19" s="31">
        <v>191.545962</v>
      </c>
      <c r="R19" s="31"/>
      <c r="S19" s="31">
        <v>189.87604999999999</v>
      </c>
      <c r="T19" s="46">
        <f t="shared" si="1"/>
        <v>1316.5932950000001</v>
      </c>
      <c r="U19" s="42">
        <f t="shared" si="2"/>
        <v>7842.5866170000008</v>
      </c>
    </row>
    <row r="20" spans="1:21" s="29" customFormat="1" ht="20.25" customHeight="1">
      <c r="A20" s="59">
        <v>14</v>
      </c>
      <c r="B20" s="45" t="s">
        <v>59</v>
      </c>
      <c r="C20" s="45">
        <v>25</v>
      </c>
      <c r="D20" s="45">
        <v>23</v>
      </c>
      <c r="E20" s="64">
        <v>4071.0370000000003</v>
      </c>
      <c r="F20" s="50">
        <v>417</v>
      </c>
      <c r="G20" s="31">
        <f t="shared" si="0"/>
        <v>4488.0370000000003</v>
      </c>
      <c r="H20" s="31">
        <v>4006.951</v>
      </c>
      <c r="I20" s="31">
        <v>45.043999999999997</v>
      </c>
      <c r="J20" s="31">
        <v>21.14</v>
      </c>
      <c r="K20" s="31">
        <v>55.69</v>
      </c>
      <c r="L20" s="31">
        <v>8.0739999999999998</v>
      </c>
      <c r="M20" s="31">
        <v>130.47300000000001</v>
      </c>
      <c r="N20" s="31">
        <v>54.03</v>
      </c>
      <c r="O20" s="31">
        <v>10.978</v>
      </c>
      <c r="P20" s="31"/>
      <c r="Q20" s="31">
        <v>96.022999999999996</v>
      </c>
      <c r="R20" s="31"/>
      <c r="S20" s="31">
        <v>56.804000000000002</v>
      </c>
      <c r="T20" s="46">
        <f t="shared" si="1"/>
        <v>478.25599999999997</v>
      </c>
      <c r="U20" s="42">
        <f t="shared" si="2"/>
        <v>4485.2070000000003</v>
      </c>
    </row>
    <row r="21" spans="1:21" s="29" customFormat="1" ht="20.25" customHeight="1">
      <c r="A21" s="59">
        <v>15</v>
      </c>
      <c r="B21" s="45" t="s">
        <v>157</v>
      </c>
      <c r="C21" s="45">
        <v>18</v>
      </c>
      <c r="D21" s="45">
        <v>17</v>
      </c>
      <c r="E21" s="64">
        <v>2946.8808740000004</v>
      </c>
      <c r="F21" s="50">
        <v>300.24</v>
      </c>
      <c r="G21" s="31">
        <f t="shared" si="0"/>
        <v>3247.1208740000002</v>
      </c>
      <c r="H21" s="31">
        <v>2907.0130070000005</v>
      </c>
      <c r="I21" s="31">
        <v>50.042000000000002</v>
      </c>
      <c r="J21" s="31">
        <v>7.1764289999999997</v>
      </c>
      <c r="K21" s="31">
        <v>18.285</v>
      </c>
      <c r="L21" s="31">
        <v>7.477779</v>
      </c>
      <c r="M21" s="31">
        <v>68.617999999999995</v>
      </c>
      <c r="N21" s="31">
        <v>43.222999999999999</v>
      </c>
      <c r="O21" s="31">
        <v>17.594999999999999</v>
      </c>
      <c r="P21" s="31"/>
      <c r="Q21" s="31">
        <v>64.870599999999996</v>
      </c>
      <c r="R21" s="31"/>
      <c r="S21" s="31">
        <v>58.408200000000001</v>
      </c>
      <c r="T21" s="46">
        <f t="shared" si="1"/>
        <v>335.69600800000001</v>
      </c>
      <c r="U21" s="42">
        <f t="shared" si="2"/>
        <v>3242.7090150000004</v>
      </c>
    </row>
    <row r="22" spans="1:21" s="29" customFormat="1" ht="20.25" customHeight="1">
      <c r="A22" s="59">
        <v>16</v>
      </c>
      <c r="B22" s="45" t="s">
        <v>60</v>
      </c>
      <c r="C22" s="45">
        <v>43</v>
      </c>
      <c r="D22" s="45">
        <v>36</v>
      </c>
      <c r="E22" s="64">
        <v>6278.1403800000007</v>
      </c>
      <c r="F22" s="50">
        <v>717.24</v>
      </c>
      <c r="G22" s="31">
        <f t="shared" si="0"/>
        <v>6995.3803800000005</v>
      </c>
      <c r="H22" s="28">
        <v>6345.2956979999999</v>
      </c>
      <c r="I22" s="28"/>
      <c r="J22" s="28">
        <v>34.319679000000001</v>
      </c>
      <c r="K22" s="28">
        <v>100.8905</v>
      </c>
      <c r="L22" s="28">
        <v>14.499347</v>
      </c>
      <c r="M22" s="28">
        <v>107.157512</v>
      </c>
      <c r="N22" s="28">
        <v>8.52</v>
      </c>
      <c r="O22" s="28">
        <v>63.913944000000001</v>
      </c>
      <c r="P22" s="28">
        <v>65.756</v>
      </c>
      <c r="Q22" s="28">
        <v>200.4693</v>
      </c>
      <c r="R22" s="28"/>
      <c r="S22" s="28">
        <v>54.558399999999999</v>
      </c>
      <c r="T22" s="46">
        <f t="shared" si="1"/>
        <v>650.08468199999993</v>
      </c>
      <c r="U22" s="42">
        <f t="shared" si="2"/>
        <v>6995.3803799999996</v>
      </c>
    </row>
    <row r="23" spans="1:21" s="29" customFormat="1" ht="20.25" customHeight="1">
      <c r="A23" s="59">
        <v>17</v>
      </c>
      <c r="B23" s="34" t="s">
        <v>61</v>
      </c>
      <c r="C23" s="45">
        <v>21</v>
      </c>
      <c r="D23" s="45">
        <v>17</v>
      </c>
      <c r="E23" s="64">
        <v>2979.2268419999991</v>
      </c>
      <c r="F23" s="50">
        <v>350.28</v>
      </c>
      <c r="G23" s="31">
        <f t="shared" si="0"/>
        <v>3329.5068419999989</v>
      </c>
      <c r="H23" s="31">
        <v>2950.6206899999997</v>
      </c>
      <c r="I23" s="31">
        <v>82.295596000000003</v>
      </c>
      <c r="J23" s="31">
        <v>8.2424130000000009</v>
      </c>
      <c r="K23" s="31">
        <v>21.95</v>
      </c>
      <c r="L23" s="31">
        <v>6.6682430000000004</v>
      </c>
      <c r="M23" s="31">
        <v>75.283000000000001</v>
      </c>
      <c r="N23" s="31">
        <v>1.68</v>
      </c>
      <c r="O23" s="31">
        <v>15.196</v>
      </c>
      <c r="P23" s="31">
        <v>10</v>
      </c>
      <c r="Q23" s="31">
        <v>105.12090000000001</v>
      </c>
      <c r="R23" s="31"/>
      <c r="S23" s="31">
        <v>52.449999999999996</v>
      </c>
      <c r="T23" s="46">
        <f t="shared" si="1"/>
        <v>378.88615199999998</v>
      </c>
      <c r="U23" s="42">
        <f t="shared" si="2"/>
        <v>3329.5068419999998</v>
      </c>
    </row>
    <row r="24" spans="1:21" s="29" customFormat="1" ht="20.25" customHeight="1">
      <c r="A24" s="59">
        <v>18</v>
      </c>
      <c r="B24" s="45" t="s">
        <v>62</v>
      </c>
      <c r="C24" s="45">
        <v>27</v>
      </c>
      <c r="D24" s="45">
        <v>26</v>
      </c>
      <c r="E24" s="64">
        <v>4312.1232030000001</v>
      </c>
      <c r="F24" s="50">
        <v>450.36</v>
      </c>
      <c r="G24" s="31">
        <f t="shared" si="0"/>
        <v>4762.4832029999998</v>
      </c>
      <c r="H24" s="31">
        <v>4326.344529</v>
      </c>
      <c r="I24" s="31"/>
      <c r="J24" s="31">
        <v>18.687021999999999</v>
      </c>
      <c r="K24" s="31">
        <v>53.637999999999998</v>
      </c>
      <c r="L24" s="31">
        <v>7.8303039999999999</v>
      </c>
      <c r="M24" s="31">
        <v>140.11600000000001</v>
      </c>
      <c r="N24" s="31">
        <v>26.4</v>
      </c>
      <c r="O24" s="31">
        <v>32.156999999999996</v>
      </c>
      <c r="P24" s="31"/>
      <c r="Q24" s="31">
        <v>115.2966</v>
      </c>
      <c r="R24" s="31"/>
      <c r="S24" s="31">
        <v>41.886000000000003</v>
      </c>
      <c r="T24" s="46">
        <f t="shared" si="1"/>
        <v>436.01092600000004</v>
      </c>
      <c r="U24" s="42">
        <f t="shared" si="2"/>
        <v>4762.3554549999999</v>
      </c>
    </row>
    <row r="25" spans="1:21" s="29" customFormat="1" ht="20.25" customHeight="1">
      <c r="A25" s="59">
        <v>19</v>
      </c>
      <c r="B25" s="45" t="s">
        <v>63</v>
      </c>
      <c r="C25" s="45">
        <v>19</v>
      </c>
      <c r="D25" s="45">
        <v>16</v>
      </c>
      <c r="E25" s="64">
        <v>2470.2536009999999</v>
      </c>
      <c r="F25" s="50">
        <v>316.92</v>
      </c>
      <c r="G25" s="31">
        <f t="shared" si="0"/>
        <v>2787.173601</v>
      </c>
      <c r="H25" s="31">
        <v>2362.0382920000002</v>
      </c>
      <c r="I25" s="31"/>
      <c r="J25" s="31">
        <v>37.141022999999997</v>
      </c>
      <c r="K25" s="31">
        <v>51.637999999999998</v>
      </c>
      <c r="L25" s="31">
        <v>3.9384000000000001</v>
      </c>
      <c r="M25" s="31">
        <v>139.84200000000001</v>
      </c>
      <c r="N25" s="31">
        <v>30</v>
      </c>
      <c r="O25" s="31">
        <v>2.5</v>
      </c>
      <c r="P25" s="31"/>
      <c r="Q25" s="31">
        <v>71.677000000000007</v>
      </c>
      <c r="R25" s="31"/>
      <c r="S25" s="31">
        <v>88.135000000000005</v>
      </c>
      <c r="T25" s="46">
        <f t="shared" si="1"/>
        <v>424.87142300000005</v>
      </c>
      <c r="U25" s="42">
        <f t="shared" si="2"/>
        <v>2786.9097150000002</v>
      </c>
    </row>
    <row r="26" spans="1:21" s="29" customFormat="1" ht="20.25" customHeight="1">
      <c r="A26" s="59">
        <v>20</v>
      </c>
      <c r="B26" s="45" t="s">
        <v>64</v>
      </c>
      <c r="C26" s="45">
        <v>27</v>
      </c>
      <c r="D26" s="45">
        <v>27</v>
      </c>
      <c r="E26" s="64">
        <v>5025.5795500000004</v>
      </c>
      <c r="F26" s="50">
        <v>450.36</v>
      </c>
      <c r="G26" s="31">
        <f t="shared" si="0"/>
        <v>5475.9395500000001</v>
      </c>
      <c r="H26" s="31">
        <v>4752.572349</v>
      </c>
      <c r="I26" s="31">
        <v>120.495</v>
      </c>
      <c r="J26" s="31">
        <v>21.277123</v>
      </c>
      <c r="K26" s="31"/>
      <c r="L26" s="31">
        <v>6.117769</v>
      </c>
      <c r="M26" s="31">
        <v>100.538</v>
      </c>
      <c r="N26" s="31">
        <v>56.06617</v>
      </c>
      <c r="O26" s="31">
        <v>47.143540000000002</v>
      </c>
      <c r="P26" s="31">
        <v>36</v>
      </c>
      <c r="Q26" s="31">
        <v>197.976</v>
      </c>
      <c r="R26" s="31"/>
      <c r="S26" s="31">
        <v>55.503352</v>
      </c>
      <c r="T26" s="46">
        <f t="shared" si="1"/>
        <v>641.11695399999996</v>
      </c>
      <c r="U26" s="42">
        <f t="shared" si="2"/>
        <v>5393.6893030000001</v>
      </c>
    </row>
    <row r="27" spans="1:21" s="29" customFormat="1" ht="20.25" customHeight="1">
      <c r="A27" s="59">
        <v>21</v>
      </c>
      <c r="B27" s="45" t="s">
        <v>65</v>
      </c>
      <c r="C27" s="45">
        <v>33</v>
      </c>
      <c r="D27" s="45">
        <v>32</v>
      </c>
      <c r="E27" s="64">
        <v>5697.4037800000006</v>
      </c>
      <c r="F27" s="50">
        <v>550.44000000000005</v>
      </c>
      <c r="G27" s="31">
        <f t="shared" si="0"/>
        <v>6247.8437800000011</v>
      </c>
      <c r="H27" s="31">
        <v>5519.4876100000001</v>
      </c>
      <c r="I27" s="31">
        <v>87.677000000000007</v>
      </c>
      <c r="J27" s="31">
        <v>22.344712000000001</v>
      </c>
      <c r="K27" s="31">
        <v>14.266</v>
      </c>
      <c r="L27" s="31">
        <v>7.0065569999999999</v>
      </c>
      <c r="M27" s="31">
        <v>188.23399999999998</v>
      </c>
      <c r="N27" s="31">
        <v>40.94</v>
      </c>
      <c r="O27" s="31">
        <v>20</v>
      </c>
      <c r="P27" s="31">
        <v>12.4</v>
      </c>
      <c r="Q27" s="31">
        <v>92.414199999999994</v>
      </c>
      <c r="R27" s="31"/>
      <c r="S27" s="31">
        <v>237.15847500000001</v>
      </c>
      <c r="T27" s="46">
        <f t="shared" si="1"/>
        <v>722.44094399999994</v>
      </c>
      <c r="U27" s="42">
        <f t="shared" si="2"/>
        <v>6241.9285540000001</v>
      </c>
    </row>
    <row r="28" spans="1:21" s="29" customFormat="1" ht="20.25" customHeight="1">
      <c r="A28" s="59">
        <v>22</v>
      </c>
      <c r="B28" s="45" t="s">
        <v>66</v>
      </c>
      <c r="C28" s="45">
        <v>22</v>
      </c>
      <c r="D28" s="45">
        <v>22</v>
      </c>
      <c r="E28" s="64">
        <v>3556.1124139999997</v>
      </c>
      <c r="F28" s="50">
        <v>366.96</v>
      </c>
      <c r="G28" s="31">
        <f t="shared" si="0"/>
        <v>3923.0724139999998</v>
      </c>
      <c r="H28" s="31">
        <v>3399.5370809999999</v>
      </c>
      <c r="I28" s="31">
        <v>110.01600000000001</v>
      </c>
      <c r="J28" s="31">
        <v>5.9514459999999998</v>
      </c>
      <c r="K28" s="31"/>
      <c r="L28" s="31">
        <v>9.1217810000000004</v>
      </c>
      <c r="M28" s="31">
        <v>101.97199999999999</v>
      </c>
      <c r="N28" s="31">
        <v>25.16</v>
      </c>
      <c r="O28" s="31">
        <v>19.725000000000001</v>
      </c>
      <c r="P28" s="31">
        <v>18.899999999999999</v>
      </c>
      <c r="Q28" s="31">
        <v>97.576300000000003</v>
      </c>
      <c r="R28" s="31"/>
      <c r="S28" s="31">
        <v>135.07239999999999</v>
      </c>
      <c r="T28" s="46">
        <f t="shared" si="1"/>
        <v>523.49492699999996</v>
      </c>
      <c r="U28" s="42">
        <f t="shared" si="2"/>
        <v>3923.0320080000001</v>
      </c>
    </row>
    <row r="29" spans="1:21" s="29" customFormat="1" ht="20.25" customHeight="1">
      <c r="A29" s="59">
        <v>23</v>
      </c>
      <c r="B29" s="34" t="s">
        <v>67</v>
      </c>
      <c r="C29" s="45">
        <v>18</v>
      </c>
      <c r="D29" s="45">
        <v>16</v>
      </c>
      <c r="E29" s="64">
        <v>2109.7600000000002</v>
      </c>
      <c r="F29" s="50">
        <v>300.24</v>
      </c>
      <c r="G29" s="31">
        <f t="shared" si="0"/>
        <v>2410</v>
      </c>
      <c r="H29" s="31">
        <v>2113</v>
      </c>
      <c r="I29" s="31">
        <v>61.5</v>
      </c>
      <c r="J29" s="31">
        <v>14.6</v>
      </c>
      <c r="K29" s="31">
        <v>0</v>
      </c>
      <c r="L29" s="31">
        <v>3.6</v>
      </c>
      <c r="M29" s="31">
        <v>86</v>
      </c>
      <c r="N29" s="31">
        <v>36.5</v>
      </c>
      <c r="O29" s="31">
        <v>27.6</v>
      </c>
      <c r="P29" s="31"/>
      <c r="Q29" s="31">
        <v>13.8</v>
      </c>
      <c r="R29" s="31"/>
      <c r="S29" s="31">
        <v>53.4</v>
      </c>
      <c r="T29" s="46">
        <f t="shared" si="1"/>
        <v>297</v>
      </c>
      <c r="U29" s="42">
        <f t="shared" si="2"/>
        <v>2410</v>
      </c>
    </row>
    <row r="30" spans="1:21" s="29" customFormat="1" ht="20.25" customHeight="1">
      <c r="A30" s="59">
        <v>24</v>
      </c>
      <c r="B30" s="45" t="s">
        <v>68</v>
      </c>
      <c r="C30" s="45">
        <v>21</v>
      </c>
      <c r="D30" s="45">
        <v>21</v>
      </c>
      <c r="E30" s="64">
        <v>3085.4800000000005</v>
      </c>
      <c r="F30" s="50">
        <v>350.28</v>
      </c>
      <c r="G30" s="31">
        <f t="shared" si="0"/>
        <v>3435.76</v>
      </c>
      <c r="H30" s="31">
        <v>2970.6692710000002</v>
      </c>
      <c r="I30" s="31"/>
      <c r="J30" s="31">
        <v>9.8671279999999992</v>
      </c>
      <c r="K30" s="31">
        <v>52.085999999999999</v>
      </c>
      <c r="L30" s="31">
        <v>8.2256660000000004</v>
      </c>
      <c r="M30" s="31">
        <v>132.58099999999999</v>
      </c>
      <c r="N30" s="31">
        <v>37.666600000000003</v>
      </c>
      <c r="O30" s="31">
        <v>96.183000000000007</v>
      </c>
      <c r="P30" s="31"/>
      <c r="Q30" s="31">
        <v>81.431799999999996</v>
      </c>
      <c r="R30" s="31"/>
      <c r="S30" s="31">
        <v>41.869500000000002</v>
      </c>
      <c r="T30" s="46">
        <f t="shared" si="1"/>
        <v>459.91069400000003</v>
      </c>
      <c r="U30" s="42">
        <f t="shared" si="2"/>
        <v>3430.5799650000004</v>
      </c>
    </row>
    <row r="31" spans="1:21" s="29" customFormat="1" ht="20.25" customHeight="1">
      <c r="A31" s="59">
        <v>25</v>
      </c>
      <c r="B31" s="45" t="s">
        <v>69</v>
      </c>
      <c r="C31" s="45">
        <v>20</v>
      </c>
      <c r="D31" s="45">
        <v>20</v>
      </c>
      <c r="E31" s="64">
        <v>2883.4305870000003</v>
      </c>
      <c r="F31" s="50">
        <v>333.6</v>
      </c>
      <c r="G31" s="31">
        <f t="shared" si="0"/>
        <v>3217.0305870000002</v>
      </c>
      <c r="H31" s="31">
        <v>2713.640566</v>
      </c>
      <c r="I31" s="31"/>
      <c r="J31" s="31">
        <v>27.673262999999999</v>
      </c>
      <c r="K31" s="31">
        <v>90.230999999999995</v>
      </c>
      <c r="L31" s="31">
        <v>7.6928999999999998</v>
      </c>
      <c r="M31" s="31">
        <v>60.379000000000005</v>
      </c>
      <c r="N31" s="31">
        <v>26.4</v>
      </c>
      <c r="O31" s="31">
        <v>42.92</v>
      </c>
      <c r="P31" s="31"/>
      <c r="Q31" s="31">
        <v>121.89385799999999</v>
      </c>
      <c r="R31" s="31"/>
      <c r="S31" s="31">
        <v>126.2</v>
      </c>
      <c r="T31" s="46">
        <f t="shared" si="1"/>
        <v>503.39002099999999</v>
      </c>
      <c r="U31" s="42">
        <f t="shared" si="2"/>
        <v>3217.0305870000002</v>
      </c>
    </row>
    <row r="32" spans="1:21" s="29" customFormat="1" ht="20.25" customHeight="1">
      <c r="A32" s="59">
        <v>26</v>
      </c>
      <c r="B32" s="45" t="s">
        <v>70</v>
      </c>
      <c r="C32" s="45">
        <v>21</v>
      </c>
      <c r="D32" s="45">
        <v>21</v>
      </c>
      <c r="E32" s="64">
        <v>2990.34</v>
      </c>
      <c r="F32" s="50">
        <v>350.28</v>
      </c>
      <c r="G32" s="31">
        <f t="shared" si="0"/>
        <v>3340.62</v>
      </c>
      <c r="H32" s="31">
        <v>2805.5859999999998</v>
      </c>
      <c r="I32" s="31">
        <v>57.587000000000003</v>
      </c>
      <c r="J32" s="31">
        <v>12.243</v>
      </c>
      <c r="K32" s="31">
        <v>26.12</v>
      </c>
      <c r="L32" s="31">
        <v>3.7530000000000001</v>
      </c>
      <c r="M32" s="31">
        <v>124.995</v>
      </c>
      <c r="N32" s="31">
        <v>37.6</v>
      </c>
      <c r="O32" s="31">
        <v>3.298</v>
      </c>
      <c r="P32" s="31">
        <v>16.995000000000001</v>
      </c>
      <c r="Q32" s="31">
        <v>93.927000000000007</v>
      </c>
      <c r="R32" s="31"/>
      <c r="S32" s="31">
        <v>156.77500000000001</v>
      </c>
      <c r="T32" s="46">
        <f t="shared" si="1"/>
        <v>533.29300000000001</v>
      </c>
      <c r="U32" s="42">
        <f t="shared" si="2"/>
        <v>3338.8789999999999</v>
      </c>
    </row>
    <row r="33" spans="1:21" s="29" customFormat="1" ht="20.25" customHeight="1">
      <c r="A33" s="59">
        <v>27</v>
      </c>
      <c r="B33" s="121" t="s">
        <v>71</v>
      </c>
      <c r="C33" s="45">
        <v>11</v>
      </c>
      <c r="D33" s="45">
        <v>9</v>
      </c>
      <c r="E33" s="64">
        <v>1294.7489859999998</v>
      </c>
      <c r="F33" s="50">
        <v>183.48</v>
      </c>
      <c r="G33" s="31">
        <f t="shared" si="0"/>
        <v>1478.2289859999998</v>
      </c>
      <c r="H33" s="31">
        <v>1117.3695770000002</v>
      </c>
      <c r="I33" s="31">
        <v>102.86749999999999</v>
      </c>
      <c r="J33" s="31">
        <v>21.334765000000001</v>
      </c>
      <c r="K33" s="31">
        <v>16.655000000000001</v>
      </c>
      <c r="L33" s="31">
        <v>6.1282680000000003</v>
      </c>
      <c r="M33" s="31">
        <v>40.080995000000001</v>
      </c>
      <c r="N33" s="31">
        <v>2.5</v>
      </c>
      <c r="O33" s="31">
        <v>18.52</v>
      </c>
      <c r="P33" s="31">
        <v>19.5</v>
      </c>
      <c r="Q33" s="31">
        <v>43.665999999999997</v>
      </c>
      <c r="R33" s="31"/>
      <c r="S33" s="31">
        <v>85.277450000000002</v>
      </c>
      <c r="T33" s="46">
        <f t="shared" si="1"/>
        <v>356.52997799999997</v>
      </c>
      <c r="U33" s="42">
        <f t="shared" si="2"/>
        <v>1473.8995550000002</v>
      </c>
    </row>
    <row r="34" spans="1:21" s="29" customFormat="1" ht="20.25" customHeight="1">
      <c r="A34" s="59">
        <v>28</v>
      </c>
      <c r="B34" s="45" t="s">
        <v>72</v>
      </c>
      <c r="C34" s="45">
        <v>20</v>
      </c>
      <c r="D34" s="45">
        <v>17</v>
      </c>
      <c r="E34" s="64">
        <v>2769.6268869999999</v>
      </c>
      <c r="F34" s="50">
        <v>333.6</v>
      </c>
      <c r="G34" s="31">
        <f t="shared" si="0"/>
        <v>3103.2268869999998</v>
      </c>
      <c r="H34" s="28">
        <v>2763.1197120000002</v>
      </c>
      <c r="I34" s="28"/>
      <c r="J34" s="28">
        <v>18.327666000000001</v>
      </c>
      <c r="K34" s="28">
        <v>25.82</v>
      </c>
      <c r="L34" s="28">
        <v>4.4672919999999996</v>
      </c>
      <c r="M34" s="28">
        <v>68.959999999999994</v>
      </c>
      <c r="N34" s="28">
        <v>0.65</v>
      </c>
      <c r="O34" s="28">
        <v>15.4</v>
      </c>
      <c r="P34" s="28"/>
      <c r="Q34" s="28">
        <v>143.92021500000001</v>
      </c>
      <c r="R34" s="28"/>
      <c r="S34" s="28">
        <v>61.799500000000002</v>
      </c>
      <c r="T34" s="46">
        <f t="shared" si="1"/>
        <v>339.344673</v>
      </c>
      <c r="U34" s="42">
        <f t="shared" si="2"/>
        <v>3102.4643850000002</v>
      </c>
    </row>
    <row r="35" spans="1:21" s="29" customFormat="1" ht="20.25" customHeight="1">
      <c r="A35" s="59">
        <v>29</v>
      </c>
      <c r="B35" s="121" t="s">
        <v>73</v>
      </c>
      <c r="C35" s="45">
        <v>11</v>
      </c>
      <c r="D35" s="45">
        <v>10</v>
      </c>
      <c r="E35" s="64">
        <v>1904.8817720000002</v>
      </c>
      <c r="F35" s="50">
        <v>183.48</v>
      </c>
      <c r="G35" s="31">
        <f t="shared" si="0"/>
        <v>2088.3617720000002</v>
      </c>
      <c r="H35" s="31">
        <v>1781.7793300000001</v>
      </c>
      <c r="I35" s="31">
        <v>41.140999999999998</v>
      </c>
      <c r="J35" s="31">
        <v>6.3839240000000004</v>
      </c>
      <c r="K35" s="31">
        <v>39.055</v>
      </c>
      <c r="L35" s="31">
        <v>2.3532999999999999</v>
      </c>
      <c r="M35" s="31">
        <v>28.808</v>
      </c>
      <c r="N35" s="31"/>
      <c r="O35" s="31">
        <v>26.742719000000001</v>
      </c>
      <c r="P35" s="31">
        <v>12.49</v>
      </c>
      <c r="Q35" s="31">
        <v>104.8531</v>
      </c>
      <c r="R35" s="31"/>
      <c r="S35" s="31">
        <v>44.755398999999997</v>
      </c>
      <c r="T35" s="46">
        <f t="shared" si="1"/>
        <v>306.58244200000001</v>
      </c>
      <c r="U35" s="42">
        <f t="shared" si="2"/>
        <v>2088.3617720000002</v>
      </c>
    </row>
    <row r="36" spans="1:21" s="29" customFormat="1" ht="20.25" customHeight="1">
      <c r="A36" s="59">
        <v>30</v>
      </c>
      <c r="B36" s="45" t="s">
        <v>74</v>
      </c>
      <c r="C36" s="45">
        <v>20</v>
      </c>
      <c r="D36" s="45">
        <v>16</v>
      </c>
      <c r="E36" s="64">
        <v>2558.1139670000002</v>
      </c>
      <c r="F36" s="50">
        <v>333.6</v>
      </c>
      <c r="G36" s="31">
        <f t="shared" si="0"/>
        <v>2891.7139670000001</v>
      </c>
      <c r="H36" s="31">
        <v>2482.8207269999998</v>
      </c>
      <c r="I36" s="31"/>
      <c r="J36" s="31">
        <v>7.6112289999999998</v>
      </c>
      <c r="K36" s="31">
        <v>43.744999999999997</v>
      </c>
      <c r="L36" s="31">
        <v>9.5827390000000001</v>
      </c>
      <c r="M36" s="31">
        <v>74.876000000000005</v>
      </c>
      <c r="N36" s="31">
        <v>30</v>
      </c>
      <c r="O36" s="31">
        <v>12.321</v>
      </c>
      <c r="P36" s="31"/>
      <c r="Q36" s="31">
        <v>136.464</v>
      </c>
      <c r="R36" s="31"/>
      <c r="S36" s="31">
        <v>91.695299999999989</v>
      </c>
      <c r="T36" s="46">
        <f t="shared" si="1"/>
        <v>406.29526799999996</v>
      </c>
      <c r="U36" s="42">
        <f t="shared" si="2"/>
        <v>2889.1159949999997</v>
      </c>
    </row>
    <row r="37" spans="1:21" s="29" customFormat="1" ht="20.25" customHeight="1">
      <c r="A37" s="59">
        <v>31</v>
      </c>
      <c r="B37" s="45" t="s">
        <v>75</v>
      </c>
      <c r="C37" s="45">
        <v>19</v>
      </c>
      <c r="D37" s="45">
        <v>15</v>
      </c>
      <c r="E37" s="64">
        <v>2556.2261290000001</v>
      </c>
      <c r="F37" s="50">
        <v>316.92</v>
      </c>
      <c r="G37" s="31">
        <f t="shared" si="0"/>
        <v>2873.1461290000002</v>
      </c>
      <c r="H37" s="31">
        <v>2510.7593440000001</v>
      </c>
      <c r="I37" s="31">
        <v>36.274999999999999</v>
      </c>
      <c r="J37" s="31">
        <v>26.086773000000001</v>
      </c>
      <c r="K37" s="31"/>
      <c r="L37" s="31">
        <v>6.746912</v>
      </c>
      <c r="M37" s="31">
        <v>44.652999999999999</v>
      </c>
      <c r="N37" s="31">
        <v>38.26</v>
      </c>
      <c r="O37" s="31">
        <v>21.25</v>
      </c>
      <c r="P37" s="31">
        <v>57.75</v>
      </c>
      <c r="Q37" s="31">
        <v>109.1031</v>
      </c>
      <c r="R37" s="31"/>
      <c r="S37" s="31">
        <v>18.846</v>
      </c>
      <c r="T37" s="46">
        <f t="shared" si="1"/>
        <v>358.97078499999998</v>
      </c>
      <c r="U37" s="42">
        <f t="shared" si="2"/>
        <v>2869.730129</v>
      </c>
    </row>
    <row r="38" spans="1:21" s="29" customFormat="1" ht="20.25" customHeight="1">
      <c r="A38" s="59">
        <v>32</v>
      </c>
      <c r="B38" s="45" t="s">
        <v>76</v>
      </c>
      <c r="C38" s="45">
        <v>27</v>
      </c>
      <c r="D38" s="45">
        <v>24</v>
      </c>
      <c r="E38" s="64">
        <v>4130.486812000001</v>
      </c>
      <c r="F38" s="50">
        <v>450.36</v>
      </c>
      <c r="G38" s="31">
        <f t="shared" si="0"/>
        <v>4580.8468120000007</v>
      </c>
      <c r="H38" s="31">
        <v>3979.988421</v>
      </c>
      <c r="I38" s="31">
        <v>61.368000000000002</v>
      </c>
      <c r="J38" s="31">
        <v>11.684704999999999</v>
      </c>
      <c r="K38" s="31">
        <v>8.24</v>
      </c>
      <c r="L38" s="31">
        <v>5.6004040000000002</v>
      </c>
      <c r="M38" s="31">
        <v>162.57499999999999</v>
      </c>
      <c r="N38" s="31">
        <v>38.78</v>
      </c>
      <c r="O38" s="31">
        <v>18.760000000000002</v>
      </c>
      <c r="P38" s="31"/>
      <c r="Q38" s="31">
        <v>96.031300000000002</v>
      </c>
      <c r="R38" s="31"/>
      <c r="S38" s="31">
        <v>180.68379999999999</v>
      </c>
      <c r="T38" s="46">
        <f t="shared" si="1"/>
        <v>583.723209</v>
      </c>
      <c r="U38" s="42">
        <f t="shared" si="2"/>
        <v>4563.7116299999998</v>
      </c>
    </row>
    <row r="39" spans="1:21" s="29" customFormat="1" ht="20.25" customHeight="1">
      <c r="A39" s="59">
        <v>33</v>
      </c>
      <c r="B39" s="34" t="s">
        <v>77</v>
      </c>
      <c r="C39" s="45">
        <v>10</v>
      </c>
      <c r="D39" s="45">
        <v>10</v>
      </c>
      <c r="E39" s="64">
        <v>1377.2</v>
      </c>
      <c r="F39" s="50">
        <v>166.8</v>
      </c>
      <c r="G39" s="31">
        <f t="shared" si="0"/>
        <v>1544</v>
      </c>
      <c r="H39" s="31">
        <v>1314</v>
      </c>
      <c r="I39" s="31">
        <v>30.5</v>
      </c>
      <c r="J39" s="31">
        <v>12.3</v>
      </c>
      <c r="K39" s="31">
        <v>8.3000000000000007</v>
      </c>
      <c r="L39" s="31">
        <v>3.9</v>
      </c>
      <c r="M39" s="31">
        <v>67</v>
      </c>
      <c r="N39" s="31">
        <v>1.7</v>
      </c>
      <c r="O39" s="31">
        <v>9.5</v>
      </c>
      <c r="P39" s="31"/>
      <c r="Q39" s="31">
        <v>43.8</v>
      </c>
      <c r="R39" s="31"/>
      <c r="S39" s="31">
        <v>53</v>
      </c>
      <c r="T39" s="46">
        <f t="shared" si="1"/>
        <v>230</v>
      </c>
      <c r="U39" s="42">
        <f t="shared" si="2"/>
        <v>1544</v>
      </c>
    </row>
    <row r="40" spans="1:21" s="29" customFormat="1" ht="20.25" customHeight="1">
      <c r="A40" s="59">
        <v>34</v>
      </c>
      <c r="B40" s="45" t="s">
        <v>78</v>
      </c>
      <c r="C40" s="45">
        <v>33</v>
      </c>
      <c r="D40" s="45">
        <v>26</v>
      </c>
      <c r="E40" s="64">
        <v>3592.3141839999994</v>
      </c>
      <c r="F40" s="50">
        <v>550.44000000000005</v>
      </c>
      <c r="G40" s="31">
        <f t="shared" si="0"/>
        <v>4142.7541839999994</v>
      </c>
      <c r="H40" s="31">
        <v>3454.8869500000001</v>
      </c>
      <c r="I40" s="31">
        <v>0</v>
      </c>
      <c r="J40" s="31">
        <v>11.194243</v>
      </c>
      <c r="K40" s="31">
        <v>16.354541999999999</v>
      </c>
      <c r="L40" s="31">
        <v>8.7295029999999993</v>
      </c>
      <c r="M40" s="31">
        <v>66.915000000000006</v>
      </c>
      <c r="N40" s="31">
        <v>1.5</v>
      </c>
      <c r="O40" s="31">
        <v>103.762</v>
      </c>
      <c r="P40" s="31">
        <v>0</v>
      </c>
      <c r="Q40" s="31">
        <v>89.155299999999997</v>
      </c>
      <c r="R40" s="31"/>
      <c r="S40" s="31">
        <v>252.82900000000001</v>
      </c>
      <c r="T40" s="46">
        <f t="shared" si="1"/>
        <v>550.43958799999996</v>
      </c>
      <c r="U40" s="42">
        <f t="shared" si="2"/>
        <v>4005.3265380000003</v>
      </c>
    </row>
    <row r="41" spans="1:21" s="32" customFormat="1" ht="20.25" customHeight="1">
      <c r="A41" s="141" t="s">
        <v>19</v>
      </c>
      <c r="B41" s="141"/>
      <c r="C41" s="65">
        <v>745</v>
      </c>
      <c r="D41" s="65">
        <v>678</v>
      </c>
      <c r="E41" s="65">
        <v>104460.266091</v>
      </c>
      <c r="F41" s="65">
        <v>12426.6</v>
      </c>
      <c r="G41" s="65">
        <v>12426.6</v>
      </c>
      <c r="H41" s="65">
        <v>100682.41532100002</v>
      </c>
      <c r="I41" s="65">
        <v>1112.5913679999999</v>
      </c>
      <c r="J41" s="65">
        <v>572.24051500000007</v>
      </c>
      <c r="K41" s="65">
        <v>1529.0473469999997</v>
      </c>
      <c r="L41" s="65">
        <v>235.52271999999996</v>
      </c>
      <c r="M41" s="65">
        <v>2808.1545069999993</v>
      </c>
      <c r="N41" s="65">
        <v>854.10026999999991</v>
      </c>
      <c r="O41" s="65">
        <v>984.20170299999995</v>
      </c>
      <c r="P41" s="65">
        <v>730.41099999999994</v>
      </c>
      <c r="Q41" s="65">
        <v>3566.7451350000001</v>
      </c>
      <c r="R41" s="65">
        <v>0</v>
      </c>
      <c r="S41" s="65">
        <v>3535.7894740000002</v>
      </c>
      <c r="T41" s="65">
        <v>15928.804038999999</v>
      </c>
      <c r="U41" s="65">
        <v>116611.21936</v>
      </c>
    </row>
    <row r="42" spans="1:21" s="29" customFormat="1" ht="20.25" customHeight="1"/>
    <row r="43" spans="1:21" s="29" customFormat="1" ht="20.25" customHeight="1"/>
    <row r="44" spans="1:21" s="29" customFormat="1" ht="20.25" customHeight="1"/>
    <row r="45" spans="1:21" s="29" customFormat="1" ht="20.25" customHeight="1"/>
    <row r="46" spans="1:21" s="29" customFormat="1" ht="20.25" customHeight="1"/>
    <row r="47" spans="1:21" s="29" customFormat="1" ht="20.25" customHeight="1"/>
    <row r="48" spans="1:21" s="29" customFormat="1" ht="20.25" customHeight="1"/>
    <row r="49" s="29" customFormat="1" ht="20.25" customHeight="1"/>
    <row r="50" s="29" customFormat="1" ht="20.25" customHeight="1"/>
    <row r="51" s="29" customFormat="1" ht="20.25" customHeight="1"/>
    <row r="52" s="29" customFormat="1" ht="20.25" customHeight="1"/>
    <row r="53" s="29" customFormat="1" ht="20.25" customHeight="1"/>
    <row r="54" s="29" customFormat="1" ht="20.25" customHeight="1"/>
    <row r="55" s="29" customFormat="1" ht="20.25" customHeight="1"/>
    <row r="56" s="29" customFormat="1" ht="20.25" customHeight="1"/>
    <row r="57" s="29" customFormat="1" ht="20.25" customHeight="1"/>
    <row r="58" s="29" customFormat="1" ht="20.25" customHeight="1"/>
    <row r="59" s="29" customFormat="1" ht="20.25" customHeight="1"/>
    <row r="60" s="29" customFormat="1" ht="20.25" customHeight="1"/>
    <row r="61" s="29" customFormat="1" ht="20.25" customHeight="1"/>
    <row r="62" s="29" customFormat="1" ht="20.25" customHeight="1"/>
    <row r="63" s="29" customFormat="1" ht="20.25" customHeight="1"/>
    <row r="64" s="29" customFormat="1" ht="20.25" customHeight="1"/>
    <row r="65" s="29" customFormat="1" ht="20.25" customHeight="1"/>
    <row r="66" s="29" customFormat="1" ht="20.25" customHeight="1"/>
    <row r="67" s="29" customFormat="1" ht="20.25" customHeight="1"/>
    <row r="68" s="29" customFormat="1" ht="20.25" customHeight="1"/>
    <row r="69" s="29" customFormat="1" ht="20.25" customHeight="1"/>
    <row r="70" s="29" customFormat="1" ht="20.25" customHeight="1"/>
    <row r="71" s="29" customFormat="1" ht="20.25" customHeight="1"/>
    <row r="72" s="29" customFormat="1" ht="20.25" customHeight="1"/>
    <row r="73" s="29" customFormat="1" ht="20.25" customHeight="1"/>
    <row r="74" s="29" customFormat="1" ht="20.25" customHeight="1"/>
    <row r="75" s="29" customFormat="1" ht="20.25" customHeight="1"/>
    <row r="76" s="29" customFormat="1" ht="20.25" customHeight="1"/>
    <row r="77" s="29" customFormat="1" ht="20.25" customHeight="1"/>
    <row r="78" s="29" customFormat="1" ht="20.25" customHeight="1"/>
    <row r="79" s="29" customFormat="1" ht="20.25" customHeight="1"/>
    <row r="80" s="29" customFormat="1" ht="20.25" customHeight="1"/>
    <row r="81" s="29" customFormat="1" ht="20.25" customHeight="1"/>
    <row r="82" s="29" customFormat="1" ht="20.25" customHeight="1"/>
    <row r="83" s="29" customFormat="1" ht="20.25" customHeight="1"/>
    <row r="84" s="29" customFormat="1" ht="20.25" customHeight="1"/>
    <row r="85" s="29" customFormat="1" ht="20.25" customHeight="1"/>
    <row r="86" s="29" customFormat="1" ht="20.25" customHeight="1"/>
    <row r="87" s="29" customFormat="1" ht="20.25" customHeight="1"/>
    <row r="88" s="29" customFormat="1" ht="20.25" customHeight="1"/>
    <row r="89" s="29" customFormat="1" ht="20.25" customHeight="1"/>
    <row r="90" s="29" customFormat="1" ht="20.25" customHeight="1"/>
    <row r="91" s="29" customFormat="1" ht="20.25" customHeight="1"/>
    <row r="92" s="29" customFormat="1" ht="20.25" customHeight="1"/>
    <row r="93" s="29" customFormat="1" ht="20.25" customHeight="1"/>
    <row r="94" s="29" customFormat="1" ht="20.25" customHeight="1"/>
    <row r="95" s="29" customFormat="1" ht="20.25" customHeight="1"/>
    <row r="96" s="29" customFormat="1" ht="20.25" customHeight="1"/>
    <row r="97" s="29" customFormat="1" ht="20.25" customHeight="1"/>
    <row r="98" s="29" customFormat="1" ht="20.25" customHeight="1"/>
    <row r="99" s="29" customFormat="1" ht="20.25" customHeight="1"/>
    <row r="100" s="29" customFormat="1" ht="20.25" customHeight="1"/>
    <row r="101" s="29" customFormat="1" ht="20.25" customHeight="1"/>
    <row r="102" s="29" customFormat="1" ht="20.25" customHeight="1"/>
    <row r="103" s="29" customFormat="1" ht="20.25" customHeight="1"/>
    <row r="104" s="29" customFormat="1" ht="20.25" customHeight="1"/>
    <row r="105" s="29" customFormat="1" ht="20.25" customHeight="1"/>
    <row r="106" s="29" customFormat="1" ht="20.25" customHeight="1"/>
    <row r="107" s="29" customFormat="1" ht="20.25" customHeight="1"/>
    <row r="108" s="29" customFormat="1" ht="20.25" customHeight="1"/>
    <row r="109" s="29" customFormat="1" ht="20.25" customHeight="1"/>
    <row r="110" s="29" customFormat="1" ht="20.25" customHeight="1"/>
    <row r="111" s="29" customFormat="1" ht="20.25" customHeight="1"/>
    <row r="112" s="29" customFormat="1" ht="20.25" customHeight="1"/>
    <row r="113" s="29" customFormat="1" ht="20.25" customHeight="1"/>
    <row r="114" s="29" customFormat="1" ht="20.25" customHeight="1"/>
    <row r="115" s="29" customFormat="1" ht="20.25" customHeight="1"/>
    <row r="116" s="29" customFormat="1" ht="20.25" customHeight="1"/>
    <row r="117" s="29" customFormat="1" ht="20.25" customHeight="1"/>
    <row r="118" s="29" customFormat="1" ht="20.25" customHeight="1"/>
    <row r="119" s="29" customFormat="1" ht="20.25" customHeight="1"/>
    <row r="120" s="29" customFormat="1" ht="20.25" customHeight="1"/>
    <row r="121" s="29" customFormat="1" ht="20.25" customHeight="1"/>
    <row r="122" s="29" customFormat="1" ht="20.25" customHeight="1"/>
    <row r="123" s="29" customFormat="1" ht="20.25" customHeight="1"/>
    <row r="124" s="29" customFormat="1" ht="20.25" customHeight="1"/>
    <row r="125" s="29" customFormat="1" ht="20.25" customHeight="1"/>
    <row r="126" s="29" customFormat="1" ht="20.25" customHeight="1"/>
    <row r="127" s="29" customFormat="1" ht="20.25" customHeight="1"/>
    <row r="128" s="29" customFormat="1" ht="20.25" customHeight="1"/>
    <row r="129" s="29" customFormat="1" ht="20.25" customHeight="1"/>
    <row r="130" s="29" customFormat="1" ht="20.25" customHeight="1"/>
    <row r="131" s="29" customFormat="1" ht="20.25" customHeight="1"/>
    <row r="132" s="29" customFormat="1" ht="20.25" customHeight="1"/>
    <row r="133" s="29" customFormat="1" ht="20.25" customHeight="1"/>
    <row r="134" s="29" customFormat="1" ht="20.25" customHeight="1"/>
    <row r="135" s="29" customFormat="1" ht="20.25" customHeight="1"/>
    <row r="136" s="29" customFormat="1" ht="20.25" customHeight="1"/>
    <row r="137" s="29" customFormat="1" ht="20.25" customHeight="1"/>
    <row r="138" s="29" customFormat="1" ht="20.25" customHeight="1"/>
    <row r="139" s="29" customFormat="1" ht="20.25" customHeight="1"/>
    <row r="140" s="29" customFormat="1" ht="20.25" customHeight="1"/>
    <row r="141" s="29" customFormat="1" ht="20.25" customHeight="1"/>
    <row r="142" s="29" customFormat="1" ht="20.25" customHeight="1"/>
    <row r="143" s="29" customFormat="1" ht="20.25" customHeight="1"/>
    <row r="144" s="29" customFormat="1" ht="20.25" customHeight="1"/>
    <row r="145" s="29" customFormat="1" ht="20.25" customHeight="1"/>
    <row r="146" s="29" customFormat="1" ht="20.25" customHeight="1"/>
    <row r="147" s="29" customFormat="1" ht="20.25" customHeight="1"/>
    <row r="148" s="29" customFormat="1" ht="20.25" customHeight="1"/>
    <row r="149" s="29" customFormat="1" ht="20.25" customHeight="1"/>
    <row r="150" s="29" customFormat="1" ht="20.25" customHeight="1"/>
    <row r="151" s="29" customFormat="1" ht="20.25" customHeight="1"/>
    <row r="152" s="29" customFormat="1" ht="20.25" customHeight="1"/>
    <row r="153" s="29" customFormat="1" ht="20.25" customHeight="1"/>
    <row r="154" s="29" customFormat="1" ht="20.25" customHeight="1"/>
    <row r="155" s="29" customFormat="1" ht="20.25" customHeight="1"/>
    <row r="156" s="29" customFormat="1" ht="20.25" customHeight="1"/>
    <row r="157" s="29" customFormat="1" ht="20.25" customHeight="1"/>
    <row r="158" s="29" customFormat="1" ht="20.25" customHeight="1"/>
    <row r="159" s="29" customFormat="1" ht="20.25" customHeight="1"/>
    <row r="160" s="29" customFormat="1" ht="20.25" customHeight="1"/>
    <row r="161" s="29" customFormat="1" ht="20.25" customHeight="1"/>
    <row r="162" s="29" customFormat="1" ht="20.25" customHeight="1"/>
    <row r="163" s="29" customFormat="1" ht="20.25" customHeight="1"/>
    <row r="164" s="29" customFormat="1" ht="20.25" customHeight="1"/>
    <row r="165" s="29" customFormat="1" ht="20.25" customHeight="1"/>
    <row r="166" s="29" customFormat="1" ht="20.25" customHeight="1"/>
    <row r="167" s="29" customFormat="1" ht="20.25" customHeight="1"/>
    <row r="168" s="32" customFormat="1" ht="20.25" customHeight="1"/>
    <row r="169" s="29" customFormat="1" ht="20.25" customHeight="1"/>
    <row r="170" s="29" customFormat="1" ht="20.25" customHeight="1"/>
    <row r="171" s="29" customFormat="1" ht="20.25" customHeight="1"/>
    <row r="172" s="29" customFormat="1" ht="20.25" customHeight="1"/>
    <row r="173" s="29" customFormat="1" ht="20.25" customHeight="1"/>
    <row r="174" s="29" customFormat="1" ht="20.25" customHeight="1"/>
    <row r="175" s="29" customFormat="1" ht="20.25" customHeight="1"/>
    <row r="176" s="29" customFormat="1" ht="20.25" customHeight="1"/>
    <row r="177" s="29" customFormat="1" ht="20.25" customHeight="1"/>
    <row r="178" s="29" customFormat="1" ht="20.25" customHeight="1"/>
    <row r="179" s="29" customFormat="1" ht="20.25" customHeight="1"/>
    <row r="180" s="29" customFormat="1" ht="20.25" customHeight="1"/>
    <row r="181" s="29" customFormat="1" ht="20.25" customHeight="1"/>
    <row r="182" s="29" customFormat="1" ht="20.25" customHeight="1"/>
    <row r="183" s="29" customFormat="1" ht="20.25" customHeight="1"/>
    <row r="184" s="29" customFormat="1" ht="20.25" customHeight="1"/>
    <row r="185" s="29" customFormat="1" ht="20.25" customHeight="1"/>
    <row r="186" s="29" customFormat="1" ht="20.25" customHeight="1"/>
    <row r="187" s="29" customFormat="1" ht="20.25" customHeight="1"/>
    <row r="188" s="29" customFormat="1" ht="20.25" customHeight="1"/>
    <row r="189" s="29" customFormat="1" ht="20.25" customHeight="1"/>
    <row r="190" s="29" customFormat="1" ht="20.25" customHeight="1"/>
    <row r="191" s="29" customFormat="1" ht="20.25" customHeight="1"/>
    <row r="192" s="29" customFormat="1" ht="20.25" customHeight="1"/>
    <row r="193" s="29" customFormat="1" ht="20.25" customHeight="1"/>
    <row r="194" s="29" customFormat="1" ht="20.25" customHeight="1"/>
    <row r="195" s="29" customFormat="1" ht="20.25" customHeight="1"/>
    <row r="196" s="29" customFormat="1" ht="20.25" customHeight="1"/>
    <row r="197" s="29" customFormat="1" ht="20.25" customHeight="1"/>
    <row r="198" s="29" customFormat="1" ht="20.25" customHeight="1"/>
    <row r="199" s="29" customFormat="1" ht="20.25" customHeight="1"/>
    <row r="200" s="29" customFormat="1" ht="20.25" customHeight="1"/>
    <row r="201" s="29" customFormat="1" ht="20.25" customHeight="1"/>
    <row r="202" s="29" customFormat="1" ht="20.25" customHeight="1"/>
    <row r="203" s="29" customFormat="1" ht="20.25" customHeight="1"/>
    <row r="204" s="29" customFormat="1" ht="20.25" customHeight="1"/>
    <row r="205" s="29" customFormat="1" ht="20.25" customHeight="1"/>
    <row r="206" s="29" customFormat="1" ht="20.25" customHeight="1"/>
    <row r="207" s="29" customFormat="1" ht="20.25" customHeight="1"/>
    <row r="208" s="29" customFormat="1" ht="20.25" customHeight="1"/>
    <row r="209" s="29" customFormat="1" ht="20.25" customHeight="1"/>
    <row r="210" s="29" customFormat="1" ht="20.25" customHeight="1"/>
    <row r="211" s="29" customFormat="1" ht="20.25" customHeight="1"/>
    <row r="212" s="29" customFormat="1" ht="20.25" customHeight="1"/>
    <row r="213" s="29" customFormat="1" ht="20.25" customHeight="1"/>
    <row r="214" s="29" customFormat="1" ht="20.25" customHeight="1"/>
    <row r="215" s="29" customFormat="1" ht="20.25" customHeight="1"/>
    <row r="216" s="29" customFormat="1" ht="20.25" customHeight="1"/>
    <row r="217" s="29" customFormat="1" ht="20.25" customHeight="1"/>
    <row r="218" s="29" customFormat="1" ht="20.25" customHeight="1"/>
    <row r="219" s="29" customFormat="1" ht="20.25" customHeight="1"/>
    <row r="220" s="29" customFormat="1" ht="20.25" customHeight="1"/>
    <row r="221" s="29" customFormat="1" ht="20.25" customHeight="1"/>
    <row r="222" s="29" customFormat="1" ht="20.25" customHeight="1"/>
    <row r="223" s="29" customFormat="1" ht="20.25" customHeight="1"/>
    <row r="224" s="29" customFormat="1" ht="20.25" customHeight="1"/>
    <row r="225" s="32" customFormat="1" ht="20.25" customHeight="1"/>
    <row r="226" s="29" customFormat="1" ht="20.25" customHeight="1"/>
    <row r="227" s="29" customFormat="1" ht="20.25" customHeight="1"/>
    <row r="228" s="29" customFormat="1" ht="20.25" customHeight="1"/>
    <row r="229" s="29" customFormat="1" ht="20.25" customHeight="1"/>
    <row r="230" s="29" customFormat="1" ht="20.25" customHeight="1"/>
    <row r="231" s="29" customFormat="1" ht="20.25" customHeight="1"/>
    <row r="232" s="29" customFormat="1" ht="20.25" customHeight="1"/>
    <row r="233" s="29" customFormat="1" ht="20.25" customHeight="1"/>
    <row r="234" s="29" customFormat="1" ht="20.25" customHeight="1"/>
    <row r="235" s="29" customFormat="1" ht="20.25" customHeight="1"/>
    <row r="236" s="29" customFormat="1" ht="20.25" customHeight="1"/>
    <row r="237" s="29" customFormat="1" ht="20.25" customHeight="1"/>
    <row r="238" s="29" customFormat="1" ht="20.25" customHeight="1"/>
    <row r="239" s="29" customFormat="1" ht="20.25" customHeight="1"/>
    <row r="240" s="29" customFormat="1" ht="20.25" customHeight="1"/>
    <row r="241" s="29" customFormat="1" ht="20.25" customHeight="1"/>
    <row r="242" s="29" customFormat="1" ht="20.25" customHeight="1"/>
    <row r="243" s="29" customFormat="1" ht="20.25" customHeight="1"/>
    <row r="244" s="29" customFormat="1" ht="20.25" customHeight="1"/>
    <row r="245" s="29" customFormat="1" ht="20.25" customHeight="1"/>
    <row r="246" s="29" customFormat="1" ht="20.25" customHeight="1"/>
    <row r="247" s="29" customFormat="1" ht="20.25" customHeight="1"/>
    <row r="248" s="29" customFormat="1" ht="20.25" customHeight="1"/>
    <row r="249" s="29" customFormat="1" ht="20.25" customHeight="1"/>
    <row r="250" s="29" customFormat="1" ht="20.25" customHeight="1"/>
    <row r="251" s="29" customFormat="1" ht="20.25" customHeight="1"/>
    <row r="252" s="29" customFormat="1" ht="20.25" customHeight="1"/>
    <row r="253" s="29" customFormat="1" ht="20.25" customHeight="1"/>
    <row r="254" s="29" customFormat="1" ht="20.25" customHeight="1"/>
    <row r="255" s="29" customFormat="1" ht="20.25" customHeight="1"/>
    <row r="256" s="29" customFormat="1" ht="20.25" customHeight="1"/>
    <row r="257" s="29" customFormat="1" ht="20.25" customHeight="1"/>
    <row r="258" s="29" customFormat="1" ht="20.25" customHeight="1"/>
    <row r="259" s="29" customFormat="1" ht="20.25" customHeight="1"/>
    <row r="260" s="29" customFormat="1" ht="20.25" customHeight="1"/>
    <row r="261" s="29" customFormat="1" ht="20.25" customHeight="1"/>
    <row r="262" s="29" customFormat="1" ht="20.25" customHeight="1"/>
    <row r="263" s="29" customFormat="1" ht="20.25" customHeight="1"/>
    <row r="264" s="29" customFormat="1" ht="20.25" customHeight="1"/>
    <row r="265" s="29" customFormat="1" ht="20.25" customHeight="1"/>
    <row r="266" s="29" customFormat="1" ht="20.25" customHeight="1"/>
    <row r="267" s="29" customFormat="1" ht="20.25" customHeight="1"/>
    <row r="268" s="29" customFormat="1" ht="20.25" customHeight="1"/>
    <row r="269" s="29" customFormat="1" ht="20.25" customHeight="1"/>
    <row r="270" s="29" customFormat="1" ht="20.25" customHeight="1"/>
    <row r="271" s="29" customFormat="1" ht="20.25" customHeight="1"/>
    <row r="272" s="29" customFormat="1" ht="20.25" customHeight="1"/>
    <row r="273" s="29" customFormat="1" ht="20.25" customHeight="1"/>
    <row r="274" s="29" customFormat="1" ht="20.25" customHeight="1"/>
    <row r="275" s="29" customFormat="1" ht="20.25" customHeight="1"/>
    <row r="276" s="29" customFormat="1" ht="20.25" customHeight="1"/>
    <row r="277" s="29" customFormat="1" ht="20.25" customHeight="1"/>
    <row r="278" s="29" customFormat="1" ht="20.25" customHeight="1"/>
    <row r="279" s="29" customFormat="1" ht="20.25" customHeight="1"/>
    <row r="280" s="29" customFormat="1" ht="20.25" customHeight="1"/>
    <row r="281" s="29" customFormat="1" ht="20.25" customHeight="1"/>
    <row r="282" s="29" customFormat="1" ht="20.25" customHeight="1"/>
    <row r="283" s="29" customFormat="1" ht="20.25" customHeight="1"/>
    <row r="284" s="29" customFormat="1" ht="20.25" customHeight="1"/>
    <row r="285" s="29" customFormat="1" ht="20.25" customHeight="1"/>
    <row r="286" s="29" customFormat="1" ht="20.25" customHeight="1"/>
    <row r="287" s="29" customFormat="1" ht="20.25" customHeight="1"/>
    <row r="288" s="29" customFormat="1" ht="20.25" customHeight="1"/>
    <row r="289" s="29" customFormat="1" ht="20.25" customHeight="1"/>
    <row r="290" s="29" customFormat="1" ht="20.25" customHeight="1"/>
    <row r="291" s="29" customFormat="1" ht="20.25" customHeight="1"/>
    <row r="292" s="29" customFormat="1" ht="20.25" customHeight="1"/>
    <row r="293" s="29" customFormat="1" ht="20.25" customHeight="1"/>
    <row r="294" s="29" customFormat="1" ht="20.25" customHeight="1"/>
    <row r="295" s="29" customFormat="1" ht="20.25" customHeight="1"/>
    <row r="296" s="29" customFormat="1" ht="20.25" customHeight="1"/>
    <row r="297" s="29" customFormat="1" ht="20.25" customHeight="1"/>
    <row r="298" s="29" customFormat="1" ht="20.25" customHeight="1"/>
    <row r="299" s="29" customFormat="1" ht="20.25" customHeight="1"/>
    <row r="300" s="29" customFormat="1" ht="20.25" customHeight="1"/>
    <row r="301" s="29" customFormat="1" ht="20.25" customHeight="1"/>
    <row r="302" s="29" customFormat="1" ht="20.25" customHeight="1"/>
    <row r="303" s="29" customFormat="1" ht="20.25" customHeight="1"/>
    <row r="304" s="32" customFormat="1" ht="20.25" customHeight="1"/>
    <row r="305" s="29" customFormat="1" ht="20.25" customHeight="1"/>
    <row r="306" s="29" customFormat="1" ht="20.25" customHeight="1"/>
    <row r="307" s="29" customFormat="1" ht="20.25" customHeight="1"/>
    <row r="308" s="29" customFormat="1" ht="20.25" customHeight="1"/>
    <row r="309" s="29" customFormat="1" ht="20.25" customHeight="1"/>
    <row r="310" s="29" customFormat="1" ht="20.25" customHeight="1"/>
    <row r="311" s="29" customFormat="1" ht="20.25" customHeight="1"/>
    <row r="312" s="29" customFormat="1" ht="20.25" customHeight="1"/>
    <row r="313" s="29" customFormat="1" ht="20.25" customHeight="1"/>
    <row r="314" s="29" customFormat="1" ht="20.25" customHeight="1"/>
    <row r="315" s="29" customFormat="1" ht="20.25" customHeight="1"/>
    <row r="316" s="29" customFormat="1" ht="20.25" customHeight="1"/>
    <row r="317" s="29" customFormat="1" ht="20.25" customHeight="1"/>
    <row r="318" s="29" customFormat="1" ht="20.25" customHeight="1"/>
    <row r="319" s="29" customFormat="1" ht="20.25" customHeight="1"/>
    <row r="320" s="29" customFormat="1" ht="20.25" customHeight="1"/>
    <row r="321" spans="7:7" s="29" customFormat="1" ht="20.25" customHeight="1"/>
    <row r="322" spans="7:7" s="29" customFormat="1" ht="20.25" customHeight="1"/>
    <row r="323" spans="7:7" s="29" customFormat="1" ht="20.25" customHeight="1"/>
    <row r="324" spans="7:7" s="29" customFormat="1" ht="20.25" customHeight="1"/>
    <row r="325" spans="7:7" s="29" customFormat="1" ht="20.25" customHeight="1"/>
    <row r="326" spans="7:7" s="29" customFormat="1" ht="20.25" customHeight="1"/>
    <row r="327" spans="7:7" s="29" customFormat="1" ht="20.25" customHeight="1"/>
    <row r="328" spans="7:7" s="29" customFormat="1" ht="20.25" customHeight="1"/>
    <row r="329" spans="7:7" s="29" customFormat="1" ht="20.25" customHeight="1"/>
    <row r="330" spans="7:7" s="49" customFormat="1" ht="20.25" customHeight="1">
      <c r="G330" s="118"/>
    </row>
    <row r="331" spans="7:7" s="29" customFormat="1" ht="20.25" customHeight="1"/>
  </sheetData>
  <autoFilter ref="A6:U331"/>
  <mergeCells count="11">
    <mergeCell ref="A41:B41"/>
    <mergeCell ref="B4:B6"/>
    <mergeCell ref="A4:A6"/>
    <mergeCell ref="C4:D5"/>
    <mergeCell ref="A1:U1"/>
    <mergeCell ref="A2:U2"/>
    <mergeCell ref="H5:H6"/>
    <mergeCell ref="I5:T5"/>
    <mergeCell ref="U5:U6"/>
    <mergeCell ref="E4:G5"/>
    <mergeCell ref="H4:U4"/>
  </mergeCells>
  <phoneticPr fontId="2" type="noConversion"/>
  <pageMargins left="0.2" right="0.2" top="0.39" bottom="0.27" header="0.3" footer="0.2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43"/>
  <sheetViews>
    <sheetView workbookViewId="0">
      <selection activeCell="A2" sqref="A2:U2"/>
    </sheetView>
  </sheetViews>
  <sheetFormatPr defaultColWidth="9.140625" defaultRowHeight="15"/>
  <cols>
    <col min="1" max="1" width="5.140625" style="16" customWidth="1"/>
    <col min="2" max="2" width="23" style="15" bestFit="1" customWidth="1"/>
    <col min="3" max="3" width="7" style="15" customWidth="1"/>
    <col min="4" max="4" width="5.85546875" style="15" customWidth="1"/>
    <col min="5" max="5" width="9.42578125" style="15" customWidth="1"/>
    <col min="6" max="6" width="8.85546875" style="15" customWidth="1"/>
    <col min="7" max="7" width="9.7109375" style="15" customWidth="1"/>
    <col min="8" max="8" width="10.85546875" style="15" customWidth="1"/>
    <col min="9" max="9" width="9.140625" style="15" customWidth="1"/>
    <col min="10" max="10" width="9" style="15" customWidth="1"/>
    <col min="11" max="11" width="7.42578125" style="15" customWidth="1"/>
    <col min="12" max="12" width="8.85546875" style="15" customWidth="1"/>
    <col min="13" max="13" width="6.7109375" style="15" customWidth="1"/>
    <col min="14" max="14" width="5.85546875" style="15" customWidth="1"/>
    <col min="15" max="15" width="9.140625" style="15" customWidth="1"/>
    <col min="16" max="16" width="8.7109375" style="15" customWidth="1"/>
    <col min="17" max="17" width="8.42578125" style="15" customWidth="1"/>
    <col min="18" max="18" width="10" style="15" customWidth="1"/>
    <col min="19" max="19" width="6.28515625" style="15" customWidth="1"/>
    <col min="20" max="20" width="8.7109375" style="15" customWidth="1"/>
    <col min="21" max="21" width="10.7109375" style="15" customWidth="1"/>
    <col min="22" max="16384" width="9.140625" style="15"/>
  </cols>
  <sheetData>
    <row r="1" spans="1:21">
      <c r="A1" s="147" t="s">
        <v>195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24.6" customHeight="1">
      <c r="A2" s="148" t="s">
        <v>347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18" customHeight="1">
      <c r="U3" s="17" t="s">
        <v>20</v>
      </c>
    </row>
    <row r="4" spans="1:21" ht="27.75" customHeight="1">
      <c r="A4" s="142" t="s">
        <v>0</v>
      </c>
      <c r="B4" s="142" t="s">
        <v>18</v>
      </c>
      <c r="C4" s="143" t="s">
        <v>1</v>
      </c>
      <c r="D4" s="144"/>
      <c r="E4" s="149" t="s">
        <v>4</v>
      </c>
      <c r="F4" s="149"/>
      <c r="G4" s="149"/>
      <c r="H4" s="156" t="s">
        <v>5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8"/>
    </row>
    <row r="5" spans="1:21" ht="27.75" customHeight="1">
      <c r="A5" s="142"/>
      <c r="B5" s="142"/>
      <c r="C5" s="145"/>
      <c r="D5" s="146"/>
      <c r="E5" s="149"/>
      <c r="F5" s="149"/>
      <c r="G5" s="149"/>
      <c r="H5" s="150" t="s">
        <v>6</v>
      </c>
      <c r="I5" s="142" t="s">
        <v>181</v>
      </c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52" t="s">
        <v>19</v>
      </c>
    </row>
    <row r="6" spans="1:21" ht="63.75">
      <c r="A6" s="142"/>
      <c r="B6" s="142"/>
      <c r="C6" s="18" t="s">
        <v>2</v>
      </c>
      <c r="D6" s="18" t="s">
        <v>3</v>
      </c>
      <c r="E6" s="117" t="s">
        <v>179</v>
      </c>
      <c r="F6" s="117" t="s">
        <v>180</v>
      </c>
      <c r="G6" s="117" t="s">
        <v>19</v>
      </c>
      <c r="H6" s="153"/>
      <c r="I6" s="19" t="s">
        <v>7</v>
      </c>
      <c r="J6" s="19" t="s">
        <v>8</v>
      </c>
      <c r="K6" s="19" t="s">
        <v>9</v>
      </c>
      <c r="L6" s="19" t="s">
        <v>10</v>
      </c>
      <c r="M6" s="19" t="s">
        <v>11</v>
      </c>
      <c r="N6" s="19" t="s">
        <v>12</v>
      </c>
      <c r="O6" s="19" t="s">
        <v>13</v>
      </c>
      <c r="P6" s="19" t="s">
        <v>14</v>
      </c>
      <c r="Q6" s="19" t="s">
        <v>15</v>
      </c>
      <c r="R6" s="19" t="s">
        <v>17</v>
      </c>
      <c r="S6" s="19" t="s">
        <v>16</v>
      </c>
      <c r="T6" s="19" t="s">
        <v>178</v>
      </c>
      <c r="U6" s="155"/>
    </row>
    <row r="7" spans="1:21" s="29" customFormat="1" ht="20.25" customHeight="1">
      <c r="A7" s="33">
        <v>1</v>
      </c>
      <c r="B7" s="38" t="s">
        <v>79</v>
      </c>
      <c r="C7" s="46">
        <v>16</v>
      </c>
      <c r="D7" s="46">
        <v>16</v>
      </c>
      <c r="E7" s="46">
        <v>1899.9590000000001</v>
      </c>
      <c r="F7" s="46">
        <v>270.08</v>
      </c>
      <c r="G7" s="46">
        <f>E7+F7</f>
        <v>2170.0390000000002</v>
      </c>
      <c r="H7" s="46">
        <v>1736.41</v>
      </c>
      <c r="I7" s="46"/>
      <c r="J7" s="46">
        <v>13.058</v>
      </c>
      <c r="K7" s="46">
        <v>75.188000000000002</v>
      </c>
      <c r="L7" s="46">
        <v>2.7469999999999999</v>
      </c>
      <c r="M7" s="46">
        <v>4.8600000000000003</v>
      </c>
      <c r="N7" s="46">
        <v>46.04</v>
      </c>
      <c r="O7" s="46">
        <v>51.77</v>
      </c>
      <c r="P7" s="46">
        <v>33.44</v>
      </c>
      <c r="Q7" s="46">
        <v>42.359000000000002</v>
      </c>
      <c r="R7" s="46"/>
      <c r="S7" s="46">
        <v>51.35</v>
      </c>
      <c r="T7" s="46">
        <f>SUM(I7:S7)</f>
        <v>320.81200000000001</v>
      </c>
      <c r="U7" s="42">
        <f>T7+H7</f>
        <v>2057.2220000000002</v>
      </c>
    </row>
    <row r="8" spans="1:21" s="29" customFormat="1" ht="20.25" customHeight="1">
      <c r="A8" s="33">
        <v>2</v>
      </c>
      <c r="B8" s="38" t="s">
        <v>80</v>
      </c>
      <c r="C8" s="46">
        <v>20</v>
      </c>
      <c r="D8" s="46">
        <v>20</v>
      </c>
      <c r="E8" s="46">
        <v>2509.1019999999999</v>
      </c>
      <c r="F8" s="46">
        <v>337.59999999999997</v>
      </c>
      <c r="G8" s="46">
        <f t="shared" ref="G8:G51" si="0">E8+F8</f>
        <v>2846.7019999999998</v>
      </c>
      <c r="H8" s="46">
        <v>2602.6419999999998</v>
      </c>
      <c r="I8" s="46"/>
      <c r="J8" s="46">
        <v>19.306000000000001</v>
      </c>
      <c r="K8" s="46">
        <v>103.07599999999999</v>
      </c>
      <c r="L8" s="46">
        <v>7.7869999999999999</v>
      </c>
      <c r="M8" s="46">
        <v>40.601999999999997</v>
      </c>
      <c r="N8" s="46">
        <v>21.98</v>
      </c>
      <c r="O8" s="46">
        <v>110.429</v>
      </c>
      <c r="P8" s="46">
        <v>39.5</v>
      </c>
      <c r="Q8" s="46">
        <v>128.227</v>
      </c>
      <c r="R8" s="46"/>
      <c r="S8" s="46">
        <v>102.64100000000001</v>
      </c>
      <c r="T8" s="46">
        <f t="shared" ref="T8:T51" si="1">SUM(I8:S8)</f>
        <v>573.54799999999989</v>
      </c>
      <c r="U8" s="42">
        <f t="shared" ref="U8:U51" si="2">T8+H8</f>
        <v>3176.1899999999996</v>
      </c>
    </row>
    <row r="9" spans="1:21" s="29" customFormat="1" ht="20.25" customHeight="1">
      <c r="A9" s="71">
        <v>3</v>
      </c>
      <c r="B9" s="39" t="s">
        <v>81</v>
      </c>
      <c r="C9" s="46">
        <v>16</v>
      </c>
      <c r="D9" s="46">
        <v>16</v>
      </c>
      <c r="E9" s="46">
        <v>2052.576</v>
      </c>
      <c r="F9" s="46">
        <v>270.08</v>
      </c>
      <c r="G9" s="46">
        <f t="shared" si="0"/>
        <v>2322.6559999999999</v>
      </c>
      <c r="H9" s="46">
        <v>2088.268</v>
      </c>
      <c r="I9" s="46">
        <v>100.624</v>
      </c>
      <c r="J9" s="46">
        <v>14.863</v>
      </c>
      <c r="K9" s="46">
        <v>13.79</v>
      </c>
      <c r="L9" s="46">
        <v>1.2470000000000001</v>
      </c>
      <c r="M9" s="46">
        <v>13.98</v>
      </c>
      <c r="N9" s="46">
        <v>17.88</v>
      </c>
      <c r="O9" s="46">
        <v>7.03</v>
      </c>
      <c r="P9" s="46"/>
      <c r="Q9" s="46">
        <v>78.59</v>
      </c>
      <c r="R9" s="46"/>
      <c r="S9" s="46">
        <v>50.777999999999999</v>
      </c>
      <c r="T9" s="46">
        <f t="shared" si="1"/>
        <v>298.78199999999998</v>
      </c>
      <c r="U9" s="42">
        <f t="shared" si="2"/>
        <v>2387.0500000000002</v>
      </c>
    </row>
    <row r="10" spans="1:21" s="29" customFormat="1" ht="20.25" customHeight="1">
      <c r="A10" s="71">
        <v>4</v>
      </c>
      <c r="B10" s="38" t="s">
        <v>82</v>
      </c>
      <c r="C10" s="46">
        <v>18</v>
      </c>
      <c r="D10" s="46">
        <v>18</v>
      </c>
      <c r="E10" s="46">
        <v>2207.7530000000002</v>
      </c>
      <c r="F10" s="46">
        <v>303.83999999999997</v>
      </c>
      <c r="G10" s="46">
        <f t="shared" si="0"/>
        <v>2511.5930000000003</v>
      </c>
      <c r="H10" s="46">
        <v>2134.31</v>
      </c>
      <c r="I10" s="46">
        <v>121.49</v>
      </c>
      <c r="J10" s="46">
        <v>8.0289999999999999</v>
      </c>
      <c r="K10" s="46">
        <v>12.395</v>
      </c>
      <c r="L10" s="46">
        <v>1.5469999999999999</v>
      </c>
      <c r="M10" s="46">
        <v>7.7359999999999998</v>
      </c>
      <c r="N10" s="46">
        <v>18.661999999999999</v>
      </c>
      <c r="O10" s="46">
        <v>27.54</v>
      </c>
      <c r="P10" s="46">
        <v>53.65</v>
      </c>
      <c r="Q10" s="46">
        <v>129.86000000000001</v>
      </c>
      <c r="R10" s="46">
        <v>0</v>
      </c>
      <c r="S10" s="46">
        <v>58.097000000000001</v>
      </c>
      <c r="T10" s="46">
        <f t="shared" si="1"/>
        <v>439.00599999999997</v>
      </c>
      <c r="U10" s="42">
        <f t="shared" si="2"/>
        <v>2573.3159999999998</v>
      </c>
    </row>
    <row r="11" spans="1:21" s="29" customFormat="1" ht="20.25" customHeight="1">
      <c r="A11" s="71">
        <v>5</v>
      </c>
      <c r="B11" s="38" t="s">
        <v>83</v>
      </c>
      <c r="C11" s="46">
        <v>19</v>
      </c>
      <c r="D11" s="46">
        <v>19</v>
      </c>
      <c r="E11" s="46">
        <v>2207.7530000000002</v>
      </c>
      <c r="F11" s="46">
        <v>320.71999999999997</v>
      </c>
      <c r="G11" s="46">
        <f t="shared" si="0"/>
        <v>2528.473</v>
      </c>
      <c r="H11" s="46">
        <v>2128.694</v>
      </c>
      <c r="I11" s="46">
        <v>18.777999999999999</v>
      </c>
      <c r="J11" s="46">
        <v>16.751000000000001</v>
      </c>
      <c r="K11" s="46">
        <v>33.625999999999998</v>
      </c>
      <c r="L11" s="46">
        <v>0.5</v>
      </c>
      <c r="M11" s="46">
        <v>30.303000000000001</v>
      </c>
      <c r="N11" s="46">
        <v>25.8</v>
      </c>
      <c r="O11" s="46">
        <v>29.349</v>
      </c>
      <c r="P11" s="46">
        <v>22.4</v>
      </c>
      <c r="Q11" s="46">
        <v>216.029</v>
      </c>
      <c r="R11" s="46"/>
      <c r="S11" s="46">
        <v>66.122</v>
      </c>
      <c r="T11" s="46">
        <f t="shared" si="1"/>
        <v>459.65800000000002</v>
      </c>
      <c r="U11" s="42">
        <f t="shared" si="2"/>
        <v>2588.3519999999999</v>
      </c>
    </row>
    <row r="12" spans="1:21" s="29" customFormat="1" ht="20.25" customHeight="1">
      <c r="A12" s="71">
        <v>6</v>
      </c>
      <c r="B12" s="38" t="s">
        <v>84</v>
      </c>
      <c r="C12" s="46">
        <v>15</v>
      </c>
      <c r="D12" s="46">
        <v>14</v>
      </c>
      <c r="E12" s="46">
        <v>1536.71</v>
      </c>
      <c r="F12" s="46">
        <v>253.2</v>
      </c>
      <c r="G12" s="46">
        <f t="shared" si="0"/>
        <v>1789.91</v>
      </c>
      <c r="H12" s="46">
        <v>1434.146</v>
      </c>
      <c r="I12" s="46"/>
      <c r="J12" s="46">
        <v>6.67</v>
      </c>
      <c r="K12" s="46">
        <v>17.754999999999999</v>
      </c>
      <c r="L12" s="46">
        <v>1.2470000000000001</v>
      </c>
      <c r="M12" s="46">
        <v>21.908000000000001</v>
      </c>
      <c r="N12" s="46">
        <v>17.88</v>
      </c>
      <c r="O12" s="46">
        <v>56.566000000000003</v>
      </c>
      <c r="P12" s="46"/>
      <c r="Q12" s="46">
        <v>77.427000000000007</v>
      </c>
      <c r="R12" s="46"/>
      <c r="S12" s="46">
        <v>91.986000000000004</v>
      </c>
      <c r="T12" s="46">
        <f t="shared" si="1"/>
        <v>291.43900000000002</v>
      </c>
      <c r="U12" s="42">
        <f t="shared" si="2"/>
        <v>1725.585</v>
      </c>
    </row>
    <row r="13" spans="1:21" s="29" customFormat="1" ht="20.25" customHeight="1">
      <c r="A13" s="71">
        <v>7</v>
      </c>
      <c r="B13" s="38" t="s">
        <v>85</v>
      </c>
      <c r="C13" s="46">
        <v>8</v>
      </c>
      <c r="D13" s="46">
        <v>8</v>
      </c>
      <c r="E13" s="46">
        <v>791.09799999999996</v>
      </c>
      <c r="F13" s="46">
        <v>135.04</v>
      </c>
      <c r="G13" s="46">
        <f t="shared" si="0"/>
        <v>926.13799999999992</v>
      </c>
      <c r="H13" s="46">
        <v>638.92399999999998</v>
      </c>
      <c r="I13" s="46">
        <v>50.859000000000002</v>
      </c>
      <c r="J13" s="46">
        <v>6.0759999999999996</v>
      </c>
      <c r="K13" s="46">
        <v>13.108000000000001</v>
      </c>
      <c r="L13" s="46">
        <v>8.1760000000000002</v>
      </c>
      <c r="M13" s="46">
        <v>10.547000000000001</v>
      </c>
      <c r="N13" s="46">
        <v>15.432</v>
      </c>
      <c r="O13" s="46">
        <v>22.103000000000002</v>
      </c>
      <c r="P13" s="46">
        <v>20.5</v>
      </c>
      <c r="Q13" s="46">
        <v>60.872999999999998</v>
      </c>
      <c r="R13" s="46">
        <v>0</v>
      </c>
      <c r="S13" s="46">
        <v>30.803999999999998</v>
      </c>
      <c r="T13" s="46">
        <f t="shared" si="1"/>
        <v>238.47800000000001</v>
      </c>
      <c r="U13" s="42">
        <f t="shared" si="2"/>
        <v>877.40200000000004</v>
      </c>
    </row>
    <row r="14" spans="1:21" s="29" customFormat="1" ht="20.25" customHeight="1">
      <c r="A14" s="71">
        <v>8</v>
      </c>
      <c r="B14" s="38" t="s">
        <v>86</v>
      </c>
      <c r="C14" s="46">
        <v>20</v>
      </c>
      <c r="D14" s="46">
        <v>20</v>
      </c>
      <c r="E14" s="46">
        <v>2311.2049999999999</v>
      </c>
      <c r="F14" s="46">
        <v>337.59999999999997</v>
      </c>
      <c r="G14" s="46">
        <f t="shared" si="0"/>
        <v>2648.8049999999998</v>
      </c>
      <c r="H14" s="46">
        <v>2094.7640000000001</v>
      </c>
      <c r="I14" s="46"/>
      <c r="J14" s="46">
        <v>11.772</v>
      </c>
      <c r="K14" s="46">
        <v>99.287999999999997</v>
      </c>
      <c r="L14" s="46">
        <v>5.4619999999999997</v>
      </c>
      <c r="M14" s="46">
        <v>11.738</v>
      </c>
      <c r="N14" s="46">
        <v>31.731000000000002</v>
      </c>
      <c r="O14" s="46">
        <v>38.661000000000001</v>
      </c>
      <c r="P14" s="46"/>
      <c r="Q14" s="46">
        <v>189.47499999999999</v>
      </c>
      <c r="R14" s="46"/>
      <c r="S14" s="46">
        <v>76.47</v>
      </c>
      <c r="T14" s="46">
        <f t="shared" si="1"/>
        <v>464.59699999999998</v>
      </c>
      <c r="U14" s="42">
        <f t="shared" si="2"/>
        <v>2559.3609999999999</v>
      </c>
    </row>
    <row r="15" spans="1:21" s="29" customFormat="1" ht="20.25" customHeight="1">
      <c r="A15" s="71">
        <v>9</v>
      </c>
      <c r="B15" s="38" t="s">
        <v>87</v>
      </c>
      <c r="C15" s="46">
        <v>15</v>
      </c>
      <c r="D15" s="46">
        <v>15</v>
      </c>
      <c r="E15" s="46">
        <v>1988.7739999999999</v>
      </c>
      <c r="F15" s="46">
        <v>253.2</v>
      </c>
      <c r="G15" s="46">
        <f t="shared" si="0"/>
        <v>2241.9739999999997</v>
      </c>
      <c r="H15" s="46">
        <v>1976.883</v>
      </c>
      <c r="I15" s="46"/>
      <c r="J15" s="46">
        <v>8.093</v>
      </c>
      <c r="K15" s="46">
        <v>14.59</v>
      </c>
      <c r="L15" s="46">
        <v>2.972</v>
      </c>
      <c r="M15" s="46">
        <v>13.29</v>
      </c>
      <c r="N15" s="46">
        <v>16.8</v>
      </c>
      <c r="O15" s="46">
        <v>75.534999999999997</v>
      </c>
      <c r="P15" s="46">
        <v>20.399999999999999</v>
      </c>
      <c r="Q15" s="46">
        <v>80.951999999999998</v>
      </c>
      <c r="R15" s="46"/>
      <c r="S15" s="46">
        <v>116.94499999999999</v>
      </c>
      <c r="T15" s="46">
        <f t="shared" si="1"/>
        <v>349.577</v>
      </c>
      <c r="U15" s="42">
        <f t="shared" si="2"/>
        <v>2326.46</v>
      </c>
    </row>
    <row r="16" spans="1:21" s="29" customFormat="1" ht="20.25" customHeight="1">
      <c r="A16" s="71">
        <v>10</v>
      </c>
      <c r="B16" s="38" t="s">
        <v>88</v>
      </c>
      <c r="C16" s="46">
        <v>13</v>
      </c>
      <c r="D16" s="46">
        <v>13</v>
      </c>
      <c r="E16" s="46">
        <v>1420.03</v>
      </c>
      <c r="F16" s="46">
        <v>219.44</v>
      </c>
      <c r="G16" s="46">
        <f t="shared" si="0"/>
        <v>1639.47</v>
      </c>
      <c r="H16" s="46">
        <f>632.654+658.177+164.642+30.028+98.525+4.88</f>
        <v>1588.9060000000004</v>
      </c>
      <c r="I16" s="46">
        <v>0</v>
      </c>
      <c r="J16" s="46">
        <v>8.5299999999999994</v>
      </c>
      <c r="K16" s="46">
        <v>59.378</v>
      </c>
      <c r="L16" s="46">
        <v>1.347</v>
      </c>
      <c r="M16" s="46">
        <v>12.496</v>
      </c>
      <c r="N16" s="46">
        <v>17.88</v>
      </c>
      <c r="O16" s="46">
        <v>9.4499999999999993</v>
      </c>
      <c r="P16" s="46">
        <v>13.8</v>
      </c>
      <c r="Q16" s="46">
        <f>44.102+15.495</f>
        <v>59.596999999999994</v>
      </c>
      <c r="R16" s="46"/>
      <c r="S16" s="46">
        <v>45.917000000000002</v>
      </c>
      <c r="T16" s="46">
        <f t="shared" si="1"/>
        <v>228.39499999999998</v>
      </c>
      <c r="U16" s="42">
        <f t="shared" si="2"/>
        <v>1817.3010000000004</v>
      </c>
    </row>
    <row r="17" spans="1:21" s="29" customFormat="1" ht="20.25" customHeight="1">
      <c r="A17" s="71">
        <v>11</v>
      </c>
      <c r="B17" s="38" t="s">
        <v>89</v>
      </c>
      <c r="C17" s="46">
        <v>22</v>
      </c>
      <c r="D17" s="46">
        <v>21</v>
      </c>
      <c r="E17" s="46">
        <v>2692.91</v>
      </c>
      <c r="F17" s="46">
        <v>371.35999999999996</v>
      </c>
      <c r="G17" s="46">
        <f t="shared" si="0"/>
        <v>3064.27</v>
      </c>
      <c r="H17" s="46">
        <v>2471.7020000000002</v>
      </c>
      <c r="I17" s="46">
        <v>99.915999999999997</v>
      </c>
      <c r="J17" s="46">
        <v>7.93</v>
      </c>
      <c r="K17" s="46">
        <v>15.664999999999999</v>
      </c>
      <c r="L17" s="46">
        <v>5.25</v>
      </c>
      <c r="M17" s="46">
        <v>30.065999999999999</v>
      </c>
      <c r="N17" s="46">
        <v>25.5</v>
      </c>
      <c r="O17" s="46">
        <v>29.86</v>
      </c>
      <c r="P17" s="46">
        <v>13.9</v>
      </c>
      <c r="Q17" s="46">
        <v>170.23099999999999</v>
      </c>
      <c r="R17" s="46"/>
      <c r="S17" s="46">
        <v>17.422999999999998</v>
      </c>
      <c r="T17" s="46">
        <f t="shared" si="1"/>
        <v>415.74099999999999</v>
      </c>
      <c r="U17" s="42">
        <f t="shared" si="2"/>
        <v>2887.4430000000002</v>
      </c>
    </row>
    <row r="18" spans="1:21" s="29" customFormat="1" ht="20.25" customHeight="1">
      <c r="A18" s="71">
        <v>12</v>
      </c>
      <c r="B18" s="38" t="s">
        <v>90</v>
      </c>
      <c r="C18" s="46">
        <v>19</v>
      </c>
      <c r="D18" s="46">
        <v>19</v>
      </c>
      <c r="E18" s="46">
        <v>1895.5730000000001</v>
      </c>
      <c r="F18" s="46">
        <v>320.71999999999997</v>
      </c>
      <c r="G18" s="46">
        <f t="shared" si="0"/>
        <v>2216.2930000000001</v>
      </c>
      <c r="H18" s="46">
        <v>2149.886</v>
      </c>
      <c r="I18" s="46">
        <v>9.2089999999999996</v>
      </c>
      <c r="J18" s="46"/>
      <c r="K18" s="46">
        <v>92.662000000000006</v>
      </c>
      <c r="L18" s="46">
        <v>8</v>
      </c>
      <c r="M18" s="46">
        <v>18.832999999999998</v>
      </c>
      <c r="N18" s="46">
        <v>23</v>
      </c>
      <c r="O18" s="46">
        <v>27.27</v>
      </c>
      <c r="P18" s="46"/>
      <c r="Q18" s="46">
        <v>38.598999999999997</v>
      </c>
      <c r="R18" s="46">
        <v>0</v>
      </c>
      <c r="S18" s="46">
        <v>117.74</v>
      </c>
      <c r="T18" s="46">
        <f t="shared" si="1"/>
        <v>335.31299999999999</v>
      </c>
      <c r="U18" s="42">
        <f t="shared" si="2"/>
        <v>2485.1990000000001</v>
      </c>
    </row>
    <row r="19" spans="1:21" s="29" customFormat="1" ht="20.25" customHeight="1">
      <c r="A19" s="71">
        <v>13</v>
      </c>
      <c r="B19" s="38" t="s">
        <v>91</v>
      </c>
      <c r="C19" s="46">
        <v>23</v>
      </c>
      <c r="D19" s="46">
        <v>23</v>
      </c>
      <c r="E19" s="46">
        <v>2342.2820000000002</v>
      </c>
      <c r="F19" s="46">
        <v>388.23999999999995</v>
      </c>
      <c r="G19" s="46">
        <f t="shared" si="0"/>
        <v>2730.5219999999999</v>
      </c>
      <c r="H19" s="46">
        <f>1055.375+861.907+312.898</f>
        <v>2230.1800000000003</v>
      </c>
      <c r="I19" s="46"/>
      <c r="J19" s="46">
        <v>40.156999999999996</v>
      </c>
      <c r="K19" s="46">
        <v>79.408000000000001</v>
      </c>
      <c r="L19" s="46">
        <v>15.662000000000001</v>
      </c>
      <c r="M19" s="46">
        <v>9.2799999999999994</v>
      </c>
      <c r="N19" s="46">
        <v>24</v>
      </c>
      <c r="O19" s="46">
        <v>24.925999999999998</v>
      </c>
      <c r="P19" s="46"/>
      <c r="Q19" s="46">
        <v>134.321</v>
      </c>
      <c r="R19" s="46"/>
      <c r="S19" s="46">
        <f>46.982+1.824</f>
        <v>48.805999999999997</v>
      </c>
      <c r="T19" s="46">
        <f t="shared" si="1"/>
        <v>376.56</v>
      </c>
      <c r="U19" s="42">
        <f t="shared" si="2"/>
        <v>2606.7400000000002</v>
      </c>
    </row>
    <row r="20" spans="1:21" s="29" customFormat="1" ht="20.25" customHeight="1">
      <c r="A20" s="71">
        <v>14</v>
      </c>
      <c r="B20" s="38" t="s">
        <v>92</v>
      </c>
      <c r="C20" s="46">
        <v>24</v>
      </c>
      <c r="D20" s="46">
        <v>23</v>
      </c>
      <c r="E20" s="46">
        <v>2871.1990000000001</v>
      </c>
      <c r="F20" s="46">
        <v>405.12</v>
      </c>
      <c r="G20" s="46">
        <f t="shared" si="0"/>
        <v>3276.319</v>
      </c>
      <c r="H20" s="40">
        <v>2565.3000000000002</v>
      </c>
      <c r="I20" s="40">
        <v>94.6</v>
      </c>
      <c r="J20" s="40">
        <v>12.9</v>
      </c>
      <c r="K20" s="40">
        <v>2.7</v>
      </c>
      <c r="L20" s="40">
        <v>5.4</v>
      </c>
      <c r="M20" s="40">
        <v>12.1</v>
      </c>
      <c r="N20" s="40">
        <v>31.3</v>
      </c>
      <c r="O20" s="40">
        <v>5.9</v>
      </c>
      <c r="P20" s="40">
        <v>20.7</v>
      </c>
      <c r="Q20" s="40">
        <v>238.3</v>
      </c>
      <c r="R20" s="46"/>
      <c r="S20" s="40">
        <v>69.5</v>
      </c>
      <c r="T20" s="46">
        <f t="shared" si="1"/>
        <v>493.4</v>
      </c>
      <c r="U20" s="42">
        <f t="shared" si="2"/>
        <v>3058.7000000000003</v>
      </c>
    </row>
    <row r="21" spans="1:21" s="29" customFormat="1" ht="20.25" customHeight="1">
      <c r="A21" s="71">
        <v>15</v>
      </c>
      <c r="B21" s="38" t="s">
        <v>93</v>
      </c>
      <c r="C21" s="46">
        <v>12</v>
      </c>
      <c r="D21" s="46">
        <v>12</v>
      </c>
      <c r="E21" s="46">
        <v>1511.8969999999999</v>
      </c>
      <c r="F21" s="46">
        <v>202.56</v>
      </c>
      <c r="G21" s="46">
        <f t="shared" si="0"/>
        <v>1714.4569999999999</v>
      </c>
      <c r="H21" s="46">
        <v>1593.5640000000001</v>
      </c>
      <c r="I21" s="46">
        <v>33.415999999999997</v>
      </c>
      <c r="J21" s="46">
        <v>7.0720000000000001</v>
      </c>
      <c r="K21" s="46"/>
      <c r="L21" s="46">
        <v>2.16</v>
      </c>
      <c r="M21" s="46">
        <v>21.54</v>
      </c>
      <c r="N21" s="46">
        <v>15.6</v>
      </c>
      <c r="O21" s="46">
        <v>22.622</v>
      </c>
      <c r="P21" s="46"/>
      <c r="Q21" s="46">
        <v>29.359000000000002</v>
      </c>
      <c r="R21" s="46"/>
      <c r="S21" s="46">
        <v>64.855000000000004</v>
      </c>
      <c r="T21" s="46">
        <f t="shared" si="1"/>
        <v>196.62399999999997</v>
      </c>
      <c r="U21" s="42">
        <f t="shared" si="2"/>
        <v>1790.1880000000001</v>
      </c>
    </row>
    <row r="22" spans="1:21" s="29" customFormat="1" ht="20.25" customHeight="1">
      <c r="A22" s="71">
        <v>16</v>
      </c>
      <c r="B22" s="38" t="s">
        <v>94</v>
      </c>
      <c r="C22" s="46">
        <v>36</v>
      </c>
      <c r="D22" s="46">
        <v>36</v>
      </c>
      <c r="E22" s="46">
        <v>5680.4579999999996</v>
      </c>
      <c r="F22" s="46">
        <v>607.67999999999995</v>
      </c>
      <c r="G22" s="46">
        <f t="shared" si="0"/>
        <v>6288.1379999999999</v>
      </c>
      <c r="H22" s="46">
        <v>5685.32</v>
      </c>
      <c r="I22" s="46"/>
      <c r="J22" s="46">
        <v>13.718999999999999</v>
      </c>
      <c r="K22" s="46">
        <v>90.558000000000007</v>
      </c>
      <c r="L22" s="46">
        <v>5.5350000000000001</v>
      </c>
      <c r="M22" s="46">
        <v>59.491999999999997</v>
      </c>
      <c r="N22" s="46">
        <v>49.341000000000001</v>
      </c>
      <c r="O22" s="46">
        <v>84.433999999999997</v>
      </c>
      <c r="P22" s="46"/>
      <c r="Q22" s="46">
        <v>174.535</v>
      </c>
      <c r="R22" s="46"/>
      <c r="S22" s="46">
        <v>47.533999999999999</v>
      </c>
      <c r="T22" s="46">
        <f t="shared" si="1"/>
        <v>525.14800000000002</v>
      </c>
      <c r="U22" s="42">
        <f t="shared" si="2"/>
        <v>6210.4679999999998</v>
      </c>
    </row>
    <row r="23" spans="1:21" s="29" customFormat="1" ht="20.25" customHeight="1">
      <c r="A23" s="71">
        <v>17</v>
      </c>
      <c r="B23" s="38" t="s">
        <v>95</v>
      </c>
      <c r="C23" s="46">
        <v>40</v>
      </c>
      <c r="D23" s="46">
        <v>40</v>
      </c>
      <c r="E23" s="46">
        <v>6292.9250000000002</v>
      </c>
      <c r="F23" s="46">
        <v>675.19999999999993</v>
      </c>
      <c r="G23" s="46">
        <f t="shared" si="0"/>
        <v>6968.125</v>
      </c>
      <c r="H23" s="46">
        <v>5686.9530000000004</v>
      </c>
      <c r="I23" s="46"/>
      <c r="J23" s="46">
        <v>16.68</v>
      </c>
      <c r="K23" s="46">
        <v>220.322</v>
      </c>
      <c r="L23" s="46">
        <v>6.2569999999999997</v>
      </c>
      <c r="M23" s="46">
        <v>92.040999999999997</v>
      </c>
      <c r="N23" s="46">
        <v>22.92</v>
      </c>
      <c r="O23" s="46">
        <v>37.725000000000001</v>
      </c>
      <c r="P23" s="46">
        <v>51</v>
      </c>
      <c r="Q23" s="46">
        <v>144.59</v>
      </c>
      <c r="R23" s="46"/>
      <c r="S23" s="46">
        <v>38.57</v>
      </c>
      <c r="T23" s="46">
        <f t="shared" si="1"/>
        <v>630.10500000000013</v>
      </c>
      <c r="U23" s="42">
        <f t="shared" si="2"/>
        <v>6317.0580000000009</v>
      </c>
    </row>
    <row r="24" spans="1:21" s="29" customFormat="1" ht="20.25" customHeight="1">
      <c r="A24" s="71">
        <v>18</v>
      </c>
      <c r="B24" s="39" t="s">
        <v>96</v>
      </c>
      <c r="C24" s="46">
        <v>27</v>
      </c>
      <c r="D24" s="46">
        <v>27</v>
      </c>
      <c r="E24" s="46">
        <v>4181.32</v>
      </c>
      <c r="F24" s="46">
        <v>455.76</v>
      </c>
      <c r="G24" s="46">
        <f t="shared" si="0"/>
        <v>4637.08</v>
      </c>
      <c r="H24" s="46">
        <v>4073.366</v>
      </c>
      <c r="I24" s="46">
        <v>45.976999999999997</v>
      </c>
      <c r="J24" s="46">
        <v>12.243</v>
      </c>
      <c r="K24" s="46">
        <v>25.401</v>
      </c>
      <c r="L24" s="46">
        <v>3.3730000000000002</v>
      </c>
      <c r="M24" s="46">
        <v>81.59</v>
      </c>
      <c r="N24" s="46">
        <v>37.93</v>
      </c>
      <c r="O24" s="46">
        <v>39.090000000000003</v>
      </c>
      <c r="P24" s="46">
        <v>13.715999999999999</v>
      </c>
      <c r="Q24" s="46">
        <v>175.37799999999999</v>
      </c>
      <c r="R24" s="46"/>
      <c r="S24" s="46">
        <v>50.073</v>
      </c>
      <c r="T24" s="46">
        <f t="shared" si="1"/>
        <v>484.77099999999996</v>
      </c>
      <c r="U24" s="42">
        <f t="shared" si="2"/>
        <v>4558.1369999999997</v>
      </c>
    </row>
    <row r="25" spans="1:21" s="29" customFormat="1" ht="20.25" customHeight="1">
      <c r="A25" s="71">
        <v>19</v>
      </c>
      <c r="B25" s="38" t="s">
        <v>97</v>
      </c>
      <c r="C25" s="46">
        <v>21</v>
      </c>
      <c r="D25" s="46">
        <v>20</v>
      </c>
      <c r="E25" s="46">
        <v>3333.7330000000002</v>
      </c>
      <c r="F25" s="46">
        <v>354.47999999999996</v>
      </c>
      <c r="G25" s="46">
        <f t="shared" si="0"/>
        <v>3688.2130000000002</v>
      </c>
      <c r="H25" s="46">
        <v>3518.4949999999999</v>
      </c>
      <c r="I25" s="46">
        <v>123.77</v>
      </c>
      <c r="J25" s="46">
        <v>18.614000000000001</v>
      </c>
      <c r="K25" s="46">
        <v>10.068</v>
      </c>
      <c r="L25" s="46">
        <v>2.9220000000000002</v>
      </c>
      <c r="M25" s="46">
        <v>45.957999999999998</v>
      </c>
      <c r="N25" s="46">
        <v>30.33</v>
      </c>
      <c r="O25" s="46">
        <v>12.728999999999999</v>
      </c>
      <c r="P25" s="46">
        <v>11.5</v>
      </c>
      <c r="Q25" s="46">
        <v>85.418999999999997</v>
      </c>
      <c r="R25" s="46">
        <v>0</v>
      </c>
      <c r="S25" s="46">
        <v>41.664000000000001</v>
      </c>
      <c r="T25" s="46">
        <f t="shared" si="1"/>
        <v>382.97399999999993</v>
      </c>
      <c r="U25" s="42">
        <f t="shared" si="2"/>
        <v>3901.4690000000001</v>
      </c>
    </row>
    <row r="26" spans="1:21" s="29" customFormat="1" ht="20.25" customHeight="1">
      <c r="A26" s="71">
        <v>20</v>
      </c>
      <c r="B26" s="38" t="s">
        <v>98</v>
      </c>
      <c r="C26" s="46">
        <v>25</v>
      </c>
      <c r="D26" s="46">
        <v>23</v>
      </c>
      <c r="E26" s="46">
        <v>4047.9969999999998</v>
      </c>
      <c r="F26" s="46">
        <v>422</v>
      </c>
      <c r="G26" s="46">
        <f t="shared" si="0"/>
        <v>4469.9969999999994</v>
      </c>
      <c r="H26" s="46">
        <v>3900.26</v>
      </c>
      <c r="I26" s="46">
        <v>105.238</v>
      </c>
      <c r="J26" s="46">
        <v>10.372999999999999</v>
      </c>
      <c r="K26" s="46">
        <v>8.3979999999999997</v>
      </c>
      <c r="L26" s="46">
        <v>2.9849999999999999</v>
      </c>
      <c r="M26" s="46">
        <v>100.73</v>
      </c>
      <c r="N26" s="46">
        <v>19</v>
      </c>
      <c r="O26" s="46">
        <v>41.002000000000002</v>
      </c>
      <c r="P26" s="46"/>
      <c r="Q26" s="46">
        <v>77.62</v>
      </c>
      <c r="R26" s="46"/>
      <c r="S26" s="46">
        <v>45.790999999999997</v>
      </c>
      <c r="T26" s="46">
        <f t="shared" si="1"/>
        <v>411.137</v>
      </c>
      <c r="U26" s="42">
        <f t="shared" si="2"/>
        <v>4311.3969999999999</v>
      </c>
    </row>
    <row r="27" spans="1:21" s="29" customFormat="1" ht="20.25" customHeight="1">
      <c r="A27" s="71">
        <v>21</v>
      </c>
      <c r="B27" s="38" t="s">
        <v>99</v>
      </c>
      <c r="C27" s="46">
        <v>29</v>
      </c>
      <c r="D27" s="46">
        <v>28</v>
      </c>
      <c r="E27" s="46">
        <v>3826.2339999999999</v>
      </c>
      <c r="F27" s="46">
        <v>489.52</v>
      </c>
      <c r="G27" s="46">
        <f t="shared" si="0"/>
        <v>4315.7539999999999</v>
      </c>
      <c r="H27" s="46">
        <v>3673.1869999999999</v>
      </c>
      <c r="I27" s="46"/>
      <c r="J27" s="46">
        <v>10.445</v>
      </c>
      <c r="K27" s="46">
        <v>23.675999999999998</v>
      </c>
      <c r="L27" s="46">
        <v>9.0719999999999992</v>
      </c>
      <c r="M27" s="46">
        <v>111.51600000000001</v>
      </c>
      <c r="N27" s="46">
        <v>18.574000000000002</v>
      </c>
      <c r="O27" s="46">
        <v>53.295000000000002</v>
      </c>
      <c r="P27" s="46">
        <v>15.8</v>
      </c>
      <c r="Q27" s="46"/>
      <c r="R27" s="46"/>
      <c r="S27" s="46">
        <v>221.46600000000001</v>
      </c>
      <c r="T27" s="46">
        <f t="shared" si="1"/>
        <v>463.84400000000005</v>
      </c>
      <c r="U27" s="42">
        <f t="shared" si="2"/>
        <v>4137.0309999999999</v>
      </c>
    </row>
    <row r="28" spans="1:21" s="29" customFormat="1" ht="20.25" customHeight="1">
      <c r="A28" s="71">
        <v>22</v>
      </c>
      <c r="B28" s="38" t="s">
        <v>100</v>
      </c>
      <c r="C28" s="46">
        <v>13</v>
      </c>
      <c r="D28" s="46">
        <v>13</v>
      </c>
      <c r="E28" s="46">
        <v>1787.499</v>
      </c>
      <c r="F28" s="46">
        <v>219.44</v>
      </c>
      <c r="G28" s="46">
        <f t="shared" si="0"/>
        <v>2006.9390000000001</v>
      </c>
      <c r="H28" s="46">
        <v>1906.5889999999999</v>
      </c>
      <c r="I28" s="46">
        <v>72.043999999999997</v>
      </c>
      <c r="J28" s="46">
        <v>7.6230000000000002</v>
      </c>
      <c r="K28" s="46">
        <v>0.73</v>
      </c>
      <c r="L28" s="46">
        <v>2.1989999999999998</v>
      </c>
      <c r="M28" s="46">
        <v>63.155999999999999</v>
      </c>
      <c r="N28" s="46">
        <v>9.6</v>
      </c>
      <c r="O28" s="46">
        <v>51.21</v>
      </c>
      <c r="P28" s="46">
        <v>0</v>
      </c>
      <c r="Q28" s="46">
        <v>56.558999999999997</v>
      </c>
      <c r="R28" s="46">
        <v>0</v>
      </c>
      <c r="S28" s="46">
        <f>13.15</f>
        <v>13.15</v>
      </c>
      <c r="T28" s="46">
        <f t="shared" si="1"/>
        <v>276.27099999999996</v>
      </c>
      <c r="U28" s="42">
        <f t="shared" si="2"/>
        <v>2182.8599999999997</v>
      </c>
    </row>
    <row r="29" spans="1:21" s="29" customFormat="1" ht="20.25" customHeight="1">
      <c r="A29" s="71">
        <v>23</v>
      </c>
      <c r="B29" s="38" t="s">
        <v>101</v>
      </c>
      <c r="C29" s="46">
        <v>35</v>
      </c>
      <c r="D29" s="46">
        <v>33</v>
      </c>
      <c r="E29" s="46">
        <v>5168.4309999999996</v>
      </c>
      <c r="F29" s="46">
        <v>590.79999999999995</v>
      </c>
      <c r="G29" s="46">
        <f t="shared" si="0"/>
        <v>5759.2309999999998</v>
      </c>
      <c r="H29" s="46">
        <v>5068.9459999999999</v>
      </c>
      <c r="I29" s="46"/>
      <c r="J29" s="46">
        <v>30.696000000000002</v>
      </c>
      <c r="K29" s="46">
        <v>83.573999999999998</v>
      </c>
      <c r="L29" s="46">
        <v>6.13</v>
      </c>
      <c r="M29" s="46">
        <v>88.528000000000006</v>
      </c>
      <c r="N29" s="46">
        <v>48.28</v>
      </c>
      <c r="O29" s="46">
        <v>47.585000000000001</v>
      </c>
      <c r="P29" s="46">
        <v>35.700000000000003</v>
      </c>
      <c r="Q29" s="46">
        <v>138.661</v>
      </c>
      <c r="R29" s="46"/>
      <c r="S29" s="46">
        <v>64.135000000000005</v>
      </c>
      <c r="T29" s="46">
        <f t="shared" si="1"/>
        <v>543.28899999999999</v>
      </c>
      <c r="U29" s="42">
        <f t="shared" si="2"/>
        <v>5612.2349999999997</v>
      </c>
    </row>
    <row r="30" spans="1:21" s="29" customFormat="1" ht="20.25" customHeight="1">
      <c r="A30" s="71">
        <v>24</v>
      </c>
      <c r="B30" s="38" t="s">
        <v>102</v>
      </c>
      <c r="C30" s="46">
        <v>26</v>
      </c>
      <c r="D30" s="46">
        <v>26</v>
      </c>
      <c r="E30" s="46">
        <v>3740.5610000000001</v>
      </c>
      <c r="F30" s="46">
        <v>438.88</v>
      </c>
      <c r="G30" s="46">
        <f t="shared" si="0"/>
        <v>4179.4409999999998</v>
      </c>
      <c r="H30" s="46">
        <v>3788.145</v>
      </c>
      <c r="I30" s="46"/>
      <c r="J30" s="46">
        <v>13.999000000000001</v>
      </c>
      <c r="K30" s="46">
        <v>32.463999999999999</v>
      </c>
      <c r="L30" s="46">
        <v>7.1710000000000003</v>
      </c>
      <c r="M30" s="46">
        <v>95.99</v>
      </c>
      <c r="N30" s="46">
        <v>34.520000000000003</v>
      </c>
      <c r="O30" s="46">
        <v>39.973999999999997</v>
      </c>
      <c r="P30" s="46"/>
      <c r="Q30" s="46">
        <v>82.668999999999997</v>
      </c>
      <c r="R30" s="46"/>
      <c r="S30" s="46">
        <v>172.66300000000001</v>
      </c>
      <c r="T30" s="46">
        <f t="shared" si="1"/>
        <v>479.45</v>
      </c>
      <c r="U30" s="42">
        <f t="shared" si="2"/>
        <v>4267.5950000000003</v>
      </c>
    </row>
    <row r="31" spans="1:21" s="29" customFormat="1" ht="20.25" customHeight="1">
      <c r="A31" s="71">
        <v>25</v>
      </c>
      <c r="B31" s="38" t="s">
        <v>103</v>
      </c>
      <c r="C31" s="46">
        <v>28</v>
      </c>
      <c r="D31" s="46">
        <v>27</v>
      </c>
      <c r="E31" s="46">
        <v>3523.3739999999998</v>
      </c>
      <c r="F31" s="46">
        <v>472.64</v>
      </c>
      <c r="G31" s="46">
        <f t="shared" si="0"/>
        <v>3996.0139999999997</v>
      </c>
      <c r="H31" s="46">
        <v>3664.1410000000001</v>
      </c>
      <c r="I31" s="46">
        <v>18.856999999999999</v>
      </c>
      <c r="J31" s="46"/>
      <c r="K31" s="46">
        <f>16.665+89.844+24.106</f>
        <v>130.61499999999998</v>
      </c>
      <c r="L31" s="46">
        <v>1.2470000000000001</v>
      </c>
      <c r="M31" s="46">
        <f>4.502+31.95+20.75</f>
        <v>57.201999999999998</v>
      </c>
      <c r="N31" s="46">
        <v>24</v>
      </c>
      <c r="O31" s="46">
        <f>40.85+18.7+11.585+8.165</f>
        <v>79.299999999999983</v>
      </c>
      <c r="P31" s="46">
        <f>66.665</f>
        <v>66.665000000000006</v>
      </c>
      <c r="Q31" s="46">
        <v>17.829999999999998</v>
      </c>
      <c r="R31" s="46"/>
      <c r="S31" s="46">
        <f>61.145+3+28</f>
        <v>92.14500000000001</v>
      </c>
      <c r="T31" s="46">
        <f t="shared" si="1"/>
        <v>487.86099999999999</v>
      </c>
      <c r="U31" s="42">
        <f t="shared" si="2"/>
        <v>4152.0020000000004</v>
      </c>
    </row>
    <row r="32" spans="1:21" s="29" customFormat="1" ht="20.25" customHeight="1">
      <c r="A32" s="71">
        <v>26</v>
      </c>
      <c r="B32" s="38" t="s">
        <v>104</v>
      </c>
      <c r="C32" s="46">
        <v>41</v>
      </c>
      <c r="D32" s="46">
        <v>40</v>
      </c>
      <c r="E32" s="46">
        <v>6883.1440000000002</v>
      </c>
      <c r="F32" s="46">
        <v>692.07999999999993</v>
      </c>
      <c r="G32" s="46">
        <f t="shared" si="0"/>
        <v>7575.2240000000002</v>
      </c>
      <c r="H32" s="46">
        <v>6680.1549999999997</v>
      </c>
      <c r="I32" s="46">
        <v>101.803</v>
      </c>
      <c r="J32" s="46">
        <v>23.43</v>
      </c>
      <c r="K32" s="46">
        <v>13.25</v>
      </c>
      <c r="L32" s="46">
        <v>11.54</v>
      </c>
      <c r="M32" s="46">
        <v>101.245</v>
      </c>
      <c r="N32" s="46">
        <v>72.28</v>
      </c>
      <c r="O32" s="46">
        <v>96.007000000000005</v>
      </c>
      <c r="P32" s="46">
        <v>0</v>
      </c>
      <c r="Q32" s="46">
        <v>190.29300000000001</v>
      </c>
      <c r="R32" s="46"/>
      <c r="S32" s="46">
        <v>19.202999999999999</v>
      </c>
      <c r="T32" s="46">
        <f t="shared" si="1"/>
        <v>629.05099999999993</v>
      </c>
      <c r="U32" s="42">
        <f t="shared" si="2"/>
        <v>7309.2060000000001</v>
      </c>
    </row>
    <row r="33" spans="1:21" s="29" customFormat="1" ht="20.25" customHeight="1">
      <c r="A33" s="71">
        <v>27</v>
      </c>
      <c r="B33" s="38" t="s">
        <v>105</v>
      </c>
      <c r="C33" s="46">
        <v>28</v>
      </c>
      <c r="D33" s="46">
        <v>27</v>
      </c>
      <c r="E33" s="46">
        <v>3947.652</v>
      </c>
      <c r="F33" s="46">
        <v>472.64</v>
      </c>
      <c r="G33" s="46">
        <f t="shared" si="0"/>
        <v>4420.2920000000004</v>
      </c>
      <c r="H33" s="46">
        <v>4015.83</v>
      </c>
      <c r="I33" s="46"/>
      <c r="J33" s="46">
        <v>12.641</v>
      </c>
      <c r="K33" s="46">
        <v>47.067999999999998</v>
      </c>
      <c r="L33" s="46">
        <v>3.2269999999999999</v>
      </c>
      <c r="M33" s="46">
        <v>85.39</v>
      </c>
      <c r="N33" s="46">
        <v>29</v>
      </c>
      <c r="O33" s="46">
        <v>4.5990000000000002</v>
      </c>
      <c r="P33" s="46">
        <v>55.862000000000002</v>
      </c>
      <c r="Q33" s="46">
        <v>115.858</v>
      </c>
      <c r="R33" s="46">
        <v>0</v>
      </c>
      <c r="S33" s="46">
        <v>261.34899999999999</v>
      </c>
      <c r="T33" s="46">
        <f t="shared" si="1"/>
        <v>614.99399999999991</v>
      </c>
      <c r="U33" s="42">
        <f t="shared" si="2"/>
        <v>4630.8239999999996</v>
      </c>
    </row>
    <row r="34" spans="1:21" s="29" customFormat="1" ht="20.25" customHeight="1">
      <c r="A34" s="71">
        <v>28</v>
      </c>
      <c r="B34" s="38" t="s">
        <v>106</v>
      </c>
      <c r="C34" s="46">
        <v>35</v>
      </c>
      <c r="D34" s="46">
        <v>33</v>
      </c>
      <c r="E34" s="46">
        <v>3975.6990000000001</v>
      </c>
      <c r="F34" s="46">
        <v>590.79999999999995</v>
      </c>
      <c r="G34" s="46">
        <f t="shared" si="0"/>
        <v>4566.4989999999998</v>
      </c>
      <c r="H34" s="46">
        <f>1960.699+1559.887+558.573</f>
        <v>4079.1590000000001</v>
      </c>
      <c r="I34" s="46"/>
      <c r="J34" s="46">
        <v>50.918999999999997</v>
      </c>
      <c r="K34" s="46">
        <v>96.033000000000001</v>
      </c>
      <c r="L34" s="46">
        <v>14.446999999999999</v>
      </c>
      <c r="M34" s="46">
        <v>74.759</v>
      </c>
      <c r="N34" s="46">
        <v>35.76</v>
      </c>
      <c r="O34" s="46">
        <v>10.84</v>
      </c>
      <c r="P34" s="46">
        <v>15.99</v>
      </c>
      <c r="Q34" s="46">
        <v>106.899</v>
      </c>
      <c r="R34" s="46"/>
      <c r="S34" s="46">
        <f>27.594+18.952+4.8</f>
        <v>51.346000000000004</v>
      </c>
      <c r="T34" s="46">
        <f t="shared" si="1"/>
        <v>456.99299999999999</v>
      </c>
      <c r="U34" s="42">
        <f t="shared" si="2"/>
        <v>4536.152</v>
      </c>
    </row>
    <row r="35" spans="1:21" s="29" customFormat="1" ht="20.25" customHeight="1">
      <c r="A35" s="71">
        <v>29</v>
      </c>
      <c r="B35" s="38" t="s">
        <v>107</v>
      </c>
      <c r="C35" s="46">
        <v>35</v>
      </c>
      <c r="D35" s="46">
        <v>33</v>
      </c>
      <c r="E35" s="46">
        <v>4914.6750000000002</v>
      </c>
      <c r="F35" s="46">
        <v>590.79999999999995</v>
      </c>
      <c r="G35" s="46">
        <f t="shared" si="0"/>
        <v>5505.4750000000004</v>
      </c>
      <c r="H35" s="40">
        <v>4946.1000000000004</v>
      </c>
      <c r="I35" s="40">
        <v>116.6</v>
      </c>
      <c r="J35" s="40">
        <v>28.2</v>
      </c>
      <c r="K35" s="40">
        <v>14.2</v>
      </c>
      <c r="L35" s="40">
        <v>20.9</v>
      </c>
      <c r="M35" s="40">
        <v>58.8</v>
      </c>
      <c r="N35" s="40">
        <v>60.2</v>
      </c>
      <c r="O35" s="40">
        <v>65.5</v>
      </c>
      <c r="P35" s="40"/>
      <c r="Q35" s="40">
        <v>212.1</v>
      </c>
      <c r="R35" s="46"/>
      <c r="S35" s="40">
        <v>73.099999999999994</v>
      </c>
      <c r="T35" s="46">
        <f t="shared" si="1"/>
        <v>649.6</v>
      </c>
      <c r="U35" s="42">
        <f t="shared" si="2"/>
        <v>5595.7000000000007</v>
      </c>
    </row>
    <row r="36" spans="1:21" s="29" customFormat="1" ht="20.25" customHeight="1">
      <c r="A36" s="71">
        <v>30</v>
      </c>
      <c r="B36" s="38" t="s">
        <v>108</v>
      </c>
      <c r="C36" s="46">
        <v>25</v>
      </c>
      <c r="D36" s="46">
        <v>25</v>
      </c>
      <c r="E36" s="46">
        <v>3802.3780000000002</v>
      </c>
      <c r="F36" s="46">
        <v>422</v>
      </c>
      <c r="G36" s="46">
        <f t="shared" si="0"/>
        <v>4224.3780000000006</v>
      </c>
      <c r="H36" s="46">
        <v>3622.2530000000002</v>
      </c>
      <c r="I36" s="46">
        <v>110.511</v>
      </c>
      <c r="J36" s="46">
        <v>10.891999999999999</v>
      </c>
      <c r="K36" s="46">
        <v>8.3949999999999996</v>
      </c>
      <c r="L36" s="46">
        <v>3.6890000000000001</v>
      </c>
      <c r="M36" s="46">
        <v>72.677999999999997</v>
      </c>
      <c r="N36" s="46">
        <v>36.869999999999997</v>
      </c>
      <c r="O36" s="46">
        <v>6.7149999999999999</v>
      </c>
      <c r="P36" s="46">
        <v>42.295000000000002</v>
      </c>
      <c r="Q36" s="46">
        <v>46.545000000000002</v>
      </c>
      <c r="R36" s="46"/>
      <c r="S36" s="46">
        <v>20.756</v>
      </c>
      <c r="T36" s="46">
        <f t="shared" si="1"/>
        <v>359.346</v>
      </c>
      <c r="U36" s="42">
        <f t="shared" si="2"/>
        <v>3981.5990000000002</v>
      </c>
    </row>
    <row r="37" spans="1:21" s="29" customFormat="1" ht="20.25" customHeight="1">
      <c r="A37" s="71">
        <v>31</v>
      </c>
      <c r="B37" s="38" t="s">
        <v>109</v>
      </c>
      <c r="C37" s="46">
        <v>15</v>
      </c>
      <c r="D37" s="46">
        <v>14</v>
      </c>
      <c r="E37" s="46">
        <v>1797.692</v>
      </c>
      <c r="F37" s="46">
        <v>253.2</v>
      </c>
      <c r="G37" s="46">
        <f t="shared" si="0"/>
        <v>2050.8919999999998</v>
      </c>
      <c r="H37" s="46">
        <v>1868.9960000000001</v>
      </c>
      <c r="I37" s="46"/>
      <c r="J37" s="46">
        <v>5.5810000000000004</v>
      </c>
      <c r="K37" s="46">
        <v>29.896999999999998</v>
      </c>
      <c r="L37" s="46">
        <v>3.4540000000000002</v>
      </c>
      <c r="M37" s="46">
        <v>45.531999999999996</v>
      </c>
      <c r="N37" s="46">
        <v>28.26</v>
      </c>
      <c r="O37" s="46">
        <v>31.536999999999999</v>
      </c>
      <c r="P37" s="46">
        <v>31</v>
      </c>
      <c r="Q37" s="46">
        <v>44.747999999999998</v>
      </c>
      <c r="R37" s="46"/>
      <c r="S37" s="46">
        <v>34.191000000000003</v>
      </c>
      <c r="T37" s="46">
        <f t="shared" si="1"/>
        <v>254.2</v>
      </c>
      <c r="U37" s="42">
        <f t="shared" si="2"/>
        <v>2123.1959999999999</v>
      </c>
    </row>
    <row r="38" spans="1:21" s="29" customFormat="1" ht="20.25" customHeight="1">
      <c r="A38" s="71">
        <v>32</v>
      </c>
      <c r="B38" s="38" t="s">
        <v>110</v>
      </c>
      <c r="C38" s="46">
        <v>24</v>
      </c>
      <c r="D38" s="46">
        <v>21</v>
      </c>
      <c r="E38" s="46">
        <v>3641.7959999999998</v>
      </c>
      <c r="F38" s="46">
        <v>405.12</v>
      </c>
      <c r="G38" s="46">
        <f t="shared" si="0"/>
        <v>4046.9159999999997</v>
      </c>
      <c r="H38" s="46">
        <v>3357.9720000000002</v>
      </c>
      <c r="I38" s="46"/>
      <c r="J38" s="46">
        <v>14.794</v>
      </c>
      <c r="K38" s="46">
        <v>141.03299999999999</v>
      </c>
      <c r="L38" s="46">
        <v>7.7910000000000004</v>
      </c>
      <c r="M38" s="46">
        <v>75.338999999999999</v>
      </c>
      <c r="N38" s="46">
        <v>21.6</v>
      </c>
      <c r="O38" s="46">
        <v>108.721</v>
      </c>
      <c r="P38" s="46">
        <v>69.930000000000007</v>
      </c>
      <c r="Q38" s="46">
        <v>153.30600000000001</v>
      </c>
      <c r="R38" s="46"/>
      <c r="S38" s="46">
        <v>82.546000000000006</v>
      </c>
      <c r="T38" s="46">
        <f t="shared" si="1"/>
        <v>675.06000000000006</v>
      </c>
      <c r="U38" s="42">
        <f t="shared" si="2"/>
        <v>4033.0320000000002</v>
      </c>
    </row>
    <row r="39" spans="1:21" s="29" customFormat="1" ht="20.25" customHeight="1">
      <c r="A39" s="71">
        <v>33</v>
      </c>
      <c r="B39" s="41" t="s">
        <v>111</v>
      </c>
      <c r="C39" s="46">
        <v>20</v>
      </c>
      <c r="D39" s="46">
        <v>15</v>
      </c>
      <c r="E39" s="46">
        <v>3086.7069999999999</v>
      </c>
      <c r="F39" s="46">
        <v>337.59999999999997</v>
      </c>
      <c r="G39" s="46">
        <f t="shared" si="0"/>
        <v>3424.3069999999998</v>
      </c>
      <c r="H39" s="46">
        <v>2645.04</v>
      </c>
      <c r="I39" s="46">
        <v>78.991</v>
      </c>
      <c r="J39" s="46">
        <v>5.69</v>
      </c>
      <c r="K39" s="46">
        <v>10.029999999999999</v>
      </c>
      <c r="L39" s="46">
        <v>1.2470000000000001</v>
      </c>
      <c r="M39" s="46">
        <v>58.32</v>
      </c>
      <c r="N39" s="46">
        <v>23.78</v>
      </c>
      <c r="O39" s="46">
        <v>54.691000000000003</v>
      </c>
      <c r="P39" s="46">
        <v>46.35</v>
      </c>
      <c r="Q39" s="46">
        <v>112.69199999999999</v>
      </c>
      <c r="R39" s="46"/>
      <c r="S39" s="46">
        <v>59.58</v>
      </c>
      <c r="T39" s="46">
        <f t="shared" si="1"/>
        <v>451.37099999999998</v>
      </c>
      <c r="U39" s="42">
        <f t="shared" si="2"/>
        <v>3096.4110000000001</v>
      </c>
    </row>
    <row r="40" spans="1:21" s="29" customFormat="1" ht="20.25" customHeight="1">
      <c r="A40" s="71">
        <v>34</v>
      </c>
      <c r="B40" s="38" t="s">
        <v>112</v>
      </c>
      <c r="C40" s="46">
        <v>15</v>
      </c>
      <c r="D40" s="46">
        <v>14</v>
      </c>
      <c r="E40" s="46">
        <v>2562.5990000000002</v>
      </c>
      <c r="F40" s="46">
        <v>253.2</v>
      </c>
      <c r="G40" s="46">
        <f t="shared" si="0"/>
        <v>2815.799</v>
      </c>
      <c r="H40" s="46">
        <v>2768.8780000000002</v>
      </c>
      <c r="I40" s="46">
        <v>98.956000000000003</v>
      </c>
      <c r="J40" s="46">
        <v>16.475999999999999</v>
      </c>
      <c r="K40" s="46">
        <v>7.3250000000000002</v>
      </c>
      <c r="L40" s="46">
        <v>7.3179999999999996</v>
      </c>
      <c r="M40" s="46">
        <v>40.189</v>
      </c>
      <c r="N40" s="46">
        <v>22.66</v>
      </c>
      <c r="O40" s="46">
        <v>29.448</v>
      </c>
      <c r="P40" s="46">
        <v>0</v>
      </c>
      <c r="Q40" s="46">
        <v>85.531999999999996</v>
      </c>
      <c r="R40" s="46">
        <v>0</v>
      </c>
      <c r="S40" s="46">
        <v>33.619</v>
      </c>
      <c r="T40" s="46">
        <f t="shared" si="1"/>
        <v>341.52300000000002</v>
      </c>
      <c r="U40" s="42">
        <f t="shared" si="2"/>
        <v>3110.4010000000003</v>
      </c>
    </row>
    <row r="41" spans="1:21" s="29" customFormat="1" ht="20.25" customHeight="1">
      <c r="A41" s="71">
        <v>35</v>
      </c>
      <c r="B41" s="38" t="s">
        <v>113</v>
      </c>
      <c r="C41" s="46">
        <v>17</v>
      </c>
      <c r="D41" s="46">
        <v>14</v>
      </c>
      <c r="E41" s="46">
        <v>2046.6120000000001</v>
      </c>
      <c r="F41" s="46">
        <v>286.95999999999998</v>
      </c>
      <c r="G41" s="46">
        <f t="shared" si="0"/>
        <v>2333.5720000000001</v>
      </c>
      <c r="H41" s="46">
        <v>1815.896</v>
      </c>
      <c r="I41" s="46">
        <v>37.563000000000002</v>
      </c>
      <c r="J41" s="46">
        <v>5.3719999999999999</v>
      </c>
      <c r="K41" s="46">
        <v>18.512</v>
      </c>
      <c r="L41" s="46">
        <v>2.8420000000000001</v>
      </c>
      <c r="M41" s="46">
        <v>74.248999999999995</v>
      </c>
      <c r="N41" s="46">
        <v>18</v>
      </c>
      <c r="O41" s="46">
        <v>47.26</v>
      </c>
      <c r="P41" s="46">
        <v>36.799999999999997</v>
      </c>
      <c r="Q41" s="46">
        <v>78.417000000000002</v>
      </c>
      <c r="R41" s="46"/>
      <c r="S41" s="46">
        <v>88.613</v>
      </c>
      <c r="T41" s="46">
        <f t="shared" si="1"/>
        <v>407.62799999999999</v>
      </c>
      <c r="U41" s="42">
        <f t="shared" si="2"/>
        <v>2223.5239999999999</v>
      </c>
    </row>
    <row r="42" spans="1:21" s="29" customFormat="1" ht="20.25" customHeight="1">
      <c r="A42" s="71">
        <v>36</v>
      </c>
      <c r="B42" s="38" t="s">
        <v>114</v>
      </c>
      <c r="C42" s="46">
        <v>15</v>
      </c>
      <c r="D42" s="46">
        <v>14</v>
      </c>
      <c r="E42" s="46">
        <v>1737.23</v>
      </c>
      <c r="F42" s="46">
        <v>253.2</v>
      </c>
      <c r="G42" s="46">
        <f t="shared" si="0"/>
        <v>1990.43</v>
      </c>
      <c r="H42" s="46">
        <v>1666.5630000000001</v>
      </c>
      <c r="I42" s="46"/>
      <c r="J42" s="46">
        <v>14.101000000000001</v>
      </c>
      <c r="K42" s="46">
        <v>35.286999999999999</v>
      </c>
      <c r="L42" s="46">
        <v>1.3180000000000001</v>
      </c>
      <c r="M42" s="46">
        <v>68.641000000000005</v>
      </c>
      <c r="N42" s="46">
        <v>19.190000000000001</v>
      </c>
      <c r="O42" s="46">
        <v>17.919</v>
      </c>
      <c r="P42" s="46"/>
      <c r="Q42" s="46">
        <v>70.293999999999997</v>
      </c>
      <c r="R42" s="46"/>
      <c r="S42" s="46">
        <v>62.503</v>
      </c>
      <c r="T42" s="46">
        <f t="shared" si="1"/>
        <v>289.25299999999999</v>
      </c>
      <c r="U42" s="42">
        <f t="shared" si="2"/>
        <v>1955.816</v>
      </c>
    </row>
    <row r="43" spans="1:21" s="29" customFormat="1" ht="20.25" customHeight="1">
      <c r="A43" s="71">
        <v>37</v>
      </c>
      <c r="B43" s="38" t="s">
        <v>115</v>
      </c>
      <c r="C43" s="46">
        <v>12</v>
      </c>
      <c r="D43" s="46">
        <v>8</v>
      </c>
      <c r="E43" s="46">
        <v>1203.7249999999999</v>
      </c>
      <c r="F43" s="46">
        <v>202.56</v>
      </c>
      <c r="G43" s="46">
        <f t="shared" si="0"/>
        <v>1406.2849999999999</v>
      </c>
      <c r="H43" s="46">
        <v>1321.1679999999999</v>
      </c>
      <c r="I43" s="46">
        <v>16.385000000000002</v>
      </c>
      <c r="J43" s="46">
        <v>3.8239999999999998</v>
      </c>
      <c r="K43" s="46">
        <v>2.7440000000000002</v>
      </c>
      <c r="L43" s="46">
        <v>4.3879999999999999</v>
      </c>
      <c r="M43" s="46">
        <v>62.231999999999999</v>
      </c>
      <c r="N43" s="46">
        <v>6.44</v>
      </c>
      <c r="O43" s="46">
        <v>27.88</v>
      </c>
      <c r="P43" s="46">
        <v>0</v>
      </c>
      <c r="Q43" s="46">
        <v>40.676000000000002</v>
      </c>
      <c r="R43" s="46">
        <v>0</v>
      </c>
      <c r="S43" s="46">
        <v>22.367999999999999</v>
      </c>
      <c r="T43" s="46">
        <f t="shared" si="1"/>
        <v>186.93700000000001</v>
      </c>
      <c r="U43" s="42">
        <f t="shared" si="2"/>
        <v>1508.105</v>
      </c>
    </row>
    <row r="44" spans="1:21" s="29" customFormat="1" ht="20.25" customHeight="1">
      <c r="A44" s="71">
        <v>38</v>
      </c>
      <c r="B44" s="38" t="s">
        <v>116</v>
      </c>
      <c r="C44" s="46">
        <v>21</v>
      </c>
      <c r="D44" s="46">
        <v>19</v>
      </c>
      <c r="E44" s="46">
        <v>2467.7759999999998</v>
      </c>
      <c r="F44" s="46">
        <v>354.47999999999996</v>
      </c>
      <c r="G44" s="46">
        <f t="shared" si="0"/>
        <v>2822.2559999999999</v>
      </c>
      <c r="H44" s="46">
        <v>2408.701</v>
      </c>
      <c r="I44" s="46"/>
      <c r="J44" s="46">
        <v>13.032</v>
      </c>
      <c r="K44" s="46">
        <v>66.463999999999999</v>
      </c>
      <c r="L44" s="46">
        <v>14.618</v>
      </c>
      <c r="M44" s="46">
        <v>66.025999999999996</v>
      </c>
      <c r="N44" s="46">
        <v>25.791</v>
      </c>
      <c r="O44" s="46">
        <v>31.129000000000001</v>
      </c>
      <c r="P44" s="46"/>
      <c r="Q44" s="46">
        <v>121.194</v>
      </c>
      <c r="R44" s="46"/>
      <c r="S44" s="46">
        <v>51.796999999999997</v>
      </c>
      <c r="T44" s="46">
        <f t="shared" si="1"/>
        <v>390.05099999999993</v>
      </c>
      <c r="U44" s="42">
        <f t="shared" si="2"/>
        <v>2798.752</v>
      </c>
    </row>
    <row r="45" spans="1:21" s="29" customFormat="1" ht="20.25" customHeight="1">
      <c r="A45" s="71">
        <v>39</v>
      </c>
      <c r="B45" s="38" t="s">
        <v>117</v>
      </c>
      <c r="C45" s="46">
        <v>14</v>
      </c>
      <c r="D45" s="46">
        <v>13</v>
      </c>
      <c r="E45" s="46">
        <v>2375.9029999999998</v>
      </c>
      <c r="F45" s="46">
        <v>236.32</v>
      </c>
      <c r="G45" s="46">
        <f t="shared" si="0"/>
        <v>2612.223</v>
      </c>
      <c r="H45" s="46">
        <v>2318.877</v>
      </c>
      <c r="I45" s="46"/>
      <c r="J45" s="46">
        <v>5.883</v>
      </c>
      <c r="K45" s="46">
        <v>8.375</v>
      </c>
      <c r="L45" s="46">
        <v>3.36</v>
      </c>
      <c r="M45" s="46">
        <v>58.677999999999997</v>
      </c>
      <c r="N45" s="46">
        <v>17.88</v>
      </c>
      <c r="O45" s="46">
        <v>44.537999999999997</v>
      </c>
      <c r="P45" s="46">
        <v>27</v>
      </c>
      <c r="Q45" s="46">
        <v>46.530999999999999</v>
      </c>
      <c r="R45" s="46"/>
      <c r="S45" s="46">
        <v>77.602000000000004</v>
      </c>
      <c r="T45" s="46">
        <f t="shared" si="1"/>
        <v>289.84699999999998</v>
      </c>
      <c r="U45" s="42">
        <f t="shared" si="2"/>
        <v>2608.7240000000002</v>
      </c>
    </row>
    <row r="46" spans="1:21" s="29" customFormat="1" ht="20.25" customHeight="1">
      <c r="A46" s="71">
        <v>40</v>
      </c>
      <c r="B46" s="38" t="s">
        <v>118</v>
      </c>
      <c r="C46" s="46">
        <v>14</v>
      </c>
      <c r="D46" s="46">
        <v>12</v>
      </c>
      <c r="E46" s="46">
        <v>1318.693</v>
      </c>
      <c r="F46" s="46">
        <v>236.32</v>
      </c>
      <c r="G46" s="46">
        <f t="shared" si="0"/>
        <v>1555.0129999999999</v>
      </c>
      <c r="H46" s="46">
        <f>700.852+446.92+178.253+8.48+232.715</f>
        <v>1567.2199999999998</v>
      </c>
      <c r="I46" s="46"/>
      <c r="J46" s="46"/>
      <c r="K46" s="46">
        <v>19.167000000000002</v>
      </c>
      <c r="L46" s="46">
        <v>1.474</v>
      </c>
      <c r="M46" s="46">
        <v>91.394999999999996</v>
      </c>
      <c r="N46" s="46">
        <v>2.5</v>
      </c>
      <c r="O46" s="46">
        <v>10.65</v>
      </c>
      <c r="P46" s="46">
        <v>17.600000000000001</v>
      </c>
      <c r="Q46" s="46">
        <v>39.264000000000003</v>
      </c>
      <c r="R46" s="46"/>
      <c r="S46" s="46">
        <v>15.317</v>
      </c>
      <c r="T46" s="46">
        <f t="shared" si="1"/>
        <v>197.36700000000002</v>
      </c>
      <c r="U46" s="42">
        <f t="shared" si="2"/>
        <v>1764.5869999999998</v>
      </c>
    </row>
    <row r="47" spans="1:21" s="29" customFormat="1" ht="20.25" customHeight="1">
      <c r="A47" s="71">
        <v>41</v>
      </c>
      <c r="B47" s="38" t="s">
        <v>119</v>
      </c>
      <c r="C47" s="46">
        <v>19</v>
      </c>
      <c r="D47" s="46">
        <v>17</v>
      </c>
      <c r="E47" s="46">
        <v>2866.86</v>
      </c>
      <c r="F47" s="46">
        <v>320.71999999999997</v>
      </c>
      <c r="G47" s="46">
        <f t="shared" si="0"/>
        <v>3187.58</v>
      </c>
      <c r="H47" s="46">
        <v>2668.232</v>
      </c>
      <c r="I47" s="46">
        <v>19.667000000000002</v>
      </c>
      <c r="J47" s="46">
        <v>18.364000000000001</v>
      </c>
      <c r="K47" s="46">
        <v>26.916</v>
      </c>
      <c r="L47" s="46">
        <v>3.153</v>
      </c>
      <c r="M47" s="46">
        <v>74.724000000000004</v>
      </c>
      <c r="N47" s="46">
        <v>17.88</v>
      </c>
      <c r="O47" s="46">
        <v>72.807000000000002</v>
      </c>
      <c r="P47" s="46">
        <v>0</v>
      </c>
      <c r="Q47" s="46">
        <v>85.697999999999993</v>
      </c>
      <c r="R47" s="46"/>
      <c r="S47" s="46">
        <v>13.705</v>
      </c>
      <c r="T47" s="46">
        <f t="shared" si="1"/>
        <v>332.91399999999999</v>
      </c>
      <c r="U47" s="42">
        <f t="shared" si="2"/>
        <v>3001.1459999999997</v>
      </c>
    </row>
    <row r="48" spans="1:21" s="29" customFormat="1" ht="20.25" customHeight="1">
      <c r="A48" s="71">
        <v>42</v>
      </c>
      <c r="B48" s="38" t="s">
        <v>120</v>
      </c>
      <c r="C48" s="46">
        <v>29</v>
      </c>
      <c r="D48" s="46">
        <v>28</v>
      </c>
      <c r="E48" s="46">
        <v>3970.0129999999999</v>
      </c>
      <c r="F48" s="46">
        <v>489.52</v>
      </c>
      <c r="G48" s="46">
        <f t="shared" si="0"/>
        <v>4459.5329999999994</v>
      </c>
      <c r="H48" s="42">
        <v>4455.1210000000001</v>
      </c>
      <c r="I48" s="42">
        <v>48.24</v>
      </c>
      <c r="J48" s="42">
        <v>16.946999999999999</v>
      </c>
      <c r="K48" s="42">
        <v>22.15</v>
      </c>
      <c r="L48" s="42">
        <v>6.49</v>
      </c>
      <c r="M48" s="42">
        <v>92.846999999999994</v>
      </c>
      <c r="N48" s="42">
        <v>5.3</v>
      </c>
      <c r="O48" s="42">
        <v>51.49</v>
      </c>
      <c r="P48" s="42">
        <v>36.799999999999997</v>
      </c>
      <c r="Q48" s="42">
        <v>149.39400000000001</v>
      </c>
      <c r="R48" s="42">
        <v>0</v>
      </c>
      <c r="S48" s="42">
        <v>75.685000000000002</v>
      </c>
      <c r="T48" s="46">
        <f t="shared" si="1"/>
        <v>505.34300000000002</v>
      </c>
      <c r="U48" s="42">
        <f t="shared" si="2"/>
        <v>4960.4639999999999</v>
      </c>
    </row>
    <row r="49" spans="1:21" s="29" customFormat="1" ht="20.25" customHeight="1">
      <c r="A49" s="71">
        <v>43</v>
      </c>
      <c r="B49" s="38" t="s">
        <v>121</v>
      </c>
      <c r="C49" s="46">
        <v>22</v>
      </c>
      <c r="D49" s="46">
        <v>22</v>
      </c>
      <c r="E49" s="46">
        <v>2320.442</v>
      </c>
      <c r="F49" s="46">
        <v>371.35999999999996</v>
      </c>
      <c r="G49" s="46">
        <f t="shared" si="0"/>
        <v>2691.8020000000001</v>
      </c>
      <c r="H49" s="42">
        <f>1339.841+836.898+382.374</f>
        <v>2559.1130000000003</v>
      </c>
      <c r="I49" s="42"/>
      <c r="J49" s="42">
        <v>22.256</v>
      </c>
      <c r="K49" s="42">
        <v>57.494999999999997</v>
      </c>
      <c r="L49" s="42">
        <v>12.430999999999999</v>
      </c>
      <c r="M49" s="42">
        <v>74.888000000000005</v>
      </c>
      <c r="N49" s="42">
        <v>22.72</v>
      </c>
      <c r="O49" s="42">
        <v>23.704000000000001</v>
      </c>
      <c r="P49" s="42">
        <v>15.802</v>
      </c>
      <c r="Q49" s="42">
        <v>93.831999999999994</v>
      </c>
      <c r="R49" s="42"/>
      <c r="S49" s="42">
        <f>23.315+3.301+22.428</f>
        <v>49.043999999999997</v>
      </c>
      <c r="T49" s="46">
        <f t="shared" si="1"/>
        <v>372.17199999999997</v>
      </c>
      <c r="U49" s="42">
        <f t="shared" si="2"/>
        <v>2931.2850000000003</v>
      </c>
    </row>
    <row r="50" spans="1:21" s="29" customFormat="1" ht="20.25" customHeight="1">
      <c r="A50" s="71">
        <v>44</v>
      </c>
      <c r="B50" s="38" t="s">
        <v>122</v>
      </c>
      <c r="C50" s="46">
        <v>21</v>
      </c>
      <c r="D50" s="46">
        <v>20</v>
      </c>
      <c r="E50" s="46">
        <v>2854.1129999999998</v>
      </c>
      <c r="F50" s="46">
        <v>354.47999999999996</v>
      </c>
      <c r="G50" s="46">
        <f t="shared" si="0"/>
        <v>3208.5929999999998</v>
      </c>
      <c r="H50" s="40">
        <v>2662.5</v>
      </c>
      <c r="I50" s="40">
        <v>41.5</v>
      </c>
      <c r="J50" s="40">
        <v>14</v>
      </c>
      <c r="K50" s="46">
        <v>0.3</v>
      </c>
      <c r="L50" s="40">
        <v>7.2</v>
      </c>
      <c r="M50" s="40">
        <v>73.8</v>
      </c>
      <c r="N50" s="40">
        <v>30.4</v>
      </c>
      <c r="O50" s="40">
        <v>119.9</v>
      </c>
      <c r="P50" s="46">
        <v>37.6</v>
      </c>
      <c r="Q50" s="40">
        <v>96.4</v>
      </c>
      <c r="R50" s="46"/>
      <c r="S50" s="40">
        <v>62.4</v>
      </c>
      <c r="T50" s="46">
        <f t="shared" si="1"/>
        <v>483.5</v>
      </c>
      <c r="U50" s="42">
        <f t="shared" si="2"/>
        <v>3146</v>
      </c>
    </row>
    <row r="51" spans="1:21" s="29" customFormat="1" ht="20.25" customHeight="1">
      <c r="A51" s="71">
        <v>45</v>
      </c>
      <c r="B51" s="38" t="s">
        <v>123</v>
      </c>
      <c r="C51" s="46">
        <v>15</v>
      </c>
      <c r="D51" s="46">
        <v>15</v>
      </c>
      <c r="E51" s="46">
        <v>1891.346</v>
      </c>
      <c r="F51" s="46">
        <v>253.2</v>
      </c>
      <c r="G51" s="46">
        <f t="shared" si="0"/>
        <v>2144.5459999999998</v>
      </c>
      <c r="H51" s="46">
        <v>2039.9469999999999</v>
      </c>
      <c r="I51" s="46">
        <v>5.2549999999999999</v>
      </c>
      <c r="J51" s="46">
        <v>7.9870000000000001</v>
      </c>
      <c r="K51" s="46"/>
      <c r="L51" s="46">
        <v>5.3</v>
      </c>
      <c r="M51" s="46">
        <v>45.171999999999997</v>
      </c>
      <c r="N51" s="46">
        <v>24.5</v>
      </c>
      <c r="O51" s="46">
        <v>13.42</v>
      </c>
      <c r="P51" s="46">
        <v>21.25</v>
      </c>
      <c r="Q51" s="46">
        <v>51.969000000000001</v>
      </c>
      <c r="R51" s="46"/>
      <c r="S51" s="46">
        <v>17.013999999999999</v>
      </c>
      <c r="T51" s="46">
        <f t="shared" si="1"/>
        <v>191.86700000000002</v>
      </c>
      <c r="U51" s="42">
        <f t="shared" si="2"/>
        <v>2231.8139999999999</v>
      </c>
    </row>
    <row r="52" spans="1:21" s="29" customFormat="1" ht="20.25" customHeight="1">
      <c r="A52" s="141" t="s">
        <v>19</v>
      </c>
      <c r="B52" s="159"/>
      <c r="C52" s="26">
        <f>SUM(C7:C51)</f>
        <v>977</v>
      </c>
      <c r="D52" s="26">
        <f t="shared" ref="D52:U52" si="3">SUM(D7:D51)</f>
        <v>934</v>
      </c>
      <c r="E52" s="26">
        <f t="shared" si="3"/>
        <v>131486.408</v>
      </c>
      <c r="F52" s="26">
        <f t="shared" si="3"/>
        <v>16491.759999999998</v>
      </c>
      <c r="G52" s="26">
        <f t="shared" si="3"/>
        <v>147978.16799999998</v>
      </c>
      <c r="H52" s="26">
        <f t="shared" si="3"/>
        <v>129867.70199999999</v>
      </c>
      <c r="I52" s="26">
        <f t="shared" si="3"/>
        <v>1570.2489999999998</v>
      </c>
      <c r="J52" s="26">
        <f t="shared" si="3"/>
        <v>605.98800000000006</v>
      </c>
      <c r="K52" s="26">
        <f t="shared" si="3"/>
        <v>1883.0759999999993</v>
      </c>
      <c r="L52" s="26">
        <f t="shared" si="3"/>
        <v>252.58200000000008</v>
      </c>
      <c r="M52" s="26">
        <f t="shared" si="3"/>
        <v>2450.3860000000004</v>
      </c>
      <c r="N52" s="26">
        <f t="shared" si="3"/>
        <v>1164.9910000000004</v>
      </c>
      <c r="O52" s="26">
        <f t="shared" si="3"/>
        <v>1894.1100000000004</v>
      </c>
      <c r="P52" s="26">
        <f t="shared" si="3"/>
        <v>886.95</v>
      </c>
      <c r="Q52" s="26">
        <f t="shared" si="3"/>
        <v>4569.1019999999999</v>
      </c>
      <c r="R52" s="26">
        <f t="shared" si="3"/>
        <v>0</v>
      </c>
      <c r="S52" s="26">
        <f t="shared" si="3"/>
        <v>2968.3629999999994</v>
      </c>
      <c r="T52" s="26">
        <f t="shared" si="3"/>
        <v>18245.796999999999</v>
      </c>
      <c r="U52" s="26">
        <f t="shared" si="3"/>
        <v>148113.49900000004</v>
      </c>
    </row>
    <row r="53" spans="1:21" s="29" customFormat="1" ht="20.25" customHeight="1"/>
    <row r="54" spans="1:21" s="29" customFormat="1" ht="20.25" customHeight="1"/>
    <row r="55" spans="1:21" s="29" customFormat="1" ht="20.25" customHeight="1"/>
    <row r="56" spans="1:21" s="29" customFormat="1" ht="20.25" customHeight="1"/>
    <row r="57" spans="1:21" s="29" customFormat="1" ht="20.25" customHeight="1"/>
    <row r="58" spans="1:21" s="29" customFormat="1" ht="20.25" customHeight="1"/>
    <row r="59" spans="1:21" s="29" customFormat="1" ht="20.25" customHeight="1"/>
    <row r="60" spans="1:21" s="29" customFormat="1" ht="20.25" customHeight="1"/>
    <row r="61" spans="1:21" s="29" customFormat="1" ht="20.25" customHeight="1"/>
    <row r="62" spans="1:21" s="29" customFormat="1" ht="20.25" customHeight="1"/>
    <row r="63" spans="1:21" s="29" customFormat="1" ht="20.25" customHeight="1"/>
    <row r="64" spans="1:21" s="29" customFormat="1" ht="20.25" customHeight="1"/>
    <row r="65" s="29" customFormat="1" ht="20.25" customHeight="1"/>
    <row r="66" s="29" customFormat="1" ht="20.25" customHeight="1"/>
    <row r="67" s="29" customFormat="1" ht="20.25" customHeight="1"/>
    <row r="68" s="29" customFormat="1" ht="20.25" customHeight="1"/>
    <row r="69" s="29" customFormat="1" ht="20.25" customHeight="1"/>
    <row r="70" s="29" customFormat="1" ht="20.25" customHeight="1"/>
    <row r="71" s="29" customFormat="1" ht="20.25" customHeight="1"/>
    <row r="72" s="29" customFormat="1" ht="20.25" customHeight="1"/>
    <row r="73" s="29" customFormat="1" ht="20.25" customHeight="1"/>
    <row r="74" s="29" customFormat="1" ht="20.25" customHeight="1"/>
    <row r="75" s="29" customFormat="1" ht="20.25" customHeight="1"/>
    <row r="76" s="29" customFormat="1" ht="20.25" customHeight="1"/>
    <row r="77" s="29" customFormat="1" ht="20.25" customHeight="1"/>
    <row r="78" s="29" customFormat="1" ht="20.25" customHeight="1"/>
    <row r="79" s="29" customFormat="1" ht="20.25" customHeight="1"/>
    <row r="80" s="29" customFormat="1" ht="20.25" customHeight="1"/>
    <row r="81" s="29" customFormat="1" ht="20.25" customHeight="1"/>
    <row r="82" s="29" customFormat="1" ht="20.25" customHeight="1"/>
    <row r="83" s="29" customFormat="1" ht="20.25" customHeight="1"/>
    <row r="84" s="29" customFormat="1" ht="20.25" customHeight="1"/>
    <row r="85" s="29" customFormat="1" ht="20.25" customHeight="1"/>
    <row r="86" s="29" customFormat="1" ht="20.25" customHeight="1"/>
    <row r="87" s="29" customFormat="1" ht="20.25" customHeight="1"/>
    <row r="88" s="29" customFormat="1" ht="20.25" customHeight="1"/>
    <row r="89" s="29" customFormat="1" ht="20.25" customHeight="1"/>
    <row r="90" s="29" customFormat="1" ht="20.25" customHeight="1"/>
    <row r="91" s="29" customFormat="1" ht="20.25" customHeight="1"/>
    <row r="92" s="29" customFormat="1" ht="20.25" customHeight="1"/>
    <row r="93" s="29" customFormat="1" ht="20.25" customHeight="1"/>
    <row r="94" s="29" customFormat="1" ht="20.25" customHeight="1"/>
    <row r="95" s="29" customFormat="1" ht="20.25" customHeight="1"/>
    <row r="96" s="29" customFormat="1" ht="20.25" customHeight="1"/>
    <row r="97" s="29" customFormat="1" ht="20.25" customHeight="1"/>
    <row r="98" s="29" customFormat="1" ht="20.25" customHeight="1"/>
    <row r="99" s="29" customFormat="1" ht="20.25" customHeight="1"/>
    <row r="100" s="29" customFormat="1" ht="20.25" customHeight="1"/>
    <row r="101" s="29" customFormat="1" ht="20.25" customHeight="1"/>
    <row r="102" s="29" customFormat="1" ht="20.25" customHeight="1"/>
    <row r="103" s="29" customFormat="1" ht="20.25" customHeight="1"/>
    <row r="104" s="29" customFormat="1" ht="20.25" customHeight="1"/>
    <row r="105" s="29" customFormat="1" ht="20.25" customHeight="1"/>
    <row r="106" s="29" customFormat="1" ht="20.25" customHeight="1"/>
    <row r="107" s="29" customFormat="1" ht="20.25" customHeight="1"/>
    <row r="108" s="29" customFormat="1" ht="20.25" customHeight="1"/>
    <row r="109" s="29" customFormat="1" ht="20.25" customHeight="1"/>
    <row r="110" s="29" customFormat="1" ht="20.25" customHeight="1"/>
    <row r="111" s="29" customFormat="1" ht="20.25" customHeight="1"/>
    <row r="112" s="29" customFormat="1" ht="20.25" customHeight="1"/>
    <row r="113" s="29" customFormat="1" ht="20.25" customHeight="1"/>
    <row r="114" s="29" customFormat="1" ht="20.25" customHeight="1"/>
    <row r="115" s="29" customFormat="1" ht="20.25" customHeight="1"/>
    <row r="116" s="29" customFormat="1" ht="20.25" customHeight="1"/>
    <row r="117" s="29" customFormat="1" ht="20.25" customHeight="1"/>
    <row r="118" s="29" customFormat="1" ht="20.25" customHeight="1"/>
    <row r="119" s="29" customFormat="1" ht="20.25" customHeight="1"/>
    <row r="120" s="29" customFormat="1" ht="20.25" customHeight="1"/>
    <row r="121" s="29" customFormat="1" ht="20.25" customHeight="1"/>
    <row r="122" s="29" customFormat="1" ht="20.25" customHeight="1"/>
    <row r="123" s="29" customFormat="1" ht="20.25" customHeight="1"/>
    <row r="124" s="29" customFormat="1" ht="20.25" customHeight="1"/>
    <row r="125" s="29" customFormat="1" ht="20.25" customHeight="1"/>
    <row r="126" s="29" customFormat="1" ht="20.25" customHeight="1"/>
    <row r="127" s="29" customFormat="1" ht="20.25" customHeight="1"/>
    <row r="128" s="29" customFormat="1" ht="20.25" customHeight="1"/>
    <row r="129" s="29" customFormat="1" ht="20.25" customHeight="1"/>
    <row r="130" s="29" customFormat="1" ht="20.25" customHeight="1"/>
    <row r="131" s="29" customFormat="1" ht="20.25" customHeight="1"/>
    <row r="132" s="29" customFormat="1" ht="20.25" customHeight="1"/>
    <row r="133" s="29" customFormat="1" ht="20.25" customHeight="1"/>
    <row r="134" s="29" customFormat="1" ht="20.25" customHeight="1"/>
    <row r="135" s="29" customFormat="1" ht="20.25" customHeight="1"/>
    <row r="136" s="29" customFormat="1" ht="20.25" customHeight="1"/>
    <row r="137" s="29" customFormat="1" ht="20.25" customHeight="1"/>
    <row r="138" s="29" customFormat="1" ht="20.25" customHeight="1"/>
    <row r="139" s="29" customFormat="1" ht="20.25" customHeight="1"/>
    <row r="140" s="29" customFormat="1" ht="20.25" customHeight="1"/>
    <row r="141" s="29" customFormat="1" ht="20.25" customHeight="1"/>
    <row r="142" s="29" customFormat="1" ht="20.25" customHeight="1"/>
    <row r="143" s="29" customFormat="1" ht="20.25" customHeight="1"/>
    <row r="144" s="32" customFormat="1" ht="20.25" customHeight="1"/>
    <row r="145" s="29" customFormat="1" ht="20.25" customHeight="1"/>
    <row r="146" s="29" customFormat="1" ht="20.25" customHeight="1"/>
    <row r="147" s="29" customFormat="1" ht="20.25" customHeight="1"/>
    <row r="148" s="29" customFormat="1" ht="20.25" customHeight="1"/>
    <row r="149" s="29" customFormat="1" ht="20.25" customHeight="1"/>
    <row r="150" s="29" customFormat="1" ht="20.25" customHeight="1"/>
    <row r="151" s="29" customFormat="1" ht="20.25" customHeight="1"/>
    <row r="152" s="29" customFormat="1" ht="20.25" customHeight="1"/>
    <row r="153" s="29" customFormat="1" ht="20.25" customHeight="1"/>
    <row r="154" s="29" customFormat="1" ht="20.25" customHeight="1"/>
    <row r="155" s="29" customFormat="1" ht="20.25" customHeight="1"/>
    <row r="156" s="29" customFormat="1" ht="20.25" customHeight="1"/>
    <row r="157" s="29" customFormat="1" ht="20.25" customHeight="1"/>
    <row r="158" s="29" customFormat="1" ht="20.25" customHeight="1"/>
    <row r="159" s="29" customFormat="1" ht="20.25" customHeight="1"/>
    <row r="160" s="29" customFormat="1" ht="20.25" customHeight="1"/>
    <row r="161" s="29" customFormat="1" ht="20.25" customHeight="1"/>
    <row r="162" s="29" customFormat="1" ht="20.25" customHeight="1"/>
    <row r="163" s="29" customFormat="1" ht="20.25" customHeight="1"/>
    <row r="164" s="29" customFormat="1" ht="20.25" customHeight="1"/>
    <row r="165" s="29" customFormat="1" ht="20.25" customHeight="1"/>
    <row r="166" s="29" customFormat="1" ht="20.25" customHeight="1"/>
    <row r="167" s="29" customFormat="1" ht="20.25" customHeight="1"/>
    <row r="168" s="29" customFormat="1" ht="20.25" customHeight="1"/>
    <row r="169" s="29" customFormat="1" ht="20.25" customHeight="1"/>
    <row r="170" s="29" customFormat="1" ht="20.25" customHeight="1"/>
    <row r="171" s="29" customFormat="1" ht="20.25" customHeight="1"/>
    <row r="172" s="29" customFormat="1" ht="20.25" customHeight="1"/>
    <row r="173" s="29" customFormat="1" ht="20.25" customHeight="1"/>
    <row r="174" s="29" customFormat="1" ht="20.25" customHeight="1"/>
    <row r="175" s="29" customFormat="1" ht="20.25" customHeight="1"/>
    <row r="176" s="29" customFormat="1" ht="20.25" customHeight="1"/>
    <row r="177" s="29" customFormat="1" ht="20.25" customHeight="1"/>
    <row r="178" s="29" customFormat="1" ht="20.25" customHeight="1"/>
    <row r="179" s="29" customFormat="1" ht="20.25" customHeight="1"/>
    <row r="180" s="29" customFormat="1" ht="20.25" customHeight="1"/>
    <row r="181" s="29" customFormat="1" ht="20.25" customHeight="1"/>
    <row r="182" s="29" customFormat="1" ht="20.25" customHeight="1"/>
    <row r="183" s="29" customFormat="1" ht="20.25" customHeight="1"/>
    <row r="184" s="29" customFormat="1" ht="20.25" customHeight="1"/>
    <row r="185" s="29" customFormat="1" ht="20.25" customHeight="1"/>
    <row r="186" s="29" customFormat="1" ht="20.25" customHeight="1"/>
    <row r="187" s="29" customFormat="1" ht="20.25" customHeight="1"/>
    <row r="188" s="29" customFormat="1" ht="20.25" customHeight="1"/>
    <row r="189" s="29" customFormat="1" ht="20.25" customHeight="1"/>
    <row r="190" s="29" customFormat="1" ht="20.25" customHeight="1"/>
    <row r="191" s="29" customFormat="1" ht="20.25" customHeight="1"/>
    <row r="192" s="29" customFormat="1" ht="20.25" customHeight="1"/>
    <row r="193" s="29" customFormat="1" ht="20.25" customHeight="1"/>
    <row r="194" s="29" customFormat="1" ht="20.25" customHeight="1"/>
    <row r="195" s="29" customFormat="1" ht="20.25" customHeight="1"/>
    <row r="196" s="29" customFormat="1" ht="20.25" customHeight="1"/>
    <row r="197" s="29" customFormat="1" ht="20.25" customHeight="1"/>
    <row r="198" s="29" customFormat="1" ht="20.25" customHeight="1"/>
    <row r="199" s="29" customFormat="1" ht="20.25" customHeight="1"/>
    <row r="200" s="29" customFormat="1" ht="20.25" customHeight="1"/>
    <row r="201" s="32" customFormat="1" ht="20.25" customHeight="1"/>
    <row r="202" s="29" customFormat="1" ht="20.25" customHeight="1"/>
    <row r="203" s="29" customFormat="1" ht="20.25" customHeight="1"/>
    <row r="204" s="29" customFormat="1" ht="20.25" customHeight="1"/>
    <row r="205" s="29" customFormat="1" ht="20.25" customHeight="1"/>
    <row r="206" s="29" customFormat="1" ht="20.25" customHeight="1"/>
    <row r="207" s="29" customFormat="1" ht="20.25" customHeight="1"/>
    <row r="208" s="29" customFormat="1" ht="20.25" customHeight="1"/>
    <row r="209" s="29" customFormat="1" ht="20.25" customHeight="1"/>
    <row r="210" s="29" customFormat="1" ht="20.25" customHeight="1"/>
    <row r="211" s="29" customFormat="1" ht="20.25" customHeight="1"/>
    <row r="212" s="29" customFormat="1" ht="20.25" customHeight="1"/>
    <row r="213" s="29" customFormat="1" ht="20.25" customHeight="1"/>
    <row r="214" s="29" customFormat="1" ht="20.25" customHeight="1"/>
    <row r="215" s="29" customFormat="1" ht="20.25" customHeight="1"/>
    <row r="216" s="29" customFormat="1" ht="20.25" customHeight="1"/>
    <row r="217" s="29" customFormat="1" ht="20.25" customHeight="1"/>
    <row r="218" s="29" customFormat="1" ht="20.25" customHeight="1"/>
    <row r="219" s="29" customFormat="1" ht="20.25" customHeight="1"/>
    <row r="220" s="29" customFormat="1" ht="20.25" customHeight="1"/>
    <row r="221" s="29" customFormat="1" ht="20.25" customHeight="1"/>
    <row r="222" s="29" customFormat="1" ht="20.25" customHeight="1"/>
    <row r="223" s="29" customFormat="1" ht="20.25" customHeight="1"/>
    <row r="224" s="29" customFormat="1" ht="20.25" customHeight="1"/>
    <row r="225" s="29" customFormat="1" ht="20.25" customHeight="1"/>
    <row r="226" s="29" customFormat="1" ht="20.25" customHeight="1"/>
    <row r="227" s="29" customFormat="1" ht="20.25" customHeight="1"/>
    <row r="228" s="29" customFormat="1" ht="20.25" customHeight="1"/>
    <row r="229" s="29" customFormat="1" ht="20.25" customHeight="1"/>
    <row r="230" s="29" customFormat="1" ht="20.25" customHeight="1"/>
    <row r="231" s="29" customFormat="1" ht="20.25" customHeight="1"/>
    <row r="232" s="29" customFormat="1" ht="20.25" customHeight="1"/>
    <row r="233" s="29" customFormat="1" ht="20.25" customHeight="1"/>
    <row r="234" s="29" customFormat="1" ht="20.25" customHeight="1"/>
    <row r="235" s="29" customFormat="1" ht="20.25" customHeight="1"/>
    <row r="236" s="29" customFormat="1" ht="20.25" customHeight="1"/>
    <row r="237" s="29" customFormat="1" ht="20.25" customHeight="1"/>
    <row r="238" s="29" customFormat="1" ht="20.25" customHeight="1"/>
    <row r="239" s="29" customFormat="1" ht="20.25" customHeight="1"/>
    <row r="240" s="29" customFormat="1" ht="20.25" customHeight="1"/>
    <row r="241" s="29" customFormat="1" ht="20.25" customHeight="1"/>
    <row r="242" s="29" customFormat="1" ht="20.25" customHeight="1"/>
    <row r="243" s="29" customFormat="1" ht="20.25" customHeight="1"/>
    <row r="244" s="29" customFormat="1" ht="20.25" customHeight="1"/>
    <row r="245" s="29" customFormat="1" ht="20.25" customHeight="1"/>
    <row r="246" s="29" customFormat="1" ht="20.25" customHeight="1"/>
    <row r="247" s="29" customFormat="1" ht="20.25" customHeight="1"/>
    <row r="248" s="29" customFormat="1" ht="20.25" customHeight="1"/>
    <row r="249" s="29" customFormat="1" ht="20.25" customHeight="1"/>
    <row r="250" s="29" customFormat="1" ht="20.25" customHeight="1"/>
    <row r="251" s="29" customFormat="1" ht="20.25" customHeight="1"/>
    <row r="252" s="29" customFormat="1" ht="20.25" customHeight="1"/>
    <row r="253" s="29" customFormat="1" ht="20.25" customHeight="1"/>
    <row r="254" s="29" customFormat="1" ht="20.25" customHeight="1"/>
    <row r="255" s="29" customFormat="1" ht="20.25" customHeight="1"/>
    <row r="256" s="29" customFormat="1" ht="20.25" customHeight="1"/>
    <row r="257" s="29" customFormat="1" ht="20.25" customHeight="1"/>
    <row r="258" s="29" customFormat="1" ht="20.25" customHeight="1"/>
    <row r="259" s="29" customFormat="1" ht="20.25" customHeight="1"/>
    <row r="260" s="29" customFormat="1" ht="20.25" customHeight="1"/>
    <row r="261" s="29" customFormat="1" ht="20.25" customHeight="1"/>
    <row r="262" s="29" customFormat="1" ht="20.25" customHeight="1"/>
    <row r="263" s="29" customFormat="1" ht="20.25" customHeight="1"/>
    <row r="264" s="29" customFormat="1" ht="20.25" customHeight="1"/>
    <row r="265" s="29" customFormat="1" ht="20.25" customHeight="1"/>
    <row r="266" s="29" customFormat="1" ht="20.25" customHeight="1"/>
    <row r="267" s="29" customFormat="1" ht="20.25" customHeight="1"/>
    <row r="268" s="29" customFormat="1" ht="20.25" customHeight="1"/>
    <row r="269" s="29" customFormat="1" ht="20.25" customHeight="1"/>
    <row r="270" s="29" customFormat="1" ht="20.25" customHeight="1"/>
    <row r="271" s="29" customFormat="1" ht="20.25" customHeight="1"/>
    <row r="272" s="29" customFormat="1" ht="20.25" customHeight="1"/>
    <row r="273" s="29" customFormat="1" ht="20.25" customHeight="1"/>
    <row r="274" s="29" customFormat="1" ht="20.25" customHeight="1"/>
    <row r="275" s="29" customFormat="1" ht="20.25" customHeight="1"/>
    <row r="276" s="29" customFormat="1" ht="20.25" customHeight="1"/>
    <row r="277" s="29" customFormat="1" ht="20.25" customHeight="1"/>
    <row r="278" s="29" customFormat="1" ht="20.25" customHeight="1"/>
    <row r="279" s="29" customFormat="1" ht="20.25" customHeight="1"/>
    <row r="280" s="32" customFormat="1" ht="20.25" customHeight="1"/>
    <row r="281" s="29" customFormat="1" ht="20.25" customHeight="1"/>
    <row r="282" s="29" customFormat="1" ht="20.25" customHeight="1"/>
    <row r="283" s="29" customFormat="1" ht="20.25" customHeight="1"/>
    <row r="284" s="29" customFormat="1" ht="20.25" customHeight="1"/>
    <row r="285" s="29" customFormat="1" ht="20.25" customHeight="1"/>
    <row r="286" s="29" customFormat="1" ht="20.25" customHeight="1"/>
    <row r="287" s="29" customFormat="1" ht="20.25" customHeight="1"/>
    <row r="288" s="29" customFormat="1" ht="20.25" customHeight="1"/>
    <row r="289" s="29" customFormat="1" ht="20.25" customHeight="1"/>
    <row r="290" s="29" customFormat="1" ht="20.25" customHeight="1"/>
    <row r="291" s="29" customFormat="1" ht="20.25" customHeight="1"/>
    <row r="292" s="29" customFormat="1" ht="20.25" customHeight="1"/>
    <row r="293" s="29" customFormat="1" ht="20.25" customHeight="1"/>
    <row r="294" s="29" customFormat="1" ht="20.25" customHeight="1"/>
    <row r="295" s="29" customFormat="1" ht="20.25" customHeight="1"/>
    <row r="296" s="29" customFormat="1" ht="20.25" customHeight="1"/>
    <row r="297" s="29" customFormat="1" ht="20.25" customHeight="1"/>
    <row r="298" s="29" customFormat="1" ht="20.25" customHeight="1"/>
    <row r="299" s="29" customFormat="1" ht="20.25" customHeight="1"/>
    <row r="300" s="29" customFormat="1" ht="20.25" customHeight="1"/>
    <row r="301" s="29" customFormat="1" ht="20.25" customHeight="1"/>
    <row r="302" s="29" customFormat="1" ht="20.25" customHeight="1"/>
    <row r="303" s="29" customFormat="1" ht="20.25" customHeight="1"/>
    <row r="304" s="29" customFormat="1" ht="20.25" customHeight="1"/>
    <row r="305" spans="1:7" s="29" customFormat="1" ht="20.25" customHeight="1"/>
    <row r="306" spans="1:7" s="27" customFormat="1" ht="20.25" customHeight="1">
      <c r="G306" s="118"/>
    </row>
    <row r="307" spans="1:7" s="29" customFormat="1" ht="20.25" customHeight="1"/>
    <row r="308" spans="1:7">
      <c r="A308" s="15"/>
    </row>
    <row r="309" spans="1:7">
      <c r="A309" s="15"/>
    </row>
    <row r="310" spans="1:7">
      <c r="A310" s="15"/>
    </row>
    <row r="311" spans="1:7">
      <c r="A311" s="15"/>
    </row>
    <row r="312" spans="1:7">
      <c r="A312" s="15"/>
    </row>
    <row r="313" spans="1:7">
      <c r="A313" s="15"/>
    </row>
    <row r="314" spans="1:7">
      <c r="A314" s="15"/>
    </row>
    <row r="315" spans="1:7">
      <c r="A315" s="15"/>
    </row>
    <row r="316" spans="1:7">
      <c r="A316" s="15"/>
    </row>
    <row r="317" spans="1:7">
      <c r="A317" s="15"/>
    </row>
    <row r="318" spans="1:7">
      <c r="A318" s="15"/>
    </row>
    <row r="319" spans="1:7">
      <c r="A319" s="15"/>
    </row>
    <row r="320" spans="1:7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  <row r="335" spans="1:1">
      <c r="A335" s="15"/>
    </row>
    <row r="336" spans="1:1">
      <c r="A336" s="15"/>
    </row>
    <row r="337" spans="1:1">
      <c r="A337" s="15"/>
    </row>
    <row r="338" spans="1:1">
      <c r="A338" s="15"/>
    </row>
    <row r="339" spans="1:1">
      <c r="A339" s="15"/>
    </row>
    <row r="340" spans="1:1">
      <c r="A340" s="15"/>
    </row>
    <row r="341" spans="1:1">
      <c r="A341" s="15"/>
    </row>
    <row r="342" spans="1:1">
      <c r="A342" s="15"/>
    </row>
    <row r="343" spans="1:1">
      <c r="A343" s="15"/>
    </row>
  </sheetData>
  <autoFilter ref="A6:U307"/>
  <mergeCells count="11">
    <mergeCell ref="A1:U1"/>
    <mergeCell ref="A2:U2"/>
    <mergeCell ref="A4:A6"/>
    <mergeCell ref="B4:B6"/>
    <mergeCell ref="H4:U4"/>
    <mergeCell ref="A52:B52"/>
    <mergeCell ref="H5:H6"/>
    <mergeCell ref="I5:T5"/>
    <mergeCell ref="U5:U6"/>
    <mergeCell ref="C4:D5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14"/>
  <sheetViews>
    <sheetView workbookViewId="0">
      <selection activeCell="A2" sqref="A2:U2"/>
    </sheetView>
  </sheetViews>
  <sheetFormatPr defaultColWidth="9.140625" defaultRowHeight="15"/>
  <cols>
    <col min="1" max="1" width="5.140625" style="16" customWidth="1"/>
    <col min="2" max="2" width="26" style="15" bestFit="1" customWidth="1"/>
    <col min="3" max="3" width="7" style="15" customWidth="1"/>
    <col min="4" max="4" width="5.85546875" style="15" customWidth="1"/>
    <col min="5" max="7" width="9.42578125" style="15" customWidth="1"/>
    <col min="8" max="8" width="10.85546875" style="15" customWidth="1"/>
    <col min="9" max="9" width="9.140625" style="15" customWidth="1"/>
    <col min="10" max="10" width="9" style="15" customWidth="1"/>
    <col min="11" max="12" width="8.85546875" style="15" customWidth="1"/>
    <col min="13" max="13" width="6.42578125" style="15" customWidth="1"/>
    <col min="14" max="14" width="6.140625" style="15" customWidth="1"/>
    <col min="15" max="15" width="9.140625" style="15" customWidth="1"/>
    <col min="16" max="16" width="8.7109375" style="15" customWidth="1"/>
    <col min="17" max="17" width="8.42578125" style="15" customWidth="1"/>
    <col min="18" max="18" width="10" style="15" customWidth="1"/>
    <col min="19" max="19" width="5.5703125" style="15" customWidth="1"/>
    <col min="20" max="20" width="6.85546875" style="15" customWidth="1"/>
    <col min="21" max="21" width="10.7109375" style="15" customWidth="1"/>
    <col min="22" max="16384" width="9.140625" style="15"/>
  </cols>
  <sheetData>
    <row r="1" spans="1:21">
      <c r="A1" s="147" t="s">
        <v>230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>
      <c r="A2" s="148" t="s">
        <v>347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U3" s="17" t="s">
        <v>20</v>
      </c>
    </row>
    <row r="4" spans="1:21" ht="15" customHeight="1">
      <c r="A4" s="142" t="s">
        <v>0</v>
      </c>
      <c r="B4" s="142" t="s">
        <v>18</v>
      </c>
      <c r="C4" s="160" t="s">
        <v>1</v>
      </c>
      <c r="D4" s="160"/>
      <c r="E4" s="150" t="s">
        <v>4</v>
      </c>
      <c r="F4" s="151"/>
      <c r="G4" s="152"/>
      <c r="H4" s="142" t="s">
        <v>5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</row>
    <row r="5" spans="1:21">
      <c r="A5" s="142"/>
      <c r="B5" s="142"/>
      <c r="C5" s="160"/>
      <c r="D5" s="160"/>
      <c r="E5" s="153"/>
      <c r="F5" s="154"/>
      <c r="G5" s="155"/>
      <c r="H5" s="149" t="s">
        <v>6</v>
      </c>
      <c r="I5" s="142" t="s">
        <v>181</v>
      </c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9" t="s">
        <v>19</v>
      </c>
    </row>
    <row r="6" spans="1:21" ht="63.75">
      <c r="A6" s="142"/>
      <c r="B6" s="142"/>
      <c r="C6" s="18" t="s">
        <v>2</v>
      </c>
      <c r="D6" s="18" t="s">
        <v>3</v>
      </c>
      <c r="E6" s="117" t="s">
        <v>179</v>
      </c>
      <c r="F6" s="117" t="s">
        <v>180</v>
      </c>
      <c r="G6" s="117" t="s">
        <v>19</v>
      </c>
      <c r="H6" s="149"/>
      <c r="I6" s="117" t="s">
        <v>7</v>
      </c>
      <c r="J6" s="117" t="s">
        <v>8</v>
      </c>
      <c r="K6" s="117" t="s">
        <v>9</v>
      </c>
      <c r="L6" s="117" t="s">
        <v>10</v>
      </c>
      <c r="M6" s="117" t="s">
        <v>11</v>
      </c>
      <c r="N6" s="117" t="s">
        <v>12</v>
      </c>
      <c r="O6" s="117" t="s">
        <v>13</v>
      </c>
      <c r="P6" s="117" t="s">
        <v>14</v>
      </c>
      <c r="Q6" s="117" t="s">
        <v>15</v>
      </c>
      <c r="R6" s="117" t="s">
        <v>17</v>
      </c>
      <c r="S6" s="117" t="s">
        <v>16</v>
      </c>
      <c r="T6" s="117" t="s">
        <v>178</v>
      </c>
      <c r="U6" s="149"/>
    </row>
    <row r="7" spans="1:21" s="29" customFormat="1" ht="17.25" customHeight="1">
      <c r="A7" s="71">
        <v>1</v>
      </c>
      <c r="B7" s="124" t="s">
        <v>197</v>
      </c>
      <c r="C7" s="125">
        <v>12</v>
      </c>
      <c r="D7" s="126">
        <v>12</v>
      </c>
      <c r="E7" s="28">
        <v>1478.3495800000001</v>
      </c>
      <c r="F7" s="28">
        <f t="shared" ref="F7:F43" si="0">(C7*18.48)</f>
        <v>221.76</v>
      </c>
      <c r="G7" s="28">
        <f>E7+F7</f>
        <v>1700.1095800000001</v>
      </c>
      <c r="H7" s="28">
        <v>1376</v>
      </c>
      <c r="I7" s="28"/>
      <c r="J7" s="28">
        <v>7</v>
      </c>
      <c r="K7" s="28">
        <v>60</v>
      </c>
      <c r="L7" s="28">
        <v>12</v>
      </c>
      <c r="M7" s="28">
        <v>11</v>
      </c>
      <c r="N7" s="28">
        <v>6</v>
      </c>
      <c r="O7" s="28">
        <v>4</v>
      </c>
      <c r="P7" s="28">
        <v>39</v>
      </c>
      <c r="Q7" s="28">
        <v>29</v>
      </c>
      <c r="R7" s="28"/>
      <c r="S7" s="28">
        <v>2</v>
      </c>
      <c r="T7" s="31">
        <f>SUM(I7:S7)</f>
        <v>170</v>
      </c>
      <c r="U7" s="65">
        <f>T7+H7</f>
        <v>1546</v>
      </c>
    </row>
    <row r="8" spans="1:21" s="29" customFormat="1" ht="17.25" customHeight="1">
      <c r="A8" s="71">
        <v>2</v>
      </c>
      <c r="B8" s="124" t="s">
        <v>198</v>
      </c>
      <c r="C8" s="125">
        <v>17</v>
      </c>
      <c r="D8" s="126">
        <v>17</v>
      </c>
      <c r="E8" s="28">
        <v>1836.7549999999999</v>
      </c>
      <c r="F8" s="28">
        <f t="shared" si="0"/>
        <v>314.16000000000003</v>
      </c>
      <c r="G8" s="28">
        <f t="shared" ref="G8:G53" si="1">E8+F8</f>
        <v>2150.915</v>
      </c>
      <c r="H8" s="28">
        <v>1932.381635</v>
      </c>
      <c r="I8" s="28"/>
      <c r="J8" s="28">
        <v>7.0501769999999997</v>
      </c>
      <c r="K8" s="28">
        <v>16.074999999999999</v>
      </c>
      <c r="L8" s="28">
        <v>6.2181800000000003</v>
      </c>
      <c r="M8" s="28">
        <v>5.9811350000000001</v>
      </c>
      <c r="N8" s="28">
        <v>9.4499999999999993</v>
      </c>
      <c r="O8" s="28">
        <v>6.42</v>
      </c>
      <c r="P8" s="28">
        <v>99.063999999999993</v>
      </c>
      <c r="Q8" s="28">
        <v>7.49</v>
      </c>
      <c r="R8" s="28"/>
      <c r="S8" s="28">
        <v>21.838999999999999</v>
      </c>
      <c r="T8" s="31">
        <f>SUM(I8:S8)</f>
        <v>179.587492</v>
      </c>
      <c r="U8" s="65">
        <f>T8+H8</f>
        <v>2111.9691269999998</v>
      </c>
    </row>
    <row r="9" spans="1:21" s="29" customFormat="1" ht="17.25" customHeight="1">
      <c r="A9" s="71">
        <v>3</v>
      </c>
      <c r="B9" s="124" t="s">
        <v>199</v>
      </c>
      <c r="C9" s="125">
        <v>21</v>
      </c>
      <c r="D9" s="126">
        <v>21</v>
      </c>
      <c r="E9" s="28">
        <v>2265.9300000000003</v>
      </c>
      <c r="F9" s="28">
        <f t="shared" si="0"/>
        <v>388.08</v>
      </c>
      <c r="G9" s="28">
        <f t="shared" si="1"/>
        <v>2654.01</v>
      </c>
      <c r="H9" s="28">
        <v>2369.1223060000002</v>
      </c>
      <c r="I9" s="28"/>
      <c r="J9" s="28">
        <v>19.325154000000001</v>
      </c>
      <c r="K9" s="28">
        <v>15.263</v>
      </c>
      <c r="L9" s="28">
        <v>8.6549999999999994</v>
      </c>
      <c r="M9" s="28">
        <v>5.6020000000000003</v>
      </c>
      <c r="N9" s="28">
        <v>31.2</v>
      </c>
      <c r="O9" s="28">
        <v>47.843000000000004</v>
      </c>
      <c r="P9" s="28">
        <v>15.3</v>
      </c>
      <c r="Q9" s="28">
        <v>14.06</v>
      </c>
      <c r="R9" s="28"/>
      <c r="S9" s="28">
        <v>127.61254</v>
      </c>
      <c r="T9" s="31">
        <f t="shared" ref="T9:T53" si="2">SUM(I9:S9)</f>
        <v>284.86069400000002</v>
      </c>
      <c r="U9" s="65">
        <f t="shared" ref="U9:U53" si="3">T9+H9</f>
        <v>2653.9830000000002</v>
      </c>
    </row>
    <row r="10" spans="1:21" s="29" customFormat="1" ht="17.25" customHeight="1">
      <c r="A10" s="71">
        <v>4</v>
      </c>
      <c r="B10" s="124" t="s">
        <v>200</v>
      </c>
      <c r="C10" s="125">
        <v>12</v>
      </c>
      <c r="D10" s="126">
        <v>11</v>
      </c>
      <c r="E10" s="28">
        <v>1768.132877</v>
      </c>
      <c r="F10" s="28">
        <f t="shared" si="0"/>
        <v>221.76</v>
      </c>
      <c r="G10" s="28">
        <f t="shared" si="1"/>
        <v>1989.892877</v>
      </c>
      <c r="H10" s="127">
        <v>1731.9239769999999</v>
      </c>
      <c r="I10" s="127">
        <v>95.747</v>
      </c>
      <c r="J10" s="127">
        <v>6.9352419999999997</v>
      </c>
      <c r="K10" s="127">
        <v>8.8840000000000003</v>
      </c>
      <c r="L10" s="127">
        <v>5.2399500000000003</v>
      </c>
      <c r="M10" s="127">
        <v>15.7356</v>
      </c>
      <c r="N10" s="127">
        <v>10.8</v>
      </c>
      <c r="O10" s="127">
        <v>70.720541999999995</v>
      </c>
      <c r="P10" s="127">
        <v>12.903</v>
      </c>
      <c r="Q10" s="127">
        <v>48.224699999999999</v>
      </c>
      <c r="R10" s="127"/>
      <c r="S10" s="127">
        <v>10.029989</v>
      </c>
      <c r="T10" s="31">
        <f t="shared" si="2"/>
        <v>285.22002300000003</v>
      </c>
      <c r="U10" s="65">
        <f t="shared" si="3"/>
        <v>2017.144</v>
      </c>
    </row>
    <row r="11" spans="1:21" s="29" customFormat="1" ht="17.25" customHeight="1">
      <c r="A11" s="71">
        <v>5</v>
      </c>
      <c r="B11" s="124" t="s">
        <v>201</v>
      </c>
      <c r="C11" s="125">
        <v>10</v>
      </c>
      <c r="D11" s="126">
        <v>10</v>
      </c>
      <c r="E11" s="28">
        <v>1832.8692570000001</v>
      </c>
      <c r="F11" s="28">
        <f t="shared" si="0"/>
        <v>184.8</v>
      </c>
      <c r="G11" s="28">
        <f t="shared" si="1"/>
        <v>2017.669257</v>
      </c>
      <c r="H11" s="127">
        <v>1659.0219999999999</v>
      </c>
      <c r="I11" s="28"/>
      <c r="J11" s="127">
        <v>6.3140000000000001</v>
      </c>
      <c r="K11" s="127">
        <v>83.739000000000004</v>
      </c>
      <c r="L11" s="127">
        <v>5.484</v>
      </c>
      <c r="M11" s="127">
        <v>17.591000000000001</v>
      </c>
      <c r="N11" s="127">
        <v>9.6</v>
      </c>
      <c r="O11" s="127">
        <v>46.848999999999997</v>
      </c>
      <c r="P11" s="127">
        <v>17.5</v>
      </c>
      <c r="Q11" s="127">
        <v>6.093</v>
      </c>
      <c r="R11" s="28"/>
      <c r="S11" s="127">
        <v>35.319000000000003</v>
      </c>
      <c r="T11" s="31">
        <f t="shared" si="2"/>
        <v>228.48899999999998</v>
      </c>
      <c r="U11" s="65">
        <f t="shared" si="3"/>
        <v>1887.511</v>
      </c>
    </row>
    <row r="12" spans="1:21" s="29" customFormat="1" ht="17.25" customHeight="1">
      <c r="A12" s="71">
        <v>6</v>
      </c>
      <c r="B12" s="124" t="s">
        <v>202</v>
      </c>
      <c r="C12" s="125">
        <v>16</v>
      </c>
      <c r="D12" s="126">
        <v>15</v>
      </c>
      <c r="E12" s="28">
        <v>1890.0128400000001</v>
      </c>
      <c r="F12" s="28">
        <f t="shared" si="0"/>
        <v>295.68</v>
      </c>
      <c r="G12" s="28">
        <f t="shared" si="1"/>
        <v>2185.6928400000002</v>
      </c>
      <c r="H12" s="28">
        <v>1661.9168990000001</v>
      </c>
      <c r="I12" s="28"/>
      <c r="J12" s="28">
        <v>9.7151800000000001</v>
      </c>
      <c r="K12" s="28">
        <v>82.938999999999993</v>
      </c>
      <c r="L12" s="28">
        <v>5.4701120000000003</v>
      </c>
      <c r="M12" s="28">
        <v>16.585000000000001</v>
      </c>
      <c r="N12" s="28">
        <v>26.4</v>
      </c>
      <c r="O12" s="28">
        <v>12.44</v>
      </c>
      <c r="P12" s="28">
        <v>33.692999999999998</v>
      </c>
      <c r="Q12" s="28">
        <v>31.891999999999999</v>
      </c>
      <c r="R12" s="28"/>
      <c r="S12" s="28">
        <v>31.992799999999999</v>
      </c>
      <c r="T12" s="31">
        <f t="shared" si="2"/>
        <v>251.127092</v>
      </c>
      <c r="U12" s="65">
        <f t="shared" si="3"/>
        <v>1913.043991</v>
      </c>
    </row>
    <row r="13" spans="1:21" s="29" customFormat="1" ht="17.25" customHeight="1">
      <c r="A13" s="71">
        <v>7</v>
      </c>
      <c r="B13" s="124" t="s">
        <v>203</v>
      </c>
      <c r="C13" s="125">
        <v>19</v>
      </c>
      <c r="D13" s="126">
        <v>18</v>
      </c>
      <c r="E13" s="28">
        <v>2213.4028499999999</v>
      </c>
      <c r="F13" s="28">
        <f t="shared" si="0"/>
        <v>351.12</v>
      </c>
      <c r="G13" s="28">
        <f t="shared" si="1"/>
        <v>2564.5228499999998</v>
      </c>
      <c r="H13" s="28">
        <v>2002</v>
      </c>
      <c r="I13" s="28"/>
      <c r="J13" s="28">
        <v>2.456</v>
      </c>
      <c r="K13" s="28">
        <v>45.478000000000002</v>
      </c>
      <c r="L13" s="28">
        <v>1.6879999999999999</v>
      </c>
      <c r="M13" s="28">
        <v>15.577999999999999</v>
      </c>
      <c r="N13" s="28">
        <v>6</v>
      </c>
      <c r="O13" s="28">
        <v>64.391000000000005</v>
      </c>
      <c r="P13" s="28">
        <v>35</v>
      </c>
      <c r="Q13" s="28">
        <v>37.561</v>
      </c>
      <c r="R13" s="28"/>
      <c r="S13" s="28">
        <v>160.99799999999999</v>
      </c>
      <c r="T13" s="31">
        <f t="shared" si="2"/>
        <v>369.15</v>
      </c>
      <c r="U13" s="65">
        <f t="shared" si="3"/>
        <v>2371.15</v>
      </c>
    </row>
    <row r="14" spans="1:21" s="29" customFormat="1" ht="17.25" customHeight="1">
      <c r="A14" s="71">
        <v>8</v>
      </c>
      <c r="B14" s="124" t="s">
        <v>204</v>
      </c>
      <c r="C14" s="125">
        <v>10</v>
      </c>
      <c r="D14" s="126">
        <v>10</v>
      </c>
      <c r="E14" s="28">
        <v>1174.71</v>
      </c>
      <c r="F14" s="28">
        <f t="shared" si="0"/>
        <v>184.8</v>
      </c>
      <c r="G14" s="28">
        <f t="shared" si="1"/>
        <v>1359.51</v>
      </c>
      <c r="H14" s="127">
        <v>1120.5609999999999</v>
      </c>
      <c r="I14" s="127"/>
      <c r="J14" s="127">
        <v>7.8293999999999997</v>
      </c>
      <c r="K14" s="127">
        <v>12.85</v>
      </c>
      <c r="L14" s="127">
        <v>6.8956999999999997</v>
      </c>
      <c r="M14" s="127">
        <v>13.425000000000001</v>
      </c>
      <c r="N14" s="127">
        <v>11.2</v>
      </c>
      <c r="O14" s="127">
        <v>13.077999999999999</v>
      </c>
      <c r="P14" s="127">
        <v>68.044200000000004</v>
      </c>
      <c r="Q14" s="127">
        <v>19.13</v>
      </c>
      <c r="R14" s="31"/>
      <c r="S14" s="127">
        <v>62.776699999999998</v>
      </c>
      <c r="T14" s="31">
        <f t="shared" si="2"/>
        <v>215.22900000000001</v>
      </c>
      <c r="U14" s="65">
        <f t="shared" si="3"/>
        <v>1335.79</v>
      </c>
    </row>
    <row r="15" spans="1:21" s="29" customFormat="1" ht="17.25" customHeight="1">
      <c r="A15" s="71">
        <v>9</v>
      </c>
      <c r="B15" s="124" t="s">
        <v>205</v>
      </c>
      <c r="C15" s="125">
        <v>13</v>
      </c>
      <c r="D15" s="119">
        <v>13</v>
      </c>
      <c r="E15" s="28">
        <v>1319.5709999999999</v>
      </c>
      <c r="F15" s="28">
        <f t="shared" si="0"/>
        <v>240.24</v>
      </c>
      <c r="G15" s="28">
        <f t="shared" si="1"/>
        <v>1559.8109999999999</v>
      </c>
      <c r="H15" s="127">
        <v>1377.9</v>
      </c>
      <c r="I15" s="127"/>
      <c r="J15" s="127">
        <v>6.1715799999999996</v>
      </c>
      <c r="K15" s="127">
        <v>11.675000000000001</v>
      </c>
      <c r="L15" s="127">
        <v>11.87947</v>
      </c>
      <c r="M15" s="127">
        <v>13.068</v>
      </c>
      <c r="N15" s="127">
        <v>16.7</v>
      </c>
      <c r="O15" s="127">
        <v>28.664000000000001</v>
      </c>
      <c r="P15" s="127">
        <v>6.875</v>
      </c>
      <c r="Q15" s="127">
        <v>41.573099999999997</v>
      </c>
      <c r="R15" s="127"/>
      <c r="S15" s="127">
        <v>27.283999999999999</v>
      </c>
      <c r="T15" s="31">
        <f t="shared" si="2"/>
        <v>163.89015000000001</v>
      </c>
      <c r="U15" s="65">
        <f t="shared" si="3"/>
        <v>1541.79015</v>
      </c>
    </row>
    <row r="16" spans="1:21" s="29" customFormat="1" ht="17.25" customHeight="1">
      <c r="A16" s="71">
        <v>10</v>
      </c>
      <c r="B16" s="124" t="s">
        <v>206</v>
      </c>
      <c r="C16" s="125">
        <v>11</v>
      </c>
      <c r="D16" s="126">
        <v>11</v>
      </c>
      <c r="E16" s="28">
        <v>1464.0740000000001</v>
      </c>
      <c r="F16" s="28">
        <f t="shared" si="0"/>
        <v>203.28</v>
      </c>
      <c r="G16" s="28">
        <f t="shared" si="1"/>
        <v>1667.354</v>
      </c>
      <c r="H16" s="28">
        <v>1403.9083189999999</v>
      </c>
      <c r="I16" s="28">
        <v>0</v>
      </c>
      <c r="J16" s="28">
        <v>7.5508369999999996</v>
      </c>
      <c r="K16" s="28">
        <v>8.1069999999999993</v>
      </c>
      <c r="L16" s="28">
        <v>6.3612060000000001</v>
      </c>
      <c r="M16" s="28">
        <v>6.9955999999999996</v>
      </c>
      <c r="N16" s="28">
        <v>18</v>
      </c>
      <c r="O16" s="28">
        <v>22.021999999999998</v>
      </c>
      <c r="P16" s="28">
        <v>177.79101399999999</v>
      </c>
      <c r="Q16" s="28">
        <v>16.45</v>
      </c>
      <c r="R16" s="28"/>
      <c r="S16" s="28">
        <v>8.4350000000000005</v>
      </c>
      <c r="T16" s="31">
        <f t="shared" si="2"/>
        <v>271.71265699999998</v>
      </c>
      <c r="U16" s="65">
        <f t="shared" si="3"/>
        <v>1675.6209759999999</v>
      </c>
    </row>
    <row r="17" spans="1:21" s="29" customFormat="1" ht="17.25" customHeight="1">
      <c r="A17" s="71">
        <v>11</v>
      </c>
      <c r="B17" s="124" t="s">
        <v>207</v>
      </c>
      <c r="C17" s="125">
        <v>35</v>
      </c>
      <c r="D17" s="126">
        <v>32</v>
      </c>
      <c r="E17" s="28">
        <v>3471.4059999999999</v>
      </c>
      <c r="F17" s="28">
        <f t="shared" si="0"/>
        <v>646.80000000000007</v>
      </c>
      <c r="G17" s="28">
        <f t="shared" si="1"/>
        <v>4118.2060000000001</v>
      </c>
      <c r="H17" s="28">
        <v>3569.3679999999999</v>
      </c>
      <c r="I17" s="28">
        <v>62.607999999999997</v>
      </c>
      <c r="J17" s="28">
        <v>70.831000000000003</v>
      </c>
      <c r="K17" s="28">
        <v>29.161999999999999</v>
      </c>
      <c r="L17" s="28">
        <v>9.4610000000000003</v>
      </c>
      <c r="M17" s="28">
        <v>16.157</v>
      </c>
      <c r="N17" s="28">
        <v>42</v>
      </c>
      <c r="O17" s="28">
        <v>89.751000000000005</v>
      </c>
      <c r="P17" s="28"/>
      <c r="Q17" s="28">
        <v>96.703999999999994</v>
      </c>
      <c r="R17" s="28"/>
      <c r="S17" s="28">
        <v>132.15899999999999</v>
      </c>
      <c r="T17" s="31">
        <f t="shared" si="2"/>
        <v>548.83300000000008</v>
      </c>
      <c r="U17" s="65">
        <f t="shared" si="3"/>
        <v>4118.201</v>
      </c>
    </row>
    <row r="18" spans="1:21" s="29" customFormat="1" ht="17.25" customHeight="1">
      <c r="A18" s="71">
        <v>12</v>
      </c>
      <c r="B18" s="124" t="s">
        <v>208</v>
      </c>
      <c r="C18" s="125">
        <v>14</v>
      </c>
      <c r="D18" s="126">
        <v>14</v>
      </c>
      <c r="E18" s="28">
        <v>1499.674</v>
      </c>
      <c r="F18" s="28">
        <f t="shared" si="0"/>
        <v>258.72000000000003</v>
      </c>
      <c r="G18" s="28">
        <f t="shared" si="1"/>
        <v>1758.394</v>
      </c>
      <c r="H18" s="127">
        <v>1581.874039</v>
      </c>
      <c r="I18" s="127"/>
      <c r="J18" s="127">
        <v>12.311994</v>
      </c>
      <c r="K18" s="127">
        <v>8.9220000000000006</v>
      </c>
      <c r="L18" s="127">
        <v>9.6654099999999996</v>
      </c>
      <c r="M18" s="127">
        <v>6.8592570000000004</v>
      </c>
      <c r="N18" s="127">
        <v>22.8</v>
      </c>
      <c r="O18" s="127">
        <v>13.12</v>
      </c>
      <c r="P18" s="127"/>
      <c r="Q18" s="127">
        <v>63.778300000000002</v>
      </c>
      <c r="R18" s="127"/>
      <c r="S18" s="127">
        <v>11.348000000000001</v>
      </c>
      <c r="T18" s="31">
        <f t="shared" si="2"/>
        <v>148.80496100000002</v>
      </c>
      <c r="U18" s="65">
        <f t="shared" si="3"/>
        <v>1730.6790000000001</v>
      </c>
    </row>
    <row r="19" spans="1:21" s="29" customFormat="1" ht="17.25" customHeight="1">
      <c r="A19" s="71">
        <v>13</v>
      </c>
      <c r="B19" s="124" t="s">
        <v>209</v>
      </c>
      <c r="C19" s="125">
        <v>12</v>
      </c>
      <c r="D19" s="126">
        <v>12</v>
      </c>
      <c r="E19" s="28">
        <v>1470.231</v>
      </c>
      <c r="F19" s="28">
        <f t="shared" si="0"/>
        <v>221.76</v>
      </c>
      <c r="G19" s="28">
        <f t="shared" si="1"/>
        <v>1691.991</v>
      </c>
      <c r="H19" s="28">
        <v>1525.8630000000001</v>
      </c>
      <c r="I19" s="28"/>
      <c r="J19" s="28"/>
      <c r="K19" s="28">
        <v>13.3</v>
      </c>
      <c r="L19" s="28">
        <v>1.8049999999999999</v>
      </c>
      <c r="M19" s="28">
        <v>30</v>
      </c>
      <c r="N19" s="28">
        <v>8.4</v>
      </c>
      <c r="O19" s="28">
        <v>14</v>
      </c>
      <c r="P19" s="28">
        <v>17</v>
      </c>
      <c r="Q19" s="28">
        <v>0</v>
      </c>
      <c r="R19" s="28"/>
      <c r="S19" s="28">
        <v>237.667</v>
      </c>
      <c r="T19" s="31">
        <f t="shared" si="2"/>
        <v>322.17200000000003</v>
      </c>
      <c r="U19" s="65">
        <f t="shared" si="3"/>
        <v>1848.0350000000001</v>
      </c>
    </row>
    <row r="20" spans="1:21" s="29" customFormat="1" ht="17.25" customHeight="1">
      <c r="A20" s="71">
        <v>14</v>
      </c>
      <c r="B20" s="124" t="s">
        <v>210</v>
      </c>
      <c r="C20" s="125">
        <v>10</v>
      </c>
      <c r="D20" s="126">
        <v>9</v>
      </c>
      <c r="E20" s="28">
        <v>1241.0730000000001</v>
      </c>
      <c r="F20" s="28">
        <f t="shared" si="0"/>
        <v>184.8</v>
      </c>
      <c r="G20" s="28">
        <f t="shared" si="1"/>
        <v>1425.873</v>
      </c>
      <c r="H20" s="28">
        <v>1287.3946410000001</v>
      </c>
      <c r="I20" s="28">
        <v>34.945999999999998</v>
      </c>
      <c r="J20" s="28">
        <v>6.4657439999999999</v>
      </c>
      <c r="K20" s="28">
        <v>8.6850000000000005</v>
      </c>
      <c r="L20" s="28">
        <v>5.5422000000000002</v>
      </c>
      <c r="M20" s="28">
        <v>11.786913999999999</v>
      </c>
      <c r="N20" s="28"/>
      <c r="O20" s="28">
        <v>12.074</v>
      </c>
      <c r="P20" s="28">
        <v>22.6</v>
      </c>
      <c r="Q20" s="28">
        <v>8.5198999999999998</v>
      </c>
      <c r="R20" s="28"/>
      <c r="S20" s="28">
        <v>12.212999999999999</v>
      </c>
      <c r="T20" s="31">
        <f t="shared" si="2"/>
        <v>122.83275800000001</v>
      </c>
      <c r="U20" s="65">
        <f t="shared" si="3"/>
        <v>1410.2273990000001</v>
      </c>
    </row>
    <row r="21" spans="1:21" s="29" customFormat="1" ht="17.25" customHeight="1">
      <c r="A21" s="71">
        <v>15</v>
      </c>
      <c r="B21" s="124" t="s">
        <v>211</v>
      </c>
      <c r="C21" s="125">
        <v>13</v>
      </c>
      <c r="D21" s="126">
        <v>13</v>
      </c>
      <c r="E21" s="28">
        <v>1314.181</v>
      </c>
      <c r="F21" s="28">
        <f t="shared" si="0"/>
        <v>240.24</v>
      </c>
      <c r="G21" s="28">
        <f t="shared" si="1"/>
        <v>1554.421</v>
      </c>
      <c r="H21" s="28">
        <v>1297.8206479999999</v>
      </c>
      <c r="I21" s="28"/>
      <c r="J21" s="28">
        <v>12.906162999999999</v>
      </c>
      <c r="K21" s="28">
        <v>9.7840000000000007</v>
      </c>
      <c r="L21" s="28">
        <v>8.4219799999999996</v>
      </c>
      <c r="M21" s="28">
        <v>15.121</v>
      </c>
      <c r="N21" s="28">
        <v>24</v>
      </c>
      <c r="O21" s="28">
        <v>26.132000000000001</v>
      </c>
      <c r="P21" s="28"/>
      <c r="Q21" s="28">
        <v>13.684100000000001</v>
      </c>
      <c r="R21" s="28"/>
      <c r="S21" s="28">
        <v>111.805109</v>
      </c>
      <c r="T21" s="31">
        <f t="shared" si="2"/>
        <v>221.85435200000001</v>
      </c>
      <c r="U21" s="65">
        <f t="shared" si="3"/>
        <v>1519.675</v>
      </c>
    </row>
    <row r="22" spans="1:21" s="29" customFormat="1" ht="17.25" customHeight="1">
      <c r="A22" s="71">
        <v>16</v>
      </c>
      <c r="B22" s="124" t="s">
        <v>212</v>
      </c>
      <c r="C22" s="125">
        <v>18</v>
      </c>
      <c r="D22" s="126">
        <v>16</v>
      </c>
      <c r="E22" s="28">
        <v>1922.65067</v>
      </c>
      <c r="F22" s="28">
        <f t="shared" si="0"/>
        <v>332.64</v>
      </c>
      <c r="G22" s="28">
        <f t="shared" si="1"/>
        <v>2255.2906699999999</v>
      </c>
      <c r="H22" s="127">
        <v>1970</v>
      </c>
      <c r="I22" s="127">
        <v>78.678321999999994</v>
      </c>
      <c r="J22" s="127">
        <v>15.298254</v>
      </c>
      <c r="K22" s="127">
        <v>13.865</v>
      </c>
      <c r="L22" s="127">
        <v>12.065239999999999</v>
      </c>
      <c r="M22" s="127">
        <v>23.998000000000001</v>
      </c>
      <c r="N22" s="127">
        <v>14.5</v>
      </c>
      <c r="O22" s="127">
        <v>21.456</v>
      </c>
      <c r="P22" s="127">
        <v>32</v>
      </c>
      <c r="Q22" s="127">
        <v>30.103370000000002</v>
      </c>
      <c r="R22" s="28"/>
      <c r="S22" s="127">
        <v>12.48</v>
      </c>
      <c r="T22" s="31">
        <f t="shared" si="2"/>
        <v>254.44418599999997</v>
      </c>
      <c r="U22" s="65">
        <f t="shared" si="3"/>
        <v>2224.4441860000002</v>
      </c>
    </row>
    <row r="23" spans="1:21" s="29" customFormat="1" ht="17.25" customHeight="1">
      <c r="A23" s="71">
        <v>17</v>
      </c>
      <c r="B23" s="124" t="s">
        <v>213</v>
      </c>
      <c r="C23" s="125">
        <v>31</v>
      </c>
      <c r="D23" s="126">
        <v>24</v>
      </c>
      <c r="E23" s="28">
        <v>3579.5753749999994</v>
      </c>
      <c r="F23" s="28">
        <f t="shared" si="0"/>
        <v>572.88</v>
      </c>
      <c r="G23" s="28">
        <f t="shared" si="1"/>
        <v>4152.4553749999995</v>
      </c>
      <c r="H23" s="28">
        <v>3607.8904160000002</v>
      </c>
      <c r="I23" s="28"/>
      <c r="J23" s="28">
        <v>10.027096999999999</v>
      </c>
      <c r="K23" s="28">
        <v>19.265000000000001</v>
      </c>
      <c r="L23" s="28">
        <v>6.1872600000000002</v>
      </c>
      <c r="M23" s="28">
        <v>25.054369999999999</v>
      </c>
      <c r="N23" s="28">
        <v>40.200000000000003</v>
      </c>
      <c r="O23" s="28">
        <v>203.03569200000001</v>
      </c>
      <c r="P23" s="28">
        <v>85.126000000000005</v>
      </c>
      <c r="Q23" s="28">
        <v>55.137037999999997</v>
      </c>
      <c r="R23" s="28"/>
      <c r="S23" s="28">
        <v>71.16</v>
      </c>
      <c r="T23" s="31">
        <f t="shared" si="2"/>
        <v>515.1924570000001</v>
      </c>
      <c r="U23" s="65">
        <f t="shared" si="3"/>
        <v>4123.0828730000003</v>
      </c>
    </row>
    <row r="24" spans="1:21" s="29" customFormat="1" ht="17.25" customHeight="1">
      <c r="A24" s="71">
        <v>18</v>
      </c>
      <c r="B24" s="124" t="s">
        <v>214</v>
      </c>
      <c r="C24" s="125">
        <v>8</v>
      </c>
      <c r="D24" s="126">
        <v>8</v>
      </c>
      <c r="E24" s="28">
        <v>964.58499999999992</v>
      </c>
      <c r="F24" s="28">
        <f t="shared" si="0"/>
        <v>147.84</v>
      </c>
      <c r="G24" s="28">
        <f t="shared" si="1"/>
        <v>1112.425</v>
      </c>
      <c r="H24" s="28">
        <v>987.04008899999997</v>
      </c>
      <c r="I24" s="28">
        <v>19.25</v>
      </c>
      <c r="J24" s="28">
        <v>6.5709419999999996</v>
      </c>
      <c r="K24" s="28">
        <v>10.382</v>
      </c>
      <c r="L24" s="28">
        <v>5.8119829999999997</v>
      </c>
      <c r="M24" s="28">
        <v>14.531000000000001</v>
      </c>
      <c r="N24" s="28">
        <v>12</v>
      </c>
      <c r="O24" s="28">
        <v>12.55</v>
      </c>
      <c r="P24" s="28"/>
      <c r="Q24" s="28">
        <v>19.292486</v>
      </c>
      <c r="R24" s="28"/>
      <c r="S24" s="28">
        <v>6.26</v>
      </c>
      <c r="T24" s="31">
        <f t="shared" si="2"/>
        <v>106.648411</v>
      </c>
      <c r="U24" s="65">
        <f t="shared" si="3"/>
        <v>1093.6885</v>
      </c>
    </row>
    <row r="25" spans="1:21" s="29" customFormat="1" ht="17.25" customHeight="1">
      <c r="A25" s="71">
        <v>19</v>
      </c>
      <c r="B25" s="124" t="s">
        <v>215</v>
      </c>
      <c r="C25" s="44">
        <v>12</v>
      </c>
      <c r="D25" s="119">
        <v>9</v>
      </c>
      <c r="E25" s="28">
        <v>1318.86943</v>
      </c>
      <c r="F25" s="28">
        <f t="shared" si="0"/>
        <v>221.76</v>
      </c>
      <c r="G25" s="28">
        <f t="shared" si="1"/>
        <v>1540.62943</v>
      </c>
      <c r="H25" s="127">
        <v>1348.39</v>
      </c>
      <c r="I25" s="127"/>
      <c r="J25" s="127">
        <v>5.2248000000000001</v>
      </c>
      <c r="K25" s="127">
        <v>12.9344</v>
      </c>
      <c r="L25" s="127">
        <v>5.4855</v>
      </c>
      <c r="M25" s="127">
        <v>9.9179999999999993</v>
      </c>
      <c r="N25" s="127">
        <v>16.8</v>
      </c>
      <c r="O25" s="127">
        <v>4.984</v>
      </c>
      <c r="P25" s="127">
        <v>51.954000000000001</v>
      </c>
      <c r="Q25" s="127">
        <v>30.320900000000002</v>
      </c>
      <c r="R25" s="127"/>
      <c r="S25" s="127">
        <v>22.558399999999999</v>
      </c>
      <c r="T25" s="31">
        <f t="shared" si="2"/>
        <v>160.18</v>
      </c>
      <c r="U25" s="65">
        <f t="shared" si="3"/>
        <v>1508.5700000000002</v>
      </c>
    </row>
    <row r="26" spans="1:21" s="29" customFormat="1" ht="17.25" customHeight="1">
      <c r="A26" s="71">
        <v>20</v>
      </c>
      <c r="B26" s="124" t="s">
        <v>216</v>
      </c>
      <c r="C26" s="125">
        <v>10</v>
      </c>
      <c r="D26" s="126">
        <v>10</v>
      </c>
      <c r="E26" s="28">
        <v>1520.43562</v>
      </c>
      <c r="F26" s="28">
        <f t="shared" si="0"/>
        <v>184.8</v>
      </c>
      <c r="G26" s="28">
        <f t="shared" si="1"/>
        <v>1705.2356199999999</v>
      </c>
      <c r="H26" s="28">
        <v>1373.838272</v>
      </c>
      <c r="I26" s="28">
        <v>15.48</v>
      </c>
      <c r="J26" s="28">
        <v>3.9215209999999998</v>
      </c>
      <c r="K26" s="28">
        <v>17.210999999999999</v>
      </c>
      <c r="L26" s="28">
        <v>9.0416550000000004</v>
      </c>
      <c r="M26" s="28">
        <v>13.843999999999999</v>
      </c>
      <c r="N26" s="28">
        <v>23.85</v>
      </c>
      <c r="O26" s="28">
        <v>21.027999999999999</v>
      </c>
      <c r="P26" s="28"/>
      <c r="Q26" s="28">
        <v>27.318318999999999</v>
      </c>
      <c r="R26" s="28"/>
      <c r="S26" s="28">
        <v>10.747733</v>
      </c>
      <c r="T26" s="31">
        <f t="shared" si="2"/>
        <v>142.442228</v>
      </c>
      <c r="U26" s="65">
        <f t="shared" si="3"/>
        <v>1516.2804999999998</v>
      </c>
    </row>
    <row r="27" spans="1:21" s="29" customFormat="1" ht="17.25" customHeight="1">
      <c r="A27" s="71">
        <v>21</v>
      </c>
      <c r="B27" s="119" t="s">
        <v>217</v>
      </c>
      <c r="C27" s="23">
        <v>24</v>
      </c>
      <c r="D27" s="126">
        <v>24</v>
      </c>
      <c r="E27" s="28">
        <v>3429.09</v>
      </c>
      <c r="F27" s="28">
        <f t="shared" si="0"/>
        <v>443.52</v>
      </c>
      <c r="G27" s="28">
        <f t="shared" si="1"/>
        <v>3872.61</v>
      </c>
      <c r="H27" s="28">
        <v>3484.1860080000001</v>
      </c>
      <c r="I27" s="28"/>
      <c r="J27" s="28">
        <v>7.0170589999999997</v>
      </c>
      <c r="K27" s="28">
        <v>38.968000000000004</v>
      </c>
      <c r="L27" s="28">
        <v>17.391100000000002</v>
      </c>
      <c r="M27" s="28">
        <v>14.705</v>
      </c>
      <c r="N27" s="28">
        <v>14.4</v>
      </c>
      <c r="O27" s="28">
        <v>74.950999999999993</v>
      </c>
      <c r="P27" s="28">
        <v>71.426000000000002</v>
      </c>
      <c r="Q27" s="28">
        <v>32.337800000000001</v>
      </c>
      <c r="R27" s="28"/>
      <c r="S27" s="28">
        <v>63.470171999999998</v>
      </c>
      <c r="T27" s="31">
        <f t="shared" si="2"/>
        <v>334.66613100000001</v>
      </c>
      <c r="U27" s="65">
        <f t="shared" si="3"/>
        <v>3818.8521390000001</v>
      </c>
    </row>
    <row r="28" spans="1:21" s="29" customFormat="1" ht="17.25" customHeight="1">
      <c r="A28" s="71">
        <v>22</v>
      </c>
      <c r="B28" s="119" t="s">
        <v>218</v>
      </c>
      <c r="C28" s="23">
        <v>33</v>
      </c>
      <c r="D28" s="126">
        <v>33</v>
      </c>
      <c r="E28" s="28">
        <v>4185.900928</v>
      </c>
      <c r="F28" s="28">
        <f t="shared" si="0"/>
        <v>609.84</v>
      </c>
      <c r="G28" s="28">
        <f t="shared" si="1"/>
        <v>4795.7409280000002</v>
      </c>
      <c r="H28" s="28">
        <v>3894</v>
      </c>
      <c r="I28" s="28"/>
      <c r="J28" s="28">
        <v>12.577999999999999</v>
      </c>
      <c r="K28" s="28">
        <v>24.678999999999998</v>
      </c>
      <c r="L28" s="28">
        <v>4.2530000000000001</v>
      </c>
      <c r="M28" s="28">
        <v>91.578000000000003</v>
      </c>
      <c r="N28" s="28">
        <v>36</v>
      </c>
      <c r="O28" s="28">
        <v>95.578000000000003</v>
      </c>
      <c r="P28" s="28">
        <v>45.588999999999999</v>
      </c>
      <c r="Q28" s="28">
        <v>74.882000000000005</v>
      </c>
      <c r="R28" s="28"/>
      <c r="S28" s="28">
        <v>227.863</v>
      </c>
      <c r="T28" s="31">
        <f t="shared" si="2"/>
        <v>613</v>
      </c>
      <c r="U28" s="65">
        <f t="shared" si="3"/>
        <v>4507</v>
      </c>
    </row>
    <row r="29" spans="1:21" s="29" customFormat="1" ht="17.25" customHeight="1">
      <c r="A29" s="71">
        <v>23</v>
      </c>
      <c r="B29" s="119" t="s">
        <v>219</v>
      </c>
      <c r="C29" s="23">
        <v>14</v>
      </c>
      <c r="D29" s="126">
        <v>14</v>
      </c>
      <c r="E29" s="28">
        <v>2033.2360000000001</v>
      </c>
      <c r="F29" s="28">
        <f t="shared" si="0"/>
        <v>258.72000000000003</v>
      </c>
      <c r="G29" s="28">
        <f t="shared" si="1"/>
        <v>2291.9560000000001</v>
      </c>
      <c r="H29" s="127">
        <v>2036.309164</v>
      </c>
      <c r="I29" s="28">
        <v>0</v>
      </c>
      <c r="J29" s="28">
        <v>7.4982389999999999</v>
      </c>
      <c r="K29" s="28">
        <v>52.872038000000003</v>
      </c>
      <c r="L29" s="28">
        <v>9.2521540000000009</v>
      </c>
      <c r="M29" s="28">
        <v>38.72</v>
      </c>
      <c r="N29" s="28">
        <v>18</v>
      </c>
      <c r="O29" s="28">
        <v>23.056999999999999</v>
      </c>
      <c r="P29" s="28">
        <v>13</v>
      </c>
      <c r="Q29" s="28">
        <v>48.162498999999997</v>
      </c>
      <c r="R29" s="28"/>
      <c r="S29" s="28">
        <v>24.84</v>
      </c>
      <c r="T29" s="31">
        <f t="shared" si="2"/>
        <v>235.40192999999999</v>
      </c>
      <c r="U29" s="65">
        <f t="shared" si="3"/>
        <v>2271.7110940000002</v>
      </c>
    </row>
    <row r="30" spans="1:21" s="29" customFormat="1" ht="17.25" customHeight="1">
      <c r="A30" s="71">
        <v>24</v>
      </c>
      <c r="B30" s="119" t="s">
        <v>346</v>
      </c>
      <c r="C30" s="23">
        <v>39</v>
      </c>
      <c r="D30" s="126">
        <v>39</v>
      </c>
      <c r="E30" s="28">
        <v>4954.6849999999995</v>
      </c>
      <c r="F30" s="28">
        <f t="shared" si="0"/>
        <v>720.72</v>
      </c>
      <c r="G30" s="28">
        <f t="shared" si="1"/>
        <v>5675.4049999999997</v>
      </c>
      <c r="H30" s="28">
        <v>5050.3999999999996</v>
      </c>
      <c r="I30" s="28"/>
      <c r="J30" s="28">
        <v>54.8</v>
      </c>
      <c r="K30" s="28">
        <v>20.2</v>
      </c>
      <c r="L30" s="28">
        <v>15.8</v>
      </c>
      <c r="M30" s="28">
        <v>48.7</v>
      </c>
      <c r="N30" s="28">
        <v>39.4</v>
      </c>
      <c r="O30" s="28">
        <v>96.9</v>
      </c>
      <c r="P30" s="28">
        <v>98.9</v>
      </c>
      <c r="Q30" s="28">
        <v>67.400000000000006</v>
      </c>
      <c r="R30" s="28"/>
      <c r="S30" s="28">
        <v>136.9</v>
      </c>
      <c r="T30" s="31">
        <f t="shared" si="2"/>
        <v>579</v>
      </c>
      <c r="U30" s="65">
        <f t="shared" si="3"/>
        <v>5629.4</v>
      </c>
    </row>
    <row r="31" spans="1:21" s="29" customFormat="1" ht="17.25" customHeight="1">
      <c r="A31" s="71">
        <v>25</v>
      </c>
      <c r="B31" s="119" t="s">
        <v>220</v>
      </c>
      <c r="C31" s="23">
        <v>20</v>
      </c>
      <c r="D31" s="126">
        <v>19</v>
      </c>
      <c r="E31" s="28">
        <v>2831.7930000000001</v>
      </c>
      <c r="F31" s="28">
        <f t="shared" si="0"/>
        <v>369.6</v>
      </c>
      <c r="G31" s="28">
        <f t="shared" si="1"/>
        <v>3201.393</v>
      </c>
      <c r="H31" s="28">
        <v>2887.3459819999998</v>
      </c>
      <c r="I31" s="28"/>
      <c r="J31" s="28">
        <v>14.065282</v>
      </c>
      <c r="K31" s="28">
        <v>16.344999999999999</v>
      </c>
      <c r="L31" s="28">
        <v>13.863517</v>
      </c>
      <c r="M31" s="28">
        <v>45.259796000000001</v>
      </c>
      <c r="N31" s="28">
        <v>31.2</v>
      </c>
      <c r="O31" s="28">
        <v>101.062687</v>
      </c>
      <c r="P31" s="28">
        <v>16.25</v>
      </c>
      <c r="Q31" s="28">
        <v>73.022400000000005</v>
      </c>
      <c r="R31" s="28"/>
      <c r="S31" s="28">
        <v>14.718336000000001</v>
      </c>
      <c r="T31" s="31">
        <f t="shared" si="2"/>
        <v>325.78701799999999</v>
      </c>
      <c r="U31" s="65">
        <f t="shared" si="3"/>
        <v>3213.1329999999998</v>
      </c>
    </row>
    <row r="32" spans="1:21" s="29" customFormat="1" ht="17.25" customHeight="1">
      <c r="A32" s="71">
        <v>26</v>
      </c>
      <c r="B32" s="119" t="s">
        <v>221</v>
      </c>
      <c r="C32" s="23">
        <v>15</v>
      </c>
      <c r="D32" s="126">
        <v>14</v>
      </c>
      <c r="E32" s="28">
        <v>2167.904</v>
      </c>
      <c r="F32" s="28">
        <f t="shared" si="0"/>
        <v>277.2</v>
      </c>
      <c r="G32" s="28">
        <f t="shared" si="1"/>
        <v>2445.1039999999998</v>
      </c>
      <c r="H32" s="28">
        <v>2184.3000000000002</v>
      </c>
      <c r="I32" s="28"/>
      <c r="J32" s="28">
        <v>10.016999999999999</v>
      </c>
      <c r="K32" s="28">
        <v>17.815000000000001</v>
      </c>
      <c r="L32" s="28">
        <v>10.159000000000001</v>
      </c>
      <c r="M32" s="28">
        <v>59.201999999999998</v>
      </c>
      <c r="N32" s="28">
        <v>12</v>
      </c>
      <c r="O32" s="28">
        <v>17.821000000000002</v>
      </c>
      <c r="P32" s="28">
        <v>18.919</v>
      </c>
      <c r="Q32" s="28">
        <v>14.347</v>
      </c>
      <c r="R32" s="28"/>
      <c r="S32" s="28">
        <v>71.784000000000006</v>
      </c>
      <c r="T32" s="31">
        <f t="shared" si="2"/>
        <v>232.06400000000002</v>
      </c>
      <c r="U32" s="65">
        <f t="shared" si="3"/>
        <v>2416.364</v>
      </c>
    </row>
    <row r="33" spans="1:21" s="29" customFormat="1" ht="17.25" customHeight="1">
      <c r="A33" s="71">
        <v>27</v>
      </c>
      <c r="B33" s="119" t="s">
        <v>222</v>
      </c>
      <c r="C33" s="23">
        <v>16</v>
      </c>
      <c r="D33" s="126">
        <v>15</v>
      </c>
      <c r="E33" s="28">
        <v>2729.7540000000004</v>
      </c>
      <c r="F33" s="28">
        <f t="shared" si="0"/>
        <v>295.68</v>
      </c>
      <c r="G33" s="28">
        <f t="shared" si="1"/>
        <v>3025.4340000000002</v>
      </c>
      <c r="H33" s="28">
        <v>2763.1570029999998</v>
      </c>
      <c r="I33" s="28">
        <v>30.19</v>
      </c>
      <c r="J33" s="28">
        <v>10.040507</v>
      </c>
      <c r="K33" s="28">
        <v>22.19</v>
      </c>
      <c r="L33" s="28">
        <v>14.19144</v>
      </c>
      <c r="M33" s="28">
        <v>62.362929999999999</v>
      </c>
      <c r="N33" s="28"/>
      <c r="O33" s="28">
        <v>11.44</v>
      </c>
      <c r="P33" s="28">
        <v>38.4</v>
      </c>
      <c r="Q33" s="28">
        <v>14.670500000000001</v>
      </c>
      <c r="R33" s="28"/>
      <c r="S33" s="28">
        <v>24.468</v>
      </c>
      <c r="T33" s="31">
        <f t="shared" si="2"/>
        <v>227.95337699999999</v>
      </c>
      <c r="U33" s="65">
        <f t="shared" si="3"/>
        <v>2991.1103799999996</v>
      </c>
    </row>
    <row r="34" spans="1:21" s="29" customFormat="1" ht="17.25" customHeight="1">
      <c r="A34" s="71">
        <v>28</v>
      </c>
      <c r="B34" s="119" t="s">
        <v>223</v>
      </c>
      <c r="C34" s="23">
        <v>15</v>
      </c>
      <c r="D34" s="126">
        <v>15</v>
      </c>
      <c r="E34" s="28">
        <v>2353.2860000000001</v>
      </c>
      <c r="F34" s="28">
        <f t="shared" si="0"/>
        <v>277.2</v>
      </c>
      <c r="G34" s="28">
        <f t="shared" si="1"/>
        <v>2630.4859999999999</v>
      </c>
      <c r="H34" s="28">
        <v>2359.9984180000001</v>
      </c>
      <c r="I34" s="28"/>
      <c r="J34" s="28">
        <v>6.1540489999999997</v>
      </c>
      <c r="K34" s="28">
        <v>10.47</v>
      </c>
      <c r="L34" s="28">
        <v>7.5795029999999999</v>
      </c>
      <c r="M34" s="28">
        <v>49.454000000000001</v>
      </c>
      <c r="N34" s="28">
        <v>18</v>
      </c>
      <c r="O34" s="28">
        <v>15.013999999999999</v>
      </c>
      <c r="P34" s="28"/>
      <c r="Q34" s="28">
        <v>14.836600000000001</v>
      </c>
      <c r="R34" s="28"/>
      <c r="S34" s="28">
        <v>114.23093</v>
      </c>
      <c r="T34" s="31">
        <f t="shared" si="2"/>
        <v>235.739082</v>
      </c>
      <c r="U34" s="65">
        <f t="shared" si="3"/>
        <v>2595.7375000000002</v>
      </c>
    </row>
    <row r="35" spans="1:21" s="29" customFormat="1" ht="17.25" customHeight="1">
      <c r="A35" s="71">
        <v>29</v>
      </c>
      <c r="B35" s="119" t="s">
        <v>224</v>
      </c>
      <c r="C35" s="23">
        <v>32</v>
      </c>
      <c r="D35" s="126">
        <v>30</v>
      </c>
      <c r="E35" s="28">
        <v>3930.3109799999997</v>
      </c>
      <c r="F35" s="28">
        <f t="shared" si="0"/>
        <v>591.36</v>
      </c>
      <c r="G35" s="28">
        <f t="shared" si="1"/>
        <v>4521.6709799999999</v>
      </c>
      <c r="H35" s="127">
        <v>3965</v>
      </c>
      <c r="I35" s="127">
        <v>9.1059999999999999</v>
      </c>
      <c r="J35" s="127">
        <v>10.967802000000001</v>
      </c>
      <c r="K35" s="127">
        <v>16.91</v>
      </c>
      <c r="L35" s="127">
        <v>14.417249</v>
      </c>
      <c r="M35" s="127">
        <v>83.596999999999994</v>
      </c>
      <c r="N35" s="127">
        <v>26.8</v>
      </c>
      <c r="O35" s="127">
        <v>83.672776999999996</v>
      </c>
      <c r="P35" s="127">
        <v>69.650000000000006</v>
      </c>
      <c r="Q35" s="127">
        <v>60.5456</v>
      </c>
      <c r="R35" s="28"/>
      <c r="S35" s="127">
        <v>24.161491999999999</v>
      </c>
      <c r="T35" s="31">
        <f t="shared" si="2"/>
        <v>399.82791999999995</v>
      </c>
      <c r="U35" s="65">
        <f t="shared" si="3"/>
        <v>4364.8279199999997</v>
      </c>
    </row>
    <row r="36" spans="1:21" s="29" customFormat="1" ht="17.25" customHeight="1">
      <c r="A36" s="71">
        <v>30</v>
      </c>
      <c r="B36" s="119" t="s">
        <v>225</v>
      </c>
      <c r="C36" s="23">
        <v>50</v>
      </c>
      <c r="D36" s="126">
        <v>40</v>
      </c>
      <c r="E36" s="28">
        <v>5901.4086399999997</v>
      </c>
      <c r="F36" s="28">
        <f t="shared" si="0"/>
        <v>924</v>
      </c>
      <c r="G36" s="28">
        <f t="shared" si="1"/>
        <v>6825.4086399999997</v>
      </c>
      <c r="H36" s="28">
        <v>5483.2986540000002</v>
      </c>
      <c r="I36" s="28"/>
      <c r="J36" s="28">
        <v>18.253928999999999</v>
      </c>
      <c r="K36" s="28">
        <v>32.51</v>
      </c>
      <c r="L36" s="28">
        <v>4.2072399999999996</v>
      </c>
      <c r="M36" s="28">
        <v>100.06932999999999</v>
      </c>
      <c r="N36" s="28">
        <v>50.039000000000001</v>
      </c>
      <c r="O36" s="28">
        <v>322.894274</v>
      </c>
      <c r="P36" s="28">
        <v>160.947</v>
      </c>
      <c r="Q36" s="28">
        <v>112.29730000000001</v>
      </c>
      <c r="R36" s="28"/>
      <c r="S36" s="28">
        <v>45.566000000000003</v>
      </c>
      <c r="T36" s="31">
        <f t="shared" si="2"/>
        <v>846.78407300000003</v>
      </c>
      <c r="U36" s="65">
        <f t="shared" si="3"/>
        <v>6330.082727</v>
      </c>
    </row>
    <row r="37" spans="1:21" s="29" customFormat="1" ht="17.25" customHeight="1">
      <c r="A37" s="71">
        <v>31</v>
      </c>
      <c r="B37" s="119" t="s">
        <v>345</v>
      </c>
      <c r="C37" s="23">
        <v>13</v>
      </c>
      <c r="D37" s="119">
        <v>12</v>
      </c>
      <c r="E37" s="28">
        <v>1706.1890000000001</v>
      </c>
      <c r="F37" s="28">
        <f t="shared" si="0"/>
        <v>240.24</v>
      </c>
      <c r="G37" s="28">
        <f t="shared" si="1"/>
        <v>1946.4290000000001</v>
      </c>
      <c r="H37" s="127">
        <v>1730.3084240000001</v>
      </c>
      <c r="I37" s="127">
        <v>3.67</v>
      </c>
      <c r="J37" s="127">
        <v>5.9826160000000002</v>
      </c>
      <c r="K37" s="127">
        <v>14.47</v>
      </c>
      <c r="L37" s="127">
        <v>5.3207990000000001</v>
      </c>
      <c r="M37" s="127">
        <v>46.262</v>
      </c>
      <c r="N37" s="127">
        <v>14.52</v>
      </c>
      <c r="O37" s="127">
        <v>20.869060999999999</v>
      </c>
      <c r="P37" s="127">
        <v>25.8</v>
      </c>
      <c r="Q37" s="127">
        <v>48.074599999999997</v>
      </c>
      <c r="R37" s="127"/>
      <c r="S37" s="127">
        <v>11.843</v>
      </c>
      <c r="T37" s="31">
        <f t="shared" si="2"/>
        <v>196.81207599999999</v>
      </c>
      <c r="U37" s="65">
        <f t="shared" si="3"/>
        <v>1927.1205</v>
      </c>
    </row>
    <row r="38" spans="1:21" s="29" customFormat="1" ht="17.25" customHeight="1">
      <c r="A38" s="71">
        <v>32</v>
      </c>
      <c r="B38" s="119" t="s">
        <v>226</v>
      </c>
      <c r="C38" s="23">
        <v>18</v>
      </c>
      <c r="D38" s="119">
        <v>18</v>
      </c>
      <c r="E38" s="28">
        <v>3072.7747250000002</v>
      </c>
      <c r="F38" s="28">
        <f t="shared" si="0"/>
        <v>332.64</v>
      </c>
      <c r="G38" s="28">
        <f t="shared" si="1"/>
        <v>3405.4147250000001</v>
      </c>
      <c r="H38" s="127">
        <v>2884.3649999999998</v>
      </c>
      <c r="I38" s="127"/>
      <c r="J38" s="127">
        <v>7.4768109999999997</v>
      </c>
      <c r="K38" s="127">
        <v>18.571999999999999</v>
      </c>
      <c r="L38" s="127">
        <v>5.8515389999999998</v>
      </c>
      <c r="M38" s="127">
        <v>72.311774</v>
      </c>
      <c r="N38" s="127">
        <v>23.45</v>
      </c>
      <c r="O38" s="127">
        <v>25.536000000000001</v>
      </c>
      <c r="P38" s="127">
        <v>36.799999999999997</v>
      </c>
      <c r="Q38" s="127">
        <v>113.3819</v>
      </c>
      <c r="R38" s="127"/>
      <c r="S38" s="127">
        <v>18.64</v>
      </c>
      <c r="T38" s="31">
        <f t="shared" si="2"/>
        <v>322.02002400000003</v>
      </c>
      <c r="U38" s="65">
        <f t="shared" si="3"/>
        <v>3206.3850239999997</v>
      </c>
    </row>
    <row r="39" spans="1:21" s="29" customFormat="1" ht="17.25" customHeight="1">
      <c r="A39" s="71">
        <v>33</v>
      </c>
      <c r="B39" s="124" t="s">
        <v>21</v>
      </c>
      <c r="C39" s="44">
        <v>15</v>
      </c>
      <c r="D39" s="119">
        <v>15</v>
      </c>
      <c r="E39" s="28">
        <v>2079.9830000000002</v>
      </c>
      <c r="F39" s="28">
        <f t="shared" si="0"/>
        <v>277.2</v>
      </c>
      <c r="G39" s="28">
        <f t="shared" si="1"/>
        <v>2357.183</v>
      </c>
      <c r="H39" s="127">
        <v>2071.5553140000002</v>
      </c>
      <c r="I39" s="127"/>
      <c r="J39" s="127">
        <v>6.589874</v>
      </c>
      <c r="K39" s="127">
        <v>14.471</v>
      </c>
      <c r="L39" s="127">
        <v>10.504580000000001</v>
      </c>
      <c r="M39" s="127">
        <v>33.085999999999999</v>
      </c>
      <c r="N39" s="127">
        <v>30</v>
      </c>
      <c r="O39" s="127">
        <v>22.187000000000001</v>
      </c>
      <c r="P39" s="127">
        <v>49.21</v>
      </c>
      <c r="Q39" s="127">
        <v>33.798879999999997</v>
      </c>
      <c r="R39" s="127"/>
      <c r="S39" s="127">
        <v>53.56</v>
      </c>
      <c r="T39" s="31">
        <f t="shared" si="2"/>
        <v>253.40733399999999</v>
      </c>
      <c r="U39" s="65">
        <f t="shared" si="3"/>
        <v>2324.9626480000002</v>
      </c>
    </row>
    <row r="40" spans="1:21" s="29" customFormat="1" ht="17.25" customHeight="1">
      <c r="A40" s="71">
        <v>34</v>
      </c>
      <c r="B40" s="124" t="s">
        <v>22</v>
      </c>
      <c r="C40" s="44">
        <v>28</v>
      </c>
      <c r="D40" s="119">
        <v>27</v>
      </c>
      <c r="E40" s="28">
        <v>3513.3150000000001</v>
      </c>
      <c r="F40" s="28">
        <f t="shared" si="0"/>
        <v>517.44000000000005</v>
      </c>
      <c r="G40" s="28">
        <f t="shared" si="1"/>
        <v>4030.7550000000001</v>
      </c>
      <c r="H40" s="127">
        <v>3560</v>
      </c>
      <c r="I40" s="127"/>
      <c r="J40" s="127">
        <v>42</v>
      </c>
      <c r="K40" s="127">
        <v>19</v>
      </c>
      <c r="L40" s="127">
        <v>6</v>
      </c>
      <c r="M40" s="127">
        <v>49</v>
      </c>
      <c r="N40" s="127">
        <v>36</v>
      </c>
      <c r="O40" s="127">
        <v>25</v>
      </c>
      <c r="P40" s="127">
        <v>82</v>
      </c>
      <c r="Q40" s="127">
        <v>56</v>
      </c>
      <c r="R40" s="127" t="s">
        <v>34</v>
      </c>
      <c r="S40" s="127">
        <v>98</v>
      </c>
      <c r="T40" s="31">
        <f t="shared" si="2"/>
        <v>413</v>
      </c>
      <c r="U40" s="65">
        <f t="shared" si="3"/>
        <v>3973</v>
      </c>
    </row>
    <row r="41" spans="1:21" s="29" customFormat="1" ht="17.25" customHeight="1">
      <c r="A41" s="71">
        <v>35</v>
      </c>
      <c r="B41" s="124" t="s">
        <v>23</v>
      </c>
      <c r="C41" s="44">
        <v>20</v>
      </c>
      <c r="D41" s="119">
        <v>20</v>
      </c>
      <c r="E41" s="28">
        <v>2720.5650000000001</v>
      </c>
      <c r="F41" s="28">
        <f t="shared" si="0"/>
        <v>369.6</v>
      </c>
      <c r="G41" s="28">
        <f t="shared" si="1"/>
        <v>3090.165</v>
      </c>
      <c r="H41" s="127">
        <v>2671.895</v>
      </c>
      <c r="I41" s="127">
        <v>12.77</v>
      </c>
      <c r="J41" s="127">
        <v>22.024999999999999</v>
      </c>
      <c r="K41" s="127">
        <v>18.405999999999999</v>
      </c>
      <c r="L41" s="127">
        <v>25.018000000000001</v>
      </c>
      <c r="M41" s="127">
        <v>48.670999999999999</v>
      </c>
      <c r="N41" s="127">
        <v>42</v>
      </c>
      <c r="O41" s="127">
        <v>18.192</v>
      </c>
      <c r="P41" s="127">
        <v>25</v>
      </c>
      <c r="Q41" s="127">
        <v>39.801000000000002</v>
      </c>
      <c r="R41" s="127"/>
      <c r="S41" s="127">
        <v>136.667</v>
      </c>
      <c r="T41" s="31">
        <f t="shared" si="2"/>
        <v>388.54999999999995</v>
      </c>
      <c r="U41" s="65">
        <f t="shared" si="3"/>
        <v>3060.4449999999997</v>
      </c>
    </row>
    <row r="42" spans="1:21" s="29" customFormat="1" ht="17.25" customHeight="1">
      <c r="A42" s="71">
        <v>36</v>
      </c>
      <c r="B42" s="124" t="s">
        <v>24</v>
      </c>
      <c r="C42" s="44">
        <v>18</v>
      </c>
      <c r="D42" s="119">
        <v>18</v>
      </c>
      <c r="E42" s="28">
        <v>1817.4839999999999</v>
      </c>
      <c r="F42" s="28">
        <f t="shared" si="0"/>
        <v>332.64</v>
      </c>
      <c r="G42" s="28">
        <f t="shared" si="1"/>
        <v>2150.1239999999998</v>
      </c>
      <c r="H42" s="127">
        <v>1756.0134660000001</v>
      </c>
      <c r="I42" s="127"/>
      <c r="J42" s="127">
        <v>7.0170570000000003</v>
      </c>
      <c r="K42" s="127">
        <v>14.72</v>
      </c>
      <c r="L42" s="127">
        <v>6.0369000000000002</v>
      </c>
      <c r="M42" s="127">
        <v>65.548000000000002</v>
      </c>
      <c r="N42" s="127">
        <v>30</v>
      </c>
      <c r="O42" s="127">
        <v>21.195</v>
      </c>
      <c r="P42" s="127"/>
      <c r="Q42" s="127">
        <v>24.18882</v>
      </c>
      <c r="R42" s="127"/>
      <c r="S42" s="127">
        <v>177.49775700000001</v>
      </c>
      <c r="T42" s="31">
        <f t="shared" si="2"/>
        <v>346.20353399999999</v>
      </c>
      <c r="U42" s="65">
        <f t="shared" si="3"/>
        <v>2102.2170000000001</v>
      </c>
    </row>
    <row r="43" spans="1:21" s="29" customFormat="1" ht="17.25" customHeight="1">
      <c r="A43" s="71">
        <v>37</v>
      </c>
      <c r="B43" s="124" t="s">
        <v>25</v>
      </c>
      <c r="C43" s="44">
        <v>17</v>
      </c>
      <c r="D43" s="119">
        <v>14</v>
      </c>
      <c r="E43" s="28">
        <v>1798.93</v>
      </c>
      <c r="F43" s="28">
        <f t="shared" si="0"/>
        <v>314.16000000000003</v>
      </c>
      <c r="G43" s="28">
        <f t="shared" si="1"/>
        <v>2113.09</v>
      </c>
      <c r="H43" s="127">
        <v>1848</v>
      </c>
      <c r="I43" s="127">
        <v>5.6</v>
      </c>
      <c r="J43" s="127">
        <v>7.0852399999999998</v>
      </c>
      <c r="K43" s="127">
        <v>17.83737</v>
      </c>
      <c r="L43" s="127">
        <v>4.9935200000000002</v>
      </c>
      <c r="M43" s="127">
        <v>62.476500000000001</v>
      </c>
      <c r="N43" s="127">
        <v>27.76</v>
      </c>
      <c r="O43" s="127">
        <v>15.035</v>
      </c>
      <c r="P43" s="127"/>
      <c r="Q43" s="127">
        <v>37.629399999999997</v>
      </c>
      <c r="R43" s="127"/>
      <c r="S43" s="127">
        <v>35.67</v>
      </c>
      <c r="T43" s="31">
        <f t="shared" si="2"/>
        <v>214.08703000000003</v>
      </c>
      <c r="U43" s="65">
        <f t="shared" si="3"/>
        <v>2062.0870300000001</v>
      </c>
    </row>
    <row r="44" spans="1:21" s="29" customFormat="1" ht="17.25" customHeight="1">
      <c r="A44" s="71">
        <v>38</v>
      </c>
      <c r="B44" s="124" t="s">
        <v>227</v>
      </c>
      <c r="C44" s="44">
        <v>25</v>
      </c>
      <c r="D44" s="119">
        <v>21</v>
      </c>
      <c r="E44" s="28">
        <v>3462.238456</v>
      </c>
      <c r="F44" s="28">
        <v>431.2</v>
      </c>
      <c r="G44" s="28">
        <f t="shared" si="1"/>
        <v>3893.4384559999999</v>
      </c>
      <c r="H44" s="127">
        <v>3221.381351</v>
      </c>
      <c r="I44" s="127"/>
      <c r="J44" s="127">
        <v>15.952992</v>
      </c>
      <c r="K44" s="127">
        <v>16.561</v>
      </c>
      <c r="L44" s="127">
        <v>3.6785939999999999</v>
      </c>
      <c r="M44" s="127">
        <v>73.358999999999995</v>
      </c>
      <c r="N44" s="127">
        <v>47.950899999999997</v>
      </c>
      <c r="O44" s="127">
        <v>115.545365</v>
      </c>
      <c r="P44" s="127">
        <v>64.778456000000006</v>
      </c>
      <c r="Q44" s="127">
        <v>55.142499999999998</v>
      </c>
      <c r="R44" s="127"/>
      <c r="S44" s="127">
        <v>38.5</v>
      </c>
      <c r="T44" s="31">
        <f t="shared" si="2"/>
        <v>431.46880699999997</v>
      </c>
      <c r="U44" s="65">
        <f t="shared" si="3"/>
        <v>3652.8501580000002</v>
      </c>
    </row>
    <row r="45" spans="1:21" s="29" customFormat="1" ht="17.25" customHeight="1">
      <c r="A45" s="71">
        <v>39</v>
      </c>
      <c r="B45" s="124" t="s">
        <v>26</v>
      </c>
      <c r="C45" s="44">
        <v>37</v>
      </c>
      <c r="D45" s="119">
        <v>37</v>
      </c>
      <c r="E45" s="28">
        <v>4659.652</v>
      </c>
      <c r="F45" s="28">
        <v>585.20000000000005</v>
      </c>
      <c r="G45" s="28">
        <f t="shared" si="1"/>
        <v>5244.8519999999999</v>
      </c>
      <c r="H45" s="127">
        <f>1811.4+428.7+1813.4+599.3+60.8</f>
        <v>4713.6000000000004</v>
      </c>
      <c r="I45" s="127">
        <v>115.5</v>
      </c>
      <c r="J45" s="127">
        <v>3.8</v>
      </c>
      <c r="K45" s="127">
        <v>12</v>
      </c>
      <c r="L45" s="127">
        <v>21</v>
      </c>
      <c r="M45" s="127">
        <v>44.9</v>
      </c>
      <c r="N45" s="127">
        <v>3.3</v>
      </c>
      <c r="O45" s="127">
        <v>51.5</v>
      </c>
      <c r="P45" s="127">
        <v>57.5</v>
      </c>
      <c r="Q45" s="127">
        <v>146.4</v>
      </c>
      <c r="R45" s="127"/>
      <c r="S45" s="127">
        <v>22.5</v>
      </c>
      <c r="T45" s="31">
        <f t="shared" si="2"/>
        <v>478.4</v>
      </c>
      <c r="U45" s="65">
        <f t="shared" si="3"/>
        <v>5192</v>
      </c>
    </row>
    <row r="46" spans="1:21" s="29" customFormat="1" ht="17.25" customHeight="1">
      <c r="A46" s="71">
        <v>40</v>
      </c>
      <c r="B46" s="124" t="s">
        <v>27</v>
      </c>
      <c r="C46" s="23">
        <v>28</v>
      </c>
      <c r="D46" s="119">
        <v>28</v>
      </c>
      <c r="E46" s="28">
        <v>3817.3735039999997</v>
      </c>
      <c r="F46" s="28">
        <f t="shared" ref="F46:F53" si="4">(C46*18.48)</f>
        <v>517.44000000000005</v>
      </c>
      <c r="G46" s="28">
        <f t="shared" si="1"/>
        <v>4334.8135039999997</v>
      </c>
      <c r="H46" s="127">
        <v>3593</v>
      </c>
      <c r="I46" s="127"/>
      <c r="J46" s="127">
        <v>9</v>
      </c>
      <c r="K46" s="127">
        <v>100</v>
      </c>
      <c r="L46" s="127">
        <v>10</v>
      </c>
      <c r="M46" s="127">
        <v>129</v>
      </c>
      <c r="N46" s="127">
        <v>36</v>
      </c>
      <c r="O46" s="127">
        <v>15</v>
      </c>
      <c r="P46" s="127">
        <v>13</v>
      </c>
      <c r="Q46" s="127">
        <v>55</v>
      </c>
      <c r="R46" s="127"/>
      <c r="S46" s="127">
        <v>42</v>
      </c>
      <c r="T46" s="31">
        <f t="shared" si="2"/>
        <v>409</v>
      </c>
      <c r="U46" s="65">
        <f t="shared" si="3"/>
        <v>4002</v>
      </c>
    </row>
    <row r="47" spans="1:21" s="29" customFormat="1" ht="17.25" customHeight="1">
      <c r="A47" s="71">
        <v>41</v>
      </c>
      <c r="B47" s="124" t="s">
        <v>28</v>
      </c>
      <c r="C47" s="23">
        <v>32</v>
      </c>
      <c r="D47" s="119">
        <v>31</v>
      </c>
      <c r="E47" s="28">
        <v>4313.741</v>
      </c>
      <c r="F47" s="28">
        <f t="shared" si="4"/>
        <v>591.36</v>
      </c>
      <c r="G47" s="28">
        <f t="shared" si="1"/>
        <v>4905.1009999999997</v>
      </c>
      <c r="H47" s="127">
        <v>4418.3156879999997</v>
      </c>
      <c r="I47" s="127">
        <v>16.556905</v>
      </c>
      <c r="J47" s="127"/>
      <c r="K47" s="127">
        <v>27.946999999999999</v>
      </c>
      <c r="L47" s="127">
        <v>11.143000000000001</v>
      </c>
      <c r="M47" s="127">
        <v>68.658421000000004</v>
      </c>
      <c r="N47" s="127">
        <v>40.799999999999997</v>
      </c>
      <c r="O47" s="127">
        <v>91.763229999999993</v>
      </c>
      <c r="P47" s="127">
        <v>52.1</v>
      </c>
      <c r="Q47" s="127">
        <v>38.207756000000003</v>
      </c>
      <c r="R47" s="127"/>
      <c r="S47" s="127">
        <v>69.804500000000004</v>
      </c>
      <c r="T47" s="31">
        <f t="shared" si="2"/>
        <v>416.98081200000007</v>
      </c>
      <c r="U47" s="65">
        <f t="shared" si="3"/>
        <v>4835.2964999999995</v>
      </c>
    </row>
    <row r="48" spans="1:21" s="29" customFormat="1" ht="17.25" customHeight="1">
      <c r="A48" s="71">
        <v>42</v>
      </c>
      <c r="B48" s="124" t="s">
        <v>29</v>
      </c>
      <c r="C48" s="23">
        <v>24</v>
      </c>
      <c r="D48" s="119">
        <v>24</v>
      </c>
      <c r="E48" s="28">
        <v>4353.4979839999996</v>
      </c>
      <c r="F48" s="28">
        <f t="shared" si="4"/>
        <v>443.52</v>
      </c>
      <c r="G48" s="28">
        <f t="shared" si="1"/>
        <v>4797.0179840000001</v>
      </c>
      <c r="H48" s="127">
        <v>4286.0985119999996</v>
      </c>
      <c r="I48" s="127">
        <v>54.287999999999997</v>
      </c>
      <c r="J48" s="127">
        <v>14.717895</v>
      </c>
      <c r="K48" s="127">
        <v>29.283999999999999</v>
      </c>
      <c r="L48" s="127">
        <v>7.3860000000000001</v>
      </c>
      <c r="M48" s="127">
        <v>111.35299999999999</v>
      </c>
      <c r="N48" s="127">
        <v>41.031799999999997</v>
      </c>
      <c r="O48" s="127">
        <v>133.50253599999999</v>
      </c>
      <c r="P48" s="127">
        <v>60.885432999999999</v>
      </c>
      <c r="Q48" s="127">
        <v>46.431100000000001</v>
      </c>
      <c r="R48" s="127"/>
      <c r="S48" s="127">
        <v>17.788224</v>
      </c>
      <c r="T48" s="31">
        <f t="shared" si="2"/>
        <v>516.66798799999992</v>
      </c>
      <c r="U48" s="65">
        <f t="shared" si="3"/>
        <v>4802.7664999999997</v>
      </c>
    </row>
    <row r="49" spans="1:21" s="29" customFormat="1" ht="17.25" customHeight="1">
      <c r="A49" s="71">
        <v>43</v>
      </c>
      <c r="B49" s="124" t="s">
        <v>30</v>
      </c>
      <c r="C49" s="23">
        <v>22</v>
      </c>
      <c r="D49" s="119">
        <v>22</v>
      </c>
      <c r="E49" s="28">
        <v>4161.8950799999993</v>
      </c>
      <c r="F49" s="28">
        <f t="shared" si="4"/>
        <v>406.56</v>
      </c>
      <c r="G49" s="28">
        <f t="shared" si="1"/>
        <v>4568.4550799999997</v>
      </c>
      <c r="H49" s="127">
        <v>3830.8710000000001</v>
      </c>
      <c r="I49" s="127"/>
      <c r="J49" s="127">
        <v>15.887</v>
      </c>
      <c r="K49" s="127">
        <v>33.002000000000002</v>
      </c>
      <c r="L49" s="127">
        <v>8.7230000000000008</v>
      </c>
      <c r="M49" s="127">
        <v>79.305999999999997</v>
      </c>
      <c r="N49" s="127">
        <v>31.41</v>
      </c>
      <c r="O49" s="127">
        <v>168.203</v>
      </c>
      <c r="P49" s="127">
        <v>19.899999999999999</v>
      </c>
      <c r="Q49" s="127">
        <v>9.8339999999999996</v>
      </c>
      <c r="R49" s="127"/>
      <c r="S49" s="127">
        <v>32.53</v>
      </c>
      <c r="T49" s="31">
        <f t="shared" si="2"/>
        <v>398.79499999999996</v>
      </c>
      <c r="U49" s="65">
        <f t="shared" si="3"/>
        <v>4229.6660000000002</v>
      </c>
    </row>
    <row r="50" spans="1:21" s="29" customFormat="1" ht="17.25" customHeight="1">
      <c r="A50" s="71">
        <v>44</v>
      </c>
      <c r="B50" s="124" t="s">
        <v>31</v>
      </c>
      <c r="C50" s="23">
        <v>26</v>
      </c>
      <c r="D50" s="119">
        <v>25</v>
      </c>
      <c r="E50" s="28">
        <v>2846.3009950000001</v>
      </c>
      <c r="F50" s="28">
        <f t="shared" si="4"/>
        <v>480.48</v>
      </c>
      <c r="G50" s="28">
        <f t="shared" si="1"/>
        <v>3326.7809950000001</v>
      </c>
      <c r="H50" s="127">
        <v>3505.715639</v>
      </c>
      <c r="I50" s="127"/>
      <c r="J50" s="127">
        <v>10.776999999999999</v>
      </c>
      <c r="K50" s="127">
        <v>29.98</v>
      </c>
      <c r="L50" s="127">
        <v>6.4108299999999998</v>
      </c>
      <c r="M50" s="127">
        <v>112.4311</v>
      </c>
      <c r="N50" s="127">
        <v>40.85</v>
      </c>
      <c r="O50" s="127">
        <v>17.257000000000001</v>
      </c>
      <c r="P50" s="127">
        <v>19.920000000000002</v>
      </c>
      <c r="Q50" s="127">
        <v>65.626000000000005</v>
      </c>
      <c r="R50" s="127"/>
      <c r="S50" s="127">
        <v>43.179831</v>
      </c>
      <c r="T50" s="31">
        <f t="shared" si="2"/>
        <v>346.43176099999999</v>
      </c>
      <c r="U50" s="65">
        <f t="shared" si="3"/>
        <v>3852.1473999999998</v>
      </c>
    </row>
    <row r="51" spans="1:21" s="29" customFormat="1" ht="17.25" customHeight="1">
      <c r="A51" s="71">
        <v>45</v>
      </c>
      <c r="B51" s="124" t="s">
        <v>32</v>
      </c>
      <c r="C51" s="23">
        <v>22</v>
      </c>
      <c r="D51" s="119">
        <v>21</v>
      </c>
      <c r="E51" s="28">
        <v>3243.9650000000001</v>
      </c>
      <c r="F51" s="28">
        <f t="shared" si="4"/>
        <v>406.56</v>
      </c>
      <c r="G51" s="28">
        <f t="shared" si="1"/>
        <v>3650.5250000000001</v>
      </c>
      <c r="H51" s="127">
        <v>3389.565595</v>
      </c>
      <c r="I51" s="127"/>
      <c r="J51" s="127">
        <v>14.542567999999999</v>
      </c>
      <c r="K51" s="127">
        <v>27.519500000000001</v>
      </c>
      <c r="L51" s="127">
        <v>6.1848999999999998</v>
      </c>
      <c r="M51" s="127">
        <v>88.95</v>
      </c>
      <c r="N51" s="127">
        <v>36</v>
      </c>
      <c r="O51" s="127">
        <v>18</v>
      </c>
      <c r="P51" s="127">
        <v>30.8</v>
      </c>
      <c r="Q51" s="127">
        <v>51.959000000000003</v>
      </c>
      <c r="R51" s="127"/>
      <c r="S51" s="127">
        <v>24.846945000000002</v>
      </c>
      <c r="T51" s="31">
        <f t="shared" si="2"/>
        <v>298.80291299999999</v>
      </c>
      <c r="U51" s="65">
        <f t="shared" si="3"/>
        <v>3688.368508</v>
      </c>
    </row>
    <row r="52" spans="1:21" s="29" customFormat="1" ht="17.25" customHeight="1">
      <c r="A52" s="71">
        <v>46</v>
      </c>
      <c r="B52" s="119" t="s">
        <v>33</v>
      </c>
      <c r="C52" s="23">
        <v>25</v>
      </c>
      <c r="D52" s="119">
        <v>20</v>
      </c>
      <c r="E52" s="28">
        <v>2745.1790000000001</v>
      </c>
      <c r="F52" s="28">
        <f t="shared" si="4"/>
        <v>462</v>
      </c>
      <c r="G52" s="28">
        <f t="shared" si="1"/>
        <v>3207.1790000000001</v>
      </c>
      <c r="H52" s="127">
        <v>2891.9756619999998</v>
      </c>
      <c r="I52" s="127"/>
      <c r="J52" s="127">
        <v>11.343787000000001</v>
      </c>
      <c r="K52" s="127">
        <v>26.385000000000002</v>
      </c>
      <c r="L52" s="127">
        <v>6.2805569999999999</v>
      </c>
      <c r="M52" s="127">
        <v>90.731999999999999</v>
      </c>
      <c r="N52" s="127">
        <v>31.356000000000002</v>
      </c>
      <c r="O52" s="127">
        <v>31.872</v>
      </c>
      <c r="P52" s="127">
        <v>28.315999999999999</v>
      </c>
      <c r="Q52" s="127">
        <v>21.013999999999999</v>
      </c>
      <c r="R52" s="127"/>
      <c r="S52" s="127">
        <v>22.47</v>
      </c>
      <c r="T52" s="31">
        <f t="shared" si="2"/>
        <v>269.76934399999999</v>
      </c>
      <c r="U52" s="65">
        <f t="shared" si="3"/>
        <v>3161.7450059999996</v>
      </c>
    </row>
    <row r="53" spans="1:21" s="29" customFormat="1" ht="17.25" customHeight="1">
      <c r="A53" s="71">
        <v>47</v>
      </c>
      <c r="B53" s="119" t="s">
        <v>35</v>
      </c>
      <c r="C53" s="23">
        <v>29</v>
      </c>
      <c r="D53" s="119">
        <v>26</v>
      </c>
      <c r="E53" s="28">
        <v>4026.5116699999999</v>
      </c>
      <c r="F53" s="28">
        <f t="shared" si="4"/>
        <v>535.91999999999996</v>
      </c>
      <c r="G53" s="28">
        <f t="shared" si="1"/>
        <v>4562.4316699999999</v>
      </c>
      <c r="H53" s="127">
        <v>4066.3968180000002</v>
      </c>
      <c r="I53" s="127"/>
      <c r="J53" s="127">
        <v>26.307145999999999</v>
      </c>
      <c r="K53" s="127">
        <v>40.664588000000002</v>
      </c>
      <c r="L53" s="127">
        <v>11.157220000000001</v>
      </c>
      <c r="M53" s="127">
        <v>104.3395</v>
      </c>
      <c r="N53" s="127">
        <v>51</v>
      </c>
      <c r="O53" s="127">
        <v>24.309000000000001</v>
      </c>
      <c r="P53" s="127">
        <v>147.56299999999999</v>
      </c>
      <c r="Q53" s="127">
        <v>38.797400000000003</v>
      </c>
      <c r="R53" s="127"/>
      <c r="S53" s="127">
        <v>51.896999999999998</v>
      </c>
      <c r="T53" s="31">
        <f t="shared" si="2"/>
        <v>496.034854</v>
      </c>
      <c r="U53" s="65">
        <f t="shared" si="3"/>
        <v>4562.4316720000006</v>
      </c>
    </row>
    <row r="54" spans="1:21" s="29" customFormat="1" ht="17.25" customHeight="1">
      <c r="A54" s="141" t="s">
        <v>19</v>
      </c>
      <c r="B54" s="159"/>
      <c r="C54" s="26">
        <f>SUM(C7:C53)</f>
        <v>961</v>
      </c>
      <c r="D54" s="26">
        <f t="shared" ref="D54:U54" si="5">SUM(D7:D53)</f>
        <v>907</v>
      </c>
      <c r="E54" s="26">
        <f t="shared" si="5"/>
        <v>124403.45246099998</v>
      </c>
      <c r="F54" s="26">
        <f t="shared" si="5"/>
        <v>17629.920000000006</v>
      </c>
      <c r="G54" s="26">
        <f t="shared" si="5"/>
        <v>142033.37246099999</v>
      </c>
      <c r="H54" s="26">
        <f t="shared" si="5"/>
        <v>123731.26793900001</v>
      </c>
      <c r="I54" s="26">
        <f t="shared" si="5"/>
        <v>554.39022699999998</v>
      </c>
      <c r="J54" s="26">
        <f t="shared" si="5"/>
        <v>595.80193800000006</v>
      </c>
      <c r="K54" s="26">
        <f t="shared" si="5"/>
        <v>1202.2988960000002</v>
      </c>
      <c r="L54" s="26">
        <f t="shared" si="5"/>
        <v>410.18248799999992</v>
      </c>
      <c r="M54" s="26">
        <f t="shared" si="5"/>
        <v>2162.8632270000003</v>
      </c>
      <c r="N54" s="26">
        <f t="shared" si="5"/>
        <v>1159.1676999999997</v>
      </c>
      <c r="O54" s="26">
        <f t="shared" si="5"/>
        <v>2391.9151640000005</v>
      </c>
      <c r="P54" s="26">
        <f t="shared" si="5"/>
        <v>1960.5041029999998</v>
      </c>
      <c r="Q54" s="26">
        <f t="shared" si="5"/>
        <v>1990.1202679999999</v>
      </c>
      <c r="R54" s="26">
        <f t="shared" si="5"/>
        <v>0</v>
      </c>
      <c r="S54" s="26">
        <f t="shared" si="5"/>
        <v>2762.0814580000001</v>
      </c>
      <c r="T54" s="26">
        <f t="shared" si="5"/>
        <v>15189.325468999998</v>
      </c>
      <c r="U54" s="26">
        <f t="shared" si="5"/>
        <v>138920.59340800004</v>
      </c>
    </row>
    <row r="55" spans="1:21" s="29" customFormat="1" ht="12"/>
    <row r="56" spans="1:21" s="29" customFormat="1" ht="12"/>
    <row r="57" spans="1:21" s="29" customFormat="1" ht="12"/>
    <row r="58" spans="1:21" s="29" customFormat="1" ht="12"/>
    <row r="59" spans="1:21" s="29" customFormat="1" ht="12"/>
    <row r="60" spans="1:21" s="29" customFormat="1" ht="12"/>
    <row r="61" spans="1:21" s="32" customFormat="1" ht="12">
      <c r="F61" s="29"/>
      <c r="G61" s="29"/>
    </row>
    <row r="62" spans="1:21" s="29" customFormat="1" ht="12"/>
    <row r="63" spans="1:21" s="29" customFormat="1" ht="12"/>
    <row r="64" spans="1:21" s="29" customFormat="1" ht="12"/>
    <row r="65" s="29" customFormat="1" ht="12"/>
    <row r="66" s="29" customFormat="1" ht="12"/>
    <row r="67" s="29" customFormat="1" ht="12"/>
    <row r="68" s="29" customFormat="1" ht="12"/>
    <row r="69" s="29" customFormat="1" ht="12"/>
    <row r="70" s="29" customFormat="1" ht="12"/>
    <row r="71" s="29" customFormat="1" ht="12"/>
    <row r="72" s="29" customFormat="1" ht="12"/>
    <row r="73" s="29" customFormat="1" ht="12"/>
    <row r="74" s="29" customFormat="1" ht="12"/>
    <row r="75" s="29" customFormat="1" ht="12"/>
    <row r="76" s="29" customFormat="1" ht="12"/>
    <row r="77" s="29" customFormat="1" ht="12"/>
    <row r="78" s="29" customFormat="1" ht="12"/>
    <row r="79" s="29" customFormat="1" ht="12"/>
    <row r="80" s="29" customFormat="1" ht="12"/>
    <row r="81" s="29" customFormat="1" ht="12"/>
    <row r="82" s="29" customFormat="1" ht="12"/>
    <row r="83" s="29" customFormat="1" ht="12"/>
    <row r="84" s="29" customFormat="1" ht="12"/>
    <row r="85" s="29" customFormat="1" ht="12"/>
    <row r="86" s="29" customFormat="1" ht="12"/>
    <row r="87" s="29" customFormat="1" ht="12"/>
    <row r="88" s="29" customFormat="1" ht="12"/>
    <row r="89" s="29" customFormat="1" ht="12"/>
    <row r="90" s="29" customFormat="1" ht="12"/>
    <row r="91" s="29" customFormat="1" ht="12"/>
    <row r="92" s="29" customFormat="1" ht="12"/>
    <row r="93" s="29" customFormat="1" ht="12"/>
    <row r="94" s="29" customFormat="1" ht="12"/>
    <row r="95" s="29" customFormat="1" ht="12"/>
    <row r="96" s="29" customFormat="1" ht="12"/>
    <row r="97" spans="6:7" s="29" customFormat="1" ht="12"/>
    <row r="98" spans="6:7" s="29" customFormat="1" ht="12"/>
    <row r="99" spans="6:7" s="29" customFormat="1" ht="12"/>
    <row r="100" spans="6:7" s="29" customFormat="1" ht="12"/>
    <row r="101" spans="6:7" s="29" customFormat="1" ht="12"/>
    <row r="102" spans="6:7" s="29" customFormat="1" ht="12"/>
    <row r="103" spans="6:7" s="29" customFormat="1" ht="12"/>
    <row r="104" spans="6:7" s="29" customFormat="1" ht="12"/>
    <row r="105" spans="6:7" s="29" customFormat="1" ht="12"/>
    <row r="106" spans="6:7" s="29" customFormat="1" ht="12"/>
    <row r="107" spans="6:7" s="29" customFormat="1" ht="12"/>
    <row r="108" spans="6:7" s="29" customFormat="1" ht="12">
      <c r="F108" s="32"/>
      <c r="G108" s="32"/>
    </row>
    <row r="109" spans="6:7" s="29" customFormat="1" ht="12"/>
    <row r="110" spans="6:7" s="29" customFormat="1" ht="12"/>
    <row r="111" spans="6:7" s="29" customFormat="1" ht="12"/>
    <row r="112" spans="6:7" s="29" customFormat="1" ht="12"/>
    <row r="113" s="29" customFormat="1" ht="12"/>
    <row r="114" s="29" customFormat="1" ht="12"/>
    <row r="115" s="29" customFormat="1" ht="12"/>
    <row r="116" s="29" customFormat="1" ht="12"/>
    <row r="117" s="29" customFormat="1" ht="12"/>
    <row r="118" s="29" customFormat="1" ht="12"/>
    <row r="119" s="29" customFormat="1" ht="12"/>
    <row r="120" s="29" customFormat="1" ht="12"/>
    <row r="121" s="29" customFormat="1" ht="12"/>
    <row r="122" s="29" customFormat="1" ht="12"/>
    <row r="123" s="29" customFormat="1" ht="12"/>
    <row r="124" s="29" customFormat="1" ht="12"/>
    <row r="125" s="29" customFormat="1" ht="12"/>
    <row r="126" s="29" customFormat="1" ht="12"/>
    <row r="127" s="29" customFormat="1" ht="12"/>
    <row r="128" s="29" customFormat="1" ht="12"/>
    <row r="129" spans="6:7" s="29" customFormat="1" ht="12"/>
    <row r="130" spans="6:7" s="29" customFormat="1" ht="12"/>
    <row r="131" spans="6:7" s="29" customFormat="1" ht="12"/>
    <row r="132" spans="6:7" s="29" customFormat="1" ht="12"/>
    <row r="133" spans="6:7" s="29" customFormat="1" ht="12"/>
    <row r="134" spans="6:7" s="29" customFormat="1" ht="12"/>
    <row r="135" spans="6:7" s="29" customFormat="1" ht="12"/>
    <row r="136" spans="6:7" s="29" customFormat="1" ht="12"/>
    <row r="137" spans="6:7" s="29" customFormat="1" ht="12"/>
    <row r="138" spans="6:7" s="29" customFormat="1" ht="12"/>
    <row r="139" spans="6:7" s="29" customFormat="1" ht="12"/>
    <row r="140" spans="6:7" s="32" customFormat="1" ht="12">
      <c r="F140" s="29"/>
      <c r="G140" s="29"/>
    </row>
    <row r="141" spans="6:7" s="29" customFormat="1" ht="12"/>
    <row r="142" spans="6:7" s="29" customFormat="1" ht="12"/>
    <row r="143" spans="6:7" s="29" customFormat="1" ht="12"/>
    <row r="144" spans="6:7" s="29" customFormat="1" ht="12"/>
    <row r="145" s="29" customFormat="1" ht="12"/>
    <row r="146" s="29" customFormat="1" ht="12"/>
    <row r="147" s="29" customFormat="1" ht="12"/>
    <row r="148" s="29" customFormat="1" ht="12"/>
    <row r="149" s="29" customFormat="1" ht="12"/>
    <row r="150" s="29" customFormat="1" ht="12"/>
    <row r="151" s="29" customFormat="1" ht="12"/>
    <row r="152" s="29" customFormat="1" ht="12"/>
    <row r="153" s="29" customFormat="1" ht="12"/>
    <row r="154" s="29" customFormat="1" ht="12"/>
    <row r="155" s="29" customFormat="1" ht="12"/>
    <row r="156" s="29" customFormat="1" ht="12"/>
    <row r="157" s="29" customFormat="1" ht="12"/>
    <row r="158" s="29" customFormat="1" ht="12"/>
    <row r="159" s="29" customFormat="1" ht="12"/>
    <row r="160" s="29" customFormat="1" ht="12"/>
    <row r="161" spans="1:7" s="29" customFormat="1" ht="12"/>
    <row r="162" spans="1:7" s="29" customFormat="1" ht="12"/>
    <row r="163" spans="1:7" s="29" customFormat="1" ht="12"/>
    <row r="164" spans="1:7" s="29" customFormat="1" ht="12"/>
    <row r="165" spans="1:7" s="29" customFormat="1" ht="12"/>
    <row r="166" spans="1:7" s="118" customFormat="1" ht="12">
      <c r="F166" s="29"/>
      <c r="G166" s="29"/>
    </row>
    <row r="167" spans="1:7" s="29" customFormat="1" ht="12"/>
    <row r="168" spans="1:7">
      <c r="A168" s="15"/>
      <c r="F168" s="29"/>
      <c r="G168" s="29"/>
    </row>
    <row r="169" spans="1:7">
      <c r="A169" s="15"/>
      <c r="F169" s="29"/>
      <c r="G169" s="29"/>
    </row>
    <row r="170" spans="1:7">
      <c r="A170" s="15"/>
      <c r="F170" s="29"/>
      <c r="G170" s="29"/>
    </row>
    <row r="171" spans="1:7">
      <c r="A171" s="15"/>
      <c r="F171" s="29"/>
      <c r="G171" s="29"/>
    </row>
    <row r="172" spans="1:7">
      <c r="A172" s="15"/>
      <c r="F172" s="29"/>
      <c r="G172" s="29"/>
    </row>
    <row r="173" spans="1:7">
      <c r="A173" s="15"/>
      <c r="F173" s="29"/>
      <c r="G173" s="29"/>
    </row>
    <row r="174" spans="1:7">
      <c r="A174" s="15"/>
      <c r="F174" s="29"/>
      <c r="G174" s="29"/>
    </row>
    <row r="175" spans="1:7">
      <c r="A175" s="15"/>
      <c r="F175" s="29"/>
      <c r="G175" s="29"/>
    </row>
    <row r="176" spans="1:7">
      <c r="A176" s="15"/>
      <c r="F176" s="29"/>
      <c r="G176" s="29"/>
    </row>
    <row r="177" spans="1:7">
      <c r="A177" s="15"/>
      <c r="F177" s="29"/>
      <c r="G177" s="29"/>
    </row>
    <row r="178" spans="1:7">
      <c r="A178" s="15"/>
      <c r="F178" s="29"/>
      <c r="G178" s="29"/>
    </row>
    <row r="179" spans="1:7">
      <c r="A179" s="15"/>
      <c r="F179" s="29"/>
      <c r="G179" s="29"/>
    </row>
    <row r="180" spans="1:7">
      <c r="A180" s="15"/>
      <c r="F180" s="29"/>
      <c r="G180" s="29"/>
    </row>
    <row r="181" spans="1:7">
      <c r="A181" s="15"/>
      <c r="F181" s="29"/>
      <c r="G181" s="29"/>
    </row>
    <row r="182" spans="1:7">
      <c r="A182" s="15"/>
      <c r="F182" s="29"/>
      <c r="G182" s="29"/>
    </row>
    <row r="183" spans="1:7">
      <c r="A183" s="15"/>
      <c r="F183" s="29"/>
      <c r="G183" s="29"/>
    </row>
    <row r="184" spans="1:7">
      <c r="A184" s="15"/>
      <c r="F184" s="29"/>
      <c r="G184" s="29"/>
    </row>
    <row r="185" spans="1:7">
      <c r="A185" s="15"/>
      <c r="F185" s="29"/>
      <c r="G185" s="29"/>
    </row>
    <row r="186" spans="1:7">
      <c r="A186" s="15"/>
      <c r="F186" s="29"/>
      <c r="G186" s="29"/>
    </row>
    <row r="187" spans="1:7">
      <c r="A187" s="15"/>
      <c r="F187" s="32"/>
      <c r="G187" s="32"/>
    </row>
    <row r="188" spans="1:7">
      <c r="A188" s="15"/>
      <c r="F188" s="29"/>
      <c r="G188" s="29"/>
    </row>
    <row r="189" spans="1:7">
      <c r="A189" s="15"/>
      <c r="F189" s="29"/>
      <c r="G189" s="29"/>
    </row>
    <row r="190" spans="1:7">
      <c r="A190" s="15"/>
      <c r="F190" s="29"/>
      <c r="G190" s="29"/>
    </row>
    <row r="191" spans="1:7">
      <c r="A191" s="15"/>
      <c r="F191" s="29"/>
      <c r="G191" s="29"/>
    </row>
    <row r="192" spans="1:7">
      <c r="A192" s="15"/>
      <c r="F192" s="29"/>
      <c r="G192" s="29"/>
    </row>
    <row r="193" spans="1:7">
      <c r="A193" s="15"/>
      <c r="F193" s="29"/>
      <c r="G193" s="29"/>
    </row>
    <row r="194" spans="1:7">
      <c r="A194" s="15"/>
      <c r="F194" s="29"/>
      <c r="G194" s="29"/>
    </row>
    <row r="195" spans="1:7">
      <c r="A195" s="15"/>
      <c r="F195" s="29"/>
      <c r="G195" s="29"/>
    </row>
    <row r="196" spans="1:7">
      <c r="A196" s="15"/>
      <c r="F196" s="29"/>
      <c r="G196" s="29"/>
    </row>
    <row r="197" spans="1:7">
      <c r="A197" s="15"/>
      <c r="F197" s="29"/>
      <c r="G197" s="29"/>
    </row>
    <row r="198" spans="1:7">
      <c r="A198" s="15"/>
      <c r="F198" s="29"/>
      <c r="G198" s="29"/>
    </row>
    <row r="199" spans="1:7">
      <c r="A199" s="15"/>
      <c r="F199" s="29"/>
      <c r="G199" s="29"/>
    </row>
    <row r="200" spans="1:7">
      <c r="A200" s="15"/>
      <c r="F200" s="29"/>
      <c r="G200" s="29"/>
    </row>
    <row r="201" spans="1:7">
      <c r="A201" s="15"/>
      <c r="F201" s="29"/>
      <c r="G201" s="29"/>
    </row>
    <row r="202" spans="1:7">
      <c r="A202" s="15"/>
      <c r="F202" s="29"/>
      <c r="G202" s="29"/>
    </row>
    <row r="203" spans="1:7">
      <c r="A203" s="15"/>
      <c r="F203" s="29"/>
      <c r="G203" s="29"/>
    </row>
    <row r="204" spans="1:7">
      <c r="A204" s="15"/>
      <c r="F204" s="29"/>
      <c r="G204" s="29"/>
    </row>
    <row r="205" spans="1:7">
      <c r="A205" s="15"/>
      <c r="F205" s="29"/>
      <c r="G205" s="29"/>
    </row>
    <row r="206" spans="1:7">
      <c r="A206" s="15"/>
      <c r="F206" s="29"/>
      <c r="G206" s="29"/>
    </row>
    <row r="207" spans="1:7">
      <c r="A207" s="15"/>
      <c r="F207" s="29"/>
      <c r="G207" s="29"/>
    </row>
    <row r="208" spans="1:7">
      <c r="A208" s="15"/>
      <c r="F208" s="29"/>
      <c r="G208" s="29"/>
    </row>
    <row r="209" spans="1:7">
      <c r="A209" s="15"/>
      <c r="F209" s="29"/>
      <c r="G209" s="29"/>
    </row>
    <row r="210" spans="1:7">
      <c r="A210" s="15"/>
      <c r="F210" s="29"/>
      <c r="G210" s="29"/>
    </row>
    <row r="211" spans="1:7">
      <c r="A211" s="15"/>
      <c r="F211" s="29"/>
      <c r="G211" s="29"/>
    </row>
    <row r="212" spans="1:7">
      <c r="A212" s="15"/>
      <c r="F212" s="29"/>
      <c r="G212" s="29"/>
    </row>
    <row r="213" spans="1:7">
      <c r="A213" s="15"/>
      <c r="F213" s="118"/>
      <c r="G213" s="118"/>
    </row>
    <row r="214" spans="1:7">
      <c r="F214" s="29"/>
      <c r="G214" s="29"/>
    </row>
  </sheetData>
  <autoFilter ref="A6:U261"/>
  <mergeCells count="11">
    <mergeCell ref="A1:U1"/>
    <mergeCell ref="A2:U2"/>
    <mergeCell ref="A4:A6"/>
    <mergeCell ref="B4:B6"/>
    <mergeCell ref="H4:U4"/>
    <mergeCell ref="U5:U6"/>
    <mergeCell ref="A54:B54"/>
    <mergeCell ref="C4:D5"/>
    <mergeCell ref="H5:H6"/>
    <mergeCell ref="I5:T5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34"/>
  <sheetViews>
    <sheetView workbookViewId="0">
      <selection activeCell="A2" sqref="A2:U2"/>
    </sheetView>
  </sheetViews>
  <sheetFormatPr defaultColWidth="9.140625" defaultRowHeight="15"/>
  <cols>
    <col min="1" max="1" width="5.140625" style="16" customWidth="1"/>
    <col min="2" max="2" width="23.28515625" style="15" customWidth="1"/>
    <col min="3" max="3" width="7" style="15" customWidth="1"/>
    <col min="4" max="4" width="5.85546875" style="15" customWidth="1"/>
    <col min="5" max="5" width="9" style="15" customWidth="1"/>
    <col min="6" max="6" width="8.5703125" style="15" customWidth="1"/>
    <col min="7" max="7" width="8.42578125" style="15" customWidth="1"/>
    <col min="8" max="8" width="10.85546875" style="15" customWidth="1"/>
    <col min="9" max="9" width="9.140625" style="15" customWidth="1"/>
    <col min="10" max="10" width="9" style="15" customWidth="1"/>
    <col min="11" max="11" width="8.85546875" style="15" customWidth="1"/>
    <col min="12" max="12" width="9.42578125" style="15" customWidth="1"/>
    <col min="13" max="13" width="6.28515625" style="15" customWidth="1"/>
    <col min="14" max="14" width="6.42578125" style="15" customWidth="1"/>
    <col min="15" max="15" width="9.140625" style="15" customWidth="1"/>
    <col min="16" max="16" width="8.7109375" style="15" customWidth="1"/>
    <col min="17" max="17" width="8.42578125" style="15" customWidth="1"/>
    <col min="18" max="18" width="10" style="15" customWidth="1"/>
    <col min="19" max="19" width="7" style="15" customWidth="1"/>
    <col min="20" max="20" width="8" style="15" customWidth="1"/>
    <col min="21" max="21" width="10" style="15" customWidth="1"/>
    <col min="22" max="16384" width="9.140625" style="15"/>
  </cols>
  <sheetData>
    <row r="1" spans="1:21">
      <c r="A1" s="147" t="s">
        <v>231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24.6" customHeight="1">
      <c r="A2" s="148" t="s">
        <v>347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18" customHeight="1">
      <c r="U3" s="17" t="s">
        <v>20</v>
      </c>
    </row>
    <row r="4" spans="1:21" ht="27.75" customHeight="1">
      <c r="A4" s="142" t="s">
        <v>0</v>
      </c>
      <c r="B4" s="142" t="s">
        <v>18</v>
      </c>
      <c r="C4" s="143" t="s">
        <v>1</v>
      </c>
      <c r="D4" s="144"/>
      <c r="E4" s="149" t="s">
        <v>4</v>
      </c>
      <c r="F4" s="149"/>
      <c r="G4" s="149"/>
      <c r="H4" s="156" t="s">
        <v>5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8"/>
    </row>
    <row r="5" spans="1:21" ht="27.75" customHeight="1">
      <c r="A5" s="142"/>
      <c r="B5" s="142"/>
      <c r="C5" s="145"/>
      <c r="D5" s="146"/>
      <c r="E5" s="149"/>
      <c r="F5" s="149"/>
      <c r="G5" s="149"/>
      <c r="H5" s="150" t="s">
        <v>6</v>
      </c>
      <c r="I5" s="142" t="s">
        <v>181</v>
      </c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52" t="s">
        <v>19</v>
      </c>
    </row>
    <row r="6" spans="1:21" ht="63.75">
      <c r="A6" s="142"/>
      <c r="B6" s="142"/>
      <c r="C6" s="18" t="s">
        <v>2</v>
      </c>
      <c r="D6" s="18" t="s">
        <v>3</v>
      </c>
      <c r="E6" s="128" t="s">
        <v>179</v>
      </c>
      <c r="F6" s="128" t="s">
        <v>180</v>
      </c>
      <c r="G6" s="120" t="s">
        <v>19</v>
      </c>
      <c r="H6" s="153"/>
      <c r="I6" s="19" t="s">
        <v>7</v>
      </c>
      <c r="J6" s="19" t="s">
        <v>8</v>
      </c>
      <c r="K6" s="19" t="s">
        <v>9</v>
      </c>
      <c r="L6" s="19" t="s">
        <v>10</v>
      </c>
      <c r="M6" s="19" t="s">
        <v>11</v>
      </c>
      <c r="N6" s="19" t="s">
        <v>12</v>
      </c>
      <c r="O6" s="19" t="s">
        <v>13</v>
      </c>
      <c r="P6" s="19" t="s">
        <v>14</v>
      </c>
      <c r="Q6" s="19" t="s">
        <v>15</v>
      </c>
      <c r="R6" s="19" t="s">
        <v>17</v>
      </c>
      <c r="S6" s="19" t="s">
        <v>16</v>
      </c>
      <c r="T6" s="19" t="s">
        <v>178</v>
      </c>
      <c r="U6" s="155"/>
    </row>
    <row r="7" spans="1:21" s="29" customFormat="1" ht="20.25" customHeight="1">
      <c r="A7" s="33">
        <v>1</v>
      </c>
      <c r="B7" s="43" t="s">
        <v>232</v>
      </c>
      <c r="C7" s="45">
        <v>11</v>
      </c>
      <c r="D7" s="45">
        <v>10</v>
      </c>
      <c r="E7" s="44">
        <v>1489.336</v>
      </c>
      <c r="F7" s="44">
        <v>228.69</v>
      </c>
      <c r="G7" s="44">
        <f>E7+F7</f>
        <v>1718.0260000000001</v>
      </c>
      <c r="H7" s="44">
        <v>1480</v>
      </c>
      <c r="I7" s="44"/>
      <c r="J7" s="44">
        <v>7.3010000000000002</v>
      </c>
      <c r="K7" s="44">
        <v>9.2149999999999999</v>
      </c>
      <c r="L7" s="44">
        <v>2.1509999999999998</v>
      </c>
      <c r="M7" s="44">
        <v>16.34</v>
      </c>
      <c r="N7" s="44">
        <v>37.704000000000001</v>
      </c>
      <c r="O7" s="44">
        <v>35</v>
      </c>
      <c r="P7" s="44">
        <v>23</v>
      </c>
      <c r="Q7" s="44">
        <v>65</v>
      </c>
      <c r="R7" s="44"/>
      <c r="S7" s="44">
        <v>32</v>
      </c>
      <c r="T7" s="47">
        <f>SUM(I7:S7)</f>
        <v>227.71100000000001</v>
      </c>
      <c r="U7" s="140">
        <f>T7+H7</f>
        <v>1707.711</v>
      </c>
    </row>
    <row r="8" spans="1:21" s="29" customFormat="1" ht="20.25" customHeight="1">
      <c r="A8" s="33">
        <v>2</v>
      </c>
      <c r="B8" s="43" t="s">
        <v>233</v>
      </c>
      <c r="C8" s="45">
        <v>19</v>
      </c>
      <c r="D8" s="45">
        <v>17</v>
      </c>
      <c r="E8" s="44">
        <v>2415.9490000000001</v>
      </c>
      <c r="F8" s="44">
        <v>374.22</v>
      </c>
      <c r="G8" s="44">
        <f t="shared" ref="G8:G48" si="0">E8+F8</f>
        <v>2790.1689999999999</v>
      </c>
      <c r="H8" s="44">
        <v>2344.4969999999998</v>
      </c>
      <c r="I8" s="44">
        <v>85</v>
      </c>
      <c r="J8" s="44">
        <v>17.199000000000002</v>
      </c>
      <c r="K8" s="44">
        <v>14.853999999999999</v>
      </c>
      <c r="L8" s="44">
        <v>8.2349999999999994</v>
      </c>
      <c r="M8" s="44">
        <v>13.308</v>
      </c>
      <c r="N8" s="44">
        <v>66</v>
      </c>
      <c r="O8" s="44">
        <v>44.493000000000002</v>
      </c>
      <c r="P8" s="44"/>
      <c r="Q8" s="44">
        <v>78</v>
      </c>
      <c r="R8" s="44"/>
      <c r="S8" s="44">
        <v>47.124000000000002</v>
      </c>
      <c r="T8" s="47">
        <f t="shared" ref="T8:T48" si="1">SUM(I8:S8)</f>
        <v>374.21300000000002</v>
      </c>
      <c r="U8" s="140">
        <f t="shared" ref="U8:U48" si="2">T8+H8</f>
        <v>2718.71</v>
      </c>
    </row>
    <row r="9" spans="1:21" s="29" customFormat="1" ht="20.25" customHeight="1">
      <c r="A9" s="33">
        <v>3</v>
      </c>
      <c r="B9" s="43" t="s">
        <v>234</v>
      </c>
      <c r="C9" s="45">
        <v>17</v>
      </c>
      <c r="D9" s="45">
        <v>15</v>
      </c>
      <c r="E9" s="44">
        <f>2054.0072+4.836</f>
        <v>2058.8431999999998</v>
      </c>
      <c r="F9" s="44">
        <v>353.43</v>
      </c>
      <c r="G9" s="44">
        <f t="shared" si="0"/>
        <v>2412.2731999999996</v>
      </c>
      <c r="H9" s="44">
        <v>2044</v>
      </c>
      <c r="I9" s="44"/>
      <c r="J9" s="44">
        <v>12.304</v>
      </c>
      <c r="K9" s="44">
        <v>14</v>
      </c>
      <c r="L9" s="44">
        <v>4</v>
      </c>
      <c r="M9" s="44">
        <v>14</v>
      </c>
      <c r="N9" s="44">
        <v>30</v>
      </c>
      <c r="O9" s="44">
        <v>20</v>
      </c>
      <c r="P9" s="44">
        <v>101</v>
      </c>
      <c r="Q9" s="44">
        <v>107</v>
      </c>
      <c r="R9" s="44"/>
      <c r="S9" s="44">
        <v>46</v>
      </c>
      <c r="T9" s="47">
        <f t="shared" si="1"/>
        <v>348.30399999999997</v>
      </c>
      <c r="U9" s="140">
        <f t="shared" si="2"/>
        <v>2392.3040000000001</v>
      </c>
    </row>
    <row r="10" spans="1:21" s="29" customFormat="1" ht="20.25" customHeight="1">
      <c r="A10" s="33">
        <v>4</v>
      </c>
      <c r="B10" s="43" t="s">
        <v>235</v>
      </c>
      <c r="C10" s="45">
        <v>12</v>
      </c>
      <c r="D10" s="45">
        <v>12</v>
      </c>
      <c r="E10" s="44">
        <v>1576.1320000000001</v>
      </c>
      <c r="F10" s="44">
        <v>249.48</v>
      </c>
      <c r="G10" s="44">
        <f t="shared" si="0"/>
        <v>1825.6120000000001</v>
      </c>
      <c r="H10" s="44">
        <v>1572.3288130000001</v>
      </c>
      <c r="I10" s="44"/>
      <c r="J10" s="44">
        <v>8.8255180000000006</v>
      </c>
      <c r="K10" s="44">
        <v>10.587949</v>
      </c>
      <c r="L10" s="44">
        <v>2.0178850000000002</v>
      </c>
      <c r="M10" s="44">
        <v>23.38775</v>
      </c>
      <c r="N10" s="44">
        <v>20.3</v>
      </c>
      <c r="O10" s="44">
        <v>6.8</v>
      </c>
      <c r="P10" s="44">
        <v>1</v>
      </c>
      <c r="Q10" s="44">
        <v>120.0205</v>
      </c>
      <c r="R10" s="44"/>
      <c r="S10" s="44">
        <v>48</v>
      </c>
      <c r="T10" s="47">
        <f t="shared" si="1"/>
        <v>240.93960199999998</v>
      </c>
      <c r="U10" s="140">
        <f t="shared" si="2"/>
        <v>1813.268415</v>
      </c>
    </row>
    <row r="11" spans="1:21" s="29" customFormat="1" ht="20.25" customHeight="1">
      <c r="A11" s="33">
        <v>5</v>
      </c>
      <c r="B11" s="43" t="s">
        <v>236</v>
      </c>
      <c r="C11" s="45">
        <v>19</v>
      </c>
      <c r="D11" s="45">
        <v>18</v>
      </c>
      <c r="E11" s="44">
        <v>2389.2166000000002</v>
      </c>
      <c r="F11" s="44">
        <v>395.01</v>
      </c>
      <c r="G11" s="44">
        <f t="shared" si="0"/>
        <v>2784.2266</v>
      </c>
      <c r="H11" s="44">
        <v>2123.9500950000001</v>
      </c>
      <c r="I11" s="44"/>
      <c r="J11" s="44">
        <v>14.003636999999999</v>
      </c>
      <c r="K11" s="44">
        <v>4.92</v>
      </c>
      <c r="L11" s="44">
        <v>174</v>
      </c>
      <c r="M11" s="44">
        <v>15.474</v>
      </c>
      <c r="N11" s="44">
        <v>48.823560999999998</v>
      </c>
      <c r="O11" s="44">
        <v>11.157999999999999</v>
      </c>
      <c r="P11" s="44"/>
      <c r="Q11" s="44">
        <v>66</v>
      </c>
      <c r="R11" s="44"/>
      <c r="S11" s="44">
        <v>58</v>
      </c>
      <c r="T11" s="47">
        <f t="shared" si="1"/>
        <v>392.37919799999997</v>
      </c>
      <c r="U11" s="140">
        <f t="shared" si="2"/>
        <v>2516.3292930000002</v>
      </c>
    </row>
    <row r="12" spans="1:21" s="29" customFormat="1" ht="20.25" customHeight="1">
      <c r="A12" s="33">
        <v>6</v>
      </c>
      <c r="B12" s="43" t="s">
        <v>237</v>
      </c>
      <c r="C12" s="45">
        <v>13</v>
      </c>
      <c r="D12" s="45">
        <v>13</v>
      </c>
      <c r="E12" s="44">
        <v>2793.1060000000002</v>
      </c>
      <c r="F12" s="44">
        <v>270.27</v>
      </c>
      <c r="G12" s="44">
        <f t="shared" si="0"/>
        <v>3063.3760000000002</v>
      </c>
      <c r="H12" s="44">
        <v>1594.026271</v>
      </c>
      <c r="I12" s="44">
        <v>1.36</v>
      </c>
      <c r="J12" s="44">
        <v>14.762601999999999</v>
      </c>
      <c r="K12" s="44">
        <v>87.02</v>
      </c>
      <c r="L12" s="44">
        <v>4.0430000000000001</v>
      </c>
      <c r="M12" s="44">
        <v>20.968800000000002</v>
      </c>
      <c r="N12" s="44">
        <v>21.6</v>
      </c>
      <c r="O12" s="44">
        <v>37.57</v>
      </c>
      <c r="P12" s="44">
        <v>14.9</v>
      </c>
      <c r="Q12" s="44">
        <v>34</v>
      </c>
      <c r="R12" s="44"/>
      <c r="S12" s="44">
        <v>29.306000000000001</v>
      </c>
      <c r="T12" s="47">
        <f t="shared" si="1"/>
        <v>265.53040199999998</v>
      </c>
      <c r="U12" s="140">
        <f t="shared" si="2"/>
        <v>1859.556673</v>
      </c>
    </row>
    <row r="13" spans="1:21" s="29" customFormat="1" ht="20.25" customHeight="1">
      <c r="A13" s="33">
        <v>7</v>
      </c>
      <c r="B13" s="43" t="s">
        <v>238</v>
      </c>
      <c r="C13" s="45">
        <v>22</v>
      </c>
      <c r="D13" s="45">
        <v>22</v>
      </c>
      <c r="E13" s="44">
        <f>2426.147+432.064</f>
        <v>2858.2109999999998</v>
      </c>
      <c r="F13" s="44">
        <v>457.38</v>
      </c>
      <c r="G13" s="44">
        <f t="shared" si="0"/>
        <v>3315.5909999999999</v>
      </c>
      <c r="H13" s="44">
        <v>2850.7537000000002</v>
      </c>
      <c r="I13" s="44"/>
      <c r="J13" s="44">
        <v>10.402799999999999</v>
      </c>
      <c r="K13" s="44">
        <v>199.12100000000001</v>
      </c>
      <c r="L13" s="44">
        <v>5.9042000000000003</v>
      </c>
      <c r="M13" s="44">
        <v>21.521999999999998</v>
      </c>
      <c r="N13" s="44">
        <v>38.4</v>
      </c>
      <c r="O13" s="44">
        <v>31.855</v>
      </c>
      <c r="P13" s="44">
        <v>38</v>
      </c>
      <c r="Q13" s="44">
        <v>49</v>
      </c>
      <c r="R13" s="44"/>
      <c r="S13" s="44">
        <v>57</v>
      </c>
      <c r="T13" s="47">
        <f t="shared" si="1"/>
        <v>451.20499999999998</v>
      </c>
      <c r="U13" s="140">
        <f t="shared" si="2"/>
        <v>3301.9587000000001</v>
      </c>
    </row>
    <row r="14" spans="1:21" s="29" customFormat="1" ht="20.25" customHeight="1">
      <c r="A14" s="33">
        <v>8</v>
      </c>
      <c r="B14" s="43" t="s">
        <v>239</v>
      </c>
      <c r="C14" s="45">
        <v>14</v>
      </c>
      <c r="D14" s="45">
        <v>13</v>
      </c>
      <c r="E14" s="44">
        <v>1867.2066</v>
      </c>
      <c r="F14" s="44">
        <v>291.06</v>
      </c>
      <c r="G14" s="44">
        <f t="shared" si="0"/>
        <v>2158.2665999999999</v>
      </c>
      <c r="H14" s="44">
        <v>1863.5533</v>
      </c>
      <c r="I14" s="44">
        <v>3.2959999999999998</v>
      </c>
      <c r="J14" s="44">
        <v>15.558999999999999</v>
      </c>
      <c r="K14" s="44">
        <v>9.1850000000000005</v>
      </c>
      <c r="L14" s="44">
        <v>2.4651999999999998</v>
      </c>
      <c r="M14" s="44">
        <v>14.106999999999999</v>
      </c>
      <c r="N14" s="44">
        <v>31.774000000000001</v>
      </c>
      <c r="O14" s="44">
        <v>57.151000000000003</v>
      </c>
      <c r="P14" s="44">
        <v>1.1000000000000001</v>
      </c>
      <c r="Q14" s="44">
        <v>26.018999999999998</v>
      </c>
      <c r="R14" s="44"/>
      <c r="S14" s="44">
        <v>123.1117</v>
      </c>
      <c r="T14" s="47">
        <f t="shared" si="1"/>
        <v>283.7679</v>
      </c>
      <c r="U14" s="140">
        <f t="shared" si="2"/>
        <v>2147.3211999999999</v>
      </c>
    </row>
    <row r="15" spans="1:21" s="29" customFormat="1" ht="20.25" customHeight="1">
      <c r="A15" s="33">
        <v>9</v>
      </c>
      <c r="B15" s="43" t="s">
        <v>240</v>
      </c>
      <c r="C15" s="45">
        <v>31</v>
      </c>
      <c r="D15" s="45">
        <v>31</v>
      </c>
      <c r="E15" s="44">
        <v>3560.8980000000001</v>
      </c>
      <c r="F15" s="44">
        <v>644.49</v>
      </c>
      <c r="G15" s="44">
        <f t="shared" si="0"/>
        <v>4205.3879999999999</v>
      </c>
      <c r="H15" s="44">
        <v>3507.1791600000001</v>
      </c>
      <c r="I15" s="44"/>
      <c r="J15" s="44">
        <v>73.530905000000004</v>
      </c>
      <c r="K15" s="44">
        <v>109.96599999999999</v>
      </c>
      <c r="L15" s="44">
        <v>15.181298999999999</v>
      </c>
      <c r="M15" s="44">
        <v>28.504000000000001</v>
      </c>
      <c r="N15" s="44">
        <v>90.731999999999999</v>
      </c>
      <c r="O15" s="44">
        <v>140.09989999999999</v>
      </c>
      <c r="P15" s="44">
        <v>44</v>
      </c>
      <c r="Q15" s="44">
        <v>77.971599999999995</v>
      </c>
      <c r="R15" s="44"/>
      <c r="S15" s="44">
        <v>56.216299999999997</v>
      </c>
      <c r="T15" s="47">
        <f t="shared" si="1"/>
        <v>636.20200399999999</v>
      </c>
      <c r="U15" s="140">
        <f t="shared" si="2"/>
        <v>4143.3811640000004</v>
      </c>
    </row>
    <row r="16" spans="1:21" s="29" customFormat="1" ht="20.25" customHeight="1">
      <c r="A16" s="33">
        <v>10</v>
      </c>
      <c r="B16" s="43" t="s">
        <v>241</v>
      </c>
      <c r="C16" s="45">
        <v>19</v>
      </c>
      <c r="D16" s="45">
        <v>19</v>
      </c>
      <c r="E16" s="44">
        <f>2370.686+224.858</f>
        <v>2595.5440000000003</v>
      </c>
      <c r="F16" s="44">
        <v>395.01</v>
      </c>
      <c r="G16" s="44">
        <f t="shared" si="0"/>
        <v>2990.5540000000001</v>
      </c>
      <c r="H16" s="44">
        <v>2595.1880000000001</v>
      </c>
      <c r="I16" s="44">
        <v>110.7795</v>
      </c>
      <c r="J16" s="44">
        <v>14.921875</v>
      </c>
      <c r="K16" s="44">
        <v>4.085</v>
      </c>
      <c r="L16" s="44">
        <v>4.4229500000000002</v>
      </c>
      <c r="M16" s="44">
        <v>16.41</v>
      </c>
      <c r="N16" s="44">
        <v>38.630000000000003</v>
      </c>
      <c r="O16" s="44">
        <v>48.595999999999997</v>
      </c>
      <c r="P16" s="44">
        <v>39</v>
      </c>
      <c r="Q16" s="44">
        <v>58</v>
      </c>
      <c r="R16" s="44"/>
      <c r="S16" s="44">
        <v>47</v>
      </c>
      <c r="T16" s="47">
        <f t="shared" si="1"/>
        <v>381.845325</v>
      </c>
      <c r="U16" s="140">
        <f t="shared" si="2"/>
        <v>2977.0333250000003</v>
      </c>
    </row>
    <row r="17" spans="1:21" s="29" customFormat="1" ht="20.25" customHeight="1">
      <c r="A17" s="33">
        <v>11</v>
      </c>
      <c r="B17" s="43" t="s">
        <v>242</v>
      </c>
      <c r="C17" s="45">
        <v>14</v>
      </c>
      <c r="D17" s="45">
        <v>14</v>
      </c>
      <c r="E17" s="44">
        <v>1737.316</v>
      </c>
      <c r="F17" s="44">
        <v>291.06</v>
      </c>
      <c r="G17" s="44">
        <f t="shared" si="0"/>
        <v>2028.376</v>
      </c>
      <c r="H17" s="44">
        <v>1635</v>
      </c>
      <c r="I17" s="44"/>
      <c r="J17" s="44">
        <v>14</v>
      </c>
      <c r="K17" s="44">
        <v>6</v>
      </c>
      <c r="L17" s="44">
        <v>1.6</v>
      </c>
      <c r="M17" s="44">
        <v>19</v>
      </c>
      <c r="N17" s="44">
        <v>52</v>
      </c>
      <c r="O17" s="44">
        <v>35</v>
      </c>
      <c r="P17" s="44">
        <v>75</v>
      </c>
      <c r="Q17" s="44">
        <v>60</v>
      </c>
      <c r="R17" s="44"/>
      <c r="S17" s="44">
        <v>24</v>
      </c>
      <c r="T17" s="47">
        <f t="shared" si="1"/>
        <v>286.60000000000002</v>
      </c>
      <c r="U17" s="140">
        <f t="shared" si="2"/>
        <v>1921.6</v>
      </c>
    </row>
    <row r="18" spans="1:21" s="29" customFormat="1" ht="20.25" customHeight="1">
      <c r="A18" s="33">
        <v>12</v>
      </c>
      <c r="B18" s="43" t="s">
        <v>243</v>
      </c>
      <c r="C18" s="45">
        <v>12</v>
      </c>
      <c r="D18" s="45">
        <v>12</v>
      </c>
      <c r="E18" s="44">
        <v>1844.0719999999999</v>
      </c>
      <c r="F18" s="44">
        <v>249.48</v>
      </c>
      <c r="G18" s="44">
        <f t="shared" si="0"/>
        <v>2093.5519999999997</v>
      </c>
      <c r="H18" s="44">
        <v>1841</v>
      </c>
      <c r="I18" s="44"/>
      <c r="J18" s="44">
        <v>8</v>
      </c>
      <c r="K18" s="44">
        <v>18</v>
      </c>
      <c r="L18" s="44">
        <v>4</v>
      </c>
      <c r="M18" s="44">
        <v>19</v>
      </c>
      <c r="N18" s="44">
        <v>24</v>
      </c>
      <c r="O18" s="44">
        <v>67</v>
      </c>
      <c r="P18" s="44">
        <v>47</v>
      </c>
      <c r="Q18" s="44">
        <v>32</v>
      </c>
      <c r="R18" s="44"/>
      <c r="S18" s="44">
        <v>28</v>
      </c>
      <c r="T18" s="47">
        <f t="shared" si="1"/>
        <v>247</v>
      </c>
      <c r="U18" s="140">
        <f t="shared" si="2"/>
        <v>2088</v>
      </c>
    </row>
    <row r="19" spans="1:21" s="29" customFormat="1" ht="20.25" customHeight="1">
      <c r="A19" s="33">
        <v>13</v>
      </c>
      <c r="B19" s="43" t="s">
        <v>244</v>
      </c>
      <c r="C19" s="45">
        <v>11</v>
      </c>
      <c r="D19" s="45">
        <v>11</v>
      </c>
      <c r="E19" s="44">
        <v>1635.944</v>
      </c>
      <c r="F19" s="44">
        <v>228.69</v>
      </c>
      <c r="G19" s="44">
        <f t="shared" si="0"/>
        <v>1864.634</v>
      </c>
      <c r="H19" s="44">
        <v>1634</v>
      </c>
      <c r="I19" s="44"/>
      <c r="J19" s="44">
        <v>6</v>
      </c>
      <c r="K19" s="44">
        <v>18</v>
      </c>
      <c r="L19" s="44">
        <v>1.9</v>
      </c>
      <c r="M19" s="44">
        <v>16</v>
      </c>
      <c r="N19" s="44">
        <v>24</v>
      </c>
      <c r="O19" s="44">
        <v>11</v>
      </c>
      <c r="P19" s="44">
        <v>65</v>
      </c>
      <c r="Q19" s="44">
        <v>45</v>
      </c>
      <c r="R19" s="44"/>
      <c r="S19" s="44">
        <v>41</v>
      </c>
      <c r="T19" s="47">
        <f t="shared" si="1"/>
        <v>227.9</v>
      </c>
      <c r="U19" s="140">
        <f t="shared" si="2"/>
        <v>1861.9</v>
      </c>
    </row>
    <row r="20" spans="1:21" s="29" customFormat="1" ht="20.25" customHeight="1">
      <c r="A20" s="33">
        <v>14</v>
      </c>
      <c r="B20" s="43" t="s">
        <v>245</v>
      </c>
      <c r="C20" s="45">
        <v>11</v>
      </c>
      <c r="D20" s="45">
        <v>11</v>
      </c>
      <c r="E20" s="44">
        <f>1538.695+71.813</f>
        <v>1610.508</v>
      </c>
      <c r="F20" s="44">
        <v>228.69</v>
      </c>
      <c r="G20" s="44">
        <f t="shared" si="0"/>
        <v>1839.1980000000001</v>
      </c>
      <c r="H20" s="44">
        <v>1571.7360000000001</v>
      </c>
      <c r="I20" s="44">
        <v>54</v>
      </c>
      <c r="J20" s="44">
        <v>9.1129999999999995</v>
      </c>
      <c r="K20" s="44">
        <v>15.920999999999999</v>
      </c>
      <c r="L20" s="44">
        <v>5.12</v>
      </c>
      <c r="M20" s="44">
        <v>24.812000000000001</v>
      </c>
      <c r="N20" s="44">
        <v>22</v>
      </c>
      <c r="O20" s="44">
        <v>37</v>
      </c>
      <c r="P20" s="44"/>
      <c r="Q20" s="44">
        <v>38</v>
      </c>
      <c r="R20" s="44"/>
      <c r="S20" s="44">
        <v>22</v>
      </c>
      <c r="T20" s="47">
        <f t="shared" si="1"/>
        <v>227.96600000000001</v>
      </c>
      <c r="U20" s="140">
        <f t="shared" si="2"/>
        <v>1799.7020000000002</v>
      </c>
    </row>
    <row r="21" spans="1:21" s="29" customFormat="1" ht="20.25" customHeight="1">
      <c r="A21" s="33">
        <v>15</v>
      </c>
      <c r="B21" s="43" t="s">
        <v>246</v>
      </c>
      <c r="C21" s="45">
        <v>23</v>
      </c>
      <c r="D21" s="45">
        <v>22</v>
      </c>
      <c r="E21" s="44">
        <f>3136.2066+27.227</f>
        <v>3163.4335999999998</v>
      </c>
      <c r="F21" s="44">
        <v>478.17</v>
      </c>
      <c r="G21" s="44">
        <f t="shared" si="0"/>
        <v>3641.6035999999999</v>
      </c>
      <c r="H21" s="44">
        <v>3161.9673670000002</v>
      </c>
      <c r="I21" s="44">
        <v>8.9600000000000009</v>
      </c>
      <c r="J21" s="44">
        <v>17.564070000000001</v>
      </c>
      <c r="K21" s="44">
        <v>3.7949999999999999</v>
      </c>
      <c r="L21" s="44">
        <v>106</v>
      </c>
      <c r="M21" s="44">
        <v>16.768884</v>
      </c>
      <c r="N21" s="44">
        <v>73.2</v>
      </c>
      <c r="O21" s="44">
        <v>55.003999999999998</v>
      </c>
      <c r="P21" s="44">
        <v>11.15</v>
      </c>
      <c r="Q21" s="44">
        <v>91.204999999999998</v>
      </c>
      <c r="R21" s="44"/>
      <c r="S21" s="44">
        <v>89.341800000000006</v>
      </c>
      <c r="T21" s="47">
        <f t="shared" si="1"/>
        <v>472.98875399999997</v>
      </c>
      <c r="U21" s="140">
        <f t="shared" si="2"/>
        <v>3634.9561210000002</v>
      </c>
    </row>
    <row r="22" spans="1:21" s="29" customFormat="1" ht="20.25" customHeight="1">
      <c r="A22" s="33">
        <v>16</v>
      </c>
      <c r="B22" s="43" t="s">
        <v>247</v>
      </c>
      <c r="C22" s="45">
        <v>21</v>
      </c>
      <c r="D22" s="45">
        <v>21</v>
      </c>
      <c r="E22" s="44">
        <v>2563.8440000000001</v>
      </c>
      <c r="F22" s="44">
        <v>436.59</v>
      </c>
      <c r="G22" s="44">
        <f t="shared" si="0"/>
        <v>3000.4340000000002</v>
      </c>
      <c r="H22" s="44">
        <v>2441.7130000000002</v>
      </c>
      <c r="I22" s="44">
        <v>98</v>
      </c>
      <c r="J22" s="44">
        <v>9.25</v>
      </c>
      <c r="K22" s="44">
        <v>6.5359999999999996</v>
      </c>
      <c r="L22" s="44">
        <v>16.298999999999999</v>
      </c>
      <c r="M22" s="44">
        <v>23.015000000000001</v>
      </c>
      <c r="N22" s="44">
        <v>86</v>
      </c>
      <c r="O22" s="44">
        <v>16.558</v>
      </c>
      <c r="P22" s="44">
        <v>47</v>
      </c>
      <c r="Q22" s="44">
        <v>66</v>
      </c>
      <c r="R22" s="44"/>
      <c r="S22" s="44">
        <v>62.648000000000003</v>
      </c>
      <c r="T22" s="47">
        <f t="shared" si="1"/>
        <v>431.30600000000004</v>
      </c>
      <c r="U22" s="140">
        <f t="shared" si="2"/>
        <v>2873.0190000000002</v>
      </c>
    </row>
    <row r="23" spans="1:21" s="29" customFormat="1" ht="20.25" customHeight="1">
      <c r="A23" s="33">
        <v>17</v>
      </c>
      <c r="B23" s="43" t="s">
        <v>248</v>
      </c>
      <c r="C23" s="45">
        <v>16</v>
      </c>
      <c r="D23" s="45">
        <v>15</v>
      </c>
      <c r="E23" s="44">
        <v>1943.0666000000001</v>
      </c>
      <c r="F23" s="44">
        <v>332.64</v>
      </c>
      <c r="G23" s="44">
        <f t="shared" si="0"/>
        <v>2275.7066</v>
      </c>
      <c r="H23" s="44">
        <v>1941.8309999999999</v>
      </c>
      <c r="I23" s="44"/>
      <c r="J23" s="44">
        <v>14.282</v>
      </c>
      <c r="K23" s="44">
        <v>98</v>
      </c>
      <c r="L23" s="44">
        <v>2.96</v>
      </c>
      <c r="M23" s="44">
        <v>8.9879999999999995</v>
      </c>
      <c r="N23" s="44">
        <v>36</v>
      </c>
      <c r="O23" s="44">
        <v>26.95</v>
      </c>
      <c r="P23" s="44">
        <v>30.56</v>
      </c>
      <c r="Q23" s="44">
        <v>78</v>
      </c>
      <c r="R23" s="44"/>
      <c r="S23" s="44">
        <v>32.917000000000002</v>
      </c>
      <c r="T23" s="47">
        <f t="shared" si="1"/>
        <v>328.65700000000004</v>
      </c>
      <c r="U23" s="140">
        <f t="shared" si="2"/>
        <v>2270.4879999999998</v>
      </c>
    </row>
    <row r="24" spans="1:21" s="29" customFormat="1" ht="20.25" customHeight="1">
      <c r="A24" s="33">
        <v>18</v>
      </c>
      <c r="B24" s="43" t="s">
        <v>249</v>
      </c>
      <c r="C24" s="45">
        <v>13</v>
      </c>
      <c r="D24" s="45">
        <v>13</v>
      </c>
      <c r="E24" s="44">
        <f>1842.104+14.664</f>
        <v>1856.768</v>
      </c>
      <c r="F24" s="44">
        <v>270.27</v>
      </c>
      <c r="G24" s="44">
        <f t="shared" si="0"/>
        <v>2127.038</v>
      </c>
      <c r="H24" s="44">
        <v>1850.95</v>
      </c>
      <c r="I24" s="44">
        <v>48.064999999999998</v>
      </c>
      <c r="J24" s="44">
        <v>8.9309999999999992</v>
      </c>
      <c r="K24" s="44">
        <v>16.481999999999999</v>
      </c>
      <c r="L24" s="44">
        <v>5.92</v>
      </c>
      <c r="M24" s="44">
        <v>12.64</v>
      </c>
      <c r="N24" s="44">
        <v>3</v>
      </c>
      <c r="O24" s="44">
        <v>25.434999999999999</v>
      </c>
      <c r="P24" s="44">
        <v>51.89</v>
      </c>
      <c r="Q24" s="44">
        <v>44</v>
      </c>
      <c r="R24" s="44"/>
      <c r="S24" s="44">
        <v>42</v>
      </c>
      <c r="T24" s="47">
        <f t="shared" si="1"/>
        <v>258.363</v>
      </c>
      <c r="U24" s="140">
        <f t="shared" si="2"/>
        <v>2109.3130000000001</v>
      </c>
    </row>
    <row r="25" spans="1:21" s="29" customFormat="1" ht="20.25" customHeight="1">
      <c r="A25" s="33">
        <v>19</v>
      </c>
      <c r="B25" s="43" t="s">
        <v>124</v>
      </c>
      <c r="C25" s="45">
        <v>26</v>
      </c>
      <c r="D25" s="45">
        <v>22</v>
      </c>
      <c r="E25" s="44">
        <v>3616.8229999999999</v>
      </c>
      <c r="F25" s="44">
        <v>540.54</v>
      </c>
      <c r="G25" s="44">
        <f t="shared" si="0"/>
        <v>4157.3629999999994</v>
      </c>
      <c r="H25" s="44">
        <v>3301.922</v>
      </c>
      <c r="I25" s="44">
        <v>162.83600000000001</v>
      </c>
      <c r="J25" s="44">
        <v>6.6130000000000004</v>
      </c>
      <c r="K25" s="44">
        <v>18.727</v>
      </c>
      <c r="L25" s="44">
        <v>9.6669999999999998</v>
      </c>
      <c r="M25" s="44">
        <v>50.889000000000003</v>
      </c>
      <c r="N25" s="44">
        <v>138.47200000000001</v>
      </c>
      <c r="O25" s="44">
        <v>41.15</v>
      </c>
      <c r="P25" s="44"/>
      <c r="Q25" s="44">
        <v>82</v>
      </c>
      <c r="R25" s="44"/>
      <c r="S25" s="44">
        <v>23.52</v>
      </c>
      <c r="T25" s="47">
        <f t="shared" si="1"/>
        <v>533.87400000000002</v>
      </c>
      <c r="U25" s="140">
        <f t="shared" si="2"/>
        <v>3835.7960000000003</v>
      </c>
    </row>
    <row r="26" spans="1:21" s="29" customFormat="1" ht="20.25" customHeight="1">
      <c r="A26" s="33">
        <v>20</v>
      </c>
      <c r="B26" s="43" t="s">
        <v>125</v>
      </c>
      <c r="C26" s="45">
        <v>20</v>
      </c>
      <c r="D26" s="45">
        <v>20</v>
      </c>
      <c r="E26" s="44">
        <f>2816.4074+321.475+29.94</f>
        <v>3167.8224</v>
      </c>
      <c r="F26" s="44">
        <v>457.38</v>
      </c>
      <c r="G26" s="44">
        <f t="shared" si="0"/>
        <v>3625.2024000000001</v>
      </c>
      <c r="H26" s="44">
        <v>3166.0578</v>
      </c>
      <c r="I26" s="44"/>
      <c r="J26" s="44">
        <v>9.1267999999999994</v>
      </c>
      <c r="K26" s="44">
        <v>63</v>
      </c>
      <c r="L26" s="44">
        <v>4.34</v>
      </c>
      <c r="M26" s="44">
        <v>59.415999999999997</v>
      </c>
      <c r="N26" s="44">
        <v>36</v>
      </c>
      <c r="O26" s="44">
        <v>58</v>
      </c>
      <c r="P26" s="44">
        <v>63</v>
      </c>
      <c r="Q26" s="44">
        <v>88</v>
      </c>
      <c r="R26" s="44"/>
      <c r="S26" s="44">
        <v>68</v>
      </c>
      <c r="T26" s="47">
        <f t="shared" si="1"/>
        <v>448.88279999999997</v>
      </c>
      <c r="U26" s="140">
        <f t="shared" si="2"/>
        <v>3614.9405999999999</v>
      </c>
    </row>
    <row r="27" spans="1:21" s="29" customFormat="1" ht="20.25" customHeight="1">
      <c r="A27" s="33">
        <v>21</v>
      </c>
      <c r="B27" s="43" t="s">
        <v>126</v>
      </c>
      <c r="C27" s="45">
        <v>32</v>
      </c>
      <c r="D27" s="45">
        <v>28</v>
      </c>
      <c r="E27" s="44">
        <v>3904.0444000000002</v>
      </c>
      <c r="F27" s="44">
        <v>665.28</v>
      </c>
      <c r="G27" s="44">
        <f t="shared" si="0"/>
        <v>4569.3244000000004</v>
      </c>
      <c r="H27" s="44">
        <v>3902.788579</v>
      </c>
      <c r="I27" s="44"/>
      <c r="J27" s="44">
        <v>44.537723</v>
      </c>
      <c r="K27" s="44">
        <v>81.36</v>
      </c>
      <c r="L27" s="44">
        <v>8.2584</v>
      </c>
      <c r="M27" s="44">
        <v>91.998999999999995</v>
      </c>
      <c r="N27" s="44">
        <v>96.18</v>
      </c>
      <c r="O27" s="44">
        <v>63.758409999999998</v>
      </c>
      <c r="P27" s="44">
        <v>67.3</v>
      </c>
      <c r="Q27" s="44">
        <v>139.50484700000001</v>
      </c>
      <c r="R27" s="44"/>
      <c r="S27" s="44">
        <v>63</v>
      </c>
      <c r="T27" s="47">
        <f t="shared" si="1"/>
        <v>655.89837999999997</v>
      </c>
      <c r="U27" s="140">
        <f t="shared" si="2"/>
        <v>4558.6869589999997</v>
      </c>
    </row>
    <row r="28" spans="1:21" s="29" customFormat="1" ht="20.25" customHeight="1">
      <c r="A28" s="33">
        <v>22</v>
      </c>
      <c r="B28" s="43" t="s">
        <v>127</v>
      </c>
      <c r="C28" s="45">
        <v>31</v>
      </c>
      <c r="D28" s="45">
        <v>29</v>
      </c>
      <c r="E28" s="44">
        <v>5888.0892000000003</v>
      </c>
      <c r="F28" s="44">
        <v>630.70000000000005</v>
      </c>
      <c r="G28" s="44">
        <f t="shared" si="0"/>
        <v>6518.7892000000002</v>
      </c>
      <c r="H28" s="44">
        <v>5885.3559999999998</v>
      </c>
      <c r="I28" s="44"/>
      <c r="J28" s="44">
        <v>14</v>
      </c>
      <c r="K28" s="44">
        <v>23</v>
      </c>
      <c r="L28" s="44">
        <v>12</v>
      </c>
      <c r="M28" s="44">
        <v>64</v>
      </c>
      <c r="N28" s="44">
        <v>61</v>
      </c>
      <c r="O28" s="44">
        <v>230</v>
      </c>
      <c r="P28" s="44">
        <v>39</v>
      </c>
      <c r="Q28" s="44">
        <v>145</v>
      </c>
      <c r="R28" s="44"/>
      <c r="S28" s="44">
        <v>37</v>
      </c>
      <c r="T28" s="47">
        <f t="shared" si="1"/>
        <v>625</v>
      </c>
      <c r="U28" s="140">
        <f t="shared" si="2"/>
        <v>6510.3559999999998</v>
      </c>
    </row>
    <row r="29" spans="1:21" s="29" customFormat="1" ht="20.25" customHeight="1">
      <c r="A29" s="33">
        <v>23</v>
      </c>
      <c r="B29" s="43" t="s">
        <v>128</v>
      </c>
      <c r="C29" s="45">
        <v>16</v>
      </c>
      <c r="D29" s="45">
        <v>15</v>
      </c>
      <c r="E29" s="44">
        <v>2781.5293999999999</v>
      </c>
      <c r="F29" s="44">
        <v>374.22</v>
      </c>
      <c r="G29" s="44">
        <f t="shared" si="0"/>
        <v>3155.7493999999997</v>
      </c>
      <c r="H29" s="44">
        <v>2497.3519999999999</v>
      </c>
      <c r="I29" s="44">
        <v>60</v>
      </c>
      <c r="J29" s="44">
        <v>9.3829999999999991</v>
      </c>
      <c r="K29" s="44">
        <v>12.757999999999999</v>
      </c>
      <c r="L29" s="44">
        <v>4.4249999999999998</v>
      </c>
      <c r="M29" s="44">
        <v>53.402999999999999</v>
      </c>
      <c r="N29" s="44">
        <v>70</v>
      </c>
      <c r="O29" s="44">
        <v>45.935000000000002</v>
      </c>
      <c r="P29" s="44">
        <v>35</v>
      </c>
      <c r="Q29" s="44">
        <v>53</v>
      </c>
      <c r="R29" s="44"/>
      <c r="S29" s="44">
        <v>30</v>
      </c>
      <c r="T29" s="47">
        <f t="shared" si="1"/>
        <v>373.904</v>
      </c>
      <c r="U29" s="140">
        <f t="shared" si="2"/>
        <v>2871.2559999999999</v>
      </c>
    </row>
    <row r="30" spans="1:21" s="29" customFormat="1" ht="20.25" customHeight="1">
      <c r="A30" s="33">
        <v>24</v>
      </c>
      <c r="B30" s="43" t="s">
        <v>228</v>
      </c>
      <c r="C30" s="45">
        <v>14</v>
      </c>
      <c r="D30" s="45">
        <v>13</v>
      </c>
      <c r="E30" s="44">
        <f>1704.4886+212.93</f>
        <v>1917.4186</v>
      </c>
      <c r="F30" s="44">
        <v>291.06</v>
      </c>
      <c r="G30" s="44">
        <f t="shared" si="0"/>
        <v>2208.4785999999999</v>
      </c>
      <c r="H30" s="44">
        <v>1912.95831</v>
      </c>
      <c r="I30" s="44"/>
      <c r="J30" s="44">
        <v>9.8059999999999992</v>
      </c>
      <c r="K30" s="44">
        <v>26.959</v>
      </c>
      <c r="L30" s="44">
        <v>3.589</v>
      </c>
      <c r="M30" s="44">
        <v>61.616</v>
      </c>
      <c r="N30" s="44">
        <v>19.2</v>
      </c>
      <c r="O30" s="44">
        <v>27</v>
      </c>
      <c r="P30" s="44"/>
      <c r="Q30" s="44">
        <v>67</v>
      </c>
      <c r="R30" s="44"/>
      <c r="S30" s="44">
        <v>73</v>
      </c>
      <c r="T30" s="47">
        <f t="shared" si="1"/>
        <v>288.17</v>
      </c>
      <c r="U30" s="140">
        <f t="shared" si="2"/>
        <v>2201.1283100000001</v>
      </c>
    </row>
    <row r="31" spans="1:21" s="29" customFormat="1" ht="20.25" customHeight="1">
      <c r="A31" s="33">
        <v>25</v>
      </c>
      <c r="B31" s="43" t="s">
        <v>229</v>
      </c>
      <c r="C31" s="45">
        <v>26</v>
      </c>
      <c r="D31" s="45">
        <v>24</v>
      </c>
      <c r="E31" s="44">
        <v>3213.1012000000001</v>
      </c>
      <c r="F31" s="44">
        <v>540.54</v>
      </c>
      <c r="G31" s="44">
        <f t="shared" si="0"/>
        <v>3753.6412</v>
      </c>
      <c r="H31" s="44">
        <v>3018.2163930000002</v>
      </c>
      <c r="I31" s="44"/>
      <c r="J31" s="44">
        <v>30.195373</v>
      </c>
      <c r="K31" s="44">
        <v>79.293999999999997</v>
      </c>
      <c r="L31" s="44">
        <v>7.1016000000000004</v>
      </c>
      <c r="M31" s="44">
        <v>80.649000000000001</v>
      </c>
      <c r="N31" s="44">
        <v>50.442500000000003</v>
      </c>
      <c r="O31" s="44">
        <v>52.063000000000002</v>
      </c>
      <c r="P31" s="44">
        <v>108</v>
      </c>
      <c r="Q31" s="44">
        <v>61.050800000000002</v>
      </c>
      <c r="R31" s="44"/>
      <c r="S31" s="44">
        <v>69.967500000000001</v>
      </c>
      <c r="T31" s="47">
        <f t="shared" si="1"/>
        <v>538.76377300000001</v>
      </c>
      <c r="U31" s="140">
        <f t="shared" si="2"/>
        <v>3556.9801660000003</v>
      </c>
    </row>
    <row r="32" spans="1:21" s="29" customFormat="1" ht="20.25" customHeight="1">
      <c r="A32" s="33">
        <v>26</v>
      </c>
      <c r="B32" s="43" t="s">
        <v>129</v>
      </c>
      <c r="C32" s="45">
        <v>21</v>
      </c>
      <c r="D32" s="45">
        <v>20</v>
      </c>
      <c r="E32" s="44">
        <f>3278.3416+307.362</f>
        <v>3585.7036000000003</v>
      </c>
      <c r="F32" s="44">
        <v>415.8</v>
      </c>
      <c r="G32" s="44">
        <f t="shared" si="0"/>
        <v>4001.5036000000005</v>
      </c>
      <c r="H32" s="44">
        <v>3570</v>
      </c>
      <c r="I32" s="44"/>
      <c r="J32" s="44">
        <v>10</v>
      </c>
      <c r="K32" s="44">
        <v>22</v>
      </c>
      <c r="L32" s="44">
        <v>6</v>
      </c>
      <c r="M32" s="44">
        <v>54</v>
      </c>
      <c r="N32" s="44">
        <v>46</v>
      </c>
      <c r="O32" s="44">
        <v>62</v>
      </c>
      <c r="P32" s="44">
        <v>72</v>
      </c>
      <c r="Q32" s="44">
        <v>82</v>
      </c>
      <c r="R32" s="44"/>
      <c r="S32" s="44">
        <v>54</v>
      </c>
      <c r="T32" s="47">
        <f t="shared" si="1"/>
        <v>408</v>
      </c>
      <c r="U32" s="140">
        <f t="shared" si="2"/>
        <v>3978</v>
      </c>
    </row>
    <row r="33" spans="1:21" s="29" customFormat="1" ht="20.25" customHeight="1">
      <c r="A33" s="33">
        <v>27</v>
      </c>
      <c r="B33" s="43" t="s">
        <v>130</v>
      </c>
      <c r="C33" s="45">
        <v>36</v>
      </c>
      <c r="D33" s="45">
        <v>35</v>
      </c>
      <c r="E33" s="44">
        <v>4399</v>
      </c>
      <c r="F33" s="44">
        <v>638.12</v>
      </c>
      <c r="G33" s="44">
        <f t="shared" si="0"/>
        <v>5037.12</v>
      </c>
      <c r="H33" s="44">
        <v>4222</v>
      </c>
      <c r="I33" s="44"/>
      <c r="J33" s="44">
        <v>17</v>
      </c>
      <c r="K33" s="44">
        <v>17</v>
      </c>
      <c r="L33" s="44">
        <v>13</v>
      </c>
      <c r="M33" s="44">
        <v>67</v>
      </c>
      <c r="N33" s="44">
        <v>76</v>
      </c>
      <c r="O33" s="44">
        <v>130</v>
      </c>
      <c r="P33" s="44">
        <v>126</v>
      </c>
      <c r="Q33" s="44">
        <v>97</v>
      </c>
      <c r="R33" s="44"/>
      <c r="S33" s="44">
        <v>88</v>
      </c>
      <c r="T33" s="47">
        <f t="shared" si="1"/>
        <v>631</v>
      </c>
      <c r="U33" s="140">
        <f t="shared" si="2"/>
        <v>4853</v>
      </c>
    </row>
    <row r="34" spans="1:21" s="29" customFormat="1" ht="20.25" customHeight="1">
      <c r="A34" s="33">
        <v>28</v>
      </c>
      <c r="B34" s="43" t="s">
        <v>131</v>
      </c>
      <c r="C34" s="45">
        <v>25</v>
      </c>
      <c r="D34" s="45">
        <v>23</v>
      </c>
      <c r="E34" s="44">
        <f>3856.6232+41.879</f>
        <v>3898.5021999999999</v>
      </c>
      <c r="F34" s="44">
        <v>519.75</v>
      </c>
      <c r="G34" s="44">
        <f t="shared" si="0"/>
        <v>4418.2521999999999</v>
      </c>
      <c r="H34" s="44">
        <v>3895.4360000000001</v>
      </c>
      <c r="I34" s="44"/>
      <c r="J34" s="44">
        <v>20.713000000000001</v>
      </c>
      <c r="K34" s="44">
        <v>13.43</v>
      </c>
      <c r="L34" s="44">
        <v>9.9410000000000007</v>
      </c>
      <c r="M34" s="44">
        <v>64.275000000000006</v>
      </c>
      <c r="N34" s="44">
        <v>31.4</v>
      </c>
      <c r="O34" s="44">
        <v>86</v>
      </c>
      <c r="P34" s="44">
        <v>81.545000000000002</v>
      </c>
      <c r="Q34" s="44">
        <v>114.63800000000001</v>
      </c>
      <c r="R34" s="44"/>
      <c r="S34" s="44">
        <v>94</v>
      </c>
      <c r="T34" s="47">
        <f t="shared" si="1"/>
        <v>515.94200000000001</v>
      </c>
      <c r="U34" s="140">
        <f t="shared" si="2"/>
        <v>4411.3780000000006</v>
      </c>
    </row>
    <row r="35" spans="1:21" s="29" customFormat="1" ht="20.25" customHeight="1">
      <c r="A35" s="33">
        <v>29</v>
      </c>
      <c r="B35" s="43" t="s">
        <v>132</v>
      </c>
      <c r="C35" s="45">
        <v>28</v>
      </c>
      <c r="D35" s="45">
        <v>27</v>
      </c>
      <c r="E35" s="44">
        <f>5000.3316+179.759</f>
        <v>5180.0906000000004</v>
      </c>
      <c r="F35" s="44">
        <v>582.12</v>
      </c>
      <c r="G35" s="44">
        <f t="shared" si="0"/>
        <v>5762.2106000000003</v>
      </c>
      <c r="H35" s="44">
        <v>4961</v>
      </c>
      <c r="I35" s="44"/>
      <c r="J35" s="44">
        <v>17.728000000000002</v>
      </c>
      <c r="K35" s="44">
        <v>20</v>
      </c>
      <c r="L35" s="44">
        <v>7</v>
      </c>
      <c r="M35" s="44">
        <v>90</v>
      </c>
      <c r="N35" s="44">
        <v>42</v>
      </c>
      <c r="O35" s="44">
        <v>50</v>
      </c>
      <c r="P35" s="44">
        <v>100</v>
      </c>
      <c r="Q35" s="44">
        <v>173</v>
      </c>
      <c r="R35" s="44"/>
      <c r="S35" s="44">
        <v>80</v>
      </c>
      <c r="T35" s="47">
        <f t="shared" si="1"/>
        <v>579.72800000000007</v>
      </c>
      <c r="U35" s="140">
        <f t="shared" si="2"/>
        <v>5540.7280000000001</v>
      </c>
    </row>
    <row r="36" spans="1:21" s="29" customFormat="1" ht="20.25" customHeight="1">
      <c r="A36" s="33">
        <v>30</v>
      </c>
      <c r="B36" s="43" t="s">
        <v>133</v>
      </c>
      <c r="C36" s="45">
        <v>28</v>
      </c>
      <c r="D36" s="45">
        <v>26</v>
      </c>
      <c r="E36" s="44">
        <f>4541.8162+58.648</f>
        <v>4600.4642000000003</v>
      </c>
      <c r="F36" s="44">
        <v>582.12</v>
      </c>
      <c r="G36" s="44">
        <f t="shared" si="0"/>
        <v>5182.5842000000002</v>
      </c>
      <c r="H36" s="44">
        <v>4595.1466639999999</v>
      </c>
      <c r="I36" s="44"/>
      <c r="J36" s="44">
        <v>13.598181</v>
      </c>
      <c r="K36" s="44">
        <v>11.647</v>
      </c>
      <c r="L36" s="44">
        <v>2.7793489999999998</v>
      </c>
      <c r="M36" s="44">
        <v>119.71495</v>
      </c>
      <c r="N36" s="44">
        <v>38</v>
      </c>
      <c r="O36" s="44">
        <v>40</v>
      </c>
      <c r="P36" s="44">
        <v>58.3</v>
      </c>
      <c r="Q36" s="44">
        <v>209.02689000000001</v>
      </c>
      <c r="R36" s="44"/>
      <c r="S36" s="44">
        <v>84</v>
      </c>
      <c r="T36" s="47">
        <f t="shared" si="1"/>
        <v>577.06637000000001</v>
      </c>
      <c r="U36" s="140">
        <f t="shared" si="2"/>
        <v>5172.2130340000003</v>
      </c>
    </row>
    <row r="37" spans="1:21" s="29" customFormat="1" ht="20.25" customHeight="1">
      <c r="A37" s="33">
        <v>31</v>
      </c>
      <c r="B37" s="43" t="s">
        <v>134</v>
      </c>
      <c r="C37" s="45">
        <v>39</v>
      </c>
      <c r="D37" s="45">
        <v>34</v>
      </c>
      <c r="E37" s="44">
        <v>5999.3419999999996</v>
      </c>
      <c r="F37" s="44">
        <v>810.81</v>
      </c>
      <c r="G37" s="44">
        <f t="shared" si="0"/>
        <v>6810.152</v>
      </c>
      <c r="H37" s="44">
        <v>5316.5304459999998</v>
      </c>
      <c r="I37" s="44"/>
      <c r="J37" s="44">
        <v>16.694035</v>
      </c>
      <c r="K37" s="44">
        <v>40.497999999999998</v>
      </c>
      <c r="L37" s="44">
        <v>83</v>
      </c>
      <c r="M37" s="44">
        <v>102.24</v>
      </c>
      <c r="N37" s="44">
        <v>75</v>
      </c>
      <c r="O37" s="44">
        <v>49.198</v>
      </c>
      <c r="P37" s="44">
        <v>92.3</v>
      </c>
      <c r="Q37" s="44">
        <v>131.022616</v>
      </c>
      <c r="R37" s="44"/>
      <c r="S37" s="44">
        <v>218.88032000000001</v>
      </c>
      <c r="T37" s="47">
        <f t="shared" si="1"/>
        <v>808.83297099999993</v>
      </c>
      <c r="U37" s="140">
        <f t="shared" si="2"/>
        <v>6125.3634169999996</v>
      </c>
    </row>
    <row r="38" spans="1:21" s="29" customFormat="1" ht="20.25" customHeight="1">
      <c r="A38" s="33">
        <v>32</v>
      </c>
      <c r="B38" s="43" t="s">
        <v>135</v>
      </c>
      <c r="C38" s="45">
        <v>24</v>
      </c>
      <c r="D38" s="45">
        <v>22</v>
      </c>
      <c r="E38" s="61">
        <f>3696.8732+76.839+26.361</f>
        <v>3800.0731999999998</v>
      </c>
      <c r="F38" s="62">
        <v>498.96</v>
      </c>
      <c r="G38" s="44">
        <f t="shared" si="0"/>
        <v>4299.0331999999999</v>
      </c>
      <c r="H38" s="44">
        <v>3796.7778880000001</v>
      </c>
      <c r="I38" s="44">
        <v>1.35</v>
      </c>
      <c r="J38" s="44">
        <v>15.903751</v>
      </c>
      <c r="K38" s="44">
        <v>87.616</v>
      </c>
      <c r="L38" s="44">
        <v>7.4716740000000001</v>
      </c>
      <c r="M38" s="44">
        <v>85.153000000000006</v>
      </c>
      <c r="N38" s="44">
        <v>31.2</v>
      </c>
      <c r="O38" s="44">
        <v>83</v>
      </c>
      <c r="P38" s="44"/>
      <c r="Q38" s="44">
        <v>108.815</v>
      </c>
      <c r="R38" s="44"/>
      <c r="S38" s="44">
        <v>68</v>
      </c>
      <c r="T38" s="47">
        <f t="shared" si="1"/>
        <v>488.50942500000002</v>
      </c>
      <c r="U38" s="140">
        <f t="shared" si="2"/>
        <v>4285.2873129999998</v>
      </c>
    </row>
    <row r="39" spans="1:21" s="29" customFormat="1" ht="20.25" customHeight="1">
      <c r="A39" s="33">
        <v>33</v>
      </c>
      <c r="B39" s="43" t="s">
        <v>136</v>
      </c>
      <c r="C39" s="45">
        <v>39</v>
      </c>
      <c r="D39" s="45">
        <v>38</v>
      </c>
      <c r="E39" s="44">
        <f>6476.7936+135.864</f>
        <v>6612.6575999999995</v>
      </c>
      <c r="F39" s="44">
        <v>790.02</v>
      </c>
      <c r="G39" s="44">
        <f t="shared" si="0"/>
        <v>7402.6775999999991</v>
      </c>
      <c r="H39" s="44">
        <v>6600.99</v>
      </c>
      <c r="I39" s="44">
        <v>10.885</v>
      </c>
      <c r="J39" s="44">
        <v>17.707999999999998</v>
      </c>
      <c r="K39" s="44">
        <v>16.329999999999998</v>
      </c>
      <c r="L39" s="44">
        <v>2.734</v>
      </c>
      <c r="M39" s="44">
        <v>79.513999999999996</v>
      </c>
      <c r="N39" s="44">
        <v>57.375</v>
      </c>
      <c r="O39" s="44">
        <v>81.915999999999997</v>
      </c>
      <c r="P39" s="44">
        <v>48</v>
      </c>
      <c r="Q39" s="44">
        <v>134.86799999999999</v>
      </c>
      <c r="R39" s="44"/>
      <c r="S39" s="44">
        <v>339.06299999999999</v>
      </c>
      <c r="T39" s="47">
        <f t="shared" si="1"/>
        <v>788.39300000000003</v>
      </c>
      <c r="U39" s="140">
        <f t="shared" si="2"/>
        <v>7389.3829999999998</v>
      </c>
    </row>
    <row r="40" spans="1:21" s="29" customFormat="1" ht="20.25" customHeight="1">
      <c r="A40" s="33">
        <v>34</v>
      </c>
      <c r="B40" s="43" t="s">
        <v>137</v>
      </c>
      <c r="C40" s="45">
        <v>26</v>
      </c>
      <c r="D40" s="45">
        <v>26</v>
      </c>
      <c r="E40" s="44">
        <f>4791.36+102.6</f>
        <v>4893.96</v>
      </c>
      <c r="F40" s="44">
        <v>540.54</v>
      </c>
      <c r="G40" s="44">
        <f t="shared" si="0"/>
        <v>5434.5</v>
      </c>
      <c r="H40" s="44">
        <v>4731.7889999999998</v>
      </c>
      <c r="I40" s="44">
        <v>14.98</v>
      </c>
      <c r="J40" s="44">
        <v>15.935</v>
      </c>
      <c r="K40" s="44">
        <v>18.195</v>
      </c>
      <c r="L40" s="44">
        <v>13</v>
      </c>
      <c r="M40" s="44">
        <v>84.98</v>
      </c>
      <c r="N40" s="44">
        <v>34.659999999999997</v>
      </c>
      <c r="O40" s="44">
        <v>96.608999999999995</v>
      </c>
      <c r="P40" s="44">
        <v>85</v>
      </c>
      <c r="Q40" s="44">
        <v>92</v>
      </c>
      <c r="R40" s="44"/>
      <c r="S40" s="44">
        <v>80</v>
      </c>
      <c r="T40" s="47">
        <f t="shared" si="1"/>
        <v>535.35899999999992</v>
      </c>
      <c r="U40" s="140">
        <f t="shared" si="2"/>
        <v>5267.1479999999992</v>
      </c>
    </row>
    <row r="41" spans="1:21" s="29" customFormat="1" ht="20.25" customHeight="1">
      <c r="A41" s="33">
        <v>35</v>
      </c>
      <c r="B41" s="43" t="s">
        <v>138</v>
      </c>
      <c r="C41" s="45">
        <v>32</v>
      </c>
      <c r="D41" s="45">
        <v>31</v>
      </c>
      <c r="E41" s="44">
        <f>4441.0446+225.016+254.347</f>
        <v>4920.4075999999995</v>
      </c>
      <c r="F41" s="44">
        <v>665.28</v>
      </c>
      <c r="G41" s="44">
        <f t="shared" si="0"/>
        <v>5585.6875999999993</v>
      </c>
      <c r="H41" s="44">
        <v>4910.0370000000003</v>
      </c>
      <c r="I41" s="44">
        <v>120.593</v>
      </c>
      <c r="J41" s="44">
        <v>18.469000000000001</v>
      </c>
      <c r="K41" s="44">
        <v>10.411</v>
      </c>
      <c r="L41" s="44">
        <v>11.132999999999999</v>
      </c>
      <c r="M41" s="44">
        <v>85.811999999999998</v>
      </c>
      <c r="N41" s="44">
        <v>80.727999999999994</v>
      </c>
      <c r="O41" s="44">
        <v>75.12</v>
      </c>
      <c r="P41" s="44">
        <v>58</v>
      </c>
      <c r="Q41" s="44">
        <v>134.15600000000001</v>
      </c>
      <c r="R41" s="44"/>
      <c r="S41" s="44">
        <v>63</v>
      </c>
      <c r="T41" s="47">
        <f t="shared" si="1"/>
        <v>657.42200000000003</v>
      </c>
      <c r="U41" s="140">
        <f t="shared" si="2"/>
        <v>5567.4590000000007</v>
      </c>
    </row>
    <row r="42" spans="1:21" s="29" customFormat="1" ht="20.25" customHeight="1">
      <c r="A42" s="33">
        <v>36</v>
      </c>
      <c r="B42" s="43" t="s">
        <v>139</v>
      </c>
      <c r="C42" s="45">
        <v>25</v>
      </c>
      <c r="D42" s="45">
        <v>24</v>
      </c>
      <c r="E42" s="44">
        <v>3117.4456</v>
      </c>
      <c r="F42" s="44">
        <v>519.75</v>
      </c>
      <c r="G42" s="44">
        <f t="shared" si="0"/>
        <v>3637.1956</v>
      </c>
      <c r="H42" s="44">
        <v>3114</v>
      </c>
      <c r="I42" s="44"/>
      <c r="J42" s="44">
        <v>13</v>
      </c>
      <c r="K42" s="44">
        <v>23</v>
      </c>
      <c r="L42" s="44">
        <v>5</v>
      </c>
      <c r="M42" s="44">
        <v>100</v>
      </c>
      <c r="N42" s="44">
        <v>75</v>
      </c>
      <c r="O42" s="44">
        <v>42</v>
      </c>
      <c r="P42" s="44">
        <v>75</v>
      </c>
      <c r="Q42" s="44">
        <v>102</v>
      </c>
      <c r="R42" s="44"/>
      <c r="S42" s="44">
        <v>76</v>
      </c>
      <c r="T42" s="47">
        <f t="shared" si="1"/>
        <v>511</v>
      </c>
      <c r="U42" s="140">
        <f t="shared" si="2"/>
        <v>3625</v>
      </c>
    </row>
    <row r="43" spans="1:21" s="29" customFormat="1" ht="20.25" customHeight="1">
      <c r="A43" s="33">
        <v>37</v>
      </c>
      <c r="B43" s="43" t="s">
        <v>140</v>
      </c>
      <c r="C43" s="45">
        <v>22</v>
      </c>
      <c r="D43" s="45">
        <v>21</v>
      </c>
      <c r="E43" s="44">
        <f>3577.3736+149.223</f>
        <v>3726.5965999999999</v>
      </c>
      <c r="F43" s="44">
        <v>457.38</v>
      </c>
      <c r="G43" s="44">
        <f t="shared" si="0"/>
        <v>4183.9766</v>
      </c>
      <c r="H43" s="44">
        <v>3600.9243609999999</v>
      </c>
      <c r="I43" s="44">
        <v>114.194</v>
      </c>
      <c r="J43" s="44">
        <v>7.2645850000000003</v>
      </c>
      <c r="K43" s="44">
        <v>9.048</v>
      </c>
      <c r="L43" s="44">
        <v>5.2435</v>
      </c>
      <c r="M43" s="44">
        <v>84.820999999999998</v>
      </c>
      <c r="N43" s="44">
        <v>24</v>
      </c>
      <c r="O43" s="44">
        <v>12.34</v>
      </c>
      <c r="P43" s="44">
        <v>34</v>
      </c>
      <c r="Q43" s="44">
        <v>101.685</v>
      </c>
      <c r="R43" s="44"/>
      <c r="S43" s="44">
        <v>61.064</v>
      </c>
      <c r="T43" s="47">
        <f t="shared" si="1"/>
        <v>453.66008500000004</v>
      </c>
      <c r="U43" s="140">
        <f t="shared" si="2"/>
        <v>4054.5844459999998</v>
      </c>
    </row>
    <row r="44" spans="1:21" s="29" customFormat="1" ht="20.25" customHeight="1">
      <c r="A44" s="33">
        <v>38</v>
      </c>
      <c r="B44" s="43" t="s">
        <v>141</v>
      </c>
      <c r="C44" s="45">
        <v>23</v>
      </c>
      <c r="D44" s="45">
        <v>22</v>
      </c>
      <c r="E44" s="44">
        <v>3454.3825999999999</v>
      </c>
      <c r="F44" s="44">
        <v>478.17</v>
      </c>
      <c r="G44" s="44">
        <f t="shared" si="0"/>
        <v>3932.5526</v>
      </c>
      <c r="H44" s="44">
        <v>3021.299</v>
      </c>
      <c r="I44" s="44">
        <v>8.5500000000000007</v>
      </c>
      <c r="J44" s="44">
        <v>9.6</v>
      </c>
      <c r="K44" s="44">
        <v>12.641999999999999</v>
      </c>
      <c r="L44" s="44">
        <v>38</v>
      </c>
      <c r="M44" s="44">
        <v>65</v>
      </c>
      <c r="N44" s="44">
        <v>82.893000000000001</v>
      </c>
      <c r="O44" s="44">
        <v>74.908000000000001</v>
      </c>
      <c r="P44" s="44">
        <v>23</v>
      </c>
      <c r="Q44" s="44">
        <v>85</v>
      </c>
      <c r="R44" s="44"/>
      <c r="S44" s="44">
        <v>75</v>
      </c>
      <c r="T44" s="47">
        <f t="shared" si="1"/>
        <v>474.59300000000002</v>
      </c>
      <c r="U44" s="140">
        <f t="shared" si="2"/>
        <v>3495.8919999999998</v>
      </c>
    </row>
    <row r="45" spans="1:21" s="29" customFormat="1" ht="20.25" customHeight="1">
      <c r="A45" s="33">
        <v>39</v>
      </c>
      <c r="B45" s="43" t="s">
        <v>142</v>
      </c>
      <c r="C45" s="45">
        <v>26</v>
      </c>
      <c r="D45" s="45">
        <v>26</v>
      </c>
      <c r="E45" s="44">
        <v>3910.5329999999999</v>
      </c>
      <c r="F45" s="44">
        <v>540.54</v>
      </c>
      <c r="G45" s="44">
        <f t="shared" si="0"/>
        <v>4451.0730000000003</v>
      </c>
      <c r="H45" s="44">
        <v>3908.9760000000001</v>
      </c>
      <c r="I45" s="44">
        <v>6.8419999999999996</v>
      </c>
      <c r="J45" s="44">
        <v>18.672000000000001</v>
      </c>
      <c r="K45" s="44">
        <v>75</v>
      </c>
      <c r="L45" s="44">
        <v>6.3289999999999997</v>
      </c>
      <c r="M45" s="44">
        <v>68</v>
      </c>
      <c r="N45" s="44">
        <v>59.85</v>
      </c>
      <c r="O45" s="44">
        <v>76</v>
      </c>
      <c r="P45" s="44">
        <v>62</v>
      </c>
      <c r="Q45" s="44">
        <v>89</v>
      </c>
      <c r="R45" s="44"/>
      <c r="S45" s="44">
        <v>75</v>
      </c>
      <c r="T45" s="47">
        <f t="shared" si="1"/>
        <v>536.69299999999998</v>
      </c>
      <c r="U45" s="140">
        <f t="shared" si="2"/>
        <v>4445.6689999999999</v>
      </c>
    </row>
    <row r="46" spans="1:21" s="29" customFormat="1" ht="20.25" customHeight="1">
      <c r="A46" s="33">
        <v>40</v>
      </c>
      <c r="B46" s="43" t="s">
        <v>143</v>
      </c>
      <c r="C46" s="45">
        <v>31</v>
      </c>
      <c r="D46" s="45">
        <v>29</v>
      </c>
      <c r="E46" s="44">
        <v>4913.0702000000001</v>
      </c>
      <c r="F46" s="44">
        <v>630.70000000000005</v>
      </c>
      <c r="G46" s="44">
        <f t="shared" si="0"/>
        <v>5543.7701999999999</v>
      </c>
      <c r="H46" s="44">
        <v>4910.634</v>
      </c>
      <c r="I46" s="44"/>
      <c r="J46" s="44">
        <v>18.146000000000001</v>
      </c>
      <c r="K46" s="44">
        <v>108.416</v>
      </c>
      <c r="L46" s="44">
        <v>13.387</v>
      </c>
      <c r="M46" s="44">
        <v>87.415999999999997</v>
      </c>
      <c r="N46" s="44">
        <v>66.760000000000005</v>
      </c>
      <c r="O46" s="44">
        <v>66</v>
      </c>
      <c r="P46" s="44">
        <v>34</v>
      </c>
      <c r="Q46" s="44">
        <v>125</v>
      </c>
      <c r="R46" s="44"/>
      <c r="S46" s="44">
        <v>103.624</v>
      </c>
      <c r="T46" s="47">
        <f t="shared" si="1"/>
        <v>622.74900000000002</v>
      </c>
      <c r="U46" s="140">
        <f t="shared" si="2"/>
        <v>5533.3829999999998</v>
      </c>
    </row>
    <row r="47" spans="1:21" s="29" customFormat="1" ht="20.25" customHeight="1">
      <c r="A47" s="33">
        <v>41</v>
      </c>
      <c r="B47" s="43" t="s">
        <v>144</v>
      </c>
      <c r="C47" s="45">
        <v>32</v>
      </c>
      <c r="D47" s="45">
        <v>28</v>
      </c>
      <c r="E47" s="44">
        <v>4505.7853999999998</v>
      </c>
      <c r="F47" s="44">
        <v>651.49</v>
      </c>
      <c r="G47" s="44">
        <f t="shared" si="0"/>
        <v>5157.2753999999995</v>
      </c>
      <c r="H47" s="44">
        <v>4345.5600000000004</v>
      </c>
      <c r="I47" s="44">
        <v>81.647000000000006</v>
      </c>
      <c r="J47" s="44">
        <v>8.7420000000000009</v>
      </c>
      <c r="K47" s="44">
        <v>16.204999999999998</v>
      </c>
      <c r="L47" s="44">
        <v>7.9210000000000003</v>
      </c>
      <c r="M47" s="44">
        <v>96.51</v>
      </c>
      <c r="N47" s="44">
        <v>98.837999999999994</v>
      </c>
      <c r="O47" s="44">
        <v>142</v>
      </c>
      <c r="P47" s="44">
        <v>29.5</v>
      </c>
      <c r="Q47" s="44">
        <v>87</v>
      </c>
      <c r="R47" s="44"/>
      <c r="S47" s="44">
        <v>78</v>
      </c>
      <c r="T47" s="47">
        <f t="shared" si="1"/>
        <v>646.36300000000006</v>
      </c>
      <c r="U47" s="140">
        <f t="shared" si="2"/>
        <v>4991.9230000000007</v>
      </c>
    </row>
    <row r="48" spans="1:21" s="29" customFormat="1" ht="20.25" customHeight="1">
      <c r="A48" s="33">
        <v>42</v>
      </c>
      <c r="B48" s="43" t="s">
        <v>145</v>
      </c>
      <c r="C48" s="45">
        <v>21</v>
      </c>
      <c r="D48" s="45">
        <v>20</v>
      </c>
      <c r="E48" s="44">
        <v>3576.2458000000001</v>
      </c>
      <c r="F48" s="44">
        <v>436.59</v>
      </c>
      <c r="G48" s="44">
        <f t="shared" si="0"/>
        <v>4012.8358000000003</v>
      </c>
      <c r="H48" s="44">
        <v>3244.694</v>
      </c>
      <c r="I48" s="44">
        <v>39.314999999999998</v>
      </c>
      <c r="J48" s="44">
        <v>10.278</v>
      </c>
      <c r="K48" s="44">
        <v>7.93</v>
      </c>
      <c r="L48" s="44">
        <v>9.2080000000000002</v>
      </c>
      <c r="M48" s="44">
        <v>72</v>
      </c>
      <c r="N48" s="44">
        <v>68.786000000000001</v>
      </c>
      <c r="O48" s="44">
        <v>42</v>
      </c>
      <c r="P48" s="44"/>
      <c r="Q48" s="44">
        <v>89</v>
      </c>
      <c r="R48" s="44"/>
      <c r="S48" s="44">
        <v>95</v>
      </c>
      <c r="T48" s="47">
        <f t="shared" si="1"/>
        <v>433.517</v>
      </c>
      <c r="U48" s="140">
        <f t="shared" si="2"/>
        <v>3678.2109999999998</v>
      </c>
    </row>
    <row r="49" spans="1:21" s="32" customFormat="1" ht="20.25" customHeight="1">
      <c r="A49" s="141" t="s">
        <v>19</v>
      </c>
      <c r="B49" s="141"/>
      <c r="C49" s="63">
        <f t="shared" ref="C49:U49" si="3">SUM(C7:C48)</f>
        <v>941</v>
      </c>
      <c r="D49" s="63">
        <f t="shared" si="3"/>
        <v>892</v>
      </c>
      <c r="E49" s="26">
        <f t="shared" si="3"/>
        <v>139542.48300000001</v>
      </c>
      <c r="F49" s="26">
        <f t="shared" si="3"/>
        <v>19432.490000000002</v>
      </c>
      <c r="G49" s="26">
        <f t="shared" si="3"/>
        <v>158974.973</v>
      </c>
      <c r="H49" s="26">
        <f t="shared" si="3"/>
        <v>134484.11914699999</v>
      </c>
      <c r="I49" s="26">
        <f t="shared" si="3"/>
        <v>1030.6524999999999</v>
      </c>
      <c r="J49" s="26">
        <f t="shared" si="3"/>
        <v>649.06385499999999</v>
      </c>
      <c r="K49" s="26">
        <f t="shared" si="3"/>
        <v>1460.1539489999998</v>
      </c>
      <c r="L49" s="26">
        <f t="shared" si="3"/>
        <v>656.74805700000013</v>
      </c>
      <c r="M49" s="26">
        <f t="shared" si="3"/>
        <v>2192.6533839999997</v>
      </c>
      <c r="N49" s="26">
        <f t="shared" si="3"/>
        <v>2203.9480610000005</v>
      </c>
      <c r="O49" s="26">
        <f t="shared" si="3"/>
        <v>2433.6673099999998</v>
      </c>
      <c r="P49" s="26">
        <f t="shared" si="3"/>
        <v>1880.5449999999998</v>
      </c>
      <c r="Q49" s="26">
        <f t="shared" si="3"/>
        <v>3725.9832530000003</v>
      </c>
      <c r="R49" s="26">
        <f t="shared" si="3"/>
        <v>0</v>
      </c>
      <c r="S49" s="26">
        <f t="shared" si="3"/>
        <v>2982.7836199999997</v>
      </c>
      <c r="T49" s="26">
        <f t="shared" si="3"/>
        <v>19216.198989000004</v>
      </c>
      <c r="U49" s="26">
        <f t="shared" si="3"/>
        <v>153700.31813600002</v>
      </c>
    </row>
    <row r="50" spans="1:21" s="29" customFormat="1" ht="20.25" customHeight="1"/>
    <row r="51" spans="1:21" s="29" customFormat="1" ht="20.25" customHeight="1"/>
    <row r="52" spans="1:21" s="29" customFormat="1" ht="20.25" customHeight="1"/>
    <row r="53" spans="1:21" s="29" customFormat="1" ht="20.25" customHeight="1"/>
    <row r="54" spans="1:21" s="29" customFormat="1" ht="20.25" customHeight="1"/>
    <row r="55" spans="1:21" s="29" customFormat="1" ht="20.25" customHeight="1"/>
    <row r="56" spans="1:21" s="29" customFormat="1" ht="20.25" customHeight="1"/>
    <row r="57" spans="1:21" s="29" customFormat="1" ht="20.25" customHeight="1"/>
    <row r="58" spans="1:21" s="29" customFormat="1" ht="20.25" customHeight="1"/>
    <row r="59" spans="1:21" s="29" customFormat="1" ht="20.25" customHeight="1"/>
    <row r="60" spans="1:21" s="29" customFormat="1" ht="20.25" customHeight="1"/>
    <row r="61" spans="1:21" s="29" customFormat="1" ht="20.25" customHeight="1"/>
    <row r="62" spans="1:21" s="29" customFormat="1" ht="20.25" customHeight="1"/>
    <row r="63" spans="1:21" s="29" customFormat="1" ht="20.25" customHeight="1"/>
    <row r="64" spans="1:21" s="29" customFormat="1" ht="20.25" customHeight="1"/>
    <row r="65" s="29" customFormat="1" ht="20.25" customHeight="1"/>
    <row r="66" s="29" customFormat="1" ht="20.25" customHeight="1"/>
    <row r="67" s="29" customFormat="1" ht="20.25" customHeight="1"/>
    <row r="68" s="29" customFormat="1" ht="20.25" customHeight="1"/>
    <row r="69" s="29" customFormat="1" ht="20.25" customHeight="1"/>
    <row r="70" s="29" customFormat="1" ht="20.25" customHeight="1"/>
    <row r="71" s="29" customFormat="1" ht="20.25" customHeight="1"/>
    <row r="72" s="29" customFormat="1" ht="20.25" customHeight="1"/>
    <row r="73" s="29" customFormat="1" ht="20.25" customHeight="1"/>
    <row r="74" s="29" customFormat="1" ht="20.25" customHeight="1"/>
    <row r="75" s="29" customFormat="1" ht="20.25" customHeight="1"/>
    <row r="76" s="29" customFormat="1" ht="20.25" customHeight="1"/>
    <row r="77" s="29" customFormat="1" ht="20.25" customHeight="1"/>
    <row r="78" s="29" customFormat="1" ht="20.25" customHeight="1"/>
    <row r="79" s="29" customFormat="1" ht="20.25" customHeight="1"/>
    <row r="80" s="29" customFormat="1" ht="20.25" customHeight="1"/>
    <row r="81" s="29" customFormat="1" ht="20.25" customHeight="1"/>
    <row r="82" s="29" customFormat="1" ht="20.25" customHeight="1"/>
    <row r="83" s="29" customFormat="1" ht="20.25" customHeight="1"/>
    <row r="84" s="29" customFormat="1" ht="20.25" customHeight="1"/>
    <row r="85" s="29" customFormat="1" ht="20.25" customHeight="1"/>
    <row r="86" s="29" customFormat="1" ht="20.25" customHeight="1"/>
    <row r="87" s="29" customFormat="1" ht="20.25" customHeight="1"/>
    <row r="88" s="29" customFormat="1" ht="20.25" customHeight="1"/>
    <row r="89" s="29" customFormat="1" ht="20.25" customHeight="1"/>
    <row r="90" s="29" customFormat="1" ht="20.25" customHeight="1"/>
    <row r="91" s="29" customFormat="1" ht="20.25" customHeight="1"/>
    <row r="92" s="29" customFormat="1" ht="20.25" customHeight="1"/>
    <row r="93" s="29" customFormat="1" ht="20.25" customHeight="1"/>
    <row r="94" s="29" customFormat="1" ht="20.25" customHeight="1"/>
    <row r="95" s="29" customFormat="1" ht="20.25" customHeight="1"/>
    <row r="96" s="29" customFormat="1" ht="20.25" customHeight="1"/>
    <row r="97" s="32" customFormat="1" ht="20.25" customHeight="1"/>
    <row r="98" s="29" customFormat="1" ht="20.25" customHeight="1"/>
    <row r="99" s="29" customFormat="1" ht="20.25" customHeight="1"/>
    <row r="100" s="29" customFormat="1" ht="20.25" customHeight="1"/>
    <row r="101" s="29" customFormat="1" ht="20.25" customHeight="1"/>
    <row r="102" s="29" customFormat="1" ht="20.25" customHeight="1"/>
    <row r="103" s="29" customFormat="1" ht="20.25" customHeight="1"/>
    <row r="104" s="29" customFormat="1" ht="20.25" customHeight="1"/>
    <row r="105" s="29" customFormat="1" ht="20.25" customHeight="1"/>
    <row r="106" s="29" customFormat="1" ht="20.25" customHeight="1"/>
    <row r="107" s="29" customFormat="1" ht="20.25" customHeight="1"/>
    <row r="108" s="29" customFormat="1" ht="20.25" customHeight="1"/>
    <row r="109" s="29" customFormat="1" ht="20.25" customHeight="1"/>
    <row r="110" s="29" customFormat="1" ht="20.25" customHeight="1"/>
    <row r="111" s="29" customFormat="1" ht="20.25" customHeight="1"/>
    <row r="112" s="29" customFormat="1" ht="20.25" customHeight="1"/>
    <row r="113" s="29" customFormat="1" ht="20.25" customHeight="1"/>
    <row r="114" s="29" customFormat="1" ht="20.25" customHeight="1"/>
    <row r="115" s="29" customFormat="1" ht="20.25" customHeight="1"/>
    <row r="116" s="29" customFormat="1" ht="20.25" customHeight="1"/>
    <row r="117" s="29" customFormat="1" ht="20.25" customHeight="1"/>
    <row r="118" s="29" customFormat="1" ht="20.25" customHeight="1"/>
    <row r="119" s="29" customFormat="1" ht="20.25" customHeight="1"/>
    <row r="120" s="29" customFormat="1" ht="20.25" customHeight="1"/>
    <row r="121" s="29" customFormat="1" ht="20.25" customHeight="1"/>
    <row r="122" s="29" customFormat="1" ht="20.25" customHeight="1"/>
    <row r="123" s="29" customFormat="1" ht="20.25" customHeight="1"/>
    <row r="124" s="29" customFormat="1" ht="20.25" customHeight="1"/>
    <row r="125" s="29" customFormat="1" ht="20.25" customHeight="1"/>
    <row r="126" s="29" customFormat="1" ht="20.25" customHeight="1"/>
    <row r="127" s="29" customFormat="1" ht="20.25" customHeight="1"/>
    <row r="128" s="29" customFormat="1" ht="20.25" customHeight="1"/>
    <row r="129" s="29" customFormat="1" ht="20.25" customHeight="1"/>
    <row r="130" s="29" customFormat="1" ht="20.25" customHeight="1"/>
    <row r="131" s="29" customFormat="1" ht="20.25" customHeight="1"/>
    <row r="132" s="29" customFormat="1" ht="20.25" customHeight="1"/>
    <row r="133" s="29" customFormat="1" ht="20.25" customHeight="1"/>
    <row r="134" s="29" customFormat="1" ht="20.25" customHeight="1"/>
    <row r="135" s="29" customFormat="1" ht="20.25" customHeight="1"/>
    <row r="136" s="29" customFormat="1" ht="20.25" customHeight="1"/>
    <row r="137" s="29" customFormat="1" ht="20.25" customHeight="1"/>
    <row r="138" s="29" customFormat="1" ht="20.25" customHeight="1"/>
    <row r="139" s="29" customFormat="1" ht="20.25" customHeight="1"/>
    <row r="140" s="29" customFormat="1" ht="20.25" customHeight="1"/>
    <row r="141" s="29" customFormat="1" ht="20.25" customHeight="1"/>
    <row r="142" s="29" customFormat="1" ht="20.25" customHeight="1"/>
    <row r="143" s="29" customFormat="1" ht="20.25" customHeight="1"/>
    <row r="144" s="29" customFormat="1" ht="20.25" customHeight="1"/>
    <row r="145" s="29" customFormat="1" ht="20.25" customHeight="1"/>
    <row r="146" s="29" customFormat="1" ht="20.25" customHeight="1"/>
    <row r="147" s="29" customFormat="1" ht="20.25" customHeight="1"/>
    <row r="148" s="29" customFormat="1" ht="20.25" customHeight="1"/>
    <row r="149" s="29" customFormat="1" ht="20.25" customHeight="1"/>
    <row r="150" s="29" customFormat="1" ht="20.25" customHeight="1"/>
    <row r="151" s="29" customFormat="1" ht="20.25" customHeight="1"/>
    <row r="152" s="29" customFormat="1" ht="20.25" customHeight="1"/>
    <row r="153" s="29" customFormat="1" ht="20.25" customHeight="1"/>
    <row r="154" s="29" customFormat="1" ht="20.25" customHeight="1"/>
    <row r="155" s="29" customFormat="1" ht="20.25" customHeight="1"/>
    <row r="156" s="29" customFormat="1" ht="20.25" customHeight="1"/>
    <row r="157" s="29" customFormat="1" ht="20.25" customHeight="1"/>
    <row r="158" s="29" customFormat="1" ht="20.25" customHeight="1"/>
    <row r="159" s="29" customFormat="1" ht="20.25" customHeight="1"/>
    <row r="160" s="29" customFormat="1" ht="20.25" customHeight="1"/>
    <row r="161" s="29" customFormat="1" ht="20.25" customHeight="1"/>
    <row r="162" s="29" customFormat="1" ht="20.25" customHeight="1"/>
    <row r="163" s="29" customFormat="1" ht="20.25" customHeight="1"/>
    <row r="164" s="29" customFormat="1" ht="20.25" customHeight="1"/>
    <row r="165" s="29" customFormat="1" ht="20.25" customHeight="1"/>
    <row r="166" s="29" customFormat="1" ht="20.25" customHeight="1"/>
    <row r="167" s="29" customFormat="1" ht="20.25" customHeight="1"/>
    <row r="168" s="29" customFormat="1" ht="20.25" customHeight="1"/>
    <row r="169" s="29" customFormat="1" ht="20.25" customHeight="1"/>
    <row r="170" s="29" customFormat="1" ht="20.25" customHeight="1"/>
    <row r="171" s="29" customFormat="1" ht="20.25" customHeight="1"/>
    <row r="172" s="29" customFormat="1" ht="20.25" customHeight="1"/>
    <row r="173" s="29" customFormat="1" ht="20.25" customHeight="1"/>
    <row r="174" s="29" customFormat="1" ht="20.25" customHeight="1"/>
    <row r="175" s="29" customFormat="1" ht="20.25" customHeight="1"/>
    <row r="176" s="32" customFormat="1" ht="20.25" customHeight="1"/>
    <row r="177" s="29" customFormat="1" ht="20.25" customHeight="1"/>
    <row r="178" s="29" customFormat="1" ht="20.25" customHeight="1"/>
    <row r="179" s="29" customFormat="1" ht="20.25" customHeight="1"/>
    <row r="180" s="29" customFormat="1" ht="20.25" customHeight="1"/>
    <row r="181" s="29" customFormat="1" ht="20.25" customHeight="1"/>
    <row r="182" s="29" customFormat="1" ht="20.25" customHeight="1"/>
    <row r="183" s="29" customFormat="1" ht="20.25" customHeight="1"/>
    <row r="184" s="29" customFormat="1" ht="20.25" customHeight="1"/>
    <row r="185" s="29" customFormat="1" ht="20.25" customHeight="1"/>
    <row r="186" s="29" customFormat="1" ht="20.25" customHeight="1"/>
    <row r="187" s="29" customFormat="1" ht="20.25" customHeight="1"/>
    <row r="188" s="29" customFormat="1" ht="20.25" customHeight="1"/>
    <row r="189" s="29" customFormat="1" ht="20.25" customHeight="1"/>
    <row r="190" s="29" customFormat="1" ht="20.25" customHeight="1"/>
    <row r="191" s="29" customFormat="1" ht="20.25" customHeight="1"/>
    <row r="192" s="29" customFormat="1" ht="20.25" customHeight="1"/>
    <row r="193" spans="1:7" s="29" customFormat="1" ht="20.25" customHeight="1"/>
    <row r="194" spans="1:7" s="29" customFormat="1" ht="20.25" customHeight="1"/>
    <row r="195" spans="1:7" s="29" customFormat="1" ht="20.25" customHeight="1"/>
    <row r="196" spans="1:7" s="29" customFormat="1" ht="20.25" customHeight="1"/>
    <row r="197" spans="1:7" s="29" customFormat="1" ht="20.25" customHeight="1"/>
    <row r="198" spans="1:7" s="29" customFormat="1" ht="20.25" customHeight="1"/>
    <row r="199" spans="1:7" s="29" customFormat="1" ht="20.25" customHeight="1"/>
    <row r="200" spans="1:7" s="29" customFormat="1" ht="20.25" customHeight="1"/>
    <row r="201" spans="1:7" s="29" customFormat="1" ht="20.25" customHeight="1"/>
    <row r="202" spans="1:7" s="27" customFormat="1" ht="20.25" customHeight="1">
      <c r="G202" s="118"/>
    </row>
    <row r="203" spans="1:7" s="29" customFormat="1" ht="20.25" customHeight="1"/>
    <row r="204" spans="1:7">
      <c r="A204" s="15"/>
    </row>
    <row r="205" spans="1:7">
      <c r="A205" s="15"/>
    </row>
    <row r="206" spans="1:7">
      <c r="A206" s="15"/>
    </row>
    <row r="207" spans="1:7">
      <c r="A207" s="15"/>
    </row>
    <row r="208" spans="1:7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5"/>
    </row>
    <row r="269" spans="1:1">
      <c r="A269" s="15"/>
    </row>
    <row r="270" spans="1:1">
      <c r="A270" s="15"/>
    </row>
    <row r="271" spans="1:1">
      <c r="A271" s="15"/>
    </row>
    <row r="272" spans="1:1">
      <c r="A272" s="15"/>
    </row>
    <row r="273" spans="1:1">
      <c r="A273" s="15"/>
    </row>
    <row r="274" spans="1:1">
      <c r="A274" s="15"/>
    </row>
    <row r="275" spans="1:1">
      <c r="A275" s="15"/>
    </row>
    <row r="276" spans="1:1">
      <c r="A276" s="15"/>
    </row>
    <row r="277" spans="1:1">
      <c r="A277" s="15"/>
    </row>
    <row r="278" spans="1:1">
      <c r="A278" s="15"/>
    </row>
    <row r="279" spans="1:1">
      <c r="A279" s="15"/>
    </row>
    <row r="280" spans="1:1">
      <c r="A280" s="15"/>
    </row>
    <row r="281" spans="1:1">
      <c r="A281" s="15"/>
    </row>
    <row r="282" spans="1:1">
      <c r="A282" s="15"/>
    </row>
    <row r="283" spans="1:1">
      <c r="A283" s="15"/>
    </row>
    <row r="284" spans="1:1">
      <c r="A284" s="15"/>
    </row>
    <row r="285" spans="1:1">
      <c r="A285" s="15"/>
    </row>
    <row r="286" spans="1:1">
      <c r="A286" s="15"/>
    </row>
    <row r="287" spans="1:1">
      <c r="A287" s="15"/>
    </row>
    <row r="288" spans="1:1">
      <c r="A288" s="15"/>
    </row>
    <row r="289" spans="1:1">
      <c r="A289" s="15"/>
    </row>
    <row r="290" spans="1:1">
      <c r="A290" s="15"/>
    </row>
    <row r="291" spans="1:1">
      <c r="A291" s="15"/>
    </row>
    <row r="292" spans="1:1">
      <c r="A292" s="15"/>
    </row>
    <row r="293" spans="1:1">
      <c r="A293" s="15"/>
    </row>
    <row r="294" spans="1:1">
      <c r="A294" s="15"/>
    </row>
    <row r="295" spans="1:1">
      <c r="A295" s="15"/>
    </row>
    <row r="296" spans="1:1">
      <c r="A296" s="15"/>
    </row>
    <row r="297" spans="1:1">
      <c r="A297" s="15"/>
    </row>
    <row r="298" spans="1:1">
      <c r="A298" s="15"/>
    </row>
    <row r="299" spans="1:1">
      <c r="A299" s="15"/>
    </row>
    <row r="300" spans="1:1">
      <c r="A300" s="15"/>
    </row>
    <row r="301" spans="1:1">
      <c r="A301" s="15"/>
    </row>
    <row r="302" spans="1:1">
      <c r="A302" s="15"/>
    </row>
    <row r="303" spans="1:1">
      <c r="A303" s="15"/>
    </row>
    <row r="304" spans="1:1">
      <c r="A304" s="15"/>
    </row>
    <row r="305" spans="1:1">
      <c r="A305" s="15"/>
    </row>
    <row r="306" spans="1:1">
      <c r="A306" s="15"/>
    </row>
    <row r="307" spans="1:1">
      <c r="A307" s="15"/>
    </row>
    <row r="308" spans="1:1">
      <c r="A308" s="15"/>
    </row>
    <row r="309" spans="1:1">
      <c r="A309" s="15"/>
    </row>
    <row r="310" spans="1:1">
      <c r="A310" s="15"/>
    </row>
    <row r="311" spans="1:1">
      <c r="A311" s="15"/>
    </row>
    <row r="312" spans="1:1">
      <c r="A312" s="15"/>
    </row>
    <row r="313" spans="1:1">
      <c r="A313" s="15"/>
    </row>
    <row r="314" spans="1:1">
      <c r="A314" s="15"/>
    </row>
    <row r="315" spans="1:1">
      <c r="A315" s="15"/>
    </row>
    <row r="316" spans="1:1">
      <c r="A316" s="15"/>
    </row>
    <row r="317" spans="1:1">
      <c r="A317" s="15"/>
    </row>
    <row r="318" spans="1:1">
      <c r="A318" s="15"/>
    </row>
    <row r="319" spans="1:1">
      <c r="A319" s="15"/>
    </row>
    <row r="320" spans="1:1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</sheetData>
  <autoFilter ref="A6:U203"/>
  <mergeCells count="11">
    <mergeCell ref="A1:U1"/>
    <mergeCell ref="A2:U2"/>
    <mergeCell ref="A4:A6"/>
    <mergeCell ref="B4:B6"/>
    <mergeCell ref="H4:U4"/>
    <mergeCell ref="U5:U6"/>
    <mergeCell ref="A49:B49"/>
    <mergeCell ref="C4:D5"/>
    <mergeCell ref="H5:H6"/>
    <mergeCell ref="I5:T5"/>
    <mergeCell ref="E4:G5"/>
  </mergeCells>
  <pageMargins left="0.27" right="0.2" top="0.39" bottom="0.27" header="0.3" footer="0.2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43"/>
  <sheetViews>
    <sheetView topLeftCell="A2" workbookViewId="0">
      <selection activeCell="A2" sqref="A2:T2"/>
    </sheetView>
  </sheetViews>
  <sheetFormatPr defaultColWidth="9.140625" defaultRowHeight="5.65" customHeight="1"/>
  <cols>
    <col min="1" max="1" width="5.140625" style="8" customWidth="1"/>
    <col min="2" max="2" width="27.7109375" style="3" customWidth="1"/>
    <col min="3" max="3" width="6" style="3" customWidth="1"/>
    <col min="4" max="4" width="5.85546875" style="3" customWidth="1"/>
    <col min="5" max="7" width="10.85546875" style="3" customWidth="1"/>
    <col min="8" max="8" width="9.140625" style="3" customWidth="1"/>
    <col min="9" max="9" width="9" style="3" customWidth="1"/>
    <col min="10" max="11" width="8.85546875" style="3" customWidth="1"/>
    <col min="12" max="12" width="6.5703125" style="3" customWidth="1"/>
    <col min="13" max="13" width="6.42578125" style="3" customWidth="1"/>
    <col min="14" max="14" width="9.140625" style="3" customWidth="1"/>
    <col min="15" max="15" width="8.7109375" style="3" customWidth="1"/>
    <col min="16" max="16" width="8.42578125" style="3" customWidth="1"/>
    <col min="17" max="17" width="10" style="3" customWidth="1"/>
    <col min="18" max="18" width="6.28515625" style="3" customWidth="1"/>
    <col min="19" max="19" width="8.7109375" style="3" customWidth="1"/>
    <col min="20" max="20" width="12.7109375" style="3" bestFit="1" customWidth="1"/>
    <col min="21" max="16384" width="9.140625" style="3"/>
  </cols>
  <sheetData>
    <row r="1" spans="1:20" ht="15">
      <c r="A1" s="163" t="s">
        <v>250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</row>
    <row r="2" spans="1:20" ht="24.6" customHeight="1">
      <c r="A2" s="164" t="s">
        <v>347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0" ht="18" customHeight="1">
      <c r="T3" s="9" t="s">
        <v>20</v>
      </c>
    </row>
    <row r="4" spans="1:20" ht="19.5" customHeight="1">
      <c r="A4" s="165" t="s">
        <v>0</v>
      </c>
      <c r="B4" s="165" t="s">
        <v>18</v>
      </c>
      <c r="C4" s="169" t="s">
        <v>1</v>
      </c>
      <c r="D4" s="170"/>
      <c r="E4" s="173" t="s">
        <v>4</v>
      </c>
      <c r="F4" s="173"/>
      <c r="G4" s="166" t="s">
        <v>5</v>
      </c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8"/>
    </row>
    <row r="5" spans="1:20" ht="19.5" customHeight="1">
      <c r="A5" s="165"/>
      <c r="B5" s="165"/>
      <c r="C5" s="171"/>
      <c r="D5" s="172"/>
      <c r="E5" s="173"/>
      <c r="F5" s="173"/>
      <c r="G5" s="174" t="s">
        <v>6</v>
      </c>
      <c r="H5" s="165" t="s">
        <v>181</v>
      </c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76" t="s">
        <v>19</v>
      </c>
    </row>
    <row r="6" spans="1:20" ht="63.75">
      <c r="A6" s="165"/>
      <c r="B6" s="165"/>
      <c r="C6" s="13" t="s">
        <v>2</v>
      </c>
      <c r="D6" s="13" t="s">
        <v>3</v>
      </c>
      <c r="E6" s="14" t="s">
        <v>179</v>
      </c>
      <c r="F6" s="14" t="s">
        <v>180</v>
      </c>
      <c r="G6" s="175"/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13</v>
      </c>
      <c r="O6" s="14" t="s">
        <v>14</v>
      </c>
      <c r="P6" s="14" t="s">
        <v>15</v>
      </c>
      <c r="Q6" s="14" t="s">
        <v>17</v>
      </c>
      <c r="R6" s="14" t="s">
        <v>16</v>
      </c>
      <c r="S6" s="14" t="s">
        <v>178</v>
      </c>
      <c r="T6" s="177"/>
    </row>
    <row r="7" spans="1:20" s="5" customFormat="1" ht="20.25" customHeight="1">
      <c r="A7" s="70">
        <v>1</v>
      </c>
      <c r="B7" s="69" t="s">
        <v>251</v>
      </c>
      <c r="C7" s="69">
        <v>11</v>
      </c>
      <c r="D7" s="69">
        <v>11</v>
      </c>
      <c r="E7" s="20">
        <v>1494</v>
      </c>
      <c r="F7" s="20">
        <f>C7*19.2</f>
        <v>211.2</v>
      </c>
      <c r="G7" s="20">
        <v>1403.0503880000001</v>
      </c>
      <c r="H7" s="20">
        <f>8.1+4.49</f>
        <v>12.59</v>
      </c>
      <c r="I7" s="20">
        <v>8.2305100000000007</v>
      </c>
      <c r="J7" s="20">
        <f>16.527457+2.9</f>
        <v>19.427456999999997</v>
      </c>
      <c r="K7" s="20">
        <v>3.6202000000000001</v>
      </c>
      <c r="L7" s="20">
        <v>25.709</v>
      </c>
      <c r="M7" s="20"/>
      <c r="N7" s="20">
        <v>8.6</v>
      </c>
      <c r="O7" s="20"/>
      <c r="P7" s="20">
        <v>107.3574</v>
      </c>
      <c r="Q7" s="20"/>
      <c r="R7" s="20">
        <v>117.10026499999999</v>
      </c>
      <c r="S7" s="10">
        <f>SUM(H7:R7)</f>
        <v>302.63483199999996</v>
      </c>
      <c r="T7" s="140">
        <f>S7+G7</f>
        <v>1705.6852200000001</v>
      </c>
    </row>
    <row r="8" spans="1:20" s="5" customFormat="1" ht="20.25" customHeight="1">
      <c r="A8" s="70">
        <v>2</v>
      </c>
      <c r="B8" s="34" t="s">
        <v>252</v>
      </c>
      <c r="C8" s="69">
        <v>13</v>
      </c>
      <c r="D8" s="69">
        <v>13</v>
      </c>
      <c r="E8" s="20">
        <v>1484</v>
      </c>
      <c r="F8" s="20">
        <f t="shared" ref="F8:F49" si="0">C8*19.2</f>
        <v>249.6</v>
      </c>
      <c r="G8" s="20">
        <v>1439</v>
      </c>
      <c r="H8" s="20">
        <v>31</v>
      </c>
      <c r="I8" s="20">
        <v>14</v>
      </c>
      <c r="J8" s="20">
        <v>87</v>
      </c>
      <c r="K8" s="20">
        <v>4</v>
      </c>
      <c r="L8" s="20">
        <v>21</v>
      </c>
      <c r="M8" s="20">
        <v>24</v>
      </c>
      <c r="N8" s="20">
        <v>26</v>
      </c>
      <c r="O8" s="20" t="s">
        <v>36</v>
      </c>
      <c r="P8" s="20">
        <v>20</v>
      </c>
      <c r="Q8" s="20" t="s">
        <v>36</v>
      </c>
      <c r="R8" s="20">
        <v>68</v>
      </c>
      <c r="S8" s="47">
        <f t="shared" ref="S8:S49" si="1">SUM(H8:R8)</f>
        <v>295</v>
      </c>
      <c r="T8" s="140">
        <f t="shared" ref="T8:T49" si="2">S8+G8</f>
        <v>1734</v>
      </c>
    </row>
    <row r="9" spans="1:20" s="5" customFormat="1" ht="20.25" customHeight="1">
      <c r="A9" s="71">
        <v>3</v>
      </c>
      <c r="B9" s="69" t="s">
        <v>253</v>
      </c>
      <c r="C9" s="69">
        <v>11</v>
      </c>
      <c r="D9" s="69">
        <v>11</v>
      </c>
      <c r="E9" s="20">
        <v>1061</v>
      </c>
      <c r="F9" s="20">
        <f t="shared" si="0"/>
        <v>211.2</v>
      </c>
      <c r="G9" s="20">
        <v>1041.4269999999999</v>
      </c>
      <c r="H9" s="20">
        <v>27.905000000000001</v>
      </c>
      <c r="I9" s="20">
        <v>7.0789999999999997</v>
      </c>
      <c r="J9" s="20">
        <v>49.844999999999999</v>
      </c>
      <c r="K9" s="20">
        <v>2.38</v>
      </c>
      <c r="L9" s="20">
        <v>22.186</v>
      </c>
      <c r="M9" s="20">
        <v>24</v>
      </c>
      <c r="N9" s="20">
        <v>14.526</v>
      </c>
      <c r="O9" s="20">
        <v>24</v>
      </c>
      <c r="P9" s="20">
        <v>13.212</v>
      </c>
      <c r="Q9" s="20"/>
      <c r="R9" s="20">
        <f>0.655+45</f>
        <v>45.655000000000001</v>
      </c>
      <c r="S9" s="47">
        <f t="shared" si="1"/>
        <v>230.78800000000001</v>
      </c>
      <c r="T9" s="140">
        <f t="shared" si="2"/>
        <v>1272.2149999999999</v>
      </c>
    </row>
    <row r="10" spans="1:20" s="5" customFormat="1" ht="20.25" customHeight="1">
      <c r="A10" s="71">
        <v>4</v>
      </c>
      <c r="B10" s="69" t="s">
        <v>254</v>
      </c>
      <c r="C10" s="69">
        <v>11</v>
      </c>
      <c r="D10" s="69">
        <v>11</v>
      </c>
      <c r="E10" s="20">
        <v>1061</v>
      </c>
      <c r="F10" s="20">
        <f t="shared" si="0"/>
        <v>211.2</v>
      </c>
      <c r="G10" s="20">
        <v>1048.7</v>
      </c>
      <c r="H10" s="20">
        <v>19.2</v>
      </c>
      <c r="I10" s="20">
        <v>5.0999999999999996</v>
      </c>
      <c r="J10" s="20">
        <v>3.7</v>
      </c>
      <c r="K10" s="20">
        <v>1.1000000000000001</v>
      </c>
      <c r="L10" s="20">
        <v>32.5</v>
      </c>
      <c r="M10" s="20">
        <v>12</v>
      </c>
      <c r="N10" s="20">
        <v>50.4</v>
      </c>
      <c r="O10" s="20"/>
      <c r="P10" s="20">
        <v>22.9</v>
      </c>
      <c r="Q10" s="20"/>
      <c r="R10" s="20">
        <v>76.3</v>
      </c>
      <c r="S10" s="47">
        <f t="shared" si="1"/>
        <v>223.2</v>
      </c>
      <c r="T10" s="140">
        <f t="shared" si="2"/>
        <v>1271.9000000000001</v>
      </c>
    </row>
    <row r="11" spans="1:20" s="5" customFormat="1" ht="20.25" customHeight="1">
      <c r="A11" s="71">
        <v>5</v>
      </c>
      <c r="B11" s="69" t="s">
        <v>255</v>
      </c>
      <c r="C11" s="69">
        <v>16</v>
      </c>
      <c r="D11" s="69">
        <v>16</v>
      </c>
      <c r="E11" s="20">
        <v>1805</v>
      </c>
      <c r="F11" s="20">
        <f t="shared" si="0"/>
        <v>307.2</v>
      </c>
      <c r="G11" s="20">
        <v>1829</v>
      </c>
      <c r="H11" s="20">
        <v>32</v>
      </c>
      <c r="I11" s="20">
        <v>9</v>
      </c>
      <c r="J11" s="20">
        <v>34</v>
      </c>
      <c r="K11" s="20">
        <v>3</v>
      </c>
      <c r="L11" s="20">
        <v>35</v>
      </c>
      <c r="M11" s="20">
        <v>40</v>
      </c>
      <c r="N11" s="20">
        <v>18</v>
      </c>
      <c r="O11" s="20">
        <v>0</v>
      </c>
      <c r="P11" s="20">
        <v>104</v>
      </c>
      <c r="Q11" s="20" t="s">
        <v>36</v>
      </c>
      <c r="R11" s="20">
        <v>8</v>
      </c>
      <c r="S11" s="47">
        <f t="shared" si="1"/>
        <v>283</v>
      </c>
      <c r="T11" s="140">
        <f t="shared" si="2"/>
        <v>2112</v>
      </c>
    </row>
    <row r="12" spans="1:20" s="5" customFormat="1" ht="20.25" customHeight="1">
      <c r="A12" s="71">
        <v>6</v>
      </c>
      <c r="B12" s="34" t="s">
        <v>256</v>
      </c>
      <c r="C12" s="69">
        <v>18</v>
      </c>
      <c r="D12" s="69">
        <v>18</v>
      </c>
      <c r="E12" s="20">
        <v>2154</v>
      </c>
      <c r="F12" s="20">
        <f t="shared" si="0"/>
        <v>345.59999999999997</v>
      </c>
      <c r="G12" s="20">
        <v>2132.2399999999998</v>
      </c>
      <c r="H12" s="20"/>
      <c r="I12" s="20">
        <v>12.05</v>
      </c>
      <c r="J12" s="20">
        <v>80.38</v>
      </c>
      <c r="K12" s="20">
        <v>2.88</v>
      </c>
      <c r="L12" s="20">
        <v>8.1</v>
      </c>
      <c r="M12" s="20">
        <v>18</v>
      </c>
      <c r="N12" s="20">
        <v>31.52</v>
      </c>
      <c r="O12" s="20">
        <v>19.399999999999999</v>
      </c>
      <c r="P12" s="20">
        <v>117.18</v>
      </c>
      <c r="Q12" s="20"/>
      <c r="R12" s="20">
        <v>77.8</v>
      </c>
      <c r="S12" s="47">
        <f t="shared" si="1"/>
        <v>367.31</v>
      </c>
      <c r="T12" s="140">
        <f t="shared" si="2"/>
        <v>2499.5499999999997</v>
      </c>
    </row>
    <row r="13" spans="1:20" s="5" customFormat="1" ht="20.25" customHeight="1">
      <c r="A13" s="71">
        <v>7</v>
      </c>
      <c r="B13" s="69" t="s">
        <v>257</v>
      </c>
      <c r="C13" s="69">
        <v>11</v>
      </c>
      <c r="D13" s="69">
        <v>11</v>
      </c>
      <c r="E13" s="20">
        <v>1581</v>
      </c>
      <c r="F13" s="20">
        <f t="shared" si="0"/>
        <v>211.2</v>
      </c>
      <c r="G13" s="20">
        <v>1531</v>
      </c>
      <c r="H13" s="20">
        <v>17</v>
      </c>
      <c r="I13" s="20">
        <v>10</v>
      </c>
      <c r="J13" s="20">
        <v>15</v>
      </c>
      <c r="K13" s="20">
        <v>3</v>
      </c>
      <c r="L13" s="20">
        <v>31</v>
      </c>
      <c r="M13" s="20">
        <v>18</v>
      </c>
      <c r="N13" s="20">
        <v>29</v>
      </c>
      <c r="O13" s="20">
        <v>0</v>
      </c>
      <c r="P13" s="20">
        <v>31</v>
      </c>
      <c r="Q13" s="20" t="s">
        <v>36</v>
      </c>
      <c r="R13" s="20">
        <v>107</v>
      </c>
      <c r="S13" s="47">
        <f t="shared" si="1"/>
        <v>261</v>
      </c>
      <c r="T13" s="140">
        <f t="shared" si="2"/>
        <v>1792</v>
      </c>
    </row>
    <row r="14" spans="1:20" s="5" customFormat="1" ht="20.25" customHeight="1">
      <c r="A14" s="71">
        <v>8</v>
      </c>
      <c r="B14" s="69" t="s">
        <v>258</v>
      </c>
      <c r="C14" s="69">
        <v>13</v>
      </c>
      <c r="D14" s="69">
        <v>12</v>
      </c>
      <c r="E14" s="20">
        <v>1363</v>
      </c>
      <c r="F14" s="20">
        <f t="shared" si="0"/>
        <v>249.6</v>
      </c>
      <c r="G14" s="20">
        <v>1404</v>
      </c>
      <c r="H14" s="20"/>
      <c r="I14" s="20">
        <v>6</v>
      </c>
      <c r="J14" s="20">
        <v>24</v>
      </c>
      <c r="K14" s="20">
        <v>5</v>
      </c>
      <c r="L14" s="20">
        <v>22</v>
      </c>
      <c r="M14" s="20">
        <v>24</v>
      </c>
      <c r="N14" s="20">
        <v>23</v>
      </c>
      <c r="O14" s="20"/>
      <c r="P14" s="20">
        <v>93</v>
      </c>
      <c r="Q14" s="20"/>
      <c r="R14" s="20">
        <v>12</v>
      </c>
      <c r="S14" s="47">
        <f t="shared" si="1"/>
        <v>209</v>
      </c>
      <c r="T14" s="140">
        <f t="shared" si="2"/>
        <v>1613</v>
      </c>
    </row>
    <row r="15" spans="1:20" s="5" customFormat="1" ht="20.25" customHeight="1">
      <c r="A15" s="71">
        <v>9</v>
      </c>
      <c r="B15" s="69" t="s">
        <v>259</v>
      </c>
      <c r="C15" s="69">
        <v>20</v>
      </c>
      <c r="D15" s="69">
        <v>20</v>
      </c>
      <c r="E15" s="20">
        <v>2444</v>
      </c>
      <c r="F15" s="20">
        <f t="shared" si="0"/>
        <v>384</v>
      </c>
      <c r="G15" s="20">
        <v>2445.5749999999998</v>
      </c>
      <c r="H15" s="20"/>
      <c r="I15" s="20">
        <v>26.172000000000001</v>
      </c>
      <c r="J15" s="20">
        <v>123.839</v>
      </c>
      <c r="K15" s="20">
        <v>1.9159999999999999</v>
      </c>
      <c r="L15" s="20">
        <v>7.0880000000000001</v>
      </c>
      <c r="M15" s="20">
        <v>23.1</v>
      </c>
      <c r="N15" s="20">
        <v>51.68</v>
      </c>
      <c r="O15" s="20"/>
      <c r="P15" s="20">
        <v>49.567</v>
      </c>
      <c r="Q15" s="20"/>
      <c r="R15" s="20">
        <v>99.183000000000007</v>
      </c>
      <c r="S15" s="47">
        <f t="shared" si="1"/>
        <v>382.54499999999996</v>
      </c>
      <c r="T15" s="140">
        <f t="shared" si="2"/>
        <v>2828.12</v>
      </c>
    </row>
    <row r="16" spans="1:20" s="5" customFormat="1" ht="20.25" customHeight="1">
      <c r="A16" s="71">
        <v>10</v>
      </c>
      <c r="B16" s="69" t="s">
        <v>260</v>
      </c>
      <c r="C16" s="69">
        <v>13</v>
      </c>
      <c r="D16" s="69">
        <v>13</v>
      </c>
      <c r="E16" s="20">
        <v>1757</v>
      </c>
      <c r="F16" s="20">
        <f t="shared" si="0"/>
        <v>249.6</v>
      </c>
      <c r="G16" s="20">
        <v>1711</v>
      </c>
      <c r="H16" s="20"/>
      <c r="I16" s="20">
        <v>13</v>
      </c>
      <c r="J16" s="20">
        <v>13</v>
      </c>
      <c r="K16" s="20">
        <v>3.4</v>
      </c>
      <c r="L16" s="20">
        <v>22</v>
      </c>
      <c r="M16" s="20">
        <v>24</v>
      </c>
      <c r="N16" s="20">
        <v>23.4</v>
      </c>
      <c r="O16" s="20"/>
      <c r="P16" s="20">
        <v>128.4</v>
      </c>
      <c r="Q16" s="20"/>
      <c r="R16" s="20">
        <v>68</v>
      </c>
      <c r="S16" s="47">
        <f t="shared" si="1"/>
        <v>295.20000000000005</v>
      </c>
      <c r="T16" s="140">
        <f t="shared" si="2"/>
        <v>2006.2</v>
      </c>
    </row>
    <row r="17" spans="1:20" s="5" customFormat="1" ht="20.25" customHeight="1">
      <c r="A17" s="71">
        <v>11</v>
      </c>
      <c r="B17" s="69" t="s">
        <v>261</v>
      </c>
      <c r="C17" s="69">
        <v>14</v>
      </c>
      <c r="D17" s="69">
        <v>14</v>
      </c>
      <c r="E17" s="20">
        <v>1334</v>
      </c>
      <c r="F17" s="20">
        <f t="shared" si="0"/>
        <v>268.8</v>
      </c>
      <c r="G17" s="20">
        <v>1396</v>
      </c>
      <c r="H17" s="20">
        <v>3</v>
      </c>
      <c r="I17" s="20">
        <v>12</v>
      </c>
      <c r="J17" s="20">
        <v>34</v>
      </c>
      <c r="K17" s="20">
        <v>3</v>
      </c>
      <c r="L17" s="20">
        <v>34</v>
      </c>
      <c r="M17" s="20"/>
      <c r="N17" s="20">
        <v>14</v>
      </c>
      <c r="O17" s="20">
        <v>0</v>
      </c>
      <c r="P17" s="20">
        <v>23</v>
      </c>
      <c r="Q17" s="20" t="s">
        <v>36</v>
      </c>
      <c r="R17" s="20">
        <v>84</v>
      </c>
      <c r="S17" s="47">
        <f t="shared" si="1"/>
        <v>207</v>
      </c>
      <c r="T17" s="140">
        <f t="shared" si="2"/>
        <v>1603</v>
      </c>
    </row>
    <row r="18" spans="1:20" s="5" customFormat="1" ht="20.25" customHeight="1">
      <c r="A18" s="71">
        <v>12</v>
      </c>
      <c r="B18" s="69" t="s">
        <v>262</v>
      </c>
      <c r="C18" s="69">
        <v>16</v>
      </c>
      <c r="D18" s="69">
        <v>16</v>
      </c>
      <c r="E18" s="20">
        <v>1841</v>
      </c>
      <c r="F18" s="20">
        <f t="shared" si="0"/>
        <v>307.2</v>
      </c>
      <c r="G18" s="20">
        <v>1850.4620050000001</v>
      </c>
      <c r="H18" s="20">
        <v>59.66</v>
      </c>
      <c r="I18" s="20">
        <v>11.384695000000001</v>
      </c>
      <c r="J18" s="20">
        <v>16.158999999999999</v>
      </c>
      <c r="K18" s="20">
        <v>2.0659999999999998</v>
      </c>
      <c r="L18" s="20">
        <v>6.5419999999999998</v>
      </c>
      <c r="M18" s="20">
        <v>18</v>
      </c>
      <c r="N18" s="20">
        <v>30.26</v>
      </c>
      <c r="O18" s="20">
        <v>9.17</v>
      </c>
      <c r="P18" s="20">
        <v>36.340000000000003</v>
      </c>
      <c r="Q18" s="20"/>
      <c r="R18" s="20">
        <v>107.82764</v>
      </c>
      <c r="S18" s="47">
        <f t="shared" si="1"/>
        <v>297.40933499999994</v>
      </c>
      <c r="T18" s="140">
        <f t="shared" si="2"/>
        <v>2147.8713400000001</v>
      </c>
    </row>
    <row r="19" spans="1:20" s="5" customFormat="1" ht="20.25" customHeight="1">
      <c r="A19" s="71">
        <v>13</v>
      </c>
      <c r="B19" s="69" t="s">
        <v>263</v>
      </c>
      <c r="C19" s="69">
        <v>15</v>
      </c>
      <c r="D19" s="69">
        <v>15</v>
      </c>
      <c r="E19" s="20">
        <v>2137</v>
      </c>
      <c r="F19" s="20">
        <f t="shared" si="0"/>
        <v>288</v>
      </c>
      <c r="G19" s="20">
        <v>2127</v>
      </c>
      <c r="H19" s="20"/>
      <c r="I19" s="20">
        <v>9</v>
      </c>
      <c r="J19" s="20">
        <v>6</v>
      </c>
      <c r="K19" s="20">
        <v>5</v>
      </c>
      <c r="L19" s="20">
        <v>32</v>
      </c>
      <c r="M19" s="20">
        <v>22</v>
      </c>
      <c r="N19" s="20">
        <v>15</v>
      </c>
      <c r="O19" s="20">
        <f>56+27</f>
        <v>83</v>
      </c>
      <c r="P19" s="20">
        <v>84</v>
      </c>
      <c r="Q19" s="20"/>
      <c r="R19" s="20">
        <v>42</v>
      </c>
      <c r="S19" s="47">
        <f t="shared" si="1"/>
        <v>298</v>
      </c>
      <c r="T19" s="140">
        <f t="shared" si="2"/>
        <v>2425</v>
      </c>
    </row>
    <row r="20" spans="1:20" s="5" customFormat="1" ht="20.25" customHeight="1">
      <c r="A20" s="71">
        <v>14</v>
      </c>
      <c r="B20" s="129" t="s">
        <v>265</v>
      </c>
      <c r="C20" s="69"/>
      <c r="D20" s="69"/>
      <c r="E20" s="20">
        <v>1089</v>
      </c>
      <c r="F20" s="20">
        <v>26</v>
      </c>
      <c r="G20" s="20">
        <v>1089.3</v>
      </c>
      <c r="H20" s="20">
        <v>9.1</v>
      </c>
      <c r="I20" s="20"/>
      <c r="J20" s="20">
        <v>0.5</v>
      </c>
      <c r="K20" s="20">
        <v>1.6</v>
      </c>
      <c r="L20" s="20"/>
      <c r="M20" s="20">
        <v>13.6</v>
      </c>
      <c r="N20" s="20"/>
      <c r="O20" s="20"/>
      <c r="P20" s="20">
        <v>1.3</v>
      </c>
      <c r="Q20" s="20"/>
      <c r="R20" s="20"/>
      <c r="S20" s="47">
        <f t="shared" si="1"/>
        <v>26.099999999999998</v>
      </c>
      <c r="T20" s="140">
        <f t="shared" si="2"/>
        <v>1115.3999999999999</v>
      </c>
    </row>
    <row r="21" spans="1:20" s="5" customFormat="1" ht="20.25" customHeight="1">
      <c r="A21" s="71">
        <v>15</v>
      </c>
      <c r="B21" s="69" t="s">
        <v>266</v>
      </c>
      <c r="C21" s="69">
        <v>16</v>
      </c>
      <c r="D21" s="69">
        <v>16</v>
      </c>
      <c r="E21" s="20">
        <v>1202</v>
      </c>
      <c r="F21" s="20">
        <f t="shared" si="0"/>
        <v>307.2</v>
      </c>
      <c r="G21" s="20">
        <v>1329.7</v>
      </c>
      <c r="H21" s="20">
        <v>18</v>
      </c>
      <c r="I21" s="20"/>
      <c r="J21" s="20">
        <v>51.1</v>
      </c>
      <c r="K21" s="20">
        <v>2.2000000000000002</v>
      </c>
      <c r="L21" s="20">
        <v>3.2</v>
      </c>
      <c r="M21" s="20">
        <v>18.399999999999999</v>
      </c>
      <c r="N21" s="20">
        <v>46.2</v>
      </c>
      <c r="O21" s="20"/>
      <c r="P21" s="20">
        <v>31.5</v>
      </c>
      <c r="Q21" s="20"/>
      <c r="R21" s="20">
        <v>8.6639999999999997</v>
      </c>
      <c r="S21" s="47">
        <f t="shared" si="1"/>
        <v>179.26400000000001</v>
      </c>
      <c r="T21" s="140">
        <f t="shared" si="2"/>
        <v>1508.9639999999999</v>
      </c>
    </row>
    <row r="22" spans="1:20" s="5" customFormat="1" ht="20.25" customHeight="1">
      <c r="A22" s="71">
        <v>16</v>
      </c>
      <c r="B22" s="69" t="s">
        <v>264</v>
      </c>
      <c r="C22" s="69">
        <v>18</v>
      </c>
      <c r="D22" s="69">
        <v>18</v>
      </c>
      <c r="E22" s="20">
        <v>1081</v>
      </c>
      <c r="F22" s="20">
        <f t="shared" si="0"/>
        <v>345.59999999999997</v>
      </c>
      <c r="G22" s="20">
        <v>1239.7449999999999</v>
      </c>
      <c r="H22" s="20">
        <v>8</v>
      </c>
      <c r="I22" s="20"/>
      <c r="J22" s="20">
        <v>66.570999999999998</v>
      </c>
      <c r="K22" s="20">
        <v>6.7329999999999997</v>
      </c>
      <c r="L22" s="20">
        <v>3.76</v>
      </c>
      <c r="M22" s="20">
        <v>18.399999999999999</v>
      </c>
      <c r="N22" s="20">
        <v>20.408999999999999</v>
      </c>
      <c r="O22" s="20">
        <v>14.3</v>
      </c>
      <c r="P22" s="20">
        <v>38.299999999999997</v>
      </c>
      <c r="Q22" s="20"/>
      <c r="R22" s="20">
        <v>9.9429999999999996</v>
      </c>
      <c r="S22" s="47">
        <f t="shared" si="1"/>
        <v>186.41600000000003</v>
      </c>
      <c r="T22" s="140">
        <f t="shared" si="2"/>
        <v>1426.1609999999998</v>
      </c>
    </row>
    <row r="23" spans="1:20" s="5" customFormat="1" ht="20.25" customHeight="1">
      <c r="A23" s="71">
        <v>17</v>
      </c>
      <c r="B23" s="69" t="s">
        <v>267</v>
      </c>
      <c r="C23" s="69">
        <v>12</v>
      </c>
      <c r="D23" s="69">
        <v>12</v>
      </c>
      <c r="E23" s="20">
        <v>2164</v>
      </c>
      <c r="F23" s="20">
        <f t="shared" si="0"/>
        <v>230.39999999999998</v>
      </c>
      <c r="G23" s="20">
        <v>2025.006275</v>
      </c>
      <c r="H23" s="20">
        <f>31.9+23.4622</f>
        <v>55.362200000000001</v>
      </c>
      <c r="I23" s="20">
        <v>7.0422079999999996</v>
      </c>
      <c r="J23" s="20">
        <f>15.191+5.25</f>
        <v>20.441000000000003</v>
      </c>
      <c r="K23" s="20">
        <v>4.4234</v>
      </c>
      <c r="L23" s="20">
        <v>39.256999999999998</v>
      </c>
      <c r="M23" s="20"/>
      <c r="N23" s="20">
        <v>8.68</v>
      </c>
      <c r="O23" s="20">
        <v>106.09</v>
      </c>
      <c r="P23" s="20">
        <v>82.226299999999995</v>
      </c>
      <c r="Q23" s="20"/>
      <c r="R23" s="20">
        <v>45.448616999999999</v>
      </c>
      <c r="S23" s="47">
        <f t="shared" si="1"/>
        <v>368.97072500000002</v>
      </c>
      <c r="T23" s="140">
        <f t="shared" si="2"/>
        <v>2393.9769999999999</v>
      </c>
    </row>
    <row r="24" spans="1:20" s="5" customFormat="1" ht="20.25" customHeight="1">
      <c r="A24" s="71">
        <v>18</v>
      </c>
      <c r="B24" s="34" t="s">
        <v>268</v>
      </c>
      <c r="C24" s="69">
        <v>20</v>
      </c>
      <c r="D24" s="69">
        <v>20</v>
      </c>
      <c r="E24" s="20">
        <v>2437</v>
      </c>
      <c r="F24" s="20">
        <f t="shared" si="0"/>
        <v>384</v>
      </c>
      <c r="G24" s="20">
        <v>2334</v>
      </c>
      <c r="H24" s="20">
        <v>29.64</v>
      </c>
      <c r="I24" s="20">
        <v>11</v>
      </c>
      <c r="J24" s="20">
        <v>103.5</v>
      </c>
      <c r="K24" s="20">
        <v>13</v>
      </c>
      <c r="L24" s="20">
        <v>49.375999999999998</v>
      </c>
      <c r="M24" s="20">
        <v>52.75</v>
      </c>
      <c r="N24" s="20">
        <v>62.235999999999997</v>
      </c>
      <c r="O24" s="20" t="s">
        <v>36</v>
      </c>
      <c r="P24" s="20">
        <v>65.42</v>
      </c>
      <c r="Q24" s="20" t="s">
        <v>36</v>
      </c>
      <c r="R24" s="20">
        <v>100</v>
      </c>
      <c r="S24" s="47">
        <f t="shared" si="1"/>
        <v>486.92199999999997</v>
      </c>
      <c r="T24" s="140">
        <f t="shared" si="2"/>
        <v>2820.922</v>
      </c>
    </row>
    <row r="25" spans="1:20" s="5" customFormat="1" ht="20.25" customHeight="1">
      <c r="A25" s="71">
        <v>19</v>
      </c>
      <c r="B25" s="130" t="s">
        <v>277</v>
      </c>
      <c r="C25" s="69"/>
      <c r="D25" s="69"/>
      <c r="E25" s="20">
        <v>1624</v>
      </c>
      <c r="F25" s="20">
        <v>54</v>
      </c>
      <c r="G25" s="20">
        <v>1621.3</v>
      </c>
      <c r="H25" s="20">
        <v>18</v>
      </c>
      <c r="I25" s="20"/>
      <c r="J25" s="20">
        <v>0</v>
      </c>
      <c r="K25" s="20">
        <v>3.5</v>
      </c>
      <c r="L25" s="20">
        <v>12.1</v>
      </c>
      <c r="M25" s="20">
        <v>18.5</v>
      </c>
      <c r="N25" s="20"/>
      <c r="O25" s="20"/>
      <c r="P25" s="20">
        <v>1.7</v>
      </c>
      <c r="Q25" s="20"/>
      <c r="R25" s="20"/>
      <c r="S25" s="47">
        <f t="shared" si="1"/>
        <v>53.800000000000004</v>
      </c>
      <c r="T25" s="140">
        <f t="shared" si="2"/>
        <v>1675.1</v>
      </c>
    </row>
    <row r="26" spans="1:20" s="5" customFormat="1" ht="20.25" customHeight="1">
      <c r="A26" s="71">
        <v>20</v>
      </c>
      <c r="B26" s="69" t="s">
        <v>269</v>
      </c>
      <c r="C26" s="69">
        <v>21</v>
      </c>
      <c r="D26" s="69">
        <v>20</v>
      </c>
      <c r="E26" s="20">
        <v>1738</v>
      </c>
      <c r="F26" s="20">
        <f t="shared" si="0"/>
        <v>403.2</v>
      </c>
      <c r="G26" s="20">
        <v>1885</v>
      </c>
      <c r="H26" s="20">
        <v>9.3000000000000007</v>
      </c>
      <c r="I26" s="20"/>
      <c r="J26" s="20">
        <v>57.5</v>
      </c>
      <c r="K26" s="20">
        <v>4.3</v>
      </c>
      <c r="L26" s="20">
        <v>34</v>
      </c>
      <c r="M26" s="20"/>
      <c r="N26" s="20">
        <v>73</v>
      </c>
      <c r="O26" s="20"/>
      <c r="P26" s="20">
        <v>63</v>
      </c>
      <c r="Q26" s="20"/>
      <c r="R26" s="20">
        <v>15.127000000000001</v>
      </c>
      <c r="S26" s="47">
        <f t="shared" si="1"/>
        <v>256.22699999999998</v>
      </c>
      <c r="T26" s="140">
        <f t="shared" si="2"/>
        <v>2141.2269999999999</v>
      </c>
    </row>
    <row r="27" spans="1:20" s="5" customFormat="1" ht="20.25" customHeight="1">
      <c r="A27" s="71">
        <v>21</v>
      </c>
      <c r="B27" s="69" t="s">
        <v>270</v>
      </c>
      <c r="C27" s="69">
        <v>20</v>
      </c>
      <c r="D27" s="69">
        <v>19</v>
      </c>
      <c r="E27" s="20">
        <v>1632</v>
      </c>
      <c r="F27" s="20">
        <f t="shared" si="0"/>
        <v>384</v>
      </c>
      <c r="G27" s="20">
        <v>1765.0820000000001</v>
      </c>
      <c r="H27" s="20">
        <v>17.3</v>
      </c>
      <c r="I27" s="20"/>
      <c r="J27" s="20">
        <v>30.4</v>
      </c>
      <c r="K27" s="20">
        <v>4.3</v>
      </c>
      <c r="L27" s="20">
        <v>25.1</v>
      </c>
      <c r="M27" s="20">
        <v>18.399999999999999</v>
      </c>
      <c r="N27" s="20">
        <v>58</v>
      </c>
      <c r="O27" s="20"/>
      <c r="P27" s="20">
        <v>69.7</v>
      </c>
      <c r="Q27" s="20"/>
      <c r="R27" s="20">
        <v>27.518999999999998</v>
      </c>
      <c r="S27" s="47">
        <f t="shared" si="1"/>
        <v>250.71899999999999</v>
      </c>
      <c r="T27" s="140">
        <f t="shared" si="2"/>
        <v>2015.8010000000002</v>
      </c>
    </row>
    <row r="28" spans="1:20" s="5" customFormat="1" ht="20.25" customHeight="1">
      <c r="A28" s="71">
        <v>22</v>
      </c>
      <c r="B28" s="69" t="s">
        <v>271</v>
      </c>
      <c r="C28" s="69">
        <v>17</v>
      </c>
      <c r="D28" s="69">
        <v>17</v>
      </c>
      <c r="E28" s="20">
        <v>2026</v>
      </c>
      <c r="F28" s="20">
        <f t="shared" si="0"/>
        <v>326.39999999999998</v>
      </c>
      <c r="G28" s="20">
        <v>1967.404</v>
      </c>
      <c r="H28" s="20">
        <v>7.2670000000000003</v>
      </c>
      <c r="I28" s="20">
        <v>11.063000000000001</v>
      </c>
      <c r="J28" s="20">
        <v>59.234999999999999</v>
      </c>
      <c r="K28" s="20">
        <v>2.99</v>
      </c>
      <c r="L28" s="20">
        <v>55.420999999999999</v>
      </c>
      <c r="M28" s="20">
        <v>27.75</v>
      </c>
      <c r="N28" s="20">
        <v>50.329000000000001</v>
      </c>
      <c r="O28" s="20">
        <v>0</v>
      </c>
      <c r="P28" s="20">
        <v>76.299000000000007</v>
      </c>
      <c r="Q28" s="20"/>
      <c r="R28" s="20">
        <f>19.556+74.6</f>
        <v>94.155999999999992</v>
      </c>
      <c r="S28" s="47">
        <f t="shared" si="1"/>
        <v>384.51000000000005</v>
      </c>
      <c r="T28" s="140">
        <f t="shared" si="2"/>
        <v>2351.9140000000002</v>
      </c>
    </row>
    <row r="29" spans="1:20" s="5" customFormat="1" ht="20.25" customHeight="1">
      <c r="A29" s="71">
        <v>23</v>
      </c>
      <c r="B29" s="69" t="s">
        <v>272</v>
      </c>
      <c r="C29" s="69">
        <v>23</v>
      </c>
      <c r="D29" s="69">
        <v>21</v>
      </c>
      <c r="E29" s="20">
        <v>2830</v>
      </c>
      <c r="F29" s="20">
        <f t="shared" si="0"/>
        <v>441.59999999999997</v>
      </c>
      <c r="G29" s="20">
        <v>2865.1517859999999</v>
      </c>
      <c r="H29" s="20">
        <v>36.899000000000001</v>
      </c>
      <c r="I29" s="20">
        <v>17.209515</v>
      </c>
      <c r="J29" s="20">
        <v>24.381</v>
      </c>
      <c r="K29" s="20">
        <v>3.1817989999999998</v>
      </c>
      <c r="L29" s="20">
        <v>38.618000000000002</v>
      </c>
      <c r="M29" s="20">
        <v>48</v>
      </c>
      <c r="N29" s="20">
        <v>33.104999999999997</v>
      </c>
      <c r="O29" s="20">
        <v>43.47</v>
      </c>
      <c r="P29" s="20">
        <v>66.707700000000003</v>
      </c>
      <c r="Q29" s="20"/>
      <c r="R29" s="20">
        <v>95.049000000000007</v>
      </c>
      <c r="S29" s="47">
        <f t="shared" si="1"/>
        <v>406.62101399999995</v>
      </c>
      <c r="T29" s="140">
        <f t="shared" si="2"/>
        <v>3271.7727999999997</v>
      </c>
    </row>
    <row r="30" spans="1:20" s="5" customFormat="1" ht="20.25" customHeight="1">
      <c r="A30" s="71">
        <v>24</v>
      </c>
      <c r="B30" s="69" t="s">
        <v>273</v>
      </c>
      <c r="C30" s="69">
        <v>25</v>
      </c>
      <c r="D30" s="69">
        <v>25</v>
      </c>
      <c r="E30" s="20">
        <v>3527</v>
      </c>
      <c r="F30" s="20">
        <f t="shared" si="0"/>
        <v>480</v>
      </c>
      <c r="G30" s="20">
        <v>3443</v>
      </c>
      <c r="H30" s="20">
        <v>140</v>
      </c>
      <c r="I30" s="20">
        <v>21</v>
      </c>
      <c r="J30" s="20">
        <v>79</v>
      </c>
      <c r="K30" s="20">
        <v>7</v>
      </c>
      <c r="L30" s="20">
        <v>55</v>
      </c>
      <c r="M30" s="20">
        <v>36</v>
      </c>
      <c r="N30" s="20">
        <v>92</v>
      </c>
      <c r="O30" s="20">
        <v>29</v>
      </c>
      <c r="P30" s="20">
        <v>92</v>
      </c>
      <c r="Q30" s="20" t="s">
        <v>36</v>
      </c>
      <c r="R30" s="20">
        <v>14</v>
      </c>
      <c r="S30" s="47">
        <f t="shared" si="1"/>
        <v>565</v>
      </c>
      <c r="T30" s="140">
        <f t="shared" si="2"/>
        <v>4008</v>
      </c>
    </row>
    <row r="31" spans="1:20" s="5" customFormat="1" ht="20.25" customHeight="1">
      <c r="A31" s="71">
        <v>25</v>
      </c>
      <c r="B31" s="34" t="s">
        <v>274</v>
      </c>
      <c r="C31" s="69">
        <v>29</v>
      </c>
      <c r="D31" s="69">
        <v>29</v>
      </c>
      <c r="E31" s="20">
        <v>4072</v>
      </c>
      <c r="F31" s="20">
        <f t="shared" si="0"/>
        <v>556.79999999999995</v>
      </c>
      <c r="G31" s="20">
        <v>4242.37</v>
      </c>
      <c r="H31" s="20"/>
      <c r="I31" s="20">
        <v>11.96</v>
      </c>
      <c r="J31" s="20">
        <v>75.209999999999994</v>
      </c>
      <c r="K31" s="20">
        <v>2.48</v>
      </c>
      <c r="L31" s="20">
        <v>41.63</v>
      </c>
      <c r="M31" s="20">
        <v>36.96</v>
      </c>
      <c r="N31" s="20">
        <v>95.78</v>
      </c>
      <c r="O31" s="20"/>
      <c r="P31" s="20">
        <v>109.77</v>
      </c>
      <c r="Q31" s="20"/>
      <c r="R31" s="20">
        <v>12.25</v>
      </c>
      <c r="S31" s="47">
        <f t="shared" si="1"/>
        <v>386.03999999999996</v>
      </c>
      <c r="T31" s="140">
        <f t="shared" si="2"/>
        <v>4628.41</v>
      </c>
    </row>
    <row r="32" spans="1:20" s="5" customFormat="1" ht="20.25" customHeight="1">
      <c r="A32" s="71">
        <v>26</v>
      </c>
      <c r="B32" s="69" t="s">
        <v>278</v>
      </c>
      <c r="C32" s="69">
        <v>16</v>
      </c>
      <c r="D32" s="69">
        <v>16</v>
      </c>
      <c r="E32" s="20">
        <v>2069</v>
      </c>
      <c r="F32" s="20">
        <f t="shared" si="0"/>
        <v>307.2</v>
      </c>
      <c r="G32" s="20">
        <v>2038</v>
      </c>
      <c r="H32" s="20"/>
      <c r="I32" s="20">
        <v>7</v>
      </c>
      <c r="J32" s="20">
        <v>96</v>
      </c>
      <c r="K32" s="20">
        <v>3</v>
      </c>
      <c r="L32" s="20">
        <v>46</v>
      </c>
      <c r="M32" s="20">
        <v>26</v>
      </c>
      <c r="N32" s="20">
        <v>18</v>
      </c>
      <c r="O32" s="20">
        <v>30</v>
      </c>
      <c r="P32" s="20">
        <v>81</v>
      </c>
      <c r="Q32" s="20" t="s">
        <v>36</v>
      </c>
      <c r="R32" s="20">
        <v>31</v>
      </c>
      <c r="S32" s="47">
        <f t="shared" si="1"/>
        <v>338</v>
      </c>
      <c r="T32" s="140">
        <f t="shared" si="2"/>
        <v>2376</v>
      </c>
    </row>
    <row r="33" spans="1:20" s="5" customFormat="1" ht="20.25" customHeight="1">
      <c r="A33" s="71">
        <v>27</v>
      </c>
      <c r="B33" s="34" t="s">
        <v>275</v>
      </c>
      <c r="C33" s="51">
        <v>14</v>
      </c>
      <c r="D33" s="69">
        <v>12</v>
      </c>
      <c r="E33" s="20">
        <v>2014</v>
      </c>
      <c r="F33" s="20">
        <f t="shared" si="0"/>
        <v>268.8</v>
      </c>
      <c r="G33" s="20">
        <v>1833</v>
      </c>
      <c r="H33" s="20"/>
      <c r="I33" s="20">
        <v>6.4</v>
      </c>
      <c r="J33" s="20">
        <v>74</v>
      </c>
      <c r="K33" s="20">
        <v>0.57499999999999996</v>
      </c>
      <c r="L33" s="20">
        <v>46</v>
      </c>
      <c r="M33" s="20">
        <v>26</v>
      </c>
      <c r="N33" s="20">
        <v>26</v>
      </c>
      <c r="O33" s="20">
        <v>94</v>
      </c>
      <c r="P33" s="20">
        <v>80</v>
      </c>
      <c r="Q33" s="20" t="s">
        <v>36</v>
      </c>
      <c r="R33" s="20">
        <v>97</v>
      </c>
      <c r="S33" s="47">
        <f t="shared" si="1"/>
        <v>449.97500000000002</v>
      </c>
      <c r="T33" s="140">
        <f t="shared" si="2"/>
        <v>2282.9749999999999</v>
      </c>
    </row>
    <row r="34" spans="1:20" s="5" customFormat="1" ht="20.25" customHeight="1">
      <c r="A34" s="71">
        <v>28</v>
      </c>
      <c r="B34" s="69" t="s">
        <v>279</v>
      </c>
      <c r="C34" s="69">
        <v>12</v>
      </c>
      <c r="D34" s="69">
        <v>12</v>
      </c>
      <c r="E34" s="20">
        <v>1737</v>
      </c>
      <c r="F34" s="20">
        <f t="shared" si="0"/>
        <v>230.39999999999998</v>
      </c>
      <c r="G34" s="20">
        <v>1629.2860000000001</v>
      </c>
      <c r="H34" s="20"/>
      <c r="I34" s="20">
        <v>10.182</v>
      </c>
      <c r="J34" s="20">
        <v>71.884</v>
      </c>
      <c r="K34" s="20">
        <v>0.29899999999999999</v>
      </c>
      <c r="L34" s="20">
        <v>31.05</v>
      </c>
      <c r="M34" s="20">
        <v>24</v>
      </c>
      <c r="N34" s="20">
        <v>40.268999999999998</v>
      </c>
      <c r="O34" s="20">
        <v>24.65</v>
      </c>
      <c r="P34" s="20">
        <v>74.91</v>
      </c>
      <c r="Q34" s="20"/>
      <c r="R34" s="20">
        <v>60.5</v>
      </c>
      <c r="S34" s="47">
        <f t="shared" si="1"/>
        <v>337.74400000000003</v>
      </c>
      <c r="T34" s="140">
        <f t="shared" si="2"/>
        <v>1967.0300000000002</v>
      </c>
    </row>
    <row r="35" spans="1:20" s="5" customFormat="1" ht="20.25" customHeight="1">
      <c r="A35" s="71">
        <v>29</v>
      </c>
      <c r="B35" s="69" t="s">
        <v>276</v>
      </c>
      <c r="C35" s="69">
        <v>27</v>
      </c>
      <c r="D35" s="69">
        <v>27</v>
      </c>
      <c r="E35" s="20">
        <v>4496</v>
      </c>
      <c r="F35" s="20">
        <f t="shared" si="0"/>
        <v>518.4</v>
      </c>
      <c r="G35" s="20">
        <v>4382</v>
      </c>
      <c r="H35" s="20"/>
      <c r="I35" s="20">
        <v>14</v>
      </c>
      <c r="J35" s="20">
        <v>16</v>
      </c>
      <c r="K35" s="20">
        <v>7.5</v>
      </c>
      <c r="L35" s="20">
        <v>72</v>
      </c>
      <c r="M35" s="20">
        <v>49</v>
      </c>
      <c r="N35" s="20">
        <v>41</v>
      </c>
      <c r="O35" s="20">
        <f>112+27</f>
        <v>139</v>
      </c>
      <c r="P35" s="20">
        <f>59+17</f>
        <v>76</v>
      </c>
      <c r="Q35" s="20"/>
      <c r="R35" s="20">
        <v>217.5</v>
      </c>
      <c r="S35" s="47">
        <f t="shared" si="1"/>
        <v>632</v>
      </c>
      <c r="T35" s="140">
        <f t="shared" si="2"/>
        <v>5014</v>
      </c>
    </row>
    <row r="36" spans="1:20" s="5" customFormat="1" ht="20.25" customHeight="1">
      <c r="A36" s="71">
        <v>30</v>
      </c>
      <c r="B36" s="69" t="s">
        <v>146</v>
      </c>
      <c r="C36" s="69">
        <v>11</v>
      </c>
      <c r="D36" s="69">
        <v>11</v>
      </c>
      <c r="E36" s="20">
        <v>1538</v>
      </c>
      <c r="F36" s="20">
        <f t="shared" si="0"/>
        <v>211.2</v>
      </c>
      <c r="G36" s="20">
        <v>1493.797</v>
      </c>
      <c r="H36" s="20"/>
      <c r="I36" s="20">
        <v>6.1890000000000001</v>
      </c>
      <c r="J36" s="20">
        <v>14.188000000000001</v>
      </c>
      <c r="K36" s="20"/>
      <c r="L36" s="20">
        <v>25.77</v>
      </c>
      <c r="M36" s="20">
        <v>23.481999999999999</v>
      </c>
      <c r="N36" s="20">
        <v>19.693999999999999</v>
      </c>
      <c r="O36" s="20">
        <v>60.317</v>
      </c>
      <c r="P36" s="20">
        <v>31.786000000000001</v>
      </c>
      <c r="Q36" s="20"/>
      <c r="R36" s="20">
        <v>74.912999999999997</v>
      </c>
      <c r="S36" s="47">
        <f t="shared" si="1"/>
        <v>256.339</v>
      </c>
      <c r="T36" s="140">
        <f t="shared" si="2"/>
        <v>1750.136</v>
      </c>
    </row>
    <row r="37" spans="1:20" s="5" customFormat="1" ht="20.25" customHeight="1">
      <c r="A37" s="71">
        <v>31</v>
      </c>
      <c r="B37" s="69" t="s">
        <v>158</v>
      </c>
      <c r="C37" s="69">
        <v>19</v>
      </c>
      <c r="D37" s="69">
        <v>17</v>
      </c>
      <c r="E37" s="20">
        <v>2531</v>
      </c>
      <c r="F37" s="20">
        <f t="shared" si="0"/>
        <v>364.8</v>
      </c>
      <c r="G37" s="20">
        <v>2447</v>
      </c>
      <c r="H37" s="20">
        <v>32</v>
      </c>
      <c r="I37" s="20">
        <v>16</v>
      </c>
      <c r="J37" s="20">
        <v>55</v>
      </c>
      <c r="K37" s="20">
        <v>1</v>
      </c>
      <c r="L37" s="20">
        <v>59</v>
      </c>
      <c r="M37" s="20">
        <v>39</v>
      </c>
      <c r="N37" s="20">
        <v>108</v>
      </c>
      <c r="O37" s="20">
        <v>18</v>
      </c>
      <c r="P37" s="20">
        <v>37</v>
      </c>
      <c r="Q37" s="20" t="s">
        <v>36</v>
      </c>
      <c r="R37" s="20">
        <v>84</v>
      </c>
      <c r="S37" s="47">
        <f t="shared" si="1"/>
        <v>449</v>
      </c>
      <c r="T37" s="140">
        <f t="shared" si="2"/>
        <v>2896</v>
      </c>
    </row>
    <row r="38" spans="1:20" s="5" customFormat="1" ht="20.25" customHeight="1">
      <c r="A38" s="71">
        <v>32</v>
      </c>
      <c r="B38" s="69" t="s">
        <v>147</v>
      </c>
      <c r="C38" s="69">
        <v>16</v>
      </c>
      <c r="D38" s="69">
        <v>17</v>
      </c>
      <c r="E38" s="20">
        <v>2534</v>
      </c>
      <c r="F38" s="20">
        <f t="shared" si="0"/>
        <v>307.2</v>
      </c>
      <c r="G38" s="20">
        <v>2464</v>
      </c>
      <c r="H38" s="20">
        <v>16</v>
      </c>
      <c r="I38" s="20">
        <v>6</v>
      </c>
      <c r="J38" s="20">
        <v>19</v>
      </c>
      <c r="K38" s="20">
        <v>0</v>
      </c>
      <c r="L38" s="20">
        <v>17</v>
      </c>
      <c r="M38" s="20">
        <v>20</v>
      </c>
      <c r="N38" s="20">
        <v>112</v>
      </c>
      <c r="O38" s="20">
        <v>0</v>
      </c>
      <c r="P38" s="20">
        <v>20</v>
      </c>
      <c r="Q38" s="20" t="s">
        <v>36</v>
      </c>
      <c r="R38" s="20">
        <v>168</v>
      </c>
      <c r="S38" s="47">
        <f t="shared" si="1"/>
        <v>378</v>
      </c>
      <c r="T38" s="140">
        <f t="shared" si="2"/>
        <v>2842</v>
      </c>
    </row>
    <row r="39" spans="1:20" s="5" customFormat="1" ht="20.25" customHeight="1">
      <c r="A39" s="71">
        <v>33</v>
      </c>
      <c r="B39" s="69" t="s">
        <v>148</v>
      </c>
      <c r="C39" s="69">
        <v>10</v>
      </c>
      <c r="D39" s="69">
        <v>10</v>
      </c>
      <c r="E39" s="20">
        <v>1179</v>
      </c>
      <c r="F39" s="20">
        <f t="shared" si="0"/>
        <v>192</v>
      </c>
      <c r="G39" s="20">
        <v>1129.2</v>
      </c>
      <c r="H39" s="20">
        <v>29.4</v>
      </c>
      <c r="I39" s="20">
        <v>4.8</v>
      </c>
      <c r="J39" s="20">
        <v>17.100000000000001</v>
      </c>
      <c r="K39" s="20">
        <v>6.3</v>
      </c>
      <c r="L39" s="20">
        <v>26.6</v>
      </c>
      <c r="M39" s="20">
        <v>36.299999999999997</v>
      </c>
      <c r="N39" s="20">
        <v>13.3</v>
      </c>
      <c r="O39" s="20"/>
      <c r="P39" s="20">
        <v>29.7</v>
      </c>
      <c r="Q39" s="20"/>
      <c r="R39" s="20">
        <v>78.2</v>
      </c>
      <c r="S39" s="47">
        <f t="shared" si="1"/>
        <v>241.7</v>
      </c>
      <c r="T39" s="140">
        <f t="shared" si="2"/>
        <v>1370.9</v>
      </c>
    </row>
    <row r="40" spans="1:20" s="5" customFormat="1" ht="20.25" customHeight="1">
      <c r="A40" s="71">
        <v>34</v>
      </c>
      <c r="B40" s="34" t="s">
        <v>149</v>
      </c>
      <c r="C40" s="69">
        <v>35</v>
      </c>
      <c r="D40" s="69">
        <v>33</v>
      </c>
      <c r="E40" s="20">
        <v>3873</v>
      </c>
      <c r="F40" s="20">
        <f t="shared" si="0"/>
        <v>672</v>
      </c>
      <c r="G40" s="20">
        <f>1612.172+1418.952+508.037+53.557+50.517+16.092+284.87</f>
        <v>3944.1969999999992</v>
      </c>
      <c r="H40" s="20"/>
      <c r="I40" s="20">
        <v>27.062999999999999</v>
      </c>
      <c r="J40" s="20">
        <v>72.941999999999993</v>
      </c>
      <c r="K40" s="20">
        <v>10.276</v>
      </c>
      <c r="L40" s="20">
        <v>86.599000000000004</v>
      </c>
      <c r="M40" s="20">
        <v>36.662999999999997</v>
      </c>
      <c r="N40" s="20">
        <v>104.59099999999999</v>
      </c>
      <c r="O40" s="20">
        <v>59.89</v>
      </c>
      <c r="P40" s="20">
        <v>157.29599999999999</v>
      </c>
      <c r="Q40" s="20">
        <v>1.7</v>
      </c>
      <c r="R40" s="20">
        <v>44.164999999999999</v>
      </c>
      <c r="S40" s="47">
        <f t="shared" si="1"/>
        <v>601.18499999999995</v>
      </c>
      <c r="T40" s="140">
        <f t="shared" si="2"/>
        <v>4545.3819999999996</v>
      </c>
    </row>
    <row r="41" spans="1:20" s="5" customFormat="1" ht="20.25" customHeight="1">
      <c r="A41" s="71">
        <v>35</v>
      </c>
      <c r="B41" s="69" t="s">
        <v>150</v>
      </c>
      <c r="C41" s="69">
        <v>20</v>
      </c>
      <c r="D41" s="69">
        <v>20</v>
      </c>
      <c r="E41" s="20">
        <v>2510</v>
      </c>
      <c r="F41" s="20">
        <f t="shared" si="0"/>
        <v>384</v>
      </c>
      <c r="G41" s="20">
        <v>2499</v>
      </c>
      <c r="H41" s="20">
        <v>45</v>
      </c>
      <c r="I41" s="20">
        <v>8</v>
      </c>
      <c r="J41" s="20">
        <v>35</v>
      </c>
      <c r="K41" s="20">
        <v>2</v>
      </c>
      <c r="L41" s="20">
        <v>41</v>
      </c>
      <c r="M41" s="20">
        <v>71</v>
      </c>
      <c r="N41" s="20">
        <v>30</v>
      </c>
      <c r="O41" s="20">
        <v>44</v>
      </c>
      <c r="P41" s="20">
        <v>107</v>
      </c>
      <c r="Q41" s="20" t="s">
        <v>36</v>
      </c>
      <c r="R41" s="20">
        <v>12</v>
      </c>
      <c r="S41" s="47">
        <f t="shared" si="1"/>
        <v>395</v>
      </c>
      <c r="T41" s="140">
        <f t="shared" si="2"/>
        <v>2894</v>
      </c>
    </row>
    <row r="42" spans="1:20" s="5" customFormat="1" ht="20.25" customHeight="1">
      <c r="A42" s="71">
        <v>36</v>
      </c>
      <c r="B42" s="34" t="s">
        <v>151</v>
      </c>
      <c r="C42" s="69">
        <v>21</v>
      </c>
      <c r="D42" s="69">
        <v>21</v>
      </c>
      <c r="E42" s="20">
        <v>2452</v>
      </c>
      <c r="F42" s="20">
        <f t="shared" si="0"/>
        <v>403.2</v>
      </c>
      <c r="G42" s="20">
        <v>2273</v>
      </c>
      <c r="H42" s="20">
        <v>10</v>
      </c>
      <c r="I42" s="20">
        <v>9</v>
      </c>
      <c r="J42" s="20">
        <v>70</v>
      </c>
      <c r="K42" s="20">
        <v>5</v>
      </c>
      <c r="L42" s="20">
        <v>55</v>
      </c>
      <c r="M42" s="20">
        <v>89</v>
      </c>
      <c r="N42" s="20">
        <v>127</v>
      </c>
      <c r="O42" s="20">
        <v>34</v>
      </c>
      <c r="P42" s="20">
        <v>77</v>
      </c>
      <c r="Q42" s="20" t="s">
        <v>36</v>
      </c>
      <c r="R42" s="20">
        <v>106</v>
      </c>
      <c r="S42" s="47">
        <f t="shared" si="1"/>
        <v>582</v>
      </c>
      <c r="T42" s="140">
        <f t="shared" si="2"/>
        <v>2855</v>
      </c>
    </row>
    <row r="43" spans="1:20" s="5" customFormat="1" ht="20.25" customHeight="1">
      <c r="A43" s="71">
        <v>37</v>
      </c>
      <c r="B43" s="69" t="s">
        <v>159</v>
      </c>
      <c r="C43" s="69">
        <v>24</v>
      </c>
      <c r="D43" s="69">
        <v>22</v>
      </c>
      <c r="E43" s="20">
        <v>2719</v>
      </c>
      <c r="F43" s="20">
        <f t="shared" si="0"/>
        <v>460.79999999999995</v>
      </c>
      <c r="G43" s="20">
        <v>2719</v>
      </c>
      <c r="H43" s="20">
        <v>16</v>
      </c>
      <c r="I43" s="20">
        <v>185</v>
      </c>
      <c r="J43" s="20">
        <v>26</v>
      </c>
      <c r="K43" s="20">
        <v>6.6</v>
      </c>
      <c r="L43" s="20">
        <v>27</v>
      </c>
      <c r="M43" s="20">
        <v>20</v>
      </c>
      <c r="N43" s="20">
        <v>51</v>
      </c>
      <c r="O43" s="20">
        <v>16</v>
      </c>
      <c r="P43" s="20">
        <v>101</v>
      </c>
      <c r="Q43" s="20"/>
      <c r="R43" s="20">
        <v>11.9</v>
      </c>
      <c r="S43" s="47">
        <f t="shared" si="1"/>
        <v>460.5</v>
      </c>
      <c r="T43" s="140">
        <f t="shared" si="2"/>
        <v>3179.5</v>
      </c>
    </row>
    <row r="44" spans="1:20" s="5" customFormat="1" ht="20.25" customHeight="1">
      <c r="A44" s="71">
        <v>38</v>
      </c>
      <c r="B44" s="69" t="s">
        <v>152</v>
      </c>
      <c r="C44" s="69">
        <v>14</v>
      </c>
      <c r="D44" s="69">
        <v>12</v>
      </c>
      <c r="E44" s="20">
        <v>1881</v>
      </c>
      <c r="F44" s="20">
        <f t="shared" si="0"/>
        <v>268.8</v>
      </c>
      <c r="G44" s="20">
        <v>1862.9024690000001</v>
      </c>
      <c r="H44" s="20">
        <v>16.13</v>
      </c>
      <c r="I44" s="20">
        <v>13.24708</v>
      </c>
      <c r="J44" s="20">
        <v>13.438000000000001</v>
      </c>
      <c r="K44" s="20">
        <v>6.0815510000000002</v>
      </c>
      <c r="L44" s="20">
        <v>37.676000000000002</v>
      </c>
      <c r="M44" s="20"/>
      <c r="N44" s="20">
        <v>35.973999999999997</v>
      </c>
      <c r="O44" s="20">
        <v>34.799999999999997</v>
      </c>
      <c r="P44" s="20">
        <v>49.348199999999999</v>
      </c>
      <c r="Q44" s="20"/>
      <c r="R44" s="20">
        <v>81.427000000000007</v>
      </c>
      <c r="S44" s="47">
        <f t="shared" si="1"/>
        <v>288.12183099999999</v>
      </c>
      <c r="T44" s="140">
        <f t="shared" si="2"/>
        <v>2151.0243</v>
      </c>
    </row>
    <row r="45" spans="1:20" s="5" customFormat="1" ht="20.25" customHeight="1">
      <c r="A45" s="71">
        <v>39</v>
      </c>
      <c r="B45" s="34" t="s">
        <v>153</v>
      </c>
      <c r="C45" s="69">
        <v>21</v>
      </c>
      <c r="D45" s="69">
        <v>19</v>
      </c>
      <c r="E45" s="20">
        <v>2490</v>
      </c>
      <c r="F45" s="20">
        <f t="shared" si="0"/>
        <v>403.2</v>
      </c>
      <c r="G45" s="20">
        <v>2539.52</v>
      </c>
      <c r="H45" s="20"/>
      <c r="I45" s="20">
        <v>11.28</v>
      </c>
      <c r="J45" s="20">
        <v>76.23</v>
      </c>
      <c r="K45" s="20">
        <v>10.67</v>
      </c>
      <c r="L45" s="20">
        <v>41.92</v>
      </c>
      <c r="M45" s="20">
        <v>17.88</v>
      </c>
      <c r="N45" s="20">
        <v>74.569999999999993</v>
      </c>
      <c r="O45" s="20">
        <v>17.63</v>
      </c>
      <c r="P45" s="20">
        <v>87.93</v>
      </c>
      <c r="Q45" s="20"/>
      <c r="R45" s="20">
        <v>16.86</v>
      </c>
      <c r="S45" s="47">
        <f t="shared" si="1"/>
        <v>354.97</v>
      </c>
      <c r="T45" s="140">
        <f t="shared" si="2"/>
        <v>2894.49</v>
      </c>
    </row>
    <row r="46" spans="1:20" s="5" customFormat="1" ht="20.25" customHeight="1">
      <c r="A46" s="71">
        <v>40</v>
      </c>
      <c r="B46" s="69" t="s">
        <v>154</v>
      </c>
      <c r="C46" s="69">
        <v>12</v>
      </c>
      <c r="D46" s="69">
        <v>12</v>
      </c>
      <c r="E46" s="20">
        <v>1557</v>
      </c>
      <c r="F46" s="20">
        <f t="shared" si="0"/>
        <v>230.39999999999998</v>
      </c>
      <c r="G46" s="20">
        <v>1532.425</v>
      </c>
      <c r="H46" s="20"/>
      <c r="I46" s="20">
        <v>1.6479999999999999</v>
      </c>
      <c r="J46" s="20">
        <v>61.917000000000002</v>
      </c>
      <c r="K46" s="20">
        <v>4.8499999999999996</v>
      </c>
      <c r="L46" s="20">
        <v>21.43</v>
      </c>
      <c r="M46" s="20">
        <v>9.5470000000000006</v>
      </c>
      <c r="N46" s="20">
        <v>7.4</v>
      </c>
      <c r="O46" s="20"/>
      <c r="P46" s="20">
        <v>71.409000000000006</v>
      </c>
      <c r="Q46" s="20"/>
      <c r="R46" s="20">
        <v>76.33</v>
      </c>
      <c r="S46" s="47">
        <f t="shared" si="1"/>
        <v>254.53100000000001</v>
      </c>
      <c r="T46" s="140">
        <f t="shared" si="2"/>
        <v>1786.9559999999999</v>
      </c>
    </row>
    <row r="47" spans="1:20" s="5" customFormat="1" ht="20.25" customHeight="1">
      <c r="A47" s="71">
        <v>41</v>
      </c>
      <c r="B47" s="69" t="s">
        <v>155</v>
      </c>
      <c r="C47" s="69">
        <v>20</v>
      </c>
      <c r="D47" s="69">
        <v>19</v>
      </c>
      <c r="E47" s="20">
        <v>2757</v>
      </c>
      <c r="F47" s="20">
        <f t="shared" si="0"/>
        <v>384</v>
      </c>
      <c r="G47" s="20">
        <v>2696</v>
      </c>
      <c r="H47" s="20">
        <v>18</v>
      </c>
      <c r="I47" s="20">
        <v>12</v>
      </c>
      <c r="J47" s="20">
        <v>72</v>
      </c>
      <c r="K47" s="20">
        <v>4</v>
      </c>
      <c r="L47" s="20">
        <v>75</v>
      </c>
      <c r="M47" s="20">
        <v>22</v>
      </c>
      <c r="N47" s="20">
        <v>74</v>
      </c>
      <c r="O47" s="20">
        <v>0</v>
      </c>
      <c r="P47" s="20">
        <v>85</v>
      </c>
      <c r="Q47" s="20" t="s">
        <v>36</v>
      </c>
      <c r="R47" s="20">
        <v>83</v>
      </c>
      <c r="S47" s="47">
        <f t="shared" si="1"/>
        <v>445</v>
      </c>
      <c r="T47" s="140">
        <f t="shared" si="2"/>
        <v>3141</v>
      </c>
    </row>
    <row r="48" spans="1:20" s="5" customFormat="1" ht="20.25" customHeight="1">
      <c r="A48" s="71">
        <v>42</v>
      </c>
      <c r="B48" s="69" t="s">
        <v>160</v>
      </c>
      <c r="C48" s="69">
        <v>11</v>
      </c>
      <c r="D48" s="69">
        <v>11</v>
      </c>
      <c r="E48" s="20">
        <v>1702</v>
      </c>
      <c r="F48" s="20">
        <f t="shared" si="0"/>
        <v>211.2</v>
      </c>
      <c r="G48" s="20">
        <v>1702</v>
      </c>
      <c r="H48" s="20">
        <v>12</v>
      </c>
      <c r="I48" s="20">
        <v>9</v>
      </c>
      <c r="J48" s="20">
        <v>14</v>
      </c>
      <c r="K48" s="20">
        <v>6</v>
      </c>
      <c r="L48" s="20">
        <v>19</v>
      </c>
      <c r="M48" s="20">
        <v>9</v>
      </c>
      <c r="N48" s="20">
        <v>25</v>
      </c>
      <c r="O48" s="20">
        <v>0</v>
      </c>
      <c r="P48" s="20">
        <v>35</v>
      </c>
      <c r="Q48" s="20" t="s">
        <v>36</v>
      </c>
      <c r="R48" s="20">
        <v>82</v>
      </c>
      <c r="S48" s="47">
        <f t="shared" si="1"/>
        <v>211</v>
      </c>
      <c r="T48" s="140">
        <f t="shared" si="2"/>
        <v>1913</v>
      </c>
    </row>
    <row r="49" spans="1:20" s="5" customFormat="1" ht="20.25" customHeight="1">
      <c r="A49" s="71">
        <v>43</v>
      </c>
      <c r="B49" s="69" t="s">
        <v>156</v>
      </c>
      <c r="C49" s="69">
        <v>11</v>
      </c>
      <c r="D49" s="69">
        <v>9</v>
      </c>
      <c r="E49" s="20">
        <v>1080</v>
      </c>
      <c r="F49" s="20">
        <f t="shared" si="0"/>
        <v>211.2</v>
      </c>
      <c r="G49" s="20">
        <v>1025.8</v>
      </c>
      <c r="H49" s="20">
        <v>6.5</v>
      </c>
      <c r="I49" s="20">
        <v>4.7</v>
      </c>
      <c r="J49" s="20">
        <v>4.8</v>
      </c>
      <c r="K49" s="20">
        <v>0.6</v>
      </c>
      <c r="L49" s="20">
        <v>40.1</v>
      </c>
      <c r="M49" s="20">
        <v>28.6</v>
      </c>
      <c r="N49" s="20">
        <v>8.5</v>
      </c>
      <c r="O49" s="20">
        <v>19.5</v>
      </c>
      <c r="P49" s="20">
        <v>58.1</v>
      </c>
      <c r="Q49" s="20"/>
      <c r="R49" s="20">
        <v>93.8</v>
      </c>
      <c r="S49" s="47">
        <f t="shared" si="1"/>
        <v>265.2</v>
      </c>
      <c r="T49" s="140">
        <f t="shared" si="2"/>
        <v>1291</v>
      </c>
    </row>
    <row r="50" spans="1:20" s="5" customFormat="1" ht="20.25" customHeight="1">
      <c r="A50" s="161" t="s">
        <v>19</v>
      </c>
      <c r="B50" s="162"/>
      <c r="C50" s="12">
        <f t="shared" ref="C50:D50" si="3">SUM(C7:C49)</f>
        <v>697</v>
      </c>
      <c r="D50" s="12">
        <f t="shared" si="3"/>
        <v>678</v>
      </c>
      <c r="E50" s="6">
        <f>SUM(E7:E49)</f>
        <v>88057</v>
      </c>
      <c r="F50" s="6">
        <f t="shared" ref="F50:G50" si="4">SUM(F7:F49)</f>
        <v>13462.400000000001</v>
      </c>
      <c r="G50" s="6">
        <f t="shared" si="4"/>
        <v>87375.640922999999</v>
      </c>
      <c r="H50" s="6">
        <f t="shared" ref="H50:T50" si="5">SUM(H7:H49)</f>
        <v>752.25319999999988</v>
      </c>
      <c r="I50" s="6">
        <f t="shared" si="5"/>
        <v>573.80000800000005</v>
      </c>
      <c r="J50" s="6">
        <f t="shared" si="5"/>
        <v>1883.687457</v>
      </c>
      <c r="K50" s="6">
        <f t="shared" si="5"/>
        <v>170.82194999999996</v>
      </c>
      <c r="L50" s="6">
        <f t="shared" si="5"/>
        <v>1424.732</v>
      </c>
      <c r="M50" s="6">
        <f t="shared" si="5"/>
        <v>1083.3319999999999</v>
      </c>
      <c r="N50" s="6">
        <f t="shared" si="5"/>
        <v>1791.4229999999998</v>
      </c>
      <c r="O50" s="6">
        <f t="shared" si="5"/>
        <v>920.21699999999987</v>
      </c>
      <c r="P50" s="6">
        <f t="shared" si="5"/>
        <v>2787.3586</v>
      </c>
      <c r="Q50" s="6">
        <f t="shared" si="5"/>
        <v>1.7</v>
      </c>
      <c r="R50" s="6">
        <f t="shared" si="5"/>
        <v>2753.617522</v>
      </c>
      <c r="S50" s="6">
        <f t="shared" si="5"/>
        <v>14142.942737000003</v>
      </c>
      <c r="T50" s="6">
        <f t="shared" si="5"/>
        <v>101518.58365999999</v>
      </c>
    </row>
    <row r="51" spans="1:20" s="5" customFormat="1" ht="20.25" customHeight="1"/>
    <row r="52" spans="1:20" s="5" customFormat="1" ht="20.25" customHeight="1"/>
    <row r="53" spans="1:20" s="5" customFormat="1" ht="20.25" customHeight="1"/>
    <row r="54" spans="1:20" s="5" customFormat="1" ht="20.25" customHeight="1"/>
    <row r="55" spans="1:20" s="5" customFormat="1" ht="20.25" customHeight="1"/>
    <row r="56" spans="1:20" s="5" customFormat="1" ht="20.25" customHeight="1"/>
    <row r="57" spans="1:20" s="5" customFormat="1" ht="20.25" customHeight="1"/>
    <row r="58" spans="1:20" s="5" customFormat="1" ht="20.25" customHeight="1"/>
    <row r="59" spans="1:20" s="5" customFormat="1" ht="20.25" customHeight="1"/>
    <row r="60" spans="1:20" s="5" customFormat="1" ht="20.25" customHeight="1"/>
    <row r="61" spans="1:20" s="5" customFormat="1" ht="20.25" customHeight="1"/>
    <row r="62" spans="1:20" s="7" customFormat="1" ht="20.25" customHeight="1"/>
    <row r="63" spans="1:20" s="5" customFormat="1" ht="20.25" customHeight="1"/>
    <row r="64" spans="1:20" s="5" customFormat="1" ht="20.25" customHeight="1"/>
    <row r="65" s="5" customFormat="1" ht="20.25" customHeight="1"/>
    <row r="66" s="5" customFormat="1" ht="20.25" customHeight="1"/>
    <row r="67" s="5" customFormat="1" ht="20.25" customHeight="1"/>
    <row r="68" s="5" customFormat="1" ht="20.25" customHeight="1"/>
    <row r="69" s="5" customFormat="1" ht="20.25" customHeight="1"/>
    <row r="70" s="5" customFormat="1" ht="20.25" customHeight="1"/>
    <row r="71" s="5" customFormat="1" ht="20.25" customHeight="1"/>
    <row r="72" s="5" customFormat="1" ht="20.25" customHeight="1"/>
    <row r="73" s="5" customFormat="1" ht="20.25" customHeight="1"/>
    <row r="74" s="5" customFormat="1" ht="20.25" customHeight="1"/>
    <row r="75" s="5" customFormat="1" ht="20.25" customHeight="1"/>
    <row r="76" s="5" customFormat="1" ht="20.25" customHeight="1"/>
    <row r="77" s="5" customFormat="1" ht="20.25" customHeight="1"/>
    <row r="78" s="5" customFormat="1" ht="20.25" customHeight="1"/>
    <row r="79" s="5" customFormat="1" ht="20.25" customHeight="1"/>
    <row r="80" s="5" customFormat="1" ht="20.25" customHeight="1"/>
    <row r="81" spans="5:6" s="5" customFormat="1" ht="20.25" customHeight="1"/>
    <row r="82" spans="5:6" s="5" customFormat="1" ht="20.25" customHeight="1"/>
    <row r="83" spans="5:6" s="5" customFormat="1" ht="20.25" customHeight="1"/>
    <row r="84" spans="5:6" s="5" customFormat="1" ht="20.25" customHeight="1"/>
    <row r="85" spans="5:6" s="4" customFormat="1" ht="20.25" customHeight="1">
      <c r="E85" s="5"/>
      <c r="F85" s="5"/>
    </row>
    <row r="86" spans="5:6" s="4" customFormat="1" ht="20.25" customHeight="1">
      <c r="E86" s="5"/>
      <c r="F86" s="5"/>
    </row>
    <row r="87" spans="5:6" s="4" customFormat="1" ht="20.25" customHeight="1">
      <c r="E87" s="5"/>
      <c r="F87" s="5"/>
    </row>
    <row r="88" spans="5:6" s="4" customFormat="1" ht="20.25" customHeight="1">
      <c r="E88" s="5"/>
      <c r="F88" s="5"/>
    </row>
    <row r="89" spans="5:6" s="4" customFormat="1" ht="20.25" customHeight="1">
      <c r="E89" s="5"/>
      <c r="F89" s="5"/>
    </row>
    <row r="90" spans="5:6" s="4" customFormat="1" ht="20.25" customHeight="1">
      <c r="E90" s="5"/>
      <c r="F90" s="5"/>
    </row>
    <row r="91" spans="5:6" s="4" customFormat="1" ht="20.25" customHeight="1">
      <c r="E91" s="5"/>
      <c r="F91" s="5"/>
    </row>
    <row r="92" spans="5:6" s="4" customFormat="1" ht="20.25" customHeight="1">
      <c r="E92" s="5"/>
      <c r="F92" s="5"/>
    </row>
    <row r="93" spans="5:6" s="4" customFormat="1" ht="20.25" customHeight="1">
      <c r="E93" s="5"/>
      <c r="F93" s="5"/>
    </row>
    <row r="94" spans="5:6" s="4" customFormat="1" ht="20.25" customHeight="1">
      <c r="E94" s="5"/>
      <c r="F94" s="5"/>
    </row>
    <row r="95" spans="5:6" s="4" customFormat="1" ht="20.25" customHeight="1">
      <c r="E95" s="5"/>
      <c r="F95" s="5"/>
    </row>
    <row r="96" spans="5:6" s="4" customFormat="1" ht="20.25" customHeight="1">
      <c r="E96" s="5"/>
      <c r="F96" s="5"/>
    </row>
    <row r="97" spans="5:6" s="4" customFormat="1" ht="20.25" customHeight="1">
      <c r="E97" s="5"/>
      <c r="F97" s="5"/>
    </row>
    <row r="98" spans="5:6" s="4" customFormat="1" ht="20.25" customHeight="1">
      <c r="E98" s="5"/>
      <c r="F98" s="5"/>
    </row>
    <row r="99" spans="5:6" s="4" customFormat="1" ht="20.25" customHeight="1">
      <c r="E99" s="5"/>
      <c r="F99" s="5"/>
    </row>
    <row r="100" spans="5:6" s="4" customFormat="1" ht="20.25" customHeight="1">
      <c r="E100" s="5"/>
      <c r="F100" s="5"/>
    </row>
    <row r="101" spans="5:6" s="4" customFormat="1" ht="20.25" customHeight="1">
      <c r="E101" s="5"/>
      <c r="F101" s="5"/>
    </row>
    <row r="102" spans="5:6" s="4" customFormat="1" ht="20.25" customHeight="1">
      <c r="E102" s="5"/>
      <c r="F102" s="5"/>
    </row>
    <row r="103" spans="5:6" s="4" customFormat="1" ht="20.25" customHeight="1">
      <c r="E103" s="5"/>
      <c r="F103" s="5"/>
    </row>
    <row r="104" spans="5:6" s="4" customFormat="1" ht="20.25" customHeight="1">
      <c r="E104" s="5"/>
      <c r="F104" s="5"/>
    </row>
    <row r="105" spans="5:6" s="4" customFormat="1" ht="20.25" customHeight="1">
      <c r="E105" s="5"/>
      <c r="F105" s="5"/>
    </row>
    <row r="106" spans="5:6" s="4" customFormat="1" ht="20.25" customHeight="1">
      <c r="E106" s="5"/>
      <c r="F106" s="5"/>
    </row>
    <row r="107" spans="5:6" s="1" customFormat="1" ht="20.25" customHeight="1">
      <c r="E107" s="5"/>
      <c r="F107" s="5"/>
    </row>
    <row r="108" spans="5:6" s="1" customFormat="1" ht="20.25" customHeight="1">
      <c r="E108" s="5"/>
      <c r="F108" s="5"/>
    </row>
    <row r="109" spans="5:6" s="1" customFormat="1" ht="20.25" customHeight="1">
      <c r="E109" s="5"/>
      <c r="F109" s="5"/>
    </row>
    <row r="110" spans="5:6" s="1" customFormat="1" ht="20.25" customHeight="1">
      <c r="E110" s="5"/>
      <c r="F110" s="5"/>
    </row>
    <row r="111" spans="5:6" s="1" customFormat="1" ht="20.25" customHeight="1">
      <c r="E111" s="5"/>
      <c r="F111" s="5"/>
    </row>
    <row r="112" spans="5:6" s="1" customFormat="1" ht="20.25" customHeight="1">
      <c r="E112" s="5"/>
      <c r="F112" s="5"/>
    </row>
    <row r="113" spans="5:6" s="1" customFormat="1" ht="20.25" customHeight="1">
      <c r="E113" s="5"/>
      <c r="F113" s="5"/>
    </row>
    <row r="114" spans="5:6" s="1" customFormat="1" ht="20.25" customHeight="1">
      <c r="E114" s="5"/>
      <c r="F114" s="5"/>
    </row>
    <row r="115" spans="5:6" s="1" customFormat="1" ht="20.25" customHeight="1">
      <c r="E115" s="5"/>
      <c r="F115" s="5"/>
    </row>
    <row r="116" spans="5:6" s="1" customFormat="1" ht="20.25" customHeight="1">
      <c r="E116" s="5"/>
      <c r="F116" s="5"/>
    </row>
    <row r="117" spans="5:6" s="1" customFormat="1" ht="20.25" customHeight="1">
      <c r="E117" s="5"/>
      <c r="F117" s="5"/>
    </row>
    <row r="118" spans="5:6" s="1" customFormat="1" ht="20.25" customHeight="1">
      <c r="E118" s="5"/>
      <c r="F118" s="5"/>
    </row>
    <row r="119" spans="5:6" s="1" customFormat="1" ht="20.25" customHeight="1">
      <c r="E119" s="5"/>
      <c r="F119" s="5"/>
    </row>
    <row r="120" spans="5:6" s="1" customFormat="1" ht="20.25" customHeight="1">
      <c r="E120" s="5"/>
      <c r="F120" s="5"/>
    </row>
    <row r="121" spans="5:6" s="1" customFormat="1" ht="20.25" customHeight="1">
      <c r="E121" s="5"/>
      <c r="F121" s="5"/>
    </row>
    <row r="122" spans="5:6" s="1" customFormat="1" ht="20.25" customHeight="1">
      <c r="E122" s="5"/>
      <c r="F122" s="5"/>
    </row>
    <row r="123" spans="5:6" s="1" customFormat="1" ht="20.25" customHeight="1">
      <c r="E123" s="5"/>
      <c r="F123" s="5"/>
    </row>
    <row r="124" spans="5:6" s="1" customFormat="1" ht="20.25" customHeight="1">
      <c r="E124" s="5"/>
      <c r="F124" s="5"/>
    </row>
    <row r="125" spans="5:6" s="1" customFormat="1" ht="20.25" customHeight="1">
      <c r="E125" s="5"/>
      <c r="F125" s="5"/>
    </row>
    <row r="126" spans="5:6" s="1" customFormat="1" ht="20.25" customHeight="1">
      <c r="E126" s="5"/>
      <c r="F126" s="5"/>
    </row>
    <row r="127" spans="5:6" s="1" customFormat="1" ht="20.25" customHeight="1">
      <c r="E127" s="5"/>
      <c r="F127" s="5"/>
    </row>
    <row r="128" spans="5:6" s="1" customFormat="1" ht="20.25" customHeight="1">
      <c r="E128" s="5"/>
      <c r="F128" s="5"/>
    </row>
    <row r="129" spans="5:6" s="1" customFormat="1" ht="20.25" customHeight="1">
      <c r="E129" s="5"/>
      <c r="F129" s="5"/>
    </row>
    <row r="130" spans="5:6" s="1" customFormat="1" ht="20.25" customHeight="1">
      <c r="E130" s="5"/>
      <c r="F130" s="5"/>
    </row>
    <row r="131" spans="5:6" s="1" customFormat="1" ht="20.25" customHeight="1">
      <c r="E131" s="5"/>
      <c r="F131" s="5"/>
    </row>
    <row r="132" spans="5:6" s="1" customFormat="1" ht="20.25" customHeight="1">
      <c r="E132" s="5"/>
      <c r="F132" s="5"/>
    </row>
    <row r="133" spans="5:6" s="1" customFormat="1" ht="20.25" customHeight="1">
      <c r="E133" s="5"/>
      <c r="F133" s="5"/>
    </row>
    <row r="134" spans="5:6" s="1" customFormat="1" ht="20.25" customHeight="1">
      <c r="E134" s="5"/>
      <c r="F134" s="5"/>
    </row>
    <row r="135" spans="5:6" s="1" customFormat="1" ht="20.25" customHeight="1">
      <c r="E135" s="5"/>
      <c r="F135" s="5"/>
    </row>
    <row r="136" spans="5:6" s="1" customFormat="1" ht="20.25" customHeight="1">
      <c r="E136" s="5"/>
      <c r="F136" s="5"/>
    </row>
    <row r="137" spans="5:6" s="1" customFormat="1" ht="20.25" customHeight="1">
      <c r="E137" s="5"/>
      <c r="F137" s="5"/>
    </row>
    <row r="138" spans="5:6" s="1" customFormat="1" ht="20.25" customHeight="1">
      <c r="E138" s="5"/>
      <c r="F138" s="5"/>
    </row>
    <row r="139" spans="5:6" s="1" customFormat="1" ht="20.25" customHeight="1">
      <c r="E139" s="5"/>
      <c r="F139" s="5"/>
    </row>
    <row r="140" spans="5:6" s="1" customFormat="1" ht="20.25" customHeight="1">
      <c r="E140" s="5"/>
      <c r="F140" s="5"/>
    </row>
    <row r="141" spans="5:6" s="2" customFormat="1" ht="20.25" customHeight="1">
      <c r="E141" s="7"/>
      <c r="F141" s="7"/>
    </row>
    <row r="142" spans="5:6" s="1" customFormat="1" ht="20.25" customHeight="1">
      <c r="E142" s="5"/>
      <c r="F142" s="5"/>
    </row>
    <row r="143" spans="5:6" s="1" customFormat="1" ht="20.25" customHeight="1">
      <c r="E143" s="5"/>
      <c r="F143" s="5"/>
    </row>
    <row r="144" spans="5:6" s="1" customFormat="1" ht="20.25" customHeight="1">
      <c r="E144" s="5"/>
      <c r="F144" s="5"/>
    </row>
    <row r="145" spans="5:6" s="1" customFormat="1" ht="20.25" customHeight="1">
      <c r="E145" s="5"/>
      <c r="F145" s="5"/>
    </row>
    <row r="146" spans="5:6" s="1" customFormat="1" ht="20.25" customHeight="1">
      <c r="E146" s="5"/>
      <c r="F146" s="5"/>
    </row>
    <row r="147" spans="5:6" s="1" customFormat="1" ht="20.25" customHeight="1">
      <c r="E147" s="5"/>
      <c r="F147" s="5"/>
    </row>
    <row r="148" spans="5:6" s="1" customFormat="1" ht="20.25" customHeight="1">
      <c r="E148" s="5"/>
      <c r="F148" s="5"/>
    </row>
    <row r="149" spans="5:6" s="1" customFormat="1" ht="20.25" customHeight="1">
      <c r="E149" s="5"/>
      <c r="F149" s="5"/>
    </row>
    <row r="150" spans="5:6" s="1" customFormat="1" ht="20.25" customHeight="1">
      <c r="E150" s="5"/>
      <c r="F150" s="5"/>
    </row>
    <row r="151" spans="5:6" s="1" customFormat="1" ht="20.25" customHeight="1">
      <c r="E151" s="5"/>
      <c r="F151" s="5"/>
    </row>
    <row r="152" spans="5:6" s="1" customFormat="1" ht="20.25" customHeight="1">
      <c r="E152" s="5"/>
      <c r="F152" s="5"/>
    </row>
    <row r="153" spans="5:6" s="1" customFormat="1" ht="20.25" customHeight="1">
      <c r="E153" s="5"/>
      <c r="F153" s="5"/>
    </row>
    <row r="154" spans="5:6" s="1" customFormat="1" ht="20.25" customHeight="1">
      <c r="E154" s="5"/>
      <c r="F154" s="5"/>
    </row>
    <row r="155" spans="5:6" s="5" customFormat="1" ht="20.25" customHeight="1"/>
    <row r="156" spans="5:6" s="5" customFormat="1" ht="20.25" customHeight="1"/>
    <row r="157" spans="5:6" s="5" customFormat="1" ht="20.25" customHeight="1"/>
    <row r="158" spans="5:6" s="5" customFormat="1" ht="20.25" customHeight="1"/>
    <row r="159" spans="5:6" s="5" customFormat="1" ht="20.25" customHeight="1"/>
    <row r="160" spans="5:6" s="5" customFormat="1" ht="20.25" customHeight="1"/>
    <row r="161" spans="1:1" s="5" customFormat="1" ht="20.25" customHeight="1"/>
    <row r="162" spans="1:1" s="5" customFormat="1" ht="20.25" customHeight="1"/>
    <row r="163" spans="1:1" s="5" customFormat="1" ht="20.25" customHeight="1"/>
    <row r="164" spans="1:1" s="5" customFormat="1" ht="20.25" customHeight="1"/>
    <row r="165" spans="1:1" s="5" customFormat="1" ht="20.25" customHeight="1"/>
    <row r="166" spans="1:1" s="5" customFormat="1" ht="20.25" customHeight="1"/>
    <row r="167" spans="1:1" s="11" customFormat="1" ht="20.25" customHeight="1"/>
    <row r="168" spans="1:1" s="5" customFormat="1" ht="20.25" customHeight="1"/>
    <row r="169" spans="1:1" ht="15">
      <c r="A169" s="3"/>
    </row>
    <row r="170" spans="1:1" ht="15">
      <c r="A170" s="3"/>
    </row>
    <row r="171" spans="1:1" ht="15">
      <c r="A171" s="3"/>
    </row>
    <row r="172" spans="1:1" ht="15">
      <c r="A172" s="3"/>
    </row>
    <row r="173" spans="1:1" ht="15">
      <c r="A173" s="3"/>
    </row>
    <row r="174" spans="1:1" ht="15">
      <c r="A174" s="3"/>
    </row>
    <row r="175" spans="1:1" ht="15">
      <c r="A175" s="3"/>
    </row>
    <row r="176" spans="1:1" ht="15">
      <c r="A176" s="3"/>
    </row>
    <row r="177" spans="1:1" ht="15">
      <c r="A177" s="3"/>
    </row>
    <row r="178" spans="1:1" ht="15">
      <c r="A178" s="3"/>
    </row>
    <row r="179" spans="1:1" ht="15">
      <c r="A179" s="3"/>
    </row>
    <row r="180" spans="1:1" ht="15">
      <c r="A180" s="3"/>
    </row>
    <row r="181" spans="1:1" ht="15">
      <c r="A181" s="3"/>
    </row>
    <row r="182" spans="1:1" ht="15">
      <c r="A182" s="3"/>
    </row>
    <row r="183" spans="1:1" ht="15">
      <c r="A183" s="3"/>
    </row>
    <row r="184" spans="1:1" ht="15">
      <c r="A184" s="3"/>
    </row>
    <row r="185" spans="1:1" ht="15">
      <c r="A185" s="3"/>
    </row>
    <row r="186" spans="1:1" ht="15">
      <c r="A186" s="3"/>
    </row>
    <row r="187" spans="1:1" ht="15">
      <c r="A187" s="3"/>
    </row>
    <row r="188" spans="1:1" ht="15">
      <c r="A188" s="3"/>
    </row>
    <row r="189" spans="1:1" ht="15">
      <c r="A189" s="3"/>
    </row>
    <row r="190" spans="1:1" ht="15">
      <c r="A190" s="3"/>
    </row>
    <row r="191" spans="1:1" ht="15">
      <c r="A191" s="3"/>
    </row>
    <row r="192" spans="1:1" ht="15">
      <c r="A192" s="3"/>
    </row>
    <row r="193" spans="1:1" ht="15">
      <c r="A193" s="3"/>
    </row>
    <row r="194" spans="1:1" ht="15">
      <c r="A194" s="3"/>
    </row>
    <row r="195" spans="1:1" ht="15">
      <c r="A195" s="3"/>
    </row>
    <row r="196" spans="1:1" ht="15">
      <c r="A196" s="3"/>
    </row>
    <row r="197" spans="1:1" ht="15">
      <c r="A197" s="3"/>
    </row>
    <row r="198" spans="1:1" ht="15">
      <c r="A198" s="3"/>
    </row>
    <row r="199" spans="1:1" ht="15">
      <c r="A199" s="3"/>
    </row>
    <row r="200" spans="1:1" ht="15">
      <c r="A200" s="3"/>
    </row>
    <row r="201" spans="1:1" ht="15">
      <c r="A201" s="3"/>
    </row>
    <row r="202" spans="1:1" ht="15">
      <c r="A202" s="3"/>
    </row>
    <row r="203" spans="1:1" ht="15">
      <c r="A203" s="3"/>
    </row>
    <row r="204" spans="1:1" ht="15">
      <c r="A204" s="3"/>
    </row>
    <row r="205" spans="1:1" ht="15">
      <c r="A205" s="3"/>
    </row>
    <row r="206" spans="1:1" ht="15">
      <c r="A206" s="3"/>
    </row>
    <row r="207" spans="1:1" ht="15">
      <c r="A207" s="3"/>
    </row>
    <row r="208" spans="1:1" ht="15">
      <c r="A208" s="3"/>
    </row>
    <row r="209" spans="1:1" ht="15">
      <c r="A209" s="3"/>
    </row>
    <row r="210" spans="1:1" ht="15">
      <c r="A210" s="3"/>
    </row>
    <row r="211" spans="1:1" ht="15">
      <c r="A211" s="3"/>
    </row>
    <row r="212" spans="1:1" ht="15">
      <c r="A212" s="3"/>
    </row>
    <row r="213" spans="1:1" ht="15">
      <c r="A213" s="3"/>
    </row>
    <row r="214" spans="1:1" ht="15">
      <c r="A214" s="3"/>
    </row>
    <row r="215" spans="1:1" ht="15">
      <c r="A215" s="3"/>
    </row>
    <row r="216" spans="1:1" ht="15">
      <c r="A216" s="3"/>
    </row>
    <row r="217" spans="1:1" ht="15">
      <c r="A217" s="3"/>
    </row>
    <row r="218" spans="1:1" ht="15">
      <c r="A218" s="3"/>
    </row>
    <row r="219" spans="1:1" ht="15">
      <c r="A219" s="3"/>
    </row>
    <row r="220" spans="1:1" ht="15">
      <c r="A220" s="3"/>
    </row>
    <row r="221" spans="1:1" ht="15">
      <c r="A221" s="3"/>
    </row>
    <row r="222" spans="1:1" ht="15">
      <c r="A222" s="3"/>
    </row>
    <row r="223" spans="1:1" ht="15">
      <c r="A223" s="3"/>
    </row>
    <row r="224" spans="1:1" ht="15">
      <c r="A224" s="3"/>
    </row>
    <row r="225" spans="1:1" ht="15">
      <c r="A225" s="3"/>
    </row>
    <row r="226" spans="1:1" ht="15">
      <c r="A226" s="3"/>
    </row>
    <row r="227" spans="1:1" ht="15">
      <c r="A227" s="3"/>
    </row>
    <row r="228" spans="1:1" ht="15">
      <c r="A228" s="3"/>
    </row>
    <row r="229" spans="1:1" ht="15">
      <c r="A229" s="3"/>
    </row>
    <row r="230" spans="1:1" ht="15">
      <c r="A230" s="3"/>
    </row>
    <row r="231" spans="1:1" ht="15">
      <c r="A231" s="3"/>
    </row>
    <row r="232" spans="1:1" ht="15">
      <c r="A232" s="3"/>
    </row>
    <row r="233" spans="1:1" ht="15">
      <c r="A233" s="3"/>
    </row>
    <row r="234" spans="1:1" ht="15">
      <c r="A234" s="3"/>
    </row>
    <row r="235" spans="1:1" ht="15">
      <c r="A235" s="3"/>
    </row>
    <row r="236" spans="1:1" ht="15">
      <c r="A236" s="3"/>
    </row>
    <row r="237" spans="1:1" ht="15">
      <c r="A237" s="3"/>
    </row>
    <row r="238" spans="1:1" ht="15">
      <c r="A238" s="3"/>
    </row>
    <row r="239" spans="1:1" ht="15">
      <c r="A239" s="3"/>
    </row>
    <row r="240" spans="1:1" ht="15">
      <c r="A240" s="3"/>
    </row>
    <row r="241" spans="1:1" ht="15">
      <c r="A241" s="3"/>
    </row>
    <row r="242" spans="1:1" ht="15">
      <c r="A242" s="3"/>
    </row>
    <row r="243" spans="1:1" ht="15">
      <c r="A243" s="3"/>
    </row>
    <row r="244" spans="1:1" ht="15">
      <c r="A244" s="3"/>
    </row>
    <row r="245" spans="1:1" ht="15">
      <c r="A245" s="3"/>
    </row>
    <row r="246" spans="1:1" ht="15">
      <c r="A246" s="3"/>
    </row>
    <row r="247" spans="1:1" ht="15">
      <c r="A247" s="3"/>
    </row>
    <row r="248" spans="1:1" ht="15">
      <c r="A248" s="3"/>
    </row>
    <row r="249" spans="1:1" ht="15">
      <c r="A249" s="3"/>
    </row>
    <row r="250" spans="1:1" ht="15">
      <c r="A250" s="3"/>
    </row>
    <row r="251" spans="1:1" ht="15">
      <c r="A251" s="3"/>
    </row>
    <row r="252" spans="1:1" ht="15">
      <c r="A252" s="3"/>
    </row>
    <row r="253" spans="1:1" ht="15">
      <c r="A253" s="3"/>
    </row>
    <row r="254" spans="1:1" ht="15">
      <c r="A254" s="3"/>
    </row>
    <row r="255" spans="1:1" ht="15">
      <c r="A255" s="3"/>
    </row>
    <row r="256" spans="1:1" ht="15">
      <c r="A256" s="3"/>
    </row>
    <row r="257" spans="1:1" ht="15">
      <c r="A257" s="3"/>
    </row>
    <row r="258" spans="1:1" ht="15">
      <c r="A258" s="3"/>
    </row>
    <row r="259" spans="1:1" ht="15">
      <c r="A259" s="3"/>
    </row>
    <row r="260" spans="1:1" ht="15">
      <c r="A260" s="3"/>
    </row>
    <row r="261" spans="1:1" ht="15">
      <c r="A261" s="3"/>
    </row>
    <row r="262" spans="1:1" ht="15">
      <c r="A262" s="3"/>
    </row>
    <row r="263" spans="1:1" ht="15">
      <c r="A263" s="3"/>
    </row>
    <row r="264" spans="1:1" ht="15">
      <c r="A264" s="3"/>
    </row>
    <row r="265" spans="1:1" ht="15">
      <c r="A265" s="3"/>
    </row>
    <row r="266" spans="1:1" ht="15">
      <c r="A266" s="3"/>
    </row>
    <row r="267" spans="1:1" ht="15">
      <c r="A267" s="3"/>
    </row>
    <row r="268" spans="1:1" ht="15">
      <c r="A268" s="3"/>
    </row>
    <row r="269" spans="1:1" ht="15">
      <c r="A269" s="3"/>
    </row>
    <row r="270" spans="1:1" ht="15">
      <c r="A270" s="3"/>
    </row>
    <row r="271" spans="1:1" ht="15">
      <c r="A271" s="3"/>
    </row>
    <row r="272" spans="1:1" ht="15">
      <c r="A272" s="3"/>
    </row>
    <row r="273" spans="1:1" ht="15">
      <c r="A273" s="3"/>
    </row>
    <row r="274" spans="1:1" ht="15">
      <c r="A274" s="3"/>
    </row>
    <row r="275" spans="1:1" ht="15">
      <c r="A275" s="3"/>
    </row>
    <row r="276" spans="1:1" ht="15">
      <c r="A276" s="3"/>
    </row>
    <row r="277" spans="1:1" ht="15">
      <c r="A277" s="3"/>
    </row>
    <row r="278" spans="1:1" ht="15">
      <c r="A278" s="3"/>
    </row>
    <row r="279" spans="1:1" ht="15">
      <c r="A279" s="3"/>
    </row>
    <row r="280" spans="1:1" ht="15">
      <c r="A280" s="3"/>
    </row>
    <row r="281" spans="1:1" ht="15">
      <c r="A281" s="3"/>
    </row>
    <row r="282" spans="1:1" ht="15">
      <c r="A282" s="3"/>
    </row>
    <row r="283" spans="1:1" ht="15">
      <c r="A283" s="3"/>
    </row>
    <row r="284" spans="1:1" ht="15">
      <c r="A284" s="3"/>
    </row>
    <row r="285" spans="1:1" ht="15">
      <c r="A285" s="3"/>
    </row>
    <row r="286" spans="1:1" ht="15">
      <c r="A286" s="3"/>
    </row>
    <row r="287" spans="1:1" ht="15">
      <c r="A287" s="3"/>
    </row>
    <row r="288" spans="1:1" ht="15">
      <c r="A288" s="3"/>
    </row>
    <row r="289" spans="1:1" ht="15">
      <c r="A289" s="3"/>
    </row>
    <row r="290" spans="1:1" ht="15">
      <c r="A290" s="3"/>
    </row>
    <row r="291" spans="1:1" ht="15">
      <c r="A291" s="3"/>
    </row>
    <row r="292" spans="1:1" ht="15">
      <c r="A292" s="3"/>
    </row>
    <row r="293" spans="1:1" ht="15">
      <c r="A293" s="3"/>
    </row>
    <row r="294" spans="1:1" ht="15">
      <c r="A294" s="3"/>
    </row>
    <row r="295" spans="1:1" ht="15">
      <c r="A295" s="3"/>
    </row>
    <row r="296" spans="1:1" ht="15">
      <c r="A296" s="3"/>
    </row>
    <row r="297" spans="1:1" ht="15">
      <c r="A297" s="3"/>
    </row>
    <row r="298" spans="1:1" ht="15">
      <c r="A298" s="3"/>
    </row>
    <row r="299" spans="1:1" ht="15">
      <c r="A299" s="3"/>
    </row>
    <row r="300" spans="1:1" ht="15">
      <c r="A300" s="3"/>
    </row>
    <row r="301" spans="1:1" ht="15">
      <c r="A301" s="3"/>
    </row>
    <row r="302" spans="1:1" ht="15">
      <c r="A302" s="3"/>
    </row>
    <row r="303" spans="1:1" ht="15">
      <c r="A303" s="3"/>
    </row>
    <row r="304" spans="1:1" ht="15">
      <c r="A304" s="3"/>
    </row>
    <row r="305" spans="1:1" ht="15">
      <c r="A305" s="3"/>
    </row>
    <row r="306" spans="1:1" ht="15">
      <c r="A306" s="3"/>
    </row>
    <row r="307" spans="1:1" ht="15">
      <c r="A307" s="3"/>
    </row>
    <row r="308" spans="1:1" ht="15">
      <c r="A308" s="3"/>
    </row>
    <row r="309" spans="1:1" ht="15">
      <c r="A309" s="3"/>
    </row>
    <row r="310" spans="1:1" ht="15">
      <c r="A310" s="3"/>
    </row>
    <row r="311" spans="1:1" ht="15">
      <c r="A311" s="3"/>
    </row>
    <row r="312" spans="1:1" ht="15">
      <c r="A312" s="3"/>
    </row>
    <row r="313" spans="1:1" ht="15">
      <c r="A313" s="3"/>
    </row>
    <row r="314" spans="1:1" ht="15">
      <c r="A314" s="3"/>
    </row>
    <row r="315" spans="1:1" ht="15">
      <c r="A315" s="3"/>
    </row>
    <row r="316" spans="1:1" ht="15">
      <c r="A316" s="3"/>
    </row>
    <row r="317" spans="1:1" ht="15">
      <c r="A317" s="3"/>
    </row>
    <row r="318" spans="1:1" ht="15">
      <c r="A318" s="3"/>
    </row>
    <row r="319" spans="1:1" ht="15">
      <c r="A319" s="3"/>
    </row>
    <row r="320" spans="1:1" ht="15">
      <c r="A320" s="3"/>
    </row>
    <row r="321" spans="1:1" ht="15">
      <c r="A321" s="3"/>
    </row>
    <row r="322" spans="1:1" ht="15">
      <c r="A322" s="3"/>
    </row>
    <row r="323" spans="1:1" ht="15">
      <c r="A323" s="3"/>
    </row>
    <row r="324" spans="1:1" ht="15">
      <c r="A324" s="3"/>
    </row>
    <row r="325" spans="1:1" ht="15">
      <c r="A325" s="3"/>
    </row>
    <row r="326" spans="1:1" ht="15">
      <c r="A326" s="3"/>
    </row>
    <row r="327" spans="1:1" ht="15">
      <c r="A327" s="3"/>
    </row>
    <row r="328" spans="1:1" ht="15">
      <c r="A328" s="3"/>
    </row>
    <row r="329" spans="1:1" ht="15">
      <c r="A329" s="3"/>
    </row>
    <row r="330" spans="1:1" ht="15">
      <c r="A330" s="3"/>
    </row>
    <row r="331" spans="1:1" ht="15">
      <c r="A331" s="3"/>
    </row>
    <row r="332" spans="1:1" ht="15">
      <c r="A332" s="3"/>
    </row>
    <row r="333" spans="1:1" ht="15">
      <c r="A333" s="3"/>
    </row>
    <row r="334" spans="1:1" ht="15">
      <c r="A334" s="3"/>
    </row>
    <row r="335" spans="1:1" ht="15">
      <c r="A335" s="3"/>
    </row>
    <row r="336" spans="1:1" ht="15">
      <c r="A336" s="3"/>
    </row>
    <row r="337" spans="1:1" ht="15">
      <c r="A337" s="3"/>
    </row>
    <row r="338" spans="1:1" ht="15">
      <c r="A338" s="3"/>
    </row>
    <row r="339" spans="1:1" ht="15">
      <c r="A339" s="3"/>
    </row>
    <row r="340" spans="1:1" ht="15">
      <c r="A340" s="3"/>
    </row>
    <row r="341" spans="1:1" ht="15">
      <c r="A341" s="3"/>
    </row>
    <row r="342" spans="1:1" ht="15">
      <c r="A342" s="3"/>
    </row>
    <row r="343" spans="1:1" ht="15">
      <c r="A343" s="3"/>
    </row>
  </sheetData>
  <autoFilter ref="A6:T168"/>
  <mergeCells count="11">
    <mergeCell ref="A50:B50"/>
    <mergeCell ref="A1:T1"/>
    <mergeCell ref="A2:T2"/>
    <mergeCell ref="A4:A6"/>
    <mergeCell ref="B4:B6"/>
    <mergeCell ref="G4:T4"/>
    <mergeCell ref="C4:D5"/>
    <mergeCell ref="E4:F5"/>
    <mergeCell ref="G5:G6"/>
    <mergeCell ref="H5:S5"/>
    <mergeCell ref="T5:T6"/>
  </mergeCells>
  <pageMargins left="0.2" right="0.2" top="0.39" bottom="0.27" header="0.3" footer="0.2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36"/>
  <sheetViews>
    <sheetView workbookViewId="0">
      <selection activeCell="A2" sqref="A2:T2"/>
    </sheetView>
  </sheetViews>
  <sheetFormatPr defaultColWidth="9.140625" defaultRowHeight="15"/>
  <cols>
    <col min="1" max="1" width="5.140625" style="16" customWidth="1"/>
    <col min="2" max="2" width="22" style="15" customWidth="1"/>
    <col min="3" max="3" width="7" style="15" customWidth="1"/>
    <col min="4" max="4" width="5.85546875" style="15" customWidth="1"/>
    <col min="5" max="7" width="10.85546875" style="15" customWidth="1"/>
    <col min="8" max="8" width="9.140625" style="15" customWidth="1"/>
    <col min="9" max="9" width="9" style="15" customWidth="1"/>
    <col min="10" max="11" width="8.85546875" style="15" customWidth="1"/>
    <col min="12" max="12" width="8.7109375" style="15" customWidth="1"/>
    <col min="13" max="13" width="7.85546875" style="15" customWidth="1"/>
    <col min="14" max="14" width="9.140625" style="15" customWidth="1"/>
    <col min="15" max="15" width="8.7109375" style="15" customWidth="1"/>
    <col min="16" max="16" width="8.42578125" style="15" customWidth="1"/>
    <col min="17" max="17" width="10" style="15" customWidth="1"/>
    <col min="18" max="19" width="8.7109375" style="15" customWidth="1"/>
    <col min="20" max="20" width="12.7109375" style="15" bestFit="1" customWidth="1"/>
    <col min="21" max="16384" width="9.140625" style="15"/>
  </cols>
  <sheetData>
    <row r="1" spans="1:20">
      <c r="A1" s="147" t="s">
        <v>297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ht="24.6" customHeight="1">
      <c r="A2" s="148" t="s">
        <v>347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18" customHeight="1">
      <c r="T3" s="17" t="s">
        <v>20</v>
      </c>
    </row>
    <row r="4" spans="1:20" ht="27.75" customHeight="1">
      <c r="A4" s="142" t="s">
        <v>0</v>
      </c>
      <c r="B4" s="142" t="s">
        <v>18</v>
      </c>
      <c r="C4" s="143" t="s">
        <v>1</v>
      </c>
      <c r="D4" s="144"/>
      <c r="E4" s="149" t="s">
        <v>4</v>
      </c>
      <c r="F4" s="149"/>
      <c r="G4" s="156" t="s">
        <v>5</v>
      </c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8"/>
    </row>
    <row r="5" spans="1:20" ht="27.75" customHeight="1">
      <c r="A5" s="142"/>
      <c r="B5" s="142"/>
      <c r="C5" s="145"/>
      <c r="D5" s="146"/>
      <c r="E5" s="149"/>
      <c r="F5" s="149"/>
      <c r="G5" s="150" t="s">
        <v>6</v>
      </c>
      <c r="H5" s="142" t="s">
        <v>181</v>
      </c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52" t="s">
        <v>19</v>
      </c>
    </row>
    <row r="6" spans="1:20" ht="63.75">
      <c r="A6" s="142"/>
      <c r="B6" s="142"/>
      <c r="C6" s="18" t="s">
        <v>2</v>
      </c>
      <c r="D6" s="18" t="s">
        <v>3</v>
      </c>
      <c r="E6" s="48" t="s">
        <v>179</v>
      </c>
      <c r="F6" s="48" t="s">
        <v>180</v>
      </c>
      <c r="G6" s="153"/>
      <c r="H6" s="48" t="s">
        <v>7</v>
      </c>
      <c r="I6" s="48" t="s">
        <v>8</v>
      </c>
      <c r="J6" s="48" t="s">
        <v>9</v>
      </c>
      <c r="K6" s="48" t="s">
        <v>10</v>
      </c>
      <c r="L6" s="48" t="s">
        <v>11</v>
      </c>
      <c r="M6" s="48" t="s">
        <v>12</v>
      </c>
      <c r="N6" s="48" t="s">
        <v>13</v>
      </c>
      <c r="O6" s="48" t="s">
        <v>14</v>
      </c>
      <c r="P6" s="48" t="s">
        <v>15</v>
      </c>
      <c r="Q6" s="48" t="s">
        <v>17</v>
      </c>
      <c r="R6" s="48" t="s">
        <v>16</v>
      </c>
      <c r="S6" s="48" t="s">
        <v>178</v>
      </c>
      <c r="T6" s="155"/>
    </row>
    <row r="7" spans="1:20" s="29" customFormat="1" ht="20.25" customHeight="1">
      <c r="A7" s="35">
        <v>1</v>
      </c>
      <c r="B7" s="36" t="s">
        <v>280</v>
      </c>
      <c r="C7" s="44">
        <v>15</v>
      </c>
      <c r="D7" s="44">
        <v>15</v>
      </c>
      <c r="E7" s="20">
        <v>1830.406352</v>
      </c>
      <c r="F7" s="20">
        <v>365.43064800000002</v>
      </c>
      <c r="G7" s="20">
        <v>1830.406352</v>
      </c>
      <c r="H7" s="20"/>
      <c r="I7" s="20">
        <v>8.6067020000000003</v>
      </c>
      <c r="J7" s="20">
        <v>17.04</v>
      </c>
      <c r="K7" s="20">
        <v>6.0080090000000004</v>
      </c>
      <c r="L7" s="20">
        <v>26.649000000000001</v>
      </c>
      <c r="M7" s="20">
        <v>71.91</v>
      </c>
      <c r="N7" s="20">
        <v>68.274136999999996</v>
      </c>
      <c r="O7" s="20"/>
      <c r="P7" s="20">
        <v>92.521000000000001</v>
      </c>
      <c r="Q7" s="20"/>
      <c r="R7" s="20">
        <f>3.45+13.975+8.6+7.664+40.7328</f>
        <v>74.42179999999999</v>
      </c>
      <c r="S7" s="31">
        <f>SUM(H7:R7)</f>
        <v>365.43064800000002</v>
      </c>
      <c r="T7" s="65">
        <f>S7+G7</f>
        <v>2195.837</v>
      </c>
    </row>
    <row r="8" spans="1:20" s="29" customFormat="1" ht="20.25" customHeight="1">
      <c r="A8" s="35">
        <v>2</v>
      </c>
      <c r="B8" s="36" t="s">
        <v>281</v>
      </c>
      <c r="C8" s="44">
        <v>13</v>
      </c>
      <c r="D8" s="44">
        <v>13</v>
      </c>
      <c r="E8" s="21">
        <v>1708</v>
      </c>
      <c r="F8" s="21">
        <v>329</v>
      </c>
      <c r="G8" s="21">
        <v>1707.5060000000001</v>
      </c>
      <c r="H8" s="21">
        <v>34.829000000000001</v>
      </c>
      <c r="I8" s="21">
        <v>11.949</v>
      </c>
      <c r="J8" s="21">
        <v>11.211</v>
      </c>
      <c r="K8" s="21">
        <v>1.1859999999999999</v>
      </c>
      <c r="L8" s="21">
        <v>19.898</v>
      </c>
      <c r="M8" s="21">
        <v>32.835000000000001</v>
      </c>
      <c r="N8" s="21">
        <v>86.606999999999999</v>
      </c>
      <c r="O8" s="21"/>
      <c r="P8" s="21">
        <v>91.882999999999996</v>
      </c>
      <c r="Q8" s="21"/>
      <c r="R8" s="21">
        <f>25.946+3.3+7.269+1.733</f>
        <v>38.247999999999998</v>
      </c>
      <c r="S8" s="31">
        <f t="shared" ref="S8:S36" si="0">SUM(H8:R8)</f>
        <v>328.64599999999996</v>
      </c>
      <c r="T8" s="65">
        <f t="shared" ref="T8:T37" si="1">S8+G8</f>
        <v>2036.152</v>
      </c>
    </row>
    <row r="9" spans="1:20" s="29" customFormat="1" ht="20.25" customHeight="1">
      <c r="A9" s="35">
        <v>3</v>
      </c>
      <c r="B9" s="36" t="s">
        <v>282</v>
      </c>
      <c r="C9" s="44">
        <v>21</v>
      </c>
      <c r="D9" s="44">
        <v>21</v>
      </c>
      <c r="E9" s="22">
        <v>2817.5169999999998</v>
      </c>
      <c r="F9" s="22">
        <v>411.63099999999997</v>
      </c>
      <c r="G9" s="22">
        <v>2817.5169999999998</v>
      </c>
      <c r="H9" s="22"/>
      <c r="I9" s="22">
        <v>26.407</v>
      </c>
      <c r="J9" s="22">
        <v>39.210999999999999</v>
      </c>
      <c r="K9" s="22">
        <v>2.7410000000000001</v>
      </c>
      <c r="L9" s="22">
        <v>38.853999999999999</v>
      </c>
      <c r="M9" s="22">
        <v>37.01</v>
      </c>
      <c r="N9" s="22">
        <v>108.98</v>
      </c>
      <c r="O9" s="22"/>
      <c r="P9" s="22">
        <v>49.28</v>
      </c>
      <c r="Q9" s="22"/>
      <c r="R9" s="22">
        <v>109.149</v>
      </c>
      <c r="S9" s="31">
        <f t="shared" si="0"/>
        <v>411.63199999999995</v>
      </c>
      <c r="T9" s="65">
        <f t="shared" si="1"/>
        <v>3229.1489999999999</v>
      </c>
    </row>
    <row r="10" spans="1:20" s="29" customFormat="1" ht="20.25" customHeight="1">
      <c r="A10" s="35">
        <v>4</v>
      </c>
      <c r="B10" s="36" t="s">
        <v>283</v>
      </c>
      <c r="C10" s="23">
        <v>10</v>
      </c>
      <c r="D10" s="23">
        <v>10</v>
      </c>
      <c r="E10" s="24">
        <v>1312</v>
      </c>
      <c r="F10" s="24">
        <v>305</v>
      </c>
      <c r="G10" s="24">
        <v>1311.7090000000001</v>
      </c>
      <c r="H10" s="24">
        <v>32.773000000000003</v>
      </c>
      <c r="I10" s="24">
        <v>5.9240000000000004</v>
      </c>
      <c r="J10" s="24">
        <v>17.599</v>
      </c>
      <c r="K10" s="24">
        <v>1.5069999999999999</v>
      </c>
      <c r="L10" s="24">
        <v>6.7629999999999999</v>
      </c>
      <c r="M10" s="24">
        <v>76.694000000000003</v>
      </c>
      <c r="N10" s="24">
        <v>41.786999999999999</v>
      </c>
      <c r="O10" s="24">
        <v>47.878</v>
      </c>
      <c r="P10" s="24">
        <v>39.658999999999999</v>
      </c>
      <c r="Q10" s="24"/>
      <c r="R10" s="24">
        <v>34.112000000000002</v>
      </c>
      <c r="S10" s="31">
        <f t="shared" si="0"/>
        <v>304.69600000000003</v>
      </c>
      <c r="T10" s="65">
        <f t="shared" si="1"/>
        <v>1616.4050000000002</v>
      </c>
    </row>
    <row r="11" spans="1:20" s="29" customFormat="1" ht="20.25" customHeight="1">
      <c r="A11" s="35">
        <v>5</v>
      </c>
      <c r="B11" s="36" t="s">
        <v>284</v>
      </c>
      <c r="C11" s="44">
        <v>22</v>
      </c>
      <c r="D11" s="44">
        <v>22</v>
      </c>
      <c r="E11" s="22">
        <v>2378</v>
      </c>
      <c r="F11" s="22">
        <v>416</v>
      </c>
      <c r="G11" s="22">
        <v>2377.9299999999998</v>
      </c>
      <c r="H11" s="22">
        <v>61.04</v>
      </c>
      <c r="I11" s="22">
        <v>10.917999999999999</v>
      </c>
      <c r="J11" s="22">
        <v>24.350999999999999</v>
      </c>
      <c r="K11" s="22">
        <v>3.1589999999999998</v>
      </c>
      <c r="L11" s="22">
        <v>10.676</v>
      </c>
      <c r="M11" s="22">
        <v>37.67</v>
      </c>
      <c r="N11" s="22">
        <v>51.454999999999998</v>
      </c>
      <c r="O11" s="22"/>
      <c r="P11" s="22">
        <v>147.554</v>
      </c>
      <c r="Q11" s="22"/>
      <c r="R11" s="22">
        <v>68.814999999999998</v>
      </c>
      <c r="S11" s="31">
        <f t="shared" si="0"/>
        <v>415.63799999999998</v>
      </c>
      <c r="T11" s="65">
        <f t="shared" si="1"/>
        <v>2793.5679999999998</v>
      </c>
    </row>
    <row r="12" spans="1:20" s="29" customFormat="1" ht="20.25" customHeight="1">
      <c r="A12" s="35">
        <v>6</v>
      </c>
      <c r="B12" s="36" t="s">
        <v>285</v>
      </c>
      <c r="C12" s="44">
        <v>17</v>
      </c>
      <c r="D12" s="44">
        <v>16</v>
      </c>
      <c r="E12" s="20">
        <v>2168</v>
      </c>
      <c r="F12" s="20">
        <v>319</v>
      </c>
      <c r="G12" s="20">
        <v>2167.8000000000002</v>
      </c>
      <c r="H12" s="20">
        <v>6.3</v>
      </c>
      <c r="I12" s="20">
        <v>11.2</v>
      </c>
      <c r="J12" s="20">
        <v>57.7</v>
      </c>
      <c r="K12" s="20">
        <v>18.2</v>
      </c>
      <c r="L12" s="20">
        <v>33.4</v>
      </c>
      <c r="M12" s="20">
        <v>45.4</v>
      </c>
      <c r="N12" s="20">
        <v>106.9</v>
      </c>
      <c r="O12" s="20">
        <v>24.2</v>
      </c>
      <c r="P12" s="20"/>
      <c r="Q12" s="20"/>
      <c r="R12" s="20">
        <v>15.8</v>
      </c>
      <c r="S12" s="31">
        <f t="shared" si="0"/>
        <v>319.10000000000002</v>
      </c>
      <c r="T12" s="65">
        <f t="shared" si="1"/>
        <v>2486.9</v>
      </c>
    </row>
    <row r="13" spans="1:20" s="29" customFormat="1" ht="20.25" customHeight="1">
      <c r="A13" s="35">
        <v>7</v>
      </c>
      <c r="B13" s="36" t="s">
        <v>286</v>
      </c>
      <c r="C13" s="44">
        <v>18</v>
      </c>
      <c r="D13" s="44">
        <v>18</v>
      </c>
      <c r="E13" s="21">
        <v>2315</v>
      </c>
      <c r="F13" s="21">
        <v>372</v>
      </c>
      <c r="G13" s="21">
        <v>2315</v>
      </c>
      <c r="H13" s="21"/>
      <c r="I13" s="21">
        <v>11.523999999999999</v>
      </c>
      <c r="J13" s="21">
        <v>21.36</v>
      </c>
      <c r="K13" s="21">
        <v>2.891</v>
      </c>
      <c r="L13" s="21">
        <v>18.823</v>
      </c>
      <c r="M13" s="21">
        <v>14.4</v>
      </c>
      <c r="N13" s="21">
        <v>34.14</v>
      </c>
      <c r="O13" s="21">
        <v>43.064999999999998</v>
      </c>
      <c r="P13" s="21">
        <v>206.101</v>
      </c>
      <c r="Q13" s="21"/>
      <c r="R13" s="21">
        <v>19.399999999999999</v>
      </c>
      <c r="S13" s="31">
        <f>SUM(H13:R13)</f>
        <v>371.70399999999995</v>
      </c>
      <c r="T13" s="65">
        <f t="shared" si="1"/>
        <v>2686.7039999999997</v>
      </c>
    </row>
    <row r="14" spans="1:20" s="29" customFormat="1" ht="20.25" customHeight="1">
      <c r="A14" s="35">
        <v>8</v>
      </c>
      <c r="B14" s="36" t="s">
        <v>287</v>
      </c>
      <c r="C14" s="44">
        <v>25</v>
      </c>
      <c r="D14" s="44">
        <v>24</v>
      </c>
      <c r="E14" s="20">
        <v>3426.991262</v>
      </c>
      <c r="F14" s="20">
        <v>479.68894</v>
      </c>
      <c r="G14" s="20">
        <f>34.05232+3327.42394+65.515002</f>
        <v>3426.991262</v>
      </c>
      <c r="H14" s="20">
        <f>69.295002+96.15+0.6-65.515002</f>
        <v>100.52999999999999</v>
      </c>
      <c r="I14" s="20">
        <v>9.5711750000000002</v>
      </c>
      <c r="J14" s="20">
        <v>28.22</v>
      </c>
      <c r="K14" s="20">
        <v>2.211265</v>
      </c>
      <c r="L14" s="20">
        <v>33.747999999999998</v>
      </c>
      <c r="M14" s="20">
        <v>56.963999999999999</v>
      </c>
      <c r="N14" s="20">
        <v>38.494999999999997</v>
      </c>
      <c r="O14" s="20">
        <v>46.572000000000003</v>
      </c>
      <c r="P14" s="20">
        <v>117.0975</v>
      </c>
      <c r="Q14" s="20"/>
      <c r="R14" s="20">
        <v>46.28</v>
      </c>
      <c r="S14" s="31">
        <f>SUM(H14:R14)</f>
        <v>479.68893999999989</v>
      </c>
      <c r="T14" s="65">
        <f t="shared" si="1"/>
        <v>3906.680202</v>
      </c>
    </row>
    <row r="15" spans="1:20" s="29" customFormat="1" ht="20.25" customHeight="1">
      <c r="A15" s="35">
        <v>9</v>
      </c>
      <c r="B15" s="36" t="s">
        <v>288</v>
      </c>
      <c r="C15" s="44">
        <v>12</v>
      </c>
      <c r="D15" s="44">
        <v>12</v>
      </c>
      <c r="E15" s="21">
        <v>1883</v>
      </c>
      <c r="F15" s="21">
        <v>187</v>
      </c>
      <c r="G15" s="21">
        <v>1883.193</v>
      </c>
      <c r="H15" s="21"/>
      <c r="I15" s="21">
        <v>4.9930000000000003</v>
      </c>
      <c r="J15" s="21">
        <v>11.053000000000001</v>
      </c>
      <c r="K15" s="21">
        <v>4.7699999999999996</v>
      </c>
      <c r="L15" s="21">
        <v>17.43</v>
      </c>
      <c r="M15" s="21">
        <v>21.14</v>
      </c>
      <c r="N15" s="21">
        <v>40.31</v>
      </c>
      <c r="O15" s="21"/>
      <c r="P15" s="21">
        <v>72.022999999999996</v>
      </c>
      <c r="Q15" s="21"/>
      <c r="R15" s="21">
        <v>15</v>
      </c>
      <c r="S15" s="31">
        <f t="shared" si="0"/>
        <v>186.71899999999999</v>
      </c>
      <c r="T15" s="65">
        <f t="shared" si="1"/>
        <v>2069.9119999999998</v>
      </c>
    </row>
    <row r="16" spans="1:20" s="29" customFormat="1" ht="20.25" customHeight="1">
      <c r="A16" s="35">
        <v>10</v>
      </c>
      <c r="B16" s="36" t="s">
        <v>289</v>
      </c>
      <c r="C16" s="44">
        <v>12</v>
      </c>
      <c r="D16" s="44">
        <v>12</v>
      </c>
      <c r="E16" s="21">
        <v>3712</v>
      </c>
      <c r="F16" s="21">
        <v>837</v>
      </c>
      <c r="G16" s="21">
        <f>1378.17+1901.316+392.415+40.431</f>
        <v>3712.3319999999999</v>
      </c>
      <c r="H16" s="21"/>
      <c r="I16" s="21">
        <v>19.027999999999999</v>
      </c>
      <c r="J16" s="21">
        <v>24.558</v>
      </c>
      <c r="K16" s="21">
        <v>8.0180000000000007</v>
      </c>
      <c r="L16" s="21">
        <v>26.606999999999999</v>
      </c>
      <c r="M16" s="21">
        <v>87.795000000000002</v>
      </c>
      <c r="N16" s="21">
        <v>70.593999999999994</v>
      </c>
      <c r="O16" s="21">
        <v>112.46</v>
      </c>
      <c r="P16" s="21">
        <f>262.24+131.569+22.455</f>
        <v>416.26399999999995</v>
      </c>
      <c r="Q16" s="21"/>
      <c r="R16" s="21">
        <v>72</v>
      </c>
      <c r="S16" s="31">
        <f t="shared" si="0"/>
        <v>837.32399999999996</v>
      </c>
      <c r="T16" s="65">
        <f t="shared" si="1"/>
        <v>4549.6559999999999</v>
      </c>
    </row>
    <row r="17" spans="1:20" s="32" customFormat="1" ht="20.25" customHeight="1">
      <c r="A17" s="35">
        <v>11</v>
      </c>
      <c r="B17" s="36" t="s">
        <v>38</v>
      </c>
      <c r="C17" s="25">
        <v>19</v>
      </c>
      <c r="D17" s="25">
        <v>19</v>
      </c>
      <c r="E17" s="22">
        <v>2653</v>
      </c>
      <c r="F17" s="22">
        <v>419</v>
      </c>
      <c r="G17" s="22">
        <f>1006.807+1363.609+282.991</f>
        <v>2653.4070000000002</v>
      </c>
      <c r="H17" s="22"/>
      <c r="I17" s="22">
        <v>10.273999999999999</v>
      </c>
      <c r="J17" s="22">
        <v>60.201000000000001</v>
      </c>
      <c r="K17" s="22">
        <v>7.5209999999999999</v>
      </c>
      <c r="L17" s="22">
        <v>19.643000000000001</v>
      </c>
      <c r="M17" s="22">
        <v>47.555</v>
      </c>
      <c r="N17" s="22">
        <v>80.274000000000001</v>
      </c>
      <c r="O17" s="22">
        <v>2</v>
      </c>
      <c r="P17" s="22">
        <v>72.007000000000005</v>
      </c>
      <c r="Q17" s="22"/>
      <c r="R17" s="22">
        <f>40.064+1.6+77.834</f>
        <v>119.498</v>
      </c>
      <c r="S17" s="31">
        <f t="shared" si="0"/>
        <v>418.97300000000001</v>
      </c>
      <c r="T17" s="65">
        <f t="shared" si="1"/>
        <v>3072.38</v>
      </c>
    </row>
    <row r="18" spans="1:20" s="29" customFormat="1" ht="20.25" customHeight="1">
      <c r="A18" s="35">
        <v>12</v>
      </c>
      <c r="B18" s="36" t="s">
        <v>298</v>
      </c>
      <c r="C18" s="44">
        <v>22</v>
      </c>
      <c r="D18" s="44">
        <v>22</v>
      </c>
      <c r="E18" s="20">
        <v>2954.1037889999998</v>
      </c>
      <c r="F18" s="20">
        <v>559.26971100000003</v>
      </c>
      <c r="G18" s="20">
        <v>2954.1037889999998</v>
      </c>
      <c r="H18" s="20"/>
      <c r="I18" s="20">
        <v>3.0398779999999999</v>
      </c>
      <c r="J18" s="20">
        <v>17.562943000000001</v>
      </c>
      <c r="K18" s="20">
        <v>5.6253000000000002</v>
      </c>
      <c r="L18" s="20">
        <v>79.72</v>
      </c>
      <c r="M18" s="20">
        <v>121.735</v>
      </c>
      <c r="N18" s="20">
        <v>73.763999999999996</v>
      </c>
      <c r="O18" s="20"/>
      <c r="P18" s="20">
        <v>119.8905</v>
      </c>
      <c r="Q18" s="20"/>
      <c r="R18" s="20">
        <f>3+53.1767+32.115+21.41+28.23039</f>
        <v>137.93208999999999</v>
      </c>
      <c r="S18" s="31">
        <f t="shared" si="0"/>
        <v>559.26971100000003</v>
      </c>
      <c r="T18" s="65">
        <f t="shared" si="1"/>
        <v>3513.3734999999997</v>
      </c>
    </row>
    <row r="19" spans="1:20" s="29" customFormat="1" ht="20.25" customHeight="1">
      <c r="A19" s="35">
        <v>13</v>
      </c>
      <c r="B19" s="36" t="s">
        <v>290</v>
      </c>
      <c r="C19" s="44">
        <v>18</v>
      </c>
      <c r="D19" s="44">
        <v>18</v>
      </c>
      <c r="E19" s="21">
        <v>2425</v>
      </c>
      <c r="F19" s="21">
        <v>410</v>
      </c>
      <c r="G19" s="21">
        <v>2425.4760000000001</v>
      </c>
      <c r="H19" s="21">
        <v>35.814999999999998</v>
      </c>
      <c r="I19" s="21">
        <v>16.004999999999999</v>
      </c>
      <c r="J19" s="21">
        <v>26.032</v>
      </c>
      <c r="K19" s="21">
        <v>2.1469999999999998</v>
      </c>
      <c r="L19" s="21">
        <v>58.771000000000001</v>
      </c>
      <c r="M19" s="21">
        <v>19.71</v>
      </c>
      <c r="N19" s="21">
        <v>36.701000000000001</v>
      </c>
      <c r="O19" s="21"/>
      <c r="P19" s="21">
        <v>183.70099999999999</v>
      </c>
      <c r="Q19" s="21"/>
      <c r="R19" s="21">
        <f>25.805+3.46+1.802</f>
        <v>31.067</v>
      </c>
      <c r="S19" s="31">
        <f t="shared" si="0"/>
        <v>409.94899999999996</v>
      </c>
      <c r="T19" s="65">
        <f t="shared" si="1"/>
        <v>2835.4250000000002</v>
      </c>
    </row>
    <row r="20" spans="1:20" s="29" customFormat="1" ht="20.25" customHeight="1">
      <c r="A20" s="35">
        <v>14</v>
      </c>
      <c r="B20" s="36" t="s">
        <v>291</v>
      </c>
      <c r="C20" s="44">
        <v>24</v>
      </c>
      <c r="D20" s="44">
        <v>24</v>
      </c>
      <c r="E20" s="22">
        <v>3765.491</v>
      </c>
      <c r="F20" s="60">
        <v>464.21300000000002</v>
      </c>
      <c r="G20" s="22">
        <v>3765.491</v>
      </c>
      <c r="H20" s="20"/>
      <c r="I20" s="22">
        <v>24.553000000000001</v>
      </c>
      <c r="J20" s="22">
        <v>23.914999999999999</v>
      </c>
      <c r="K20" s="22">
        <v>4.1929999999999996</v>
      </c>
      <c r="L20" s="22">
        <v>63.24</v>
      </c>
      <c r="M20" s="22">
        <v>103.39</v>
      </c>
      <c r="N20" s="22">
        <v>106.226</v>
      </c>
      <c r="O20" s="20"/>
      <c r="P20" s="22">
        <v>93.311000000000007</v>
      </c>
      <c r="Q20" s="20"/>
      <c r="R20" s="22">
        <v>45.387</v>
      </c>
      <c r="S20" s="31">
        <f t="shared" si="0"/>
        <v>464.21499999999997</v>
      </c>
      <c r="T20" s="65">
        <f t="shared" si="1"/>
        <v>4229.7060000000001</v>
      </c>
    </row>
    <row r="21" spans="1:20" s="29" customFormat="1" ht="20.25" customHeight="1">
      <c r="A21" s="35">
        <v>15</v>
      </c>
      <c r="B21" s="36" t="s">
        <v>292</v>
      </c>
      <c r="C21" s="23">
        <v>17</v>
      </c>
      <c r="D21" s="23">
        <v>17</v>
      </c>
      <c r="E21" s="24">
        <v>2852</v>
      </c>
      <c r="F21" s="24">
        <v>435</v>
      </c>
      <c r="G21" s="24">
        <v>2851.5450000000001</v>
      </c>
      <c r="H21" s="24">
        <v>10.179</v>
      </c>
      <c r="I21" s="24">
        <v>8.16</v>
      </c>
      <c r="J21" s="24">
        <v>18.747</v>
      </c>
      <c r="K21" s="24">
        <v>1.9370000000000001</v>
      </c>
      <c r="L21" s="24">
        <v>52.268000000000001</v>
      </c>
      <c r="M21" s="24">
        <v>94.691999999999993</v>
      </c>
      <c r="N21" s="24">
        <v>19.884</v>
      </c>
      <c r="O21" s="24">
        <v>52.95</v>
      </c>
      <c r="P21" s="24">
        <v>75.02</v>
      </c>
      <c r="Q21" s="24"/>
      <c r="R21" s="24">
        <v>101.526</v>
      </c>
      <c r="S21" s="31">
        <f t="shared" si="0"/>
        <v>435.363</v>
      </c>
      <c r="T21" s="65">
        <f t="shared" si="1"/>
        <v>3286.9079999999999</v>
      </c>
    </row>
    <row r="22" spans="1:20" s="29" customFormat="1" ht="20.25" customHeight="1">
      <c r="A22" s="35">
        <v>16</v>
      </c>
      <c r="B22" s="36" t="s">
        <v>293</v>
      </c>
      <c r="C22" s="44">
        <v>23</v>
      </c>
      <c r="D22" s="44">
        <v>23</v>
      </c>
      <c r="E22" s="22">
        <v>3700</v>
      </c>
      <c r="F22" s="22">
        <v>423</v>
      </c>
      <c r="G22" s="22">
        <v>3699.7739999999999</v>
      </c>
      <c r="H22" s="22">
        <v>77.656999999999996</v>
      </c>
      <c r="I22" s="22">
        <v>12.13</v>
      </c>
      <c r="J22" s="22">
        <v>23.56</v>
      </c>
      <c r="K22" s="22">
        <v>5.5529999999999999</v>
      </c>
      <c r="L22" s="22">
        <v>54.241999999999997</v>
      </c>
      <c r="M22" s="22">
        <v>44.25</v>
      </c>
      <c r="N22" s="22">
        <v>28.184999999999999</v>
      </c>
      <c r="O22" s="22"/>
      <c r="P22" s="22">
        <v>143.279</v>
      </c>
      <c r="Q22" s="22"/>
      <c r="R22" s="22">
        <v>33.753999999999998</v>
      </c>
      <c r="S22" s="31">
        <f t="shared" si="0"/>
        <v>422.61</v>
      </c>
      <c r="T22" s="65">
        <f t="shared" si="1"/>
        <v>4122.384</v>
      </c>
    </row>
    <row r="23" spans="1:20" s="29" customFormat="1" ht="20.25" customHeight="1">
      <c r="A23" s="35">
        <v>17</v>
      </c>
      <c r="B23" s="36" t="s">
        <v>299</v>
      </c>
      <c r="C23" s="44">
        <v>17</v>
      </c>
      <c r="D23" s="44">
        <v>16</v>
      </c>
      <c r="E23" s="20">
        <v>4575</v>
      </c>
      <c r="F23" s="20">
        <v>460</v>
      </c>
      <c r="G23" s="20">
        <v>4575.4470000000001</v>
      </c>
      <c r="H23" s="20"/>
      <c r="I23" s="20">
        <v>0.66500000000000004</v>
      </c>
      <c r="J23" s="20">
        <v>70.563999999999993</v>
      </c>
      <c r="K23" s="20">
        <v>4.7880000000000003</v>
      </c>
      <c r="L23" s="20">
        <v>83.775000000000006</v>
      </c>
      <c r="M23" s="20">
        <v>137.27000000000001</v>
      </c>
      <c r="N23" s="20">
        <v>4.8789999999999996</v>
      </c>
      <c r="O23" s="20">
        <v>40.201999999999998</v>
      </c>
      <c r="P23" s="20">
        <v>99.016999999999996</v>
      </c>
      <c r="Q23" s="20"/>
      <c r="R23" s="20">
        <v>18.809999999999999</v>
      </c>
      <c r="S23" s="31">
        <f t="shared" si="0"/>
        <v>459.97</v>
      </c>
      <c r="T23" s="65">
        <f t="shared" si="1"/>
        <v>5035.4170000000004</v>
      </c>
    </row>
    <row r="24" spans="1:20" s="29" customFormat="1" ht="20.25" customHeight="1">
      <c r="A24" s="35">
        <v>18</v>
      </c>
      <c r="B24" s="36" t="s">
        <v>300</v>
      </c>
      <c r="C24" s="44">
        <v>22</v>
      </c>
      <c r="D24" s="44">
        <v>22</v>
      </c>
      <c r="E24" s="21">
        <v>3623</v>
      </c>
      <c r="F24" s="21">
        <v>457</v>
      </c>
      <c r="G24" s="21">
        <v>3622.5729999999999</v>
      </c>
      <c r="H24" s="21"/>
      <c r="I24" s="21">
        <v>11.581</v>
      </c>
      <c r="J24" s="21">
        <v>34.645000000000003</v>
      </c>
      <c r="K24" s="21">
        <v>4.4450000000000003</v>
      </c>
      <c r="L24" s="21">
        <v>67.397999999999996</v>
      </c>
      <c r="M24" s="21">
        <v>24</v>
      </c>
      <c r="N24" s="21">
        <v>139.08500000000001</v>
      </c>
      <c r="O24" s="21">
        <v>0</v>
      </c>
      <c r="P24" s="21">
        <v>165.18899999999999</v>
      </c>
      <c r="Q24" s="21"/>
      <c r="R24" s="21">
        <v>10.675000000000001</v>
      </c>
      <c r="S24" s="31">
        <f t="shared" si="0"/>
        <v>457.01799999999997</v>
      </c>
      <c r="T24" s="65">
        <f t="shared" si="1"/>
        <v>4079.5909999999999</v>
      </c>
    </row>
    <row r="25" spans="1:20" s="29" customFormat="1" ht="20.25" customHeight="1">
      <c r="A25" s="35">
        <v>19</v>
      </c>
      <c r="B25" s="36" t="s">
        <v>294</v>
      </c>
      <c r="C25" s="44">
        <v>36</v>
      </c>
      <c r="D25" s="44">
        <v>34</v>
      </c>
      <c r="E25" s="20">
        <v>5888.5477229999997</v>
      </c>
      <c r="F25" s="20">
        <v>745.83935699999995</v>
      </c>
      <c r="G25" s="20">
        <f>2210.01271+2882.35295+638.760594+78.68988+78.731589</f>
        <v>5888.5477229999997</v>
      </c>
      <c r="H25" s="20">
        <f>86.39988-78.68988+179.09656+2.26</f>
        <v>189.06655999999998</v>
      </c>
      <c r="I25" s="20">
        <v>17.047805</v>
      </c>
      <c r="J25" s="20">
        <v>48.145000000000003</v>
      </c>
      <c r="K25" s="20">
        <v>0.48</v>
      </c>
      <c r="L25" s="20">
        <v>67.087999999999994</v>
      </c>
      <c r="M25" s="20">
        <v>86.019000000000005</v>
      </c>
      <c r="N25" s="20">
        <v>97.100179999999995</v>
      </c>
      <c r="O25" s="20">
        <v>44.59</v>
      </c>
      <c r="P25" s="20">
        <v>138.1208</v>
      </c>
      <c r="Q25" s="20"/>
      <c r="R25" s="20">
        <v>58.182012</v>
      </c>
      <c r="S25" s="31">
        <f t="shared" si="0"/>
        <v>745.83935700000006</v>
      </c>
      <c r="T25" s="65">
        <f t="shared" si="1"/>
        <v>6634.3870799999995</v>
      </c>
    </row>
    <row r="26" spans="1:20" s="29" customFormat="1" ht="20.25" customHeight="1">
      <c r="A26" s="35">
        <v>20</v>
      </c>
      <c r="B26" s="36" t="s">
        <v>295</v>
      </c>
      <c r="C26" s="44">
        <v>17</v>
      </c>
      <c r="D26" s="44">
        <v>17</v>
      </c>
      <c r="E26" s="21">
        <v>2985</v>
      </c>
      <c r="F26" s="21">
        <v>270</v>
      </c>
      <c r="G26" s="21">
        <f>1152.396+1501.129+3.6+328.223</f>
        <v>2985.3479999999995</v>
      </c>
      <c r="H26" s="21"/>
      <c r="I26" s="21">
        <v>3.7450000000000001</v>
      </c>
      <c r="J26" s="21">
        <v>59.277999999999999</v>
      </c>
      <c r="K26" s="21">
        <v>4.4290000000000003</v>
      </c>
      <c r="L26" s="21">
        <v>85.337999999999994</v>
      </c>
      <c r="M26" s="21">
        <v>28.34</v>
      </c>
      <c r="N26" s="21">
        <v>23.184999999999999</v>
      </c>
      <c r="O26" s="21"/>
      <c r="P26" s="21">
        <v>43.42</v>
      </c>
      <c r="Q26" s="21"/>
      <c r="R26" s="21">
        <v>22</v>
      </c>
      <c r="S26" s="31">
        <f t="shared" si="0"/>
        <v>269.73500000000001</v>
      </c>
      <c r="T26" s="65">
        <f t="shared" si="1"/>
        <v>3255.0829999999996</v>
      </c>
    </row>
    <row r="27" spans="1:20" s="29" customFormat="1" ht="20.25" customHeight="1">
      <c r="A27" s="35">
        <v>21</v>
      </c>
      <c r="B27" s="36" t="s">
        <v>296</v>
      </c>
      <c r="C27" s="25">
        <v>38</v>
      </c>
      <c r="D27" s="25">
        <v>38</v>
      </c>
      <c r="E27" s="22">
        <v>6208</v>
      </c>
      <c r="F27" s="22">
        <v>879</v>
      </c>
      <c r="G27" s="22">
        <f>2346.866+3195.145+665.854</f>
        <v>6207.8650000000007</v>
      </c>
      <c r="H27" s="22"/>
      <c r="I27" s="22">
        <v>30.353999999999999</v>
      </c>
      <c r="J27" s="22">
        <v>233.98599999999999</v>
      </c>
      <c r="K27" s="22">
        <v>11.455</v>
      </c>
      <c r="L27" s="22">
        <v>81.734999999999999</v>
      </c>
      <c r="M27" s="22">
        <v>84.905000000000001</v>
      </c>
      <c r="N27" s="22">
        <v>19.489000000000001</v>
      </c>
      <c r="O27" s="22">
        <v>33.200000000000003</v>
      </c>
      <c r="P27" s="22">
        <v>213.023</v>
      </c>
      <c r="Q27" s="22"/>
      <c r="R27" s="22">
        <f>42.684+79.529+48.9</f>
        <v>171.113</v>
      </c>
      <c r="S27" s="31">
        <f t="shared" si="0"/>
        <v>879.26</v>
      </c>
      <c r="T27" s="65">
        <f t="shared" si="1"/>
        <v>7087.1250000000009</v>
      </c>
    </row>
    <row r="28" spans="1:20" s="29" customFormat="1" ht="20.25" customHeight="1">
      <c r="A28" s="35">
        <v>22</v>
      </c>
      <c r="B28" s="36" t="s">
        <v>39</v>
      </c>
      <c r="C28" s="44">
        <v>24</v>
      </c>
      <c r="D28" s="44">
        <v>24</v>
      </c>
      <c r="E28" s="22">
        <v>3933</v>
      </c>
      <c r="F28" s="22">
        <v>471</v>
      </c>
      <c r="G28" s="22">
        <f>1472.355+2040.483+420.015</f>
        <v>3932.8529999999996</v>
      </c>
      <c r="H28" s="20"/>
      <c r="I28" s="20">
        <v>7.0259999999999998</v>
      </c>
      <c r="J28" s="20">
        <v>53.936999999999998</v>
      </c>
      <c r="K28" s="20">
        <v>6.0039999999999996</v>
      </c>
      <c r="L28" s="20">
        <v>70.381</v>
      </c>
      <c r="M28" s="20">
        <v>56.886000000000003</v>
      </c>
      <c r="N28" s="20">
        <v>72.519000000000005</v>
      </c>
      <c r="O28" s="20"/>
      <c r="P28" s="20">
        <v>134.11600000000001</v>
      </c>
      <c r="Q28" s="20"/>
      <c r="R28" s="20">
        <f>8.6+58.774+2.4+0.004</f>
        <v>69.778000000000006</v>
      </c>
      <c r="S28" s="31">
        <f t="shared" si="0"/>
        <v>470.64700000000005</v>
      </c>
      <c r="T28" s="65">
        <f t="shared" si="1"/>
        <v>4403.5</v>
      </c>
    </row>
    <row r="29" spans="1:20" s="29" customFormat="1" ht="20.25" customHeight="1">
      <c r="A29" s="35">
        <v>23</v>
      </c>
      <c r="B29" s="36" t="s">
        <v>301</v>
      </c>
      <c r="C29" s="44">
        <v>14</v>
      </c>
      <c r="D29" s="44">
        <v>14</v>
      </c>
      <c r="E29" s="20">
        <v>1830.8462400000001</v>
      </c>
      <c r="F29" s="20">
        <v>448.45326</v>
      </c>
      <c r="G29" s="20">
        <v>1830.8462400000001</v>
      </c>
      <c r="H29" s="20"/>
      <c r="I29" s="20">
        <v>5.3646320000000003</v>
      </c>
      <c r="J29" s="20">
        <v>29.389827</v>
      </c>
      <c r="K29" s="20">
        <v>3.84422</v>
      </c>
      <c r="L29" s="20">
        <v>67.563999999999993</v>
      </c>
      <c r="M29" s="20">
        <v>120.52</v>
      </c>
      <c r="N29" s="20">
        <v>37.484999999999999</v>
      </c>
      <c r="O29" s="20"/>
      <c r="P29" s="20">
        <v>88.694900000000004</v>
      </c>
      <c r="Q29" s="20"/>
      <c r="R29" s="20">
        <f>1.65+13.135+36.09+8.9075+35.808181</f>
        <v>95.590680999999989</v>
      </c>
      <c r="S29" s="31">
        <f t="shared" si="0"/>
        <v>448.45326</v>
      </c>
      <c r="T29" s="65">
        <f t="shared" si="1"/>
        <v>2279.2995000000001</v>
      </c>
    </row>
    <row r="30" spans="1:20" s="29" customFormat="1" ht="20.25" customHeight="1">
      <c r="A30" s="35">
        <v>24</v>
      </c>
      <c r="B30" s="36" t="s">
        <v>290</v>
      </c>
      <c r="C30" s="44">
        <v>12</v>
      </c>
      <c r="D30" s="44">
        <v>12</v>
      </c>
      <c r="E30" s="21">
        <v>1579</v>
      </c>
      <c r="F30" s="21">
        <v>320</v>
      </c>
      <c r="G30" s="21">
        <v>1578.673</v>
      </c>
      <c r="H30" s="21">
        <v>35.451000000000001</v>
      </c>
      <c r="I30" s="21">
        <v>2.2989999999999999</v>
      </c>
      <c r="J30" s="21">
        <v>11.026999999999999</v>
      </c>
      <c r="K30" s="21">
        <v>1.478</v>
      </c>
      <c r="L30" s="21">
        <v>64.08</v>
      </c>
      <c r="M30" s="21">
        <v>75.36</v>
      </c>
      <c r="N30" s="21"/>
      <c r="O30" s="21">
        <v>19.227</v>
      </c>
      <c r="P30" s="21">
        <v>91.905000000000001</v>
      </c>
      <c r="Q30" s="21"/>
      <c r="R30" s="21">
        <f>13.855+2.26+3.302</f>
        <v>19.417000000000002</v>
      </c>
      <c r="S30" s="31">
        <f t="shared" si="0"/>
        <v>320.24400000000003</v>
      </c>
      <c r="T30" s="65">
        <f t="shared" si="1"/>
        <v>1898.9169999999999</v>
      </c>
    </row>
    <row r="31" spans="1:20" s="29" customFormat="1" ht="20.25" customHeight="1">
      <c r="A31" s="35">
        <v>25</v>
      </c>
      <c r="B31" s="36" t="s">
        <v>40</v>
      </c>
      <c r="C31" s="44">
        <v>17</v>
      </c>
      <c r="D31" s="44">
        <v>17</v>
      </c>
      <c r="E31" s="22">
        <v>2605.3870000000002</v>
      </c>
      <c r="F31" s="60">
        <v>441.53399999999999</v>
      </c>
      <c r="G31" s="22">
        <v>2605.3870000000002</v>
      </c>
      <c r="H31" s="20"/>
      <c r="I31" s="22">
        <v>11.983000000000001</v>
      </c>
      <c r="J31" s="22">
        <v>39.1</v>
      </c>
      <c r="K31" s="22">
        <v>9.3230000000000004</v>
      </c>
      <c r="L31" s="22">
        <v>76.02</v>
      </c>
      <c r="M31" s="22">
        <v>112.648</v>
      </c>
      <c r="N31" s="22">
        <v>21.454000000000001</v>
      </c>
      <c r="O31" s="20"/>
      <c r="P31" s="22">
        <v>107.066</v>
      </c>
      <c r="Q31" s="20"/>
      <c r="R31" s="22">
        <v>64.242000000000004</v>
      </c>
      <c r="S31" s="31">
        <f t="shared" si="0"/>
        <v>441.83599999999996</v>
      </c>
      <c r="T31" s="65">
        <f t="shared" si="1"/>
        <v>3047.223</v>
      </c>
    </row>
    <row r="32" spans="1:20" s="29" customFormat="1" ht="20.25" customHeight="1">
      <c r="A32" s="35">
        <v>26</v>
      </c>
      <c r="B32" s="36" t="s">
        <v>305</v>
      </c>
      <c r="C32" s="44">
        <v>18</v>
      </c>
      <c r="D32" s="44">
        <v>18</v>
      </c>
      <c r="E32" s="22">
        <v>2009</v>
      </c>
      <c r="F32" s="22">
        <v>337</v>
      </c>
      <c r="G32" s="22">
        <v>2009.3489999999999</v>
      </c>
      <c r="H32" s="22">
        <v>58.445</v>
      </c>
      <c r="I32" s="22">
        <v>27.844999999999999</v>
      </c>
      <c r="J32" s="22">
        <v>19.573</v>
      </c>
      <c r="K32" s="22">
        <v>4.024</v>
      </c>
      <c r="L32" s="22">
        <v>60.124000000000002</v>
      </c>
      <c r="M32" s="22">
        <v>41.13</v>
      </c>
      <c r="N32" s="22">
        <v>11.19</v>
      </c>
      <c r="O32" s="22">
        <v>4</v>
      </c>
      <c r="P32" s="22">
        <v>104.081</v>
      </c>
      <c r="Q32" s="22"/>
      <c r="R32" s="22">
        <v>6.835</v>
      </c>
      <c r="S32" s="31">
        <f t="shared" si="0"/>
        <v>337.24699999999996</v>
      </c>
      <c r="T32" s="65">
        <f t="shared" si="1"/>
        <v>2346.596</v>
      </c>
    </row>
    <row r="33" spans="1:20" s="29" customFormat="1" ht="20.25" customHeight="1">
      <c r="A33" s="35">
        <v>27</v>
      </c>
      <c r="B33" s="36" t="s">
        <v>302</v>
      </c>
      <c r="C33" s="44">
        <v>17</v>
      </c>
      <c r="D33" s="44">
        <v>16</v>
      </c>
      <c r="E33" s="20">
        <v>1802.258</v>
      </c>
      <c r="F33" s="20">
        <v>319.08699999999999</v>
      </c>
      <c r="G33" s="20">
        <v>1802.258</v>
      </c>
      <c r="H33" s="20">
        <v>1.9</v>
      </c>
      <c r="I33" s="20">
        <v>0.53800000000000003</v>
      </c>
      <c r="J33" s="20">
        <v>26.502099999999999</v>
      </c>
      <c r="K33" s="20">
        <v>4.5410000000000004</v>
      </c>
      <c r="L33" s="20">
        <v>42.808</v>
      </c>
      <c r="M33" s="20">
        <v>193.626</v>
      </c>
      <c r="N33" s="20">
        <v>11.076000000000001</v>
      </c>
      <c r="O33" s="20"/>
      <c r="P33" s="20">
        <v>28.870999999999999</v>
      </c>
      <c r="Q33" s="20"/>
      <c r="R33" s="20">
        <v>9.2249999999999996</v>
      </c>
      <c r="S33" s="31">
        <v>319.08710000000002</v>
      </c>
      <c r="T33" s="65">
        <f t="shared" si="1"/>
        <v>2121.3451</v>
      </c>
    </row>
    <row r="34" spans="1:20" s="29" customFormat="1" ht="20.25" customHeight="1">
      <c r="A34" s="35">
        <v>28</v>
      </c>
      <c r="B34" s="36" t="s">
        <v>303</v>
      </c>
      <c r="C34" s="44">
        <v>15</v>
      </c>
      <c r="D34" s="44">
        <v>15</v>
      </c>
      <c r="E34" s="21">
        <v>1691</v>
      </c>
      <c r="F34" s="21">
        <v>341</v>
      </c>
      <c r="G34" s="21">
        <v>1691.4369999999999</v>
      </c>
      <c r="H34" s="21"/>
      <c r="I34" s="21">
        <v>9.0410000000000004</v>
      </c>
      <c r="J34" s="21">
        <v>34.667999999999999</v>
      </c>
      <c r="K34" s="21">
        <v>3.1709999999999998</v>
      </c>
      <c r="L34" s="21">
        <v>57.957999999999998</v>
      </c>
      <c r="M34" s="21">
        <v>18</v>
      </c>
      <c r="N34" s="21">
        <v>23.215</v>
      </c>
      <c r="O34" s="21">
        <v>0</v>
      </c>
      <c r="P34" s="21">
        <v>177.67500000000001</v>
      </c>
      <c r="Q34" s="21"/>
      <c r="R34" s="21">
        <v>17.225000000000001</v>
      </c>
      <c r="S34" s="31">
        <f t="shared" si="0"/>
        <v>340.95300000000003</v>
      </c>
      <c r="T34" s="65">
        <f t="shared" si="1"/>
        <v>2032.3899999999999</v>
      </c>
    </row>
    <row r="35" spans="1:20" s="29" customFormat="1" ht="20.25" customHeight="1">
      <c r="A35" s="35">
        <v>29</v>
      </c>
      <c r="B35" s="36" t="s">
        <v>175</v>
      </c>
      <c r="C35" s="44">
        <v>20</v>
      </c>
      <c r="D35" s="44">
        <v>20</v>
      </c>
      <c r="E35" s="20">
        <v>3120</v>
      </c>
      <c r="F35" s="20">
        <v>455.255</v>
      </c>
      <c r="G35" s="20">
        <f>1115.600255+56.481132+1591.448771+355.99944</f>
        <v>3119.5295980000005</v>
      </c>
      <c r="H35" s="20">
        <f>14.3295+11.1</f>
        <v>25.429499999999997</v>
      </c>
      <c r="I35" s="20">
        <v>3.587504</v>
      </c>
      <c r="J35" s="20">
        <v>20.121438999999999</v>
      </c>
      <c r="K35" s="20">
        <v>3.0717110000000001</v>
      </c>
      <c r="L35" s="20">
        <v>73.186000000000007</v>
      </c>
      <c r="M35" s="20">
        <v>85.882999999999996</v>
      </c>
      <c r="N35" s="20">
        <v>66.67</v>
      </c>
      <c r="O35" s="20"/>
      <c r="P35" s="20">
        <f>0.000298+138.788622</f>
        <v>138.78891999999999</v>
      </c>
      <c r="Q35" s="20"/>
      <c r="R35" s="20">
        <v>17.4575</v>
      </c>
      <c r="S35" s="31">
        <f t="shared" si="0"/>
        <v>434.19557399999997</v>
      </c>
      <c r="T35" s="65">
        <f t="shared" si="1"/>
        <v>3553.7251720000004</v>
      </c>
    </row>
    <row r="36" spans="1:20" s="29" customFormat="1" ht="20.25" customHeight="1">
      <c r="A36" s="35">
        <v>30</v>
      </c>
      <c r="B36" s="36" t="s">
        <v>39</v>
      </c>
      <c r="C36" s="44">
        <v>13</v>
      </c>
      <c r="D36" s="44">
        <v>12</v>
      </c>
      <c r="E36" s="22">
        <v>1886</v>
      </c>
      <c r="F36" s="22">
        <v>225</v>
      </c>
      <c r="G36" s="22">
        <f>745.663+931.058+208.782</f>
        <v>1885.5029999999999</v>
      </c>
      <c r="H36" s="20"/>
      <c r="I36" s="20">
        <v>4.4249999999999998</v>
      </c>
      <c r="J36" s="20">
        <v>29.22</v>
      </c>
      <c r="K36" s="20">
        <v>3.8940000000000001</v>
      </c>
      <c r="L36" s="20">
        <v>68.209999999999994</v>
      </c>
      <c r="M36" s="20">
        <v>2.4</v>
      </c>
      <c r="N36" s="20">
        <v>5.3</v>
      </c>
      <c r="O36" s="20">
        <v>0.67</v>
      </c>
      <c r="P36" s="20">
        <v>97.209000000000003</v>
      </c>
      <c r="Q36" s="20"/>
      <c r="R36" s="20">
        <f>13.002+0.88+0.003</f>
        <v>13.885000000000002</v>
      </c>
      <c r="S36" s="31">
        <f t="shared" si="0"/>
        <v>225.21299999999999</v>
      </c>
      <c r="T36" s="65">
        <f t="shared" si="1"/>
        <v>2110.7159999999999</v>
      </c>
    </row>
    <row r="37" spans="1:20" s="29" customFormat="1" ht="20.25" customHeight="1">
      <c r="A37" s="35">
        <v>31</v>
      </c>
      <c r="B37" s="37" t="s">
        <v>304</v>
      </c>
      <c r="C37" s="44">
        <v>37</v>
      </c>
      <c r="D37" s="44">
        <v>34</v>
      </c>
      <c r="E37" s="20">
        <v>3969.1849999999999</v>
      </c>
      <c r="F37" s="66">
        <v>543.81500000000005</v>
      </c>
      <c r="G37" s="20">
        <v>3969.1849999999999</v>
      </c>
      <c r="H37" s="20">
        <v>133.864</v>
      </c>
      <c r="I37" s="20">
        <v>9.7894089999999991</v>
      </c>
      <c r="J37" s="20">
        <v>49.695999999999998</v>
      </c>
      <c r="K37" s="20">
        <v>3.1616</v>
      </c>
      <c r="L37" s="20">
        <v>60.787999999999997</v>
      </c>
      <c r="M37" s="67">
        <v>9.6</v>
      </c>
      <c r="N37" s="20">
        <v>204.44036600000001</v>
      </c>
      <c r="O37" s="20">
        <v>0</v>
      </c>
      <c r="P37" s="20">
        <v>26.384</v>
      </c>
      <c r="Q37" s="20"/>
      <c r="R37" s="20">
        <v>46.091999999999999</v>
      </c>
      <c r="S37" s="68">
        <f>SUM(H37:R37)</f>
        <v>543.81537500000002</v>
      </c>
      <c r="T37" s="65">
        <f t="shared" si="1"/>
        <v>4513.0003749999996</v>
      </c>
    </row>
    <row r="38" spans="1:20" s="29" customFormat="1" ht="20.25" customHeight="1">
      <c r="A38" s="59"/>
      <c r="B38" s="45"/>
      <c r="C38" s="26">
        <f>SUM(C7:C37)</f>
        <v>605</v>
      </c>
      <c r="D38" s="26">
        <f t="shared" ref="D38:T38" si="2">SUM(D7:D37)</f>
        <v>595</v>
      </c>
      <c r="E38" s="26">
        <f t="shared" si="2"/>
        <v>89605.733366</v>
      </c>
      <c r="F38" s="26">
        <f t="shared" si="2"/>
        <v>13446.216915999999</v>
      </c>
      <c r="G38" s="26">
        <f t="shared" si="2"/>
        <v>89604.982963999981</v>
      </c>
      <c r="H38" s="26">
        <f t="shared" si="2"/>
        <v>803.27905999999996</v>
      </c>
      <c r="I38" s="26">
        <f t="shared" si="2"/>
        <v>339.57410499999997</v>
      </c>
      <c r="J38" s="26">
        <f t="shared" si="2"/>
        <v>1182.1733089999998</v>
      </c>
      <c r="K38" s="26">
        <f t="shared" si="2"/>
        <v>145.77710499999995</v>
      </c>
      <c r="L38" s="26">
        <f t="shared" si="2"/>
        <v>1587.1849999999999</v>
      </c>
      <c r="M38" s="26">
        <f t="shared" si="2"/>
        <v>1989.7369999999999</v>
      </c>
      <c r="N38" s="26">
        <f t="shared" si="2"/>
        <v>1729.6636829999998</v>
      </c>
      <c r="O38" s="26">
        <f t="shared" si="2"/>
        <v>471.01400000000001</v>
      </c>
      <c r="P38" s="26">
        <f t="shared" si="2"/>
        <v>3573.1516200000005</v>
      </c>
      <c r="Q38" s="26">
        <f t="shared" si="2"/>
        <v>0</v>
      </c>
      <c r="R38" s="26">
        <f t="shared" si="2"/>
        <v>1602.9170829999996</v>
      </c>
      <c r="S38" s="26">
        <f t="shared" si="2"/>
        <v>13424.471965000001</v>
      </c>
      <c r="T38" s="26">
        <f t="shared" si="2"/>
        <v>103029.45492900001</v>
      </c>
    </row>
    <row r="39" spans="1:20" s="29" customFormat="1" ht="20.25" customHeight="1"/>
    <row r="40" spans="1:20" s="29" customFormat="1" ht="20.25" customHeight="1"/>
    <row r="41" spans="1:20" s="29" customFormat="1" ht="20.25" customHeight="1"/>
    <row r="42" spans="1:20" s="29" customFormat="1" ht="20.25" customHeight="1"/>
    <row r="43" spans="1:20" s="29" customFormat="1" ht="20.25" customHeight="1"/>
    <row r="44" spans="1:20" s="29" customFormat="1" ht="20.25" customHeight="1"/>
    <row r="45" spans="1:20" s="29" customFormat="1" ht="20.25" customHeight="1"/>
    <row r="46" spans="1:20" s="29" customFormat="1" ht="20.25" customHeight="1"/>
    <row r="47" spans="1:20" s="29" customFormat="1" ht="20.25" customHeight="1"/>
    <row r="48" spans="1:20" s="29" customFormat="1" ht="20.25" customHeight="1"/>
    <row r="49" s="29" customFormat="1" ht="20.25" customHeight="1"/>
    <row r="50" s="29" customFormat="1" ht="20.25" customHeight="1"/>
    <row r="51" s="29" customFormat="1" ht="20.25" customHeight="1"/>
    <row r="52" s="29" customFormat="1" ht="20.25" customHeight="1"/>
    <row r="53" s="29" customFormat="1" ht="20.25" customHeight="1"/>
    <row r="54" s="29" customFormat="1" ht="20.25" customHeight="1"/>
    <row r="55" s="29" customFormat="1" ht="20.25" customHeight="1"/>
    <row r="56" s="29" customFormat="1" ht="20.25" customHeight="1"/>
    <row r="57" s="29" customFormat="1" ht="20.25" customHeight="1"/>
    <row r="58" s="29" customFormat="1" ht="20.25" customHeight="1"/>
    <row r="59" s="29" customFormat="1" ht="20.25" customHeight="1"/>
    <row r="60" s="29" customFormat="1" ht="20.25" customHeight="1"/>
    <row r="61" s="29" customFormat="1" ht="20.25" customHeight="1"/>
    <row r="62" s="29" customFormat="1" ht="20.25" customHeight="1"/>
    <row r="63" s="29" customFormat="1" ht="20.25" customHeight="1"/>
    <row r="64" s="29" customFormat="1" ht="20.25" customHeight="1"/>
    <row r="65" s="29" customFormat="1" ht="20.25" customHeight="1"/>
    <row r="66" s="29" customFormat="1" ht="20.25" customHeight="1"/>
    <row r="67" s="29" customFormat="1" ht="20.25" customHeight="1"/>
    <row r="68" s="29" customFormat="1" ht="20.25" customHeight="1"/>
    <row r="69" s="29" customFormat="1" ht="20.25" customHeight="1"/>
    <row r="70" s="29" customFormat="1" ht="20.25" customHeight="1"/>
    <row r="71" s="29" customFormat="1" ht="20.25" customHeight="1"/>
    <row r="72" s="29" customFormat="1" ht="20.25" customHeight="1"/>
    <row r="73" s="29" customFormat="1" ht="20.25" customHeight="1"/>
    <row r="74" s="29" customFormat="1" ht="20.25" customHeight="1"/>
    <row r="75" s="29" customFormat="1" ht="20.25" customHeight="1"/>
    <row r="76" s="29" customFormat="1" ht="20.25" customHeight="1"/>
    <row r="77" s="29" customFormat="1" ht="20.25" customHeight="1"/>
    <row r="78" s="29" customFormat="1" ht="20.25" customHeight="1"/>
    <row r="79" s="29" customFormat="1" ht="20.25" customHeight="1"/>
    <row r="80" s="29" customFormat="1" ht="20.25" customHeight="1"/>
    <row r="81" s="29" customFormat="1" ht="20.25" customHeight="1"/>
    <row r="82" s="29" customFormat="1" ht="20.25" customHeight="1"/>
    <row r="83" s="29" customFormat="1" ht="20.25" customHeight="1"/>
    <row r="84" s="29" customFormat="1" ht="20.25" customHeight="1"/>
    <row r="85" s="29" customFormat="1" ht="20.25" customHeight="1"/>
    <row r="86" s="29" customFormat="1" ht="20.25" customHeight="1"/>
    <row r="87" s="29" customFormat="1" ht="20.25" customHeight="1"/>
    <row r="88" s="29" customFormat="1" ht="20.25" customHeight="1"/>
    <row r="89" s="32" customFormat="1" ht="20.25" customHeight="1"/>
    <row r="90" s="29" customFormat="1" ht="20.25" customHeight="1"/>
    <row r="91" s="29" customFormat="1" ht="20.25" customHeight="1"/>
    <row r="92" s="29" customFormat="1" ht="20.25" customHeight="1"/>
    <row r="93" s="29" customFormat="1" ht="20.25" customHeight="1"/>
    <row r="94" s="29" customFormat="1" ht="20.25" customHeight="1"/>
    <row r="95" s="29" customFormat="1" ht="20.25" customHeight="1"/>
    <row r="96" s="29" customFormat="1" ht="20.25" customHeight="1"/>
    <row r="97" s="29" customFormat="1" ht="20.25" customHeight="1"/>
    <row r="98" s="29" customFormat="1" ht="20.25" customHeight="1"/>
    <row r="99" s="29" customFormat="1" ht="20.25" customHeight="1"/>
    <row r="100" s="29" customFormat="1" ht="20.25" customHeight="1"/>
    <row r="101" s="29" customFormat="1" ht="20.25" customHeight="1"/>
    <row r="102" s="29" customFormat="1" ht="20.25" customHeight="1"/>
    <row r="103" s="29" customFormat="1" ht="20.25" customHeight="1"/>
    <row r="104" s="29" customFormat="1" ht="20.25" customHeight="1"/>
    <row r="105" s="29" customFormat="1" ht="20.25" customHeight="1"/>
    <row r="106" s="29" customFormat="1" ht="20.25" customHeight="1"/>
    <row r="107" s="29" customFormat="1" ht="20.25" customHeight="1"/>
    <row r="108" s="29" customFormat="1" ht="20.25" customHeight="1"/>
    <row r="109" s="29" customFormat="1" ht="20.25" customHeight="1"/>
    <row r="110" s="29" customFormat="1" ht="20.25" customHeight="1"/>
    <row r="111" s="29" customFormat="1" ht="20.25" customHeight="1"/>
    <row r="112" s="29" customFormat="1" ht="20.25" customHeight="1"/>
    <row r="113" spans="1:1" s="29" customFormat="1" ht="20.25" customHeight="1"/>
    <row r="114" spans="1:1" s="29" customFormat="1" ht="20.25" customHeight="1"/>
    <row r="115" spans="1:1" s="49" customFormat="1" ht="20.25" customHeight="1"/>
    <row r="116" spans="1:1" s="29" customFormat="1" ht="20.25" customHeight="1"/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  <row r="126" spans="1:1">
      <c r="A126" s="15"/>
    </row>
    <row r="127" spans="1:1">
      <c r="A127" s="15"/>
    </row>
    <row r="128" spans="1:1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36" spans="1:1">
      <c r="A136" s="15"/>
    </row>
    <row r="137" spans="1:1">
      <c r="A137" s="15"/>
    </row>
    <row r="138" spans="1:1">
      <c r="A138" s="15"/>
    </row>
    <row r="139" spans="1:1">
      <c r="A139" s="15"/>
    </row>
    <row r="140" spans="1:1">
      <c r="A140" s="15"/>
    </row>
    <row r="141" spans="1:1">
      <c r="A141" s="15"/>
    </row>
    <row r="142" spans="1:1">
      <c r="A142" s="15"/>
    </row>
    <row r="143" spans="1:1">
      <c r="A143" s="15"/>
    </row>
    <row r="144" spans="1:1">
      <c r="A144" s="15"/>
    </row>
    <row r="145" spans="1:1">
      <c r="A145" s="15"/>
    </row>
    <row r="146" spans="1:1">
      <c r="A146" s="15"/>
    </row>
    <row r="147" spans="1:1">
      <c r="A147" s="15"/>
    </row>
    <row r="148" spans="1:1">
      <c r="A148" s="15"/>
    </row>
    <row r="149" spans="1:1">
      <c r="A149" s="15"/>
    </row>
    <row r="150" spans="1:1">
      <c r="A150" s="15"/>
    </row>
    <row r="151" spans="1:1">
      <c r="A151" s="15"/>
    </row>
    <row r="152" spans="1:1">
      <c r="A152" s="15"/>
    </row>
    <row r="153" spans="1:1">
      <c r="A153" s="15"/>
    </row>
    <row r="154" spans="1:1">
      <c r="A154" s="15"/>
    </row>
    <row r="155" spans="1:1">
      <c r="A155" s="15"/>
    </row>
    <row r="156" spans="1:1">
      <c r="A156" s="15"/>
    </row>
    <row r="157" spans="1:1">
      <c r="A157" s="15"/>
    </row>
    <row r="158" spans="1:1">
      <c r="A158" s="15"/>
    </row>
    <row r="159" spans="1:1">
      <c r="A159" s="15"/>
    </row>
    <row r="160" spans="1:1">
      <c r="A160" s="15"/>
    </row>
    <row r="161" spans="1:1">
      <c r="A161" s="15"/>
    </row>
    <row r="162" spans="1:1">
      <c r="A162" s="15"/>
    </row>
    <row r="163" spans="1:1">
      <c r="A163" s="15"/>
    </row>
    <row r="164" spans="1:1">
      <c r="A164" s="15"/>
    </row>
    <row r="165" spans="1:1">
      <c r="A165" s="15"/>
    </row>
    <row r="166" spans="1:1">
      <c r="A166" s="15"/>
    </row>
    <row r="167" spans="1:1">
      <c r="A167" s="15"/>
    </row>
    <row r="168" spans="1:1">
      <c r="A168" s="15"/>
    </row>
    <row r="169" spans="1:1">
      <c r="A169" s="15"/>
    </row>
    <row r="170" spans="1:1">
      <c r="A170" s="15"/>
    </row>
    <row r="171" spans="1:1">
      <c r="A171" s="15"/>
    </row>
    <row r="172" spans="1:1">
      <c r="A172" s="15"/>
    </row>
    <row r="173" spans="1:1">
      <c r="A173" s="15"/>
    </row>
    <row r="174" spans="1:1">
      <c r="A174" s="15"/>
    </row>
    <row r="175" spans="1:1">
      <c r="A175" s="15"/>
    </row>
    <row r="176" spans="1: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  <row r="185" spans="1:1">
      <c r="A185" s="15"/>
    </row>
    <row r="186" spans="1:1">
      <c r="A186" s="15"/>
    </row>
    <row r="187" spans="1:1">
      <c r="A187" s="15"/>
    </row>
    <row r="188" spans="1:1">
      <c r="A188" s="15"/>
    </row>
    <row r="189" spans="1:1">
      <c r="A189" s="15"/>
    </row>
    <row r="190" spans="1:1">
      <c r="A190" s="15"/>
    </row>
    <row r="191" spans="1:1">
      <c r="A191" s="15"/>
    </row>
    <row r="192" spans="1:1">
      <c r="A192" s="15"/>
    </row>
    <row r="193" spans="1:1">
      <c r="A193" s="15"/>
    </row>
    <row r="194" spans="1:1">
      <c r="A194" s="15"/>
    </row>
    <row r="195" spans="1:1">
      <c r="A195" s="15"/>
    </row>
    <row r="196" spans="1:1">
      <c r="A196" s="15"/>
    </row>
    <row r="197" spans="1:1">
      <c r="A197" s="15"/>
    </row>
    <row r="198" spans="1:1">
      <c r="A198" s="15"/>
    </row>
    <row r="199" spans="1:1">
      <c r="A199" s="15"/>
    </row>
    <row r="200" spans="1:1">
      <c r="A200" s="15"/>
    </row>
    <row r="201" spans="1:1">
      <c r="A201" s="15"/>
    </row>
    <row r="202" spans="1:1">
      <c r="A202" s="15"/>
    </row>
    <row r="203" spans="1:1">
      <c r="A203" s="15"/>
    </row>
    <row r="204" spans="1:1">
      <c r="A204" s="15"/>
    </row>
    <row r="205" spans="1:1">
      <c r="A205" s="15"/>
    </row>
    <row r="206" spans="1:1">
      <c r="A206" s="15"/>
    </row>
    <row r="207" spans="1:1">
      <c r="A207" s="15"/>
    </row>
    <row r="208" spans="1:1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5"/>
    </row>
    <row r="269" spans="1:1">
      <c r="A269" s="15"/>
    </row>
    <row r="270" spans="1:1">
      <c r="A270" s="15"/>
    </row>
    <row r="271" spans="1:1">
      <c r="A271" s="15"/>
    </row>
    <row r="272" spans="1:1">
      <c r="A272" s="15"/>
    </row>
    <row r="273" spans="1:1">
      <c r="A273" s="15"/>
    </row>
    <row r="274" spans="1:1">
      <c r="A274" s="15"/>
    </row>
    <row r="275" spans="1:1">
      <c r="A275" s="15"/>
    </row>
    <row r="276" spans="1:1">
      <c r="A276" s="15"/>
    </row>
    <row r="277" spans="1:1">
      <c r="A277" s="15"/>
    </row>
    <row r="278" spans="1:1">
      <c r="A278" s="15"/>
    </row>
    <row r="279" spans="1:1">
      <c r="A279" s="15"/>
    </row>
    <row r="280" spans="1:1">
      <c r="A280" s="15"/>
    </row>
    <row r="281" spans="1:1">
      <c r="A281" s="15"/>
    </row>
    <row r="282" spans="1:1">
      <c r="A282" s="15"/>
    </row>
    <row r="283" spans="1:1">
      <c r="A283" s="15"/>
    </row>
    <row r="284" spans="1:1">
      <c r="A284" s="15"/>
    </row>
    <row r="285" spans="1:1">
      <c r="A285" s="15"/>
    </row>
    <row r="286" spans="1:1">
      <c r="A286" s="15"/>
    </row>
    <row r="287" spans="1:1">
      <c r="A287" s="15"/>
    </row>
    <row r="288" spans="1:1">
      <c r="A288" s="15"/>
    </row>
    <row r="289" spans="1:1">
      <c r="A289" s="15"/>
    </row>
    <row r="290" spans="1:1">
      <c r="A290" s="15"/>
    </row>
    <row r="291" spans="1:1">
      <c r="A291" s="15"/>
    </row>
    <row r="292" spans="1:1">
      <c r="A292" s="15"/>
    </row>
    <row r="293" spans="1:1">
      <c r="A293" s="15"/>
    </row>
    <row r="294" spans="1:1">
      <c r="A294" s="15"/>
    </row>
    <row r="295" spans="1:1">
      <c r="A295" s="15"/>
    </row>
    <row r="296" spans="1:1">
      <c r="A296" s="15"/>
    </row>
    <row r="297" spans="1:1">
      <c r="A297" s="15"/>
    </row>
    <row r="298" spans="1:1">
      <c r="A298" s="15"/>
    </row>
    <row r="299" spans="1:1">
      <c r="A299" s="15"/>
    </row>
    <row r="300" spans="1:1">
      <c r="A300" s="15"/>
    </row>
    <row r="301" spans="1:1">
      <c r="A301" s="15"/>
    </row>
    <row r="302" spans="1:1">
      <c r="A302" s="15"/>
    </row>
    <row r="303" spans="1:1">
      <c r="A303" s="15"/>
    </row>
    <row r="304" spans="1:1">
      <c r="A304" s="15"/>
    </row>
    <row r="305" spans="1:1">
      <c r="A305" s="15"/>
    </row>
    <row r="306" spans="1:1">
      <c r="A306" s="15"/>
    </row>
    <row r="307" spans="1:1">
      <c r="A307" s="15"/>
    </row>
    <row r="308" spans="1:1">
      <c r="A308" s="15"/>
    </row>
    <row r="309" spans="1:1">
      <c r="A309" s="15"/>
    </row>
    <row r="310" spans="1:1">
      <c r="A310" s="15"/>
    </row>
    <row r="311" spans="1:1">
      <c r="A311" s="15"/>
    </row>
    <row r="312" spans="1:1">
      <c r="A312" s="15"/>
    </row>
    <row r="313" spans="1:1">
      <c r="A313" s="15"/>
    </row>
    <row r="314" spans="1:1">
      <c r="A314" s="15"/>
    </row>
    <row r="315" spans="1:1">
      <c r="A315" s="15"/>
    </row>
    <row r="316" spans="1:1">
      <c r="A316" s="15"/>
    </row>
    <row r="317" spans="1:1">
      <c r="A317" s="15"/>
    </row>
    <row r="318" spans="1:1">
      <c r="A318" s="15"/>
    </row>
    <row r="319" spans="1:1">
      <c r="A319" s="15"/>
    </row>
    <row r="320" spans="1:1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  <row r="335" spans="1:1">
      <c r="A335" s="15"/>
    </row>
    <row r="336" spans="1:1">
      <c r="A336" s="15"/>
    </row>
  </sheetData>
  <autoFilter ref="A6:T116"/>
  <mergeCells count="10">
    <mergeCell ref="A1:T1"/>
    <mergeCell ref="A2:T2"/>
    <mergeCell ref="A4:A6"/>
    <mergeCell ref="B4:B6"/>
    <mergeCell ref="G4:T4"/>
    <mergeCell ref="C4:D5"/>
    <mergeCell ref="E4:F5"/>
    <mergeCell ref="G5:G6"/>
    <mergeCell ref="H5:S5"/>
    <mergeCell ref="T5:T6"/>
  </mergeCells>
  <pageMargins left="0.2" right="0.2" top="0.39" bottom="0.27" header="0.3" footer="0.2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43"/>
  <sheetViews>
    <sheetView workbookViewId="0">
      <selection activeCell="A2" sqref="A2:U2"/>
    </sheetView>
  </sheetViews>
  <sheetFormatPr defaultColWidth="9.140625" defaultRowHeight="15"/>
  <cols>
    <col min="1" max="1" width="5.140625" style="16" customWidth="1"/>
    <col min="2" max="2" width="21.42578125" style="15" bestFit="1" customWidth="1"/>
    <col min="3" max="3" width="7" style="15" customWidth="1"/>
    <col min="4" max="4" width="5.85546875" style="15" customWidth="1"/>
    <col min="5" max="5" width="10.85546875" style="15" customWidth="1"/>
    <col min="6" max="7" width="8.5703125" style="15" customWidth="1"/>
    <col min="8" max="8" width="10.85546875" style="15" customWidth="1"/>
    <col min="9" max="9" width="9.140625" style="15" customWidth="1"/>
    <col min="10" max="10" width="9" style="15" customWidth="1"/>
    <col min="11" max="12" width="8.85546875" style="15" customWidth="1"/>
    <col min="13" max="13" width="6.7109375" style="15" customWidth="1"/>
    <col min="14" max="14" width="6.42578125" style="15" customWidth="1"/>
    <col min="15" max="15" width="9.140625" style="15" customWidth="1"/>
    <col min="16" max="16" width="8.7109375" style="15" customWidth="1"/>
    <col min="17" max="17" width="8.42578125" style="15" customWidth="1"/>
    <col min="18" max="18" width="10" style="15" customWidth="1"/>
    <col min="19" max="19" width="6.5703125" style="15" customWidth="1"/>
    <col min="20" max="20" width="8.7109375" style="15" customWidth="1"/>
    <col min="21" max="21" width="11.42578125" style="15" customWidth="1"/>
    <col min="22" max="16384" width="9.140625" style="15"/>
  </cols>
  <sheetData>
    <row r="1" spans="1:21">
      <c r="A1" s="147" t="s">
        <v>306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24.6" customHeight="1">
      <c r="A2" s="148" t="s">
        <v>347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18" customHeight="1">
      <c r="U3" s="17" t="s">
        <v>20</v>
      </c>
    </row>
    <row r="4" spans="1:21" ht="24.75" customHeight="1">
      <c r="A4" s="142" t="s">
        <v>0</v>
      </c>
      <c r="B4" s="142" t="s">
        <v>18</v>
      </c>
      <c r="C4" s="143" t="s">
        <v>1</v>
      </c>
      <c r="D4" s="144"/>
      <c r="E4" s="149" t="s">
        <v>4</v>
      </c>
      <c r="F4" s="149"/>
      <c r="G4" s="149"/>
      <c r="H4" s="156" t="s">
        <v>5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8"/>
    </row>
    <row r="5" spans="1:21" ht="24.75" customHeight="1">
      <c r="A5" s="142"/>
      <c r="B5" s="142"/>
      <c r="C5" s="145"/>
      <c r="D5" s="146"/>
      <c r="E5" s="149"/>
      <c r="F5" s="149"/>
      <c r="G5" s="149"/>
      <c r="H5" s="150" t="s">
        <v>6</v>
      </c>
      <c r="I5" s="142" t="s">
        <v>181</v>
      </c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52" t="s">
        <v>19</v>
      </c>
    </row>
    <row r="6" spans="1:21" ht="76.5" customHeight="1">
      <c r="A6" s="142"/>
      <c r="B6" s="142"/>
      <c r="C6" s="18" t="s">
        <v>2</v>
      </c>
      <c r="D6" s="18" t="s">
        <v>3</v>
      </c>
      <c r="E6" s="128" t="s">
        <v>179</v>
      </c>
      <c r="F6" s="128" t="s">
        <v>180</v>
      </c>
      <c r="G6" s="120" t="s">
        <v>19</v>
      </c>
      <c r="H6" s="153"/>
      <c r="I6" s="117" t="s">
        <v>7</v>
      </c>
      <c r="J6" s="117" t="s">
        <v>8</v>
      </c>
      <c r="K6" s="117" t="s">
        <v>9</v>
      </c>
      <c r="L6" s="117" t="s">
        <v>10</v>
      </c>
      <c r="M6" s="117" t="s">
        <v>11</v>
      </c>
      <c r="N6" s="117" t="s">
        <v>12</v>
      </c>
      <c r="O6" s="117" t="s">
        <v>13</v>
      </c>
      <c r="P6" s="117" t="s">
        <v>14</v>
      </c>
      <c r="Q6" s="117" t="s">
        <v>15</v>
      </c>
      <c r="R6" s="117" t="s">
        <v>17</v>
      </c>
      <c r="S6" s="117" t="s">
        <v>16</v>
      </c>
      <c r="T6" s="117" t="s">
        <v>178</v>
      </c>
      <c r="U6" s="155"/>
    </row>
    <row r="7" spans="1:21" s="29" customFormat="1" ht="20.25" customHeight="1">
      <c r="A7" s="71">
        <v>1</v>
      </c>
      <c r="B7" s="34" t="s">
        <v>314</v>
      </c>
      <c r="C7" s="30">
        <v>49</v>
      </c>
      <c r="D7" s="30">
        <v>49</v>
      </c>
      <c r="E7" s="30">
        <v>5081.34</v>
      </c>
      <c r="F7" s="30">
        <f>820.91-10-48</f>
        <v>762.91</v>
      </c>
      <c r="G7" s="30">
        <f>E7+F7</f>
        <v>5844.25</v>
      </c>
      <c r="H7" s="30">
        <f>5089.197-0.471</f>
        <v>5088.7260000000006</v>
      </c>
      <c r="I7" s="30"/>
      <c r="J7" s="30">
        <v>74.183000000000007</v>
      </c>
      <c r="K7" s="30">
        <v>81.221000000000004</v>
      </c>
      <c r="L7" s="30">
        <v>13.276999999999999</v>
      </c>
      <c r="M7" s="30">
        <v>14.65</v>
      </c>
      <c r="N7" s="30">
        <v>98.1</v>
      </c>
      <c r="O7" s="30">
        <v>60.365000000000002</v>
      </c>
      <c r="P7" s="30"/>
      <c r="Q7" s="30">
        <v>299.47199999999998</v>
      </c>
      <c r="R7" s="30"/>
      <c r="S7" s="30">
        <v>74.587000000000003</v>
      </c>
      <c r="T7" s="31">
        <f>SUM(I7:S7)</f>
        <v>715.85500000000002</v>
      </c>
      <c r="U7" s="65">
        <f>T7+H7</f>
        <v>5804.5810000000001</v>
      </c>
    </row>
    <row r="8" spans="1:21" s="29" customFormat="1" ht="20.25" customHeight="1">
      <c r="A8" s="71">
        <v>2</v>
      </c>
      <c r="B8" s="119" t="s">
        <v>315</v>
      </c>
      <c r="C8" s="30">
        <v>15</v>
      </c>
      <c r="D8" s="30">
        <v>15</v>
      </c>
      <c r="E8" s="30">
        <v>1566.78</v>
      </c>
      <c r="F8" s="30">
        <f>273.63-3.5-7.25</f>
        <v>262.88</v>
      </c>
      <c r="G8" s="30">
        <f t="shared" ref="G8:G28" si="0">E8+F8</f>
        <v>1829.6599999999999</v>
      </c>
      <c r="H8" s="30">
        <f>738.976+547.321+196.188</f>
        <v>1482.4850000000001</v>
      </c>
      <c r="I8" s="30"/>
      <c r="J8" s="30">
        <v>20.753</v>
      </c>
      <c r="K8" s="30">
        <v>41.844000000000001</v>
      </c>
      <c r="L8" s="30">
        <v>8.4120000000000008</v>
      </c>
      <c r="M8" s="30">
        <v>11.4</v>
      </c>
      <c r="N8" s="30">
        <v>75.411000000000001</v>
      </c>
      <c r="O8" s="30">
        <v>30.29</v>
      </c>
      <c r="P8" s="30"/>
      <c r="Q8" s="30">
        <v>99.561000000000007</v>
      </c>
      <c r="R8" s="30"/>
      <c r="S8" s="30">
        <f>2.43+11.09+15</f>
        <v>28.52</v>
      </c>
      <c r="T8" s="31">
        <f t="shared" ref="T8:T28" si="1">SUM(I8:S8)</f>
        <v>316.19099999999997</v>
      </c>
      <c r="U8" s="65">
        <f t="shared" ref="U8:U28" si="2">T8+H8</f>
        <v>1798.6760000000002</v>
      </c>
    </row>
    <row r="9" spans="1:21" s="29" customFormat="1" ht="20.25" customHeight="1">
      <c r="A9" s="71">
        <v>3</v>
      </c>
      <c r="B9" s="119" t="s">
        <v>316</v>
      </c>
      <c r="C9" s="30">
        <v>24</v>
      </c>
      <c r="D9" s="30">
        <v>24</v>
      </c>
      <c r="E9" s="30">
        <v>2684.44</v>
      </c>
      <c r="F9" s="30">
        <f>410.45-4-12.7</f>
        <v>393.75</v>
      </c>
      <c r="G9" s="30">
        <f t="shared" si="0"/>
        <v>3078.19</v>
      </c>
      <c r="H9" s="30">
        <v>2612.4760000000001</v>
      </c>
      <c r="I9" s="30"/>
      <c r="J9" s="30">
        <v>41.850999999999999</v>
      </c>
      <c r="K9" s="30">
        <v>44.642000000000003</v>
      </c>
      <c r="L9" s="30">
        <v>6.8129999999999997</v>
      </c>
      <c r="M9" s="30">
        <v>12</v>
      </c>
      <c r="N9" s="30">
        <v>80.585999999999999</v>
      </c>
      <c r="O9" s="30">
        <v>71.337000000000003</v>
      </c>
      <c r="P9" s="30"/>
      <c r="Q9" s="30">
        <v>112.178</v>
      </c>
      <c r="R9" s="30"/>
      <c r="S9" s="30">
        <f>36.892+12.563+0.66+36</f>
        <v>86.115000000000009</v>
      </c>
      <c r="T9" s="31">
        <f t="shared" si="1"/>
        <v>455.52199999999999</v>
      </c>
      <c r="U9" s="65">
        <f t="shared" si="2"/>
        <v>3067.998</v>
      </c>
    </row>
    <row r="10" spans="1:21" s="29" customFormat="1" ht="20.25" customHeight="1">
      <c r="A10" s="71">
        <v>4</v>
      </c>
      <c r="B10" s="119" t="s">
        <v>317</v>
      </c>
      <c r="C10" s="30">
        <v>13</v>
      </c>
      <c r="D10" s="30">
        <v>13</v>
      </c>
      <c r="E10" s="30">
        <v>1511</v>
      </c>
      <c r="F10" s="30">
        <f>256.53-2-3.5</f>
        <v>251.02999999999997</v>
      </c>
      <c r="G10" s="30">
        <f t="shared" si="0"/>
        <v>1762.03</v>
      </c>
      <c r="H10" s="30">
        <f>772.277+578.018+206.722</f>
        <v>1557.0170000000001</v>
      </c>
      <c r="I10" s="30"/>
      <c r="J10" s="30">
        <v>17.446999999999999</v>
      </c>
      <c r="K10" s="30">
        <v>33.841000000000001</v>
      </c>
      <c r="L10" s="30">
        <v>7.3419999999999996</v>
      </c>
      <c r="M10" s="30">
        <v>6</v>
      </c>
      <c r="N10" s="30">
        <v>34.997</v>
      </c>
      <c r="O10" s="30">
        <v>59.502000000000002</v>
      </c>
      <c r="P10" s="30"/>
      <c r="Q10" s="30">
        <v>34.468000000000004</v>
      </c>
      <c r="R10" s="30"/>
      <c r="S10" s="30">
        <v>11.422000000000001</v>
      </c>
      <c r="T10" s="31">
        <f t="shared" si="1"/>
        <v>205.01899999999998</v>
      </c>
      <c r="U10" s="65">
        <f t="shared" si="2"/>
        <v>1762.0360000000001</v>
      </c>
    </row>
    <row r="11" spans="1:21" s="29" customFormat="1" ht="20.25" customHeight="1">
      <c r="A11" s="71">
        <v>5</v>
      </c>
      <c r="B11" s="34" t="s">
        <v>318</v>
      </c>
      <c r="C11" s="30">
        <v>33</v>
      </c>
      <c r="D11" s="30">
        <v>33</v>
      </c>
      <c r="E11" s="30">
        <v>3438.84</v>
      </c>
      <c r="F11" s="30">
        <f>564.37-5-34.7</f>
        <v>524.66999999999996</v>
      </c>
      <c r="G11" s="30">
        <f t="shared" si="0"/>
        <v>3963.51</v>
      </c>
      <c r="H11" s="30">
        <v>3319.8</v>
      </c>
      <c r="I11" s="30"/>
      <c r="J11" s="30">
        <v>54.564999999999998</v>
      </c>
      <c r="K11" s="30">
        <v>92.364999999999995</v>
      </c>
      <c r="L11" s="30">
        <v>18.215</v>
      </c>
      <c r="M11" s="30">
        <v>12</v>
      </c>
      <c r="N11" s="30">
        <v>70.061000000000007</v>
      </c>
      <c r="O11" s="30">
        <v>100.81699999999999</v>
      </c>
      <c r="P11" s="30"/>
      <c r="Q11" s="30">
        <v>159.86000000000001</v>
      </c>
      <c r="R11" s="30"/>
      <c r="S11" s="30">
        <f>26.53+23.869+30.637+0.006+23.86</f>
        <v>104.902</v>
      </c>
      <c r="T11" s="31">
        <f t="shared" si="1"/>
        <v>612.78500000000008</v>
      </c>
      <c r="U11" s="65">
        <f t="shared" si="2"/>
        <v>3932.585</v>
      </c>
    </row>
    <row r="12" spans="1:21" s="29" customFormat="1" ht="20.25" customHeight="1">
      <c r="A12" s="71">
        <v>6</v>
      </c>
      <c r="B12" s="34" t="s">
        <v>319</v>
      </c>
      <c r="C12" s="30">
        <v>38</v>
      </c>
      <c r="D12" s="30">
        <v>38</v>
      </c>
      <c r="E12" s="30">
        <v>3770.66</v>
      </c>
      <c r="F12" s="30">
        <f>632.78-11.2-18.7</f>
        <v>602.87999999999988</v>
      </c>
      <c r="G12" s="30">
        <f t="shared" si="0"/>
        <v>4373.54</v>
      </c>
      <c r="H12" s="30">
        <v>3780.373</v>
      </c>
      <c r="I12" s="30"/>
      <c r="J12" s="30">
        <v>52.491</v>
      </c>
      <c r="K12" s="30">
        <v>86.994</v>
      </c>
      <c r="L12" s="30">
        <v>12.361000000000001</v>
      </c>
      <c r="M12" s="30">
        <v>9.1999999999999993</v>
      </c>
      <c r="N12" s="30">
        <v>71.528999999999996</v>
      </c>
      <c r="O12" s="30">
        <v>83.039000000000001</v>
      </c>
      <c r="P12" s="30"/>
      <c r="Q12" s="30">
        <v>234.38300000000001</v>
      </c>
      <c r="R12" s="30"/>
      <c r="S12" s="30">
        <f>48.182+38</f>
        <v>86.182000000000002</v>
      </c>
      <c r="T12" s="31">
        <f t="shared" si="1"/>
        <v>636.17899999999997</v>
      </c>
      <c r="U12" s="65">
        <f t="shared" si="2"/>
        <v>4416.5519999999997</v>
      </c>
    </row>
    <row r="13" spans="1:21" s="29" customFormat="1" ht="20.25" customHeight="1">
      <c r="A13" s="71">
        <v>7</v>
      </c>
      <c r="B13" s="119" t="s">
        <v>320</v>
      </c>
      <c r="C13" s="30">
        <v>15</v>
      </c>
      <c r="D13" s="30">
        <v>15</v>
      </c>
      <c r="E13" s="30">
        <v>1800.88</v>
      </c>
      <c r="F13" s="30">
        <f>290.74-3-15.3</f>
        <v>272.44</v>
      </c>
      <c r="G13" s="30">
        <f t="shared" si="0"/>
        <v>2073.3200000000002</v>
      </c>
      <c r="H13" s="30">
        <f>835.973+632.156+212.161</f>
        <v>1680.29</v>
      </c>
      <c r="I13" s="30"/>
      <c r="J13" s="30">
        <v>16.361999999999998</v>
      </c>
      <c r="K13" s="30">
        <v>33.104999999999997</v>
      </c>
      <c r="L13" s="30">
        <v>8.65</v>
      </c>
      <c r="M13" s="30">
        <v>6</v>
      </c>
      <c r="N13" s="30">
        <v>48.811</v>
      </c>
      <c r="O13" s="30">
        <v>70.122</v>
      </c>
      <c r="P13" s="30"/>
      <c r="Q13" s="30">
        <v>107.325</v>
      </c>
      <c r="R13" s="30">
        <v>0</v>
      </c>
      <c r="S13" s="30">
        <v>38.664999999999999</v>
      </c>
      <c r="T13" s="31">
        <f t="shared" si="1"/>
        <v>329.04</v>
      </c>
      <c r="U13" s="65">
        <f t="shared" si="2"/>
        <v>2009.33</v>
      </c>
    </row>
    <row r="14" spans="1:21" s="29" customFormat="1" ht="21" customHeight="1">
      <c r="A14" s="71">
        <v>8</v>
      </c>
      <c r="B14" s="119" t="s">
        <v>47</v>
      </c>
      <c r="C14" s="30">
        <v>29</v>
      </c>
      <c r="D14" s="30">
        <v>29</v>
      </c>
      <c r="E14" s="30">
        <f>2716.29+80.267</f>
        <v>2796.5569999999998</v>
      </c>
      <c r="F14" s="30">
        <f>444.66-4-7.8</f>
        <v>432.86</v>
      </c>
      <c r="G14" s="30">
        <f t="shared" si="0"/>
        <v>3229.4169999999999</v>
      </c>
      <c r="H14" s="30">
        <v>2942.7750000000001</v>
      </c>
      <c r="I14" s="30"/>
      <c r="J14" s="30">
        <v>54.533999999999999</v>
      </c>
      <c r="K14" s="30">
        <v>58.723999999999997</v>
      </c>
      <c r="L14" s="30">
        <v>4.3780000000000001</v>
      </c>
      <c r="M14" s="30">
        <v>6.6</v>
      </c>
      <c r="N14" s="30">
        <v>76.8</v>
      </c>
      <c r="O14" s="30">
        <v>75.616</v>
      </c>
      <c r="P14" s="30"/>
      <c r="Q14" s="30">
        <v>203.91499999999999</v>
      </c>
      <c r="R14" s="30"/>
      <c r="S14" s="30">
        <v>115.535</v>
      </c>
      <c r="T14" s="31">
        <f t="shared" si="1"/>
        <v>596.10199999999998</v>
      </c>
      <c r="U14" s="65">
        <f t="shared" si="2"/>
        <v>3538.877</v>
      </c>
    </row>
    <row r="15" spans="1:21" s="29" customFormat="1" ht="20.25" customHeight="1">
      <c r="A15" s="71">
        <v>9</v>
      </c>
      <c r="B15" s="34" t="s">
        <v>307</v>
      </c>
      <c r="C15" s="30">
        <v>43</v>
      </c>
      <c r="D15" s="30">
        <v>43</v>
      </c>
      <c r="E15" s="30">
        <f>5460.17+53.12</f>
        <v>5513.29</v>
      </c>
      <c r="F15" s="30">
        <f>752.505-13.3-19.38</f>
        <v>719.82500000000005</v>
      </c>
      <c r="G15" s="30">
        <f t="shared" si="0"/>
        <v>6233.1149999999998</v>
      </c>
      <c r="H15" s="30">
        <v>5562.2709999999997</v>
      </c>
      <c r="I15" s="30"/>
      <c r="J15" s="30">
        <v>49.9</v>
      </c>
      <c r="K15" s="30">
        <v>76.739999999999995</v>
      </c>
      <c r="L15" s="30">
        <v>11.369</v>
      </c>
      <c r="M15" s="30">
        <v>7.3</v>
      </c>
      <c r="N15" s="30">
        <v>41.16</v>
      </c>
      <c r="O15" s="30">
        <v>36.496000000000002</v>
      </c>
      <c r="P15" s="30"/>
      <c r="Q15" s="30">
        <v>401.52199999999999</v>
      </c>
      <c r="R15" s="30"/>
      <c r="S15" s="30">
        <f>21.5+8.55+46.31</f>
        <v>76.36</v>
      </c>
      <c r="T15" s="31">
        <f t="shared" si="1"/>
        <v>700.84699999999998</v>
      </c>
      <c r="U15" s="65">
        <f t="shared" si="2"/>
        <v>6263.1179999999995</v>
      </c>
    </row>
    <row r="16" spans="1:21" s="29" customFormat="1" ht="20.25" customHeight="1">
      <c r="A16" s="71">
        <v>10</v>
      </c>
      <c r="B16" s="119" t="s">
        <v>308</v>
      </c>
      <c r="C16" s="30">
        <v>18</v>
      </c>
      <c r="D16" s="30">
        <v>18</v>
      </c>
      <c r="E16" s="30">
        <f>2222.23+51</f>
        <v>2273.23</v>
      </c>
      <c r="F16" s="30">
        <f>290.74-10.5-17.86</f>
        <v>262.38</v>
      </c>
      <c r="G16" s="30">
        <f t="shared" si="0"/>
        <v>2535.61</v>
      </c>
      <c r="H16" s="30">
        <f>1038.649+817.789+288.183</f>
        <v>2144.6210000000001</v>
      </c>
      <c r="I16" s="30"/>
      <c r="J16" s="30">
        <v>16.640999999999998</v>
      </c>
      <c r="K16" s="30">
        <v>56.55</v>
      </c>
      <c r="L16" s="30">
        <v>5.9480000000000004</v>
      </c>
      <c r="M16" s="30">
        <v>4.8</v>
      </c>
      <c r="N16" s="30">
        <v>55.6</v>
      </c>
      <c r="O16" s="30">
        <v>50.88</v>
      </c>
      <c r="P16" s="30">
        <v>57.2</v>
      </c>
      <c r="Q16" s="30">
        <v>83.826999999999998</v>
      </c>
      <c r="R16" s="30"/>
      <c r="S16" s="30">
        <f>34+2.19+23.354</f>
        <v>59.543999999999997</v>
      </c>
      <c r="T16" s="31">
        <f t="shared" si="1"/>
        <v>390.99</v>
      </c>
      <c r="U16" s="65">
        <f t="shared" si="2"/>
        <v>2535.6109999999999</v>
      </c>
    </row>
    <row r="17" spans="1:21" s="29" customFormat="1" ht="20.25" customHeight="1">
      <c r="A17" s="71">
        <v>11</v>
      </c>
      <c r="B17" s="119" t="s">
        <v>309</v>
      </c>
      <c r="C17" s="30">
        <v>24</v>
      </c>
      <c r="D17" s="30">
        <v>24</v>
      </c>
      <c r="E17" s="30">
        <f>3018.54+123.713</f>
        <v>3142.2530000000002</v>
      </c>
      <c r="F17" s="30">
        <f>376.25-5-6.65</f>
        <v>364.6</v>
      </c>
      <c r="G17" s="30">
        <f t="shared" si="0"/>
        <v>3506.8530000000001</v>
      </c>
      <c r="H17" s="30">
        <v>3086.7460000000001</v>
      </c>
      <c r="I17" s="30"/>
      <c r="J17" s="30">
        <v>24.042000000000002</v>
      </c>
      <c r="K17" s="30">
        <v>68.876000000000005</v>
      </c>
      <c r="L17" s="30">
        <v>5.0570000000000004</v>
      </c>
      <c r="M17" s="30">
        <v>6</v>
      </c>
      <c r="N17" s="30">
        <v>77.260000000000005</v>
      </c>
      <c r="O17" s="30">
        <v>30.334</v>
      </c>
      <c r="P17" s="30">
        <v>10</v>
      </c>
      <c r="Q17" s="30">
        <v>97.953999999999994</v>
      </c>
      <c r="R17" s="30">
        <v>0</v>
      </c>
      <c r="S17" s="30">
        <v>20.364999999999998</v>
      </c>
      <c r="T17" s="31">
        <f t="shared" si="1"/>
        <v>339.88800000000003</v>
      </c>
      <c r="U17" s="65">
        <f t="shared" si="2"/>
        <v>3426.634</v>
      </c>
    </row>
    <row r="18" spans="1:21" s="29" customFormat="1" ht="20.25" customHeight="1">
      <c r="A18" s="71">
        <v>12</v>
      </c>
      <c r="B18" s="119" t="s">
        <v>321</v>
      </c>
      <c r="C18" s="30">
        <v>33</v>
      </c>
      <c r="D18" s="30">
        <v>33</v>
      </c>
      <c r="E18" s="30">
        <v>4734.9799999999996</v>
      </c>
      <c r="F18" s="30">
        <f>564.37-4-12.9</f>
        <v>547.47</v>
      </c>
      <c r="G18" s="30">
        <f t="shared" si="0"/>
        <v>5282.45</v>
      </c>
      <c r="H18" s="30">
        <v>4818.6109999999999</v>
      </c>
      <c r="I18" s="30"/>
      <c r="J18" s="30">
        <v>39.423999999999999</v>
      </c>
      <c r="K18" s="30">
        <v>85.025999999999996</v>
      </c>
      <c r="L18" s="30">
        <v>13.651</v>
      </c>
      <c r="M18" s="30">
        <v>8.1999999999999993</v>
      </c>
      <c r="N18" s="30">
        <v>75.31</v>
      </c>
      <c r="O18" s="30">
        <v>47.031999999999996</v>
      </c>
      <c r="P18" s="30"/>
      <c r="Q18" s="30">
        <v>142.83500000000001</v>
      </c>
      <c r="R18" s="30"/>
      <c r="S18" s="30">
        <f>45.614+4.16</f>
        <v>49.774000000000001</v>
      </c>
      <c r="T18" s="31">
        <f t="shared" si="1"/>
        <v>461.25199999999995</v>
      </c>
      <c r="U18" s="65">
        <f t="shared" si="2"/>
        <v>5279.8629999999994</v>
      </c>
    </row>
    <row r="19" spans="1:21" s="29" customFormat="1" ht="20.25" customHeight="1">
      <c r="A19" s="71">
        <v>13</v>
      </c>
      <c r="B19" s="119" t="s">
        <v>310</v>
      </c>
      <c r="C19" s="30">
        <v>18</v>
      </c>
      <c r="D19" s="30">
        <v>18</v>
      </c>
      <c r="E19" s="30">
        <v>2379.4899999999998</v>
      </c>
      <c r="F19" s="30">
        <f>307.84-1.5-9.1</f>
        <v>297.23999999999995</v>
      </c>
      <c r="G19" s="30">
        <f t="shared" si="0"/>
        <v>2676.7299999999996</v>
      </c>
      <c r="H19" s="30">
        <f>(1147.383+911.821+1.25+1.47+321.91)-5.781</f>
        <v>2378.0529999999999</v>
      </c>
      <c r="I19" s="30"/>
      <c r="J19" s="30">
        <v>13.726000000000001</v>
      </c>
      <c r="K19" s="30">
        <v>62.488999999999997</v>
      </c>
      <c r="L19" s="30">
        <v>11.188000000000001</v>
      </c>
      <c r="M19" s="30">
        <v>6.36</v>
      </c>
      <c r="N19" s="30">
        <v>43.7</v>
      </c>
      <c r="O19" s="30">
        <v>45.744999999999997</v>
      </c>
      <c r="P19" s="30"/>
      <c r="Q19" s="30">
        <v>90.387</v>
      </c>
      <c r="R19" s="30"/>
      <c r="S19" s="30">
        <v>19.3</v>
      </c>
      <c r="T19" s="31">
        <f t="shared" si="1"/>
        <v>292.89500000000004</v>
      </c>
      <c r="U19" s="65">
        <f t="shared" si="2"/>
        <v>2670.9479999999999</v>
      </c>
    </row>
    <row r="20" spans="1:21" s="29" customFormat="1" ht="20.25" customHeight="1">
      <c r="A20" s="71">
        <v>14</v>
      </c>
      <c r="B20" s="34" t="s">
        <v>311</v>
      </c>
      <c r="C20" s="30">
        <v>37</v>
      </c>
      <c r="D20" s="30">
        <v>37</v>
      </c>
      <c r="E20" s="30">
        <f>4431.67+112.202</f>
        <v>4543.8720000000003</v>
      </c>
      <c r="F20" s="30">
        <f>598.58-3-12</f>
        <v>583.58000000000004</v>
      </c>
      <c r="G20" s="30">
        <f t="shared" si="0"/>
        <v>5127.4520000000002</v>
      </c>
      <c r="H20" s="30">
        <v>4573.1769999999997</v>
      </c>
      <c r="I20" s="30"/>
      <c r="J20" s="30">
        <v>64.156999999999996</v>
      </c>
      <c r="K20" s="30">
        <v>67.781999999999996</v>
      </c>
      <c r="L20" s="30">
        <v>8.86</v>
      </c>
      <c r="M20" s="30">
        <v>6.5</v>
      </c>
      <c r="N20" s="30">
        <v>52.26</v>
      </c>
      <c r="O20" s="30">
        <v>20.2</v>
      </c>
      <c r="P20" s="30"/>
      <c r="Q20" s="30">
        <v>164.102</v>
      </c>
      <c r="R20" s="30"/>
      <c r="S20" s="30">
        <f>28.222</f>
        <v>28.222000000000001</v>
      </c>
      <c r="T20" s="31">
        <f t="shared" si="1"/>
        <v>412.08299999999997</v>
      </c>
      <c r="U20" s="65">
        <f t="shared" si="2"/>
        <v>4985.2599999999993</v>
      </c>
    </row>
    <row r="21" spans="1:21" s="29" customFormat="1" ht="20.25" customHeight="1">
      <c r="A21" s="71">
        <v>15</v>
      </c>
      <c r="B21" s="34" t="s">
        <v>312</v>
      </c>
      <c r="C21" s="30">
        <v>38</v>
      </c>
      <c r="D21" s="30">
        <v>37</v>
      </c>
      <c r="E21" s="30">
        <v>5099.21</v>
      </c>
      <c r="F21" s="30">
        <f>632.78-5-25.5</f>
        <v>602.28</v>
      </c>
      <c r="G21" s="30">
        <f t="shared" si="0"/>
        <v>5701.49</v>
      </c>
      <c r="H21" s="30">
        <v>5279.375</v>
      </c>
      <c r="I21" s="30"/>
      <c r="J21" s="30">
        <v>39.78</v>
      </c>
      <c r="K21" s="30">
        <v>42.311</v>
      </c>
      <c r="L21" s="30">
        <v>17.329999999999998</v>
      </c>
      <c r="M21" s="30">
        <v>9.1</v>
      </c>
      <c r="N21" s="30">
        <v>65.55</v>
      </c>
      <c r="O21" s="30">
        <v>12.762</v>
      </c>
      <c r="P21" s="30">
        <v>15</v>
      </c>
      <c r="Q21" s="30">
        <f>210.395+10.791</f>
        <v>221.18600000000001</v>
      </c>
      <c r="R21" s="30"/>
      <c r="S21" s="30">
        <f>29.002+20.9</f>
        <v>49.902000000000001</v>
      </c>
      <c r="T21" s="31">
        <f t="shared" si="1"/>
        <v>472.92099999999999</v>
      </c>
      <c r="U21" s="65">
        <f t="shared" si="2"/>
        <v>5752.2960000000003</v>
      </c>
    </row>
    <row r="22" spans="1:21" s="29" customFormat="1" ht="20.25" customHeight="1">
      <c r="A22" s="71">
        <v>16</v>
      </c>
      <c r="B22" s="119" t="s">
        <v>313</v>
      </c>
      <c r="C22" s="30">
        <v>18</v>
      </c>
      <c r="D22" s="30">
        <v>18</v>
      </c>
      <c r="E22" s="30">
        <f>2230.92+123.713</f>
        <v>2354.6330000000003</v>
      </c>
      <c r="F22" s="30">
        <f>307.84-17.3</f>
        <v>290.53999999999996</v>
      </c>
      <c r="G22" s="30">
        <f t="shared" si="0"/>
        <v>2645.1730000000002</v>
      </c>
      <c r="H22" s="30">
        <f>1091.779+838.783+316.786</f>
        <v>2247.348</v>
      </c>
      <c r="I22" s="30"/>
      <c r="J22" s="30">
        <f>21.096+1.781</f>
        <v>22.876999999999999</v>
      </c>
      <c r="K22" s="30">
        <f>30.274+64.68</f>
        <v>94.954000000000008</v>
      </c>
      <c r="L22" s="30">
        <f>3.719+1.8</f>
        <v>5.5190000000000001</v>
      </c>
      <c r="M22" s="30">
        <f>12</f>
        <v>12</v>
      </c>
      <c r="N22" s="30">
        <f>0.75+47.06</f>
        <v>47.81</v>
      </c>
      <c r="O22" s="30">
        <f>12.9+27.744</f>
        <v>40.643999999999998</v>
      </c>
      <c r="P22" s="30"/>
      <c r="Q22" s="30">
        <f>30.861+94.307</f>
        <v>125.16800000000001</v>
      </c>
      <c r="R22" s="30">
        <v>0</v>
      </c>
      <c r="S22" s="30">
        <f>31.357+16.253+14.25</f>
        <v>61.86</v>
      </c>
      <c r="T22" s="31">
        <f t="shared" si="1"/>
        <v>410.83200000000005</v>
      </c>
      <c r="U22" s="65">
        <f t="shared" si="2"/>
        <v>2658.18</v>
      </c>
    </row>
    <row r="23" spans="1:21" s="29" customFormat="1" ht="20.25" customHeight="1">
      <c r="A23" s="71">
        <v>17</v>
      </c>
      <c r="B23" s="119" t="s">
        <v>45</v>
      </c>
      <c r="C23" s="30">
        <v>52</v>
      </c>
      <c r="D23" s="30">
        <v>52</v>
      </c>
      <c r="E23" s="30">
        <f>6602.09+175.909</f>
        <v>6777.9989999999998</v>
      </c>
      <c r="F23" s="30">
        <f>855.2-5-30.3</f>
        <v>819.90000000000009</v>
      </c>
      <c r="G23" s="30">
        <f t="shared" si="0"/>
        <v>7597.8989999999994</v>
      </c>
      <c r="H23" s="30">
        <v>6844.3670000000002</v>
      </c>
      <c r="I23" s="30"/>
      <c r="J23" s="30">
        <v>53.7</v>
      </c>
      <c r="K23" s="30">
        <v>89.790999999999997</v>
      </c>
      <c r="L23" s="30">
        <v>26.042000000000002</v>
      </c>
      <c r="M23" s="30">
        <v>31.548999999999999</v>
      </c>
      <c r="N23" s="30">
        <v>122.4</v>
      </c>
      <c r="O23" s="30">
        <v>24.3</v>
      </c>
      <c r="P23" s="30">
        <v>0</v>
      </c>
      <c r="Q23" s="30">
        <v>62.057000000000002</v>
      </c>
      <c r="R23" s="30">
        <v>0</v>
      </c>
      <c r="S23" s="30">
        <f>126.119+53.5</f>
        <v>179.619</v>
      </c>
      <c r="T23" s="31">
        <f t="shared" si="1"/>
        <v>589.45799999999997</v>
      </c>
      <c r="U23" s="65">
        <f t="shared" si="2"/>
        <v>7433.8249999999998</v>
      </c>
    </row>
    <row r="24" spans="1:21" s="29" customFormat="1" ht="20.25" customHeight="1">
      <c r="A24" s="71">
        <v>18</v>
      </c>
      <c r="B24" s="119" t="s">
        <v>44</v>
      </c>
      <c r="C24" s="30">
        <v>30</v>
      </c>
      <c r="D24" s="30">
        <v>29</v>
      </c>
      <c r="E24" s="30">
        <f>3876.31+114.49</f>
        <v>3990.7999999999997</v>
      </c>
      <c r="F24" s="30">
        <f>478.86-5-10.25</f>
        <v>463.61</v>
      </c>
      <c r="G24" s="30">
        <f t="shared" si="0"/>
        <v>4454.41</v>
      </c>
      <c r="H24" s="30">
        <v>4022.424</v>
      </c>
      <c r="I24" s="30"/>
      <c r="J24" s="30">
        <v>55.076999999999998</v>
      </c>
      <c r="K24" s="30">
        <v>49.82</v>
      </c>
      <c r="L24" s="30">
        <v>8.7780000000000005</v>
      </c>
      <c r="M24" s="30">
        <v>26.765999999999998</v>
      </c>
      <c r="N24" s="30">
        <v>52.15</v>
      </c>
      <c r="O24" s="30">
        <v>27.443000000000001</v>
      </c>
      <c r="P24" s="30">
        <v>0</v>
      </c>
      <c r="Q24" s="30">
        <v>184.357</v>
      </c>
      <c r="R24" s="30">
        <v>0</v>
      </c>
      <c r="S24" s="30">
        <v>42.606999999999999</v>
      </c>
      <c r="T24" s="31">
        <f t="shared" si="1"/>
        <v>446.99800000000005</v>
      </c>
      <c r="U24" s="65">
        <f t="shared" si="2"/>
        <v>4469.4220000000005</v>
      </c>
    </row>
    <row r="25" spans="1:21" s="29" customFormat="1" ht="20.25" customHeight="1">
      <c r="A25" s="71">
        <v>19</v>
      </c>
      <c r="B25" s="119" t="s">
        <v>46</v>
      </c>
      <c r="C25" s="30">
        <v>11</v>
      </c>
      <c r="D25" s="30">
        <v>11</v>
      </c>
      <c r="E25" s="30">
        <v>1503.29</v>
      </c>
      <c r="F25" s="30">
        <f>188.12-4.5-7.85</f>
        <v>175.77</v>
      </c>
      <c r="G25" s="30">
        <f t="shared" si="0"/>
        <v>1679.06</v>
      </c>
      <c r="H25" s="30">
        <f>762.928+474.983+208.156+12.509</f>
        <v>1458.576</v>
      </c>
      <c r="I25" s="30"/>
      <c r="J25" s="30">
        <v>10.403</v>
      </c>
      <c r="K25" s="30">
        <v>27.902000000000001</v>
      </c>
      <c r="L25" s="30">
        <v>4.298</v>
      </c>
      <c r="M25" s="30">
        <v>9.51</v>
      </c>
      <c r="N25" s="30">
        <v>40.799999999999997</v>
      </c>
      <c r="O25" s="30">
        <v>24.146999999999998</v>
      </c>
      <c r="P25" s="30">
        <v>0</v>
      </c>
      <c r="Q25" s="30">
        <v>97.495999999999995</v>
      </c>
      <c r="R25" s="30"/>
      <c r="S25" s="30">
        <f>1.98+1.96+22</f>
        <v>25.94</v>
      </c>
      <c r="T25" s="31">
        <f t="shared" si="1"/>
        <v>240.49599999999998</v>
      </c>
      <c r="U25" s="65">
        <f t="shared" si="2"/>
        <v>1699.0720000000001</v>
      </c>
    </row>
    <row r="26" spans="1:21" s="29" customFormat="1" ht="20.25" customHeight="1">
      <c r="A26" s="71">
        <v>20</v>
      </c>
      <c r="B26" s="119" t="s">
        <v>43</v>
      </c>
      <c r="C26" s="30">
        <v>30</v>
      </c>
      <c r="D26" s="30">
        <v>30</v>
      </c>
      <c r="E26" s="30">
        <f>3930.35+76.52</f>
        <v>4006.87</v>
      </c>
      <c r="F26" s="30">
        <f>513.07-2-5.025</f>
        <v>506.04500000000007</v>
      </c>
      <c r="G26" s="30">
        <f t="shared" si="0"/>
        <v>4512.915</v>
      </c>
      <c r="H26" s="30">
        <v>3883.9650000000001</v>
      </c>
      <c r="I26" s="30"/>
      <c r="J26" s="30">
        <v>35.222000000000001</v>
      </c>
      <c r="K26" s="30">
        <v>117.64700000000001</v>
      </c>
      <c r="L26" s="30">
        <v>14.492000000000001</v>
      </c>
      <c r="M26" s="30">
        <v>17.55</v>
      </c>
      <c r="N26" s="30">
        <v>90.74</v>
      </c>
      <c r="O26" s="30">
        <v>34.872999999999998</v>
      </c>
      <c r="P26" s="30">
        <v>51.3</v>
      </c>
      <c r="Q26" s="30">
        <v>228.24700000000001</v>
      </c>
      <c r="R26" s="30"/>
      <c r="S26" s="30">
        <f>40.689+30</f>
        <v>70.688999999999993</v>
      </c>
      <c r="T26" s="31">
        <f t="shared" si="1"/>
        <v>660.76</v>
      </c>
      <c r="U26" s="65">
        <f t="shared" si="2"/>
        <v>4544.7250000000004</v>
      </c>
    </row>
    <row r="27" spans="1:21" s="29" customFormat="1" ht="20.25" customHeight="1">
      <c r="A27" s="71">
        <v>21</v>
      </c>
      <c r="B27" s="119" t="s">
        <v>42</v>
      </c>
      <c r="C27" s="30">
        <v>12</v>
      </c>
      <c r="D27" s="30">
        <v>12</v>
      </c>
      <c r="E27" s="30">
        <v>1449.4</v>
      </c>
      <c r="F27" s="30">
        <f>205.228-1-5.85</f>
        <v>198.37800000000001</v>
      </c>
      <c r="G27" s="30">
        <f t="shared" si="0"/>
        <v>1647.778</v>
      </c>
      <c r="H27" s="30">
        <f>757.977+454.278+0.6+209.844+4.559</f>
        <v>1427.258</v>
      </c>
      <c r="I27" s="30"/>
      <c r="J27" s="30">
        <v>9.6999999999999993</v>
      </c>
      <c r="K27" s="30">
        <v>36.686</v>
      </c>
      <c r="L27" s="30">
        <v>11.044</v>
      </c>
      <c r="M27" s="30">
        <v>16.212</v>
      </c>
      <c r="N27" s="30">
        <v>46.62</v>
      </c>
      <c r="O27" s="30">
        <v>17.420000000000002</v>
      </c>
      <c r="P27" s="30"/>
      <c r="Q27" s="30">
        <v>71.441999999999993</v>
      </c>
      <c r="R27" s="30"/>
      <c r="S27" s="30">
        <f>0.87+10.491</f>
        <v>11.360999999999999</v>
      </c>
      <c r="T27" s="31">
        <f t="shared" si="1"/>
        <v>220.48500000000001</v>
      </c>
      <c r="U27" s="65">
        <f t="shared" si="2"/>
        <v>1647.7429999999999</v>
      </c>
    </row>
    <row r="28" spans="1:21" s="29" customFormat="1" ht="20.25" customHeight="1">
      <c r="A28" s="71">
        <v>22</v>
      </c>
      <c r="B28" s="119" t="s">
        <v>41</v>
      </c>
      <c r="C28" s="30">
        <v>16</v>
      </c>
      <c r="D28" s="30">
        <v>16</v>
      </c>
      <c r="E28" s="30">
        <f>1690.67+80.29</f>
        <v>1770.96</v>
      </c>
      <c r="F28" s="30">
        <f>256.53-4.25</f>
        <v>252.27999999999997</v>
      </c>
      <c r="G28" s="30">
        <f t="shared" si="0"/>
        <v>2023.24</v>
      </c>
      <c r="H28" s="30">
        <f>955.591+562.596+252.596</f>
        <v>1770.7829999999999</v>
      </c>
      <c r="I28" s="30"/>
      <c r="J28" s="30">
        <v>11.743</v>
      </c>
      <c r="K28" s="30">
        <v>18.254999999999999</v>
      </c>
      <c r="L28" s="30">
        <v>5.07</v>
      </c>
      <c r="M28" s="30">
        <v>14.808</v>
      </c>
      <c r="N28" s="30">
        <v>42.69</v>
      </c>
      <c r="O28" s="30">
        <v>12.51</v>
      </c>
      <c r="P28" s="30"/>
      <c r="Q28" s="30">
        <v>130.66900000000001</v>
      </c>
      <c r="R28" s="30"/>
      <c r="S28" s="30">
        <f>4.072+27.494+25.16</f>
        <v>56.725999999999999</v>
      </c>
      <c r="T28" s="31">
        <f t="shared" si="1"/>
        <v>292.471</v>
      </c>
      <c r="U28" s="65">
        <f t="shared" si="2"/>
        <v>2063.2539999999999</v>
      </c>
    </row>
    <row r="29" spans="1:21" s="29" customFormat="1" ht="20.25" customHeight="1">
      <c r="A29" s="141" t="s">
        <v>19</v>
      </c>
      <c r="B29" s="141"/>
      <c r="C29" s="54">
        <f>SUM(C7:C28)</f>
        <v>596</v>
      </c>
      <c r="D29" s="54">
        <f t="shared" ref="D29:U29" si="3">SUM(D7:D28)</f>
        <v>594</v>
      </c>
      <c r="E29" s="54">
        <f t="shared" si="3"/>
        <v>72190.774000000005</v>
      </c>
      <c r="F29" s="54">
        <f t="shared" si="3"/>
        <v>9587.3180000000029</v>
      </c>
      <c r="G29" s="54">
        <f t="shared" si="3"/>
        <v>81778.092000000004</v>
      </c>
      <c r="H29" s="54">
        <f t="shared" si="3"/>
        <v>71961.516999999993</v>
      </c>
      <c r="I29" s="54">
        <f t="shared" si="3"/>
        <v>0</v>
      </c>
      <c r="J29" s="54">
        <f t="shared" si="3"/>
        <v>778.57800000000009</v>
      </c>
      <c r="K29" s="54">
        <f t="shared" si="3"/>
        <v>1367.5649999999998</v>
      </c>
      <c r="L29" s="54">
        <f t="shared" si="3"/>
        <v>228.09399999999999</v>
      </c>
      <c r="M29" s="54">
        <f t="shared" si="3"/>
        <v>254.50499999999997</v>
      </c>
      <c r="N29" s="54">
        <f t="shared" si="3"/>
        <v>1410.345</v>
      </c>
      <c r="O29" s="54">
        <f t="shared" si="3"/>
        <v>975.87400000000002</v>
      </c>
      <c r="P29" s="54">
        <f t="shared" si="3"/>
        <v>133.5</v>
      </c>
      <c r="Q29" s="54">
        <f t="shared" si="3"/>
        <v>3352.4109999999996</v>
      </c>
      <c r="R29" s="54">
        <f t="shared" si="3"/>
        <v>0</v>
      </c>
      <c r="S29" s="54">
        <f t="shared" si="3"/>
        <v>1298.1970000000001</v>
      </c>
      <c r="T29" s="54">
        <f t="shared" si="3"/>
        <v>9799.0689999999995</v>
      </c>
      <c r="U29" s="54">
        <f t="shared" si="3"/>
        <v>81760.58600000001</v>
      </c>
    </row>
    <row r="30" spans="1:21" s="29" customFormat="1" ht="20.25" customHeight="1"/>
    <row r="31" spans="1:21" s="29" customFormat="1" ht="20.25" customHeight="1">
      <c r="E31" s="55"/>
      <c r="F31" s="56"/>
      <c r="G31" s="56"/>
      <c r="U31" s="53"/>
    </row>
    <row r="32" spans="1:21" s="29" customFormat="1" ht="20.25" customHeight="1"/>
    <row r="33" spans="6:7" s="29" customFormat="1" ht="20.25" customHeight="1">
      <c r="F33" s="57"/>
      <c r="G33" s="57"/>
    </row>
    <row r="34" spans="6:7" s="29" customFormat="1" ht="20.25" customHeight="1"/>
    <row r="35" spans="6:7" s="29" customFormat="1" ht="20.25" customHeight="1"/>
    <row r="36" spans="6:7" s="29" customFormat="1" ht="20.25" customHeight="1"/>
    <row r="37" spans="6:7" s="29" customFormat="1" ht="20.25" customHeight="1"/>
    <row r="38" spans="6:7" s="29" customFormat="1" ht="20.25" customHeight="1"/>
    <row r="39" spans="6:7" s="29" customFormat="1" ht="20.25" customHeight="1"/>
    <row r="40" spans="6:7" s="29" customFormat="1" ht="20.25" customHeight="1"/>
    <row r="41" spans="6:7" s="29" customFormat="1" ht="20.25" customHeight="1"/>
    <row r="42" spans="6:7" s="29" customFormat="1" ht="20.25" customHeight="1"/>
    <row r="43" spans="6:7" s="29" customFormat="1" ht="20.25" customHeight="1"/>
    <row r="44" spans="6:7" s="29" customFormat="1" ht="20.25" customHeight="1"/>
    <row r="45" spans="6:7" s="29" customFormat="1" ht="20.25" customHeight="1"/>
    <row r="46" spans="6:7" s="29" customFormat="1" ht="20.25" customHeight="1"/>
    <row r="47" spans="6:7" s="29" customFormat="1" ht="20.25" customHeight="1"/>
    <row r="48" spans="6:7" s="29" customFormat="1" ht="20.25" customHeight="1"/>
    <row r="49" s="29" customFormat="1" ht="20.25" customHeight="1"/>
    <row r="50" s="29" customFormat="1" ht="20.25" customHeight="1"/>
    <row r="51" s="29" customFormat="1" ht="20.25" customHeight="1"/>
    <row r="52" s="29" customFormat="1" ht="20.25" customHeight="1"/>
    <row r="53" s="29" customFormat="1" ht="20.25" customHeight="1"/>
    <row r="54" s="29" customFormat="1" ht="20.25" customHeight="1"/>
    <row r="55" s="29" customFormat="1" ht="20.25" customHeight="1"/>
    <row r="56" s="29" customFormat="1" ht="20.25" customHeight="1"/>
    <row r="57" s="29" customFormat="1" ht="20.25" customHeight="1"/>
    <row r="58" s="29" customFormat="1" ht="20.25" customHeight="1"/>
    <row r="59" s="29" customFormat="1" ht="20.25" customHeight="1"/>
    <row r="60" s="29" customFormat="1" ht="20.25" customHeight="1"/>
    <row r="61" s="29" customFormat="1" ht="20.25" customHeight="1"/>
    <row r="62" s="29" customFormat="1" ht="20.25" customHeight="1"/>
    <row r="63" s="32" customFormat="1" ht="20.25" customHeight="1"/>
    <row r="64" s="29" customFormat="1" ht="20.25" customHeight="1"/>
    <row r="65" s="29" customFormat="1" ht="20.25" customHeight="1"/>
    <row r="66" s="29" customFormat="1" ht="20.25" customHeight="1"/>
    <row r="67" s="29" customFormat="1" ht="20.25" customHeight="1"/>
    <row r="68" s="29" customFormat="1" ht="20.25" customHeight="1"/>
    <row r="69" s="29" customFormat="1" ht="20.25" customHeight="1"/>
    <row r="70" s="29" customFormat="1" ht="20.25" customHeight="1"/>
    <row r="71" s="29" customFormat="1" ht="20.25" customHeight="1"/>
    <row r="72" s="29" customFormat="1" ht="20.25" customHeight="1"/>
    <row r="73" s="29" customFormat="1" ht="20.25" customHeight="1"/>
    <row r="74" s="29" customFormat="1" ht="20.25" customHeight="1"/>
    <row r="75" s="29" customFormat="1" ht="20.25" customHeight="1"/>
    <row r="76" s="29" customFormat="1" ht="20.25" customHeight="1"/>
    <row r="77" s="29" customFormat="1" ht="20.25" customHeight="1"/>
    <row r="78" s="29" customFormat="1" ht="20.25" customHeight="1"/>
    <row r="79" s="29" customFormat="1" ht="20.25" customHeight="1"/>
    <row r="80" s="29" customFormat="1" ht="20.25" customHeight="1"/>
    <row r="81" spans="1:1" s="29" customFormat="1" ht="20.25" customHeight="1"/>
    <row r="82" spans="1:1" s="29" customFormat="1" ht="20.25" customHeight="1"/>
    <row r="83" spans="1:1" s="29" customFormat="1" ht="20.25" customHeight="1"/>
    <row r="84" spans="1:1" s="29" customFormat="1" ht="20.25" customHeight="1"/>
    <row r="85" spans="1:1" s="29" customFormat="1" ht="20.25" customHeight="1"/>
    <row r="86" spans="1:1" s="29" customFormat="1" ht="20.25" customHeight="1"/>
    <row r="87" spans="1:1" s="29" customFormat="1" ht="20.25" customHeight="1"/>
    <row r="88" spans="1:1" s="29" customFormat="1" ht="20.25" customHeight="1"/>
    <row r="89" spans="1:1" s="118" customFormat="1" ht="20.25" customHeight="1"/>
    <row r="90" spans="1:1" s="29" customFormat="1" ht="20.25" customHeight="1"/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  <row r="107" spans="1:1">
      <c r="A107" s="15"/>
    </row>
    <row r="108" spans="1:1">
      <c r="A108" s="15"/>
    </row>
    <row r="109" spans="1:1">
      <c r="A109" s="15"/>
    </row>
    <row r="110" spans="1:1">
      <c r="A110" s="15"/>
    </row>
    <row r="111" spans="1:1">
      <c r="A111" s="15"/>
    </row>
    <row r="112" spans="1:1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  <row r="126" spans="1:1">
      <c r="A126" s="15"/>
    </row>
    <row r="127" spans="1:1">
      <c r="A127" s="15"/>
    </row>
    <row r="128" spans="1:1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36" spans="1:1">
      <c r="A136" s="15"/>
    </row>
    <row r="137" spans="1:1">
      <c r="A137" s="15"/>
    </row>
    <row r="138" spans="1:1">
      <c r="A138" s="15"/>
    </row>
    <row r="139" spans="1:1">
      <c r="A139" s="15"/>
    </row>
    <row r="140" spans="1:1">
      <c r="A140" s="15"/>
    </row>
    <row r="141" spans="1:1">
      <c r="A141" s="15"/>
    </row>
    <row r="142" spans="1:1">
      <c r="A142" s="15"/>
    </row>
    <row r="143" spans="1:1">
      <c r="A143" s="15"/>
    </row>
    <row r="144" spans="1:1">
      <c r="A144" s="15"/>
    </row>
    <row r="145" spans="1:1">
      <c r="A145" s="15"/>
    </row>
    <row r="146" spans="1:1">
      <c r="A146" s="15"/>
    </row>
    <row r="147" spans="1:1">
      <c r="A147" s="15"/>
    </row>
    <row r="148" spans="1:1">
      <c r="A148" s="15"/>
    </row>
    <row r="149" spans="1:1">
      <c r="A149" s="15"/>
    </row>
    <row r="150" spans="1:1">
      <c r="A150" s="15"/>
    </row>
    <row r="151" spans="1:1">
      <c r="A151" s="15"/>
    </row>
    <row r="152" spans="1:1">
      <c r="A152" s="15"/>
    </row>
    <row r="153" spans="1:1">
      <c r="A153" s="15"/>
    </row>
    <row r="154" spans="1:1">
      <c r="A154" s="15"/>
    </row>
    <row r="155" spans="1:1">
      <c r="A155" s="15"/>
    </row>
    <row r="156" spans="1:1">
      <c r="A156" s="15"/>
    </row>
    <row r="157" spans="1:1">
      <c r="A157" s="15"/>
    </row>
    <row r="158" spans="1:1">
      <c r="A158" s="15"/>
    </row>
    <row r="159" spans="1:1">
      <c r="A159" s="15"/>
    </row>
    <row r="160" spans="1:1">
      <c r="A160" s="15"/>
    </row>
    <row r="161" spans="1:1">
      <c r="A161" s="15"/>
    </row>
    <row r="162" spans="1:1">
      <c r="A162" s="15"/>
    </row>
    <row r="163" spans="1:1">
      <c r="A163" s="15"/>
    </row>
    <row r="164" spans="1:1">
      <c r="A164" s="15"/>
    </row>
    <row r="165" spans="1:1">
      <c r="A165" s="15"/>
    </row>
    <row r="166" spans="1:1">
      <c r="A166" s="15"/>
    </row>
    <row r="167" spans="1:1">
      <c r="A167" s="15"/>
    </row>
    <row r="168" spans="1:1">
      <c r="A168" s="15"/>
    </row>
    <row r="169" spans="1:1">
      <c r="A169" s="15"/>
    </row>
    <row r="170" spans="1:1">
      <c r="A170" s="15"/>
    </row>
    <row r="171" spans="1:1">
      <c r="A171" s="15"/>
    </row>
    <row r="172" spans="1:1">
      <c r="A172" s="15"/>
    </row>
    <row r="173" spans="1:1">
      <c r="A173" s="15"/>
    </row>
    <row r="174" spans="1:1">
      <c r="A174" s="15"/>
    </row>
    <row r="175" spans="1:1">
      <c r="A175" s="15"/>
    </row>
    <row r="176" spans="1: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  <row r="185" spans="1:1">
      <c r="A185" s="15"/>
    </row>
    <row r="186" spans="1:1">
      <c r="A186" s="15"/>
    </row>
    <row r="187" spans="1:1">
      <c r="A187" s="15"/>
    </row>
    <row r="188" spans="1:1">
      <c r="A188" s="15"/>
    </row>
    <row r="189" spans="1:1">
      <c r="A189" s="15"/>
    </row>
    <row r="190" spans="1:1">
      <c r="A190" s="15"/>
    </row>
    <row r="191" spans="1:1">
      <c r="A191" s="15"/>
    </row>
    <row r="192" spans="1:1">
      <c r="A192" s="15"/>
    </row>
    <row r="193" spans="1:1">
      <c r="A193" s="15"/>
    </row>
    <row r="194" spans="1:1">
      <c r="A194" s="15"/>
    </row>
    <row r="195" spans="1:1">
      <c r="A195" s="15"/>
    </row>
    <row r="196" spans="1:1">
      <c r="A196" s="15"/>
    </row>
    <row r="197" spans="1:1">
      <c r="A197" s="15"/>
    </row>
    <row r="198" spans="1:1">
      <c r="A198" s="15"/>
    </row>
    <row r="199" spans="1:1">
      <c r="A199" s="15"/>
    </row>
    <row r="200" spans="1:1">
      <c r="A200" s="15"/>
    </row>
    <row r="201" spans="1:1">
      <c r="A201" s="15"/>
    </row>
    <row r="202" spans="1:1">
      <c r="A202" s="15"/>
    </row>
    <row r="203" spans="1:1">
      <c r="A203" s="15"/>
    </row>
    <row r="204" spans="1:1">
      <c r="A204" s="15"/>
    </row>
    <row r="205" spans="1:1">
      <c r="A205" s="15"/>
    </row>
    <row r="206" spans="1:1">
      <c r="A206" s="15"/>
    </row>
    <row r="207" spans="1:1">
      <c r="A207" s="15"/>
    </row>
    <row r="208" spans="1:1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5"/>
    </row>
    <row r="269" spans="1:1">
      <c r="A269" s="15"/>
    </row>
    <row r="270" spans="1:1">
      <c r="A270" s="15"/>
    </row>
    <row r="271" spans="1:1">
      <c r="A271" s="15"/>
    </row>
    <row r="272" spans="1:1">
      <c r="A272" s="15"/>
    </row>
    <row r="273" spans="1:1">
      <c r="A273" s="15"/>
    </row>
    <row r="274" spans="1:1">
      <c r="A274" s="15"/>
    </row>
    <row r="275" spans="1:1">
      <c r="A275" s="15"/>
    </row>
    <row r="276" spans="1:1">
      <c r="A276" s="15"/>
    </row>
    <row r="277" spans="1:1">
      <c r="A277" s="15"/>
    </row>
    <row r="278" spans="1:1">
      <c r="A278" s="15"/>
    </row>
    <row r="279" spans="1:1">
      <c r="A279" s="15"/>
    </row>
    <row r="280" spans="1:1">
      <c r="A280" s="15"/>
    </row>
    <row r="281" spans="1:1">
      <c r="A281" s="15"/>
    </row>
    <row r="282" spans="1:1">
      <c r="A282" s="15"/>
    </row>
    <row r="283" spans="1:1">
      <c r="A283" s="15"/>
    </row>
    <row r="284" spans="1:1">
      <c r="A284" s="15"/>
    </row>
    <row r="285" spans="1:1">
      <c r="A285" s="15"/>
    </row>
    <row r="286" spans="1:1">
      <c r="A286" s="15"/>
    </row>
    <row r="287" spans="1:1">
      <c r="A287" s="15"/>
    </row>
    <row r="288" spans="1:1">
      <c r="A288" s="15"/>
    </row>
    <row r="289" spans="1:1">
      <c r="A289" s="15"/>
    </row>
    <row r="290" spans="1:1">
      <c r="A290" s="15"/>
    </row>
    <row r="291" spans="1:1">
      <c r="A291" s="15"/>
    </row>
    <row r="292" spans="1:1">
      <c r="A292" s="15"/>
    </row>
    <row r="293" spans="1:1">
      <c r="A293" s="15"/>
    </row>
    <row r="294" spans="1:1">
      <c r="A294" s="15"/>
    </row>
    <row r="295" spans="1:1">
      <c r="A295" s="15"/>
    </row>
    <row r="296" spans="1:1">
      <c r="A296" s="15"/>
    </row>
    <row r="297" spans="1:1">
      <c r="A297" s="15"/>
    </row>
    <row r="298" spans="1:1">
      <c r="A298" s="15"/>
    </row>
    <row r="299" spans="1:1">
      <c r="A299" s="15"/>
    </row>
    <row r="300" spans="1:1">
      <c r="A300" s="15"/>
    </row>
    <row r="301" spans="1:1">
      <c r="A301" s="15"/>
    </row>
    <row r="302" spans="1:1">
      <c r="A302" s="15"/>
    </row>
    <row r="303" spans="1:1">
      <c r="A303" s="15"/>
    </row>
    <row r="304" spans="1:1">
      <c r="A304" s="15"/>
    </row>
    <row r="305" spans="1:1">
      <c r="A305" s="15"/>
    </row>
    <row r="306" spans="1:1">
      <c r="A306" s="15"/>
    </row>
    <row r="307" spans="1:1">
      <c r="A307" s="15"/>
    </row>
    <row r="308" spans="1:1">
      <c r="A308" s="15"/>
    </row>
    <row r="309" spans="1:1">
      <c r="A309" s="15"/>
    </row>
    <row r="310" spans="1:1">
      <c r="A310" s="15"/>
    </row>
    <row r="311" spans="1:1">
      <c r="A311" s="15"/>
    </row>
    <row r="312" spans="1:1">
      <c r="A312" s="15"/>
    </row>
    <row r="313" spans="1:1">
      <c r="A313" s="15"/>
    </row>
    <row r="314" spans="1:1">
      <c r="A314" s="15"/>
    </row>
    <row r="315" spans="1:1">
      <c r="A315" s="15"/>
    </row>
    <row r="316" spans="1:1">
      <c r="A316" s="15"/>
    </row>
    <row r="317" spans="1:1">
      <c r="A317" s="15"/>
    </row>
    <row r="318" spans="1:1">
      <c r="A318" s="15"/>
    </row>
    <row r="319" spans="1:1">
      <c r="A319" s="15"/>
    </row>
    <row r="320" spans="1:1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  <row r="335" spans="1:1">
      <c r="A335" s="15"/>
    </row>
    <row r="336" spans="1:1">
      <c r="A336" s="15"/>
    </row>
    <row r="337" spans="1:1">
      <c r="A337" s="15"/>
    </row>
    <row r="338" spans="1:1">
      <c r="A338" s="15"/>
    </row>
    <row r="339" spans="1:1">
      <c r="A339" s="15"/>
    </row>
    <row r="340" spans="1:1">
      <c r="A340" s="15"/>
    </row>
    <row r="341" spans="1:1">
      <c r="A341" s="15"/>
    </row>
    <row r="342" spans="1:1">
      <c r="A342" s="15"/>
    </row>
    <row r="343" spans="1:1">
      <c r="A343" s="15"/>
    </row>
  </sheetData>
  <autoFilter ref="A6:U29"/>
  <mergeCells count="11">
    <mergeCell ref="A1:U1"/>
    <mergeCell ref="A2:U2"/>
    <mergeCell ref="A4:A6"/>
    <mergeCell ref="B4:B6"/>
    <mergeCell ref="H4:U4"/>
    <mergeCell ref="U5:U6"/>
    <mergeCell ref="A29:B29"/>
    <mergeCell ref="C4:D5"/>
    <mergeCell ref="H5:H6"/>
    <mergeCell ref="I5:T5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43"/>
  <sheetViews>
    <sheetView topLeftCell="A2" workbookViewId="0">
      <selection activeCell="A2" sqref="A2:U2"/>
    </sheetView>
  </sheetViews>
  <sheetFormatPr defaultColWidth="9.140625" defaultRowHeight="15"/>
  <cols>
    <col min="1" max="1" width="5.140625" style="16" customWidth="1"/>
    <col min="2" max="2" width="23.7109375" style="15" customWidth="1"/>
    <col min="3" max="3" width="7" style="15" customWidth="1"/>
    <col min="4" max="4" width="5.85546875" style="15" customWidth="1"/>
    <col min="5" max="8" width="10.85546875" style="15" customWidth="1"/>
    <col min="9" max="9" width="9.140625" style="15" customWidth="1"/>
    <col min="10" max="10" width="9" style="15" customWidth="1"/>
    <col min="11" max="11" width="7.140625" style="15" customWidth="1"/>
    <col min="12" max="12" width="8.85546875" style="15" customWidth="1"/>
    <col min="13" max="13" width="6" style="15" customWidth="1"/>
    <col min="14" max="14" width="6.42578125" style="15" customWidth="1"/>
    <col min="15" max="15" width="9.140625" style="15" customWidth="1"/>
    <col min="16" max="16" width="8.7109375" style="15" customWidth="1"/>
    <col min="17" max="17" width="8.42578125" style="15" customWidth="1"/>
    <col min="18" max="18" width="10" style="15" customWidth="1"/>
    <col min="19" max="19" width="5.140625" style="15" customWidth="1"/>
    <col min="20" max="20" width="7.28515625" style="15" customWidth="1"/>
    <col min="21" max="21" width="9.5703125" style="15" customWidth="1"/>
    <col min="22" max="16384" width="9.140625" style="15"/>
  </cols>
  <sheetData>
    <row r="1" spans="1:21">
      <c r="A1" s="147" t="s">
        <v>322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24.6" customHeight="1">
      <c r="A2" s="148" t="s">
        <v>347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18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17" t="s">
        <v>20</v>
      </c>
    </row>
    <row r="4" spans="1:21" ht="20.25" customHeight="1">
      <c r="A4" s="142" t="s">
        <v>0</v>
      </c>
      <c r="B4" s="142" t="s">
        <v>18</v>
      </c>
      <c r="C4" s="143" t="s">
        <v>1</v>
      </c>
      <c r="D4" s="144"/>
      <c r="E4" s="150" t="s">
        <v>4</v>
      </c>
      <c r="F4" s="151"/>
      <c r="G4" s="152"/>
      <c r="H4" s="156" t="s">
        <v>5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8"/>
    </row>
    <row r="5" spans="1:21" ht="20.25" customHeight="1">
      <c r="A5" s="142"/>
      <c r="B5" s="142"/>
      <c r="C5" s="145"/>
      <c r="D5" s="146"/>
      <c r="E5" s="186"/>
      <c r="F5" s="187"/>
      <c r="G5" s="188"/>
      <c r="H5" s="150" t="s">
        <v>6</v>
      </c>
      <c r="I5" s="142" t="s">
        <v>181</v>
      </c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52" t="s">
        <v>19</v>
      </c>
    </row>
    <row r="6" spans="1:21" ht="63.75" customHeight="1">
      <c r="A6" s="142"/>
      <c r="B6" s="142"/>
      <c r="C6" s="18" t="s">
        <v>2</v>
      </c>
      <c r="D6" s="18" t="s">
        <v>3</v>
      </c>
      <c r="E6" s="19" t="s">
        <v>179</v>
      </c>
      <c r="F6" s="19" t="s">
        <v>180</v>
      </c>
      <c r="G6" s="117" t="s">
        <v>19</v>
      </c>
      <c r="H6" s="153"/>
      <c r="I6" s="19" t="s">
        <v>7</v>
      </c>
      <c r="J6" s="19" t="s">
        <v>8</v>
      </c>
      <c r="K6" s="19" t="s">
        <v>9</v>
      </c>
      <c r="L6" s="19" t="s">
        <v>10</v>
      </c>
      <c r="M6" s="19" t="s">
        <v>11</v>
      </c>
      <c r="N6" s="19" t="s">
        <v>12</v>
      </c>
      <c r="O6" s="19" t="s">
        <v>13</v>
      </c>
      <c r="P6" s="19" t="s">
        <v>14</v>
      </c>
      <c r="Q6" s="19" t="s">
        <v>15</v>
      </c>
      <c r="R6" s="19" t="s">
        <v>17</v>
      </c>
      <c r="S6" s="19" t="s">
        <v>16</v>
      </c>
      <c r="T6" s="19" t="s">
        <v>178</v>
      </c>
      <c r="U6" s="155"/>
    </row>
    <row r="7" spans="1:21" s="29" customFormat="1" ht="20.25" customHeight="1">
      <c r="A7" s="72">
        <v>1</v>
      </c>
      <c r="B7" s="73" t="s">
        <v>323</v>
      </c>
      <c r="C7" s="74">
        <v>14</v>
      </c>
      <c r="D7" s="74">
        <v>14</v>
      </c>
      <c r="E7" s="75">
        <v>1839</v>
      </c>
      <c r="F7" s="75">
        <v>299</v>
      </c>
      <c r="G7" s="75">
        <f>E7+F7</f>
        <v>2138</v>
      </c>
      <c r="H7" s="75">
        <v>1839</v>
      </c>
      <c r="I7" s="75">
        <v>10.8</v>
      </c>
      <c r="J7" s="75">
        <v>8.6999999999999993</v>
      </c>
      <c r="K7" s="75">
        <v>8.1999999999999993</v>
      </c>
      <c r="L7" s="75">
        <v>6.2</v>
      </c>
      <c r="M7" s="75">
        <v>6.18</v>
      </c>
      <c r="N7" s="75">
        <v>9.6</v>
      </c>
      <c r="O7" s="75">
        <v>88.93</v>
      </c>
      <c r="P7" s="75"/>
      <c r="Q7" s="75">
        <v>85.64</v>
      </c>
      <c r="R7" s="75"/>
      <c r="S7" s="75">
        <v>74.75</v>
      </c>
      <c r="T7" s="31">
        <f>SUM(I7:S7)</f>
        <v>299</v>
      </c>
      <c r="U7" s="65">
        <f>T7+H7</f>
        <v>2138</v>
      </c>
    </row>
    <row r="8" spans="1:21" s="29" customFormat="1" ht="20.25" customHeight="1">
      <c r="A8" s="76">
        <v>2</v>
      </c>
      <c r="B8" s="77" t="s">
        <v>324</v>
      </c>
      <c r="C8" s="78">
        <v>13</v>
      </c>
      <c r="D8" s="78">
        <v>13</v>
      </c>
      <c r="E8" s="79">
        <v>1539</v>
      </c>
      <c r="F8" s="79">
        <v>412</v>
      </c>
      <c r="G8" s="75">
        <f t="shared" ref="G8:G52" si="0">E8+F8</f>
        <v>1951</v>
      </c>
      <c r="H8" s="79">
        <v>1539</v>
      </c>
      <c r="I8" s="79"/>
      <c r="J8" s="79">
        <v>8</v>
      </c>
      <c r="K8" s="79">
        <v>33</v>
      </c>
      <c r="L8" s="79">
        <v>2</v>
      </c>
      <c r="M8" s="79">
        <v>13</v>
      </c>
      <c r="N8" s="79">
        <v>33</v>
      </c>
      <c r="O8" s="79">
        <v>26</v>
      </c>
      <c r="P8" s="79">
        <v>29</v>
      </c>
      <c r="Q8" s="79">
        <v>264</v>
      </c>
      <c r="R8" s="79"/>
      <c r="S8" s="79">
        <v>4</v>
      </c>
      <c r="T8" s="31">
        <f t="shared" ref="T8:T52" si="1">SUM(I8:S8)</f>
        <v>412</v>
      </c>
      <c r="U8" s="65">
        <f t="shared" ref="U8:U52" si="2">T8+H8</f>
        <v>1951</v>
      </c>
    </row>
    <row r="9" spans="1:21" s="29" customFormat="1" ht="20.25" customHeight="1">
      <c r="A9" s="80">
        <v>3</v>
      </c>
      <c r="B9" s="81" t="s">
        <v>325</v>
      </c>
      <c r="C9" s="82">
        <v>23</v>
      </c>
      <c r="D9" s="82">
        <v>23</v>
      </c>
      <c r="E9" s="83">
        <f>H9</f>
        <v>1843.328</v>
      </c>
      <c r="F9" s="83">
        <f>T9</f>
        <v>380.988</v>
      </c>
      <c r="G9" s="75">
        <f t="shared" si="0"/>
        <v>2224.3159999999998</v>
      </c>
      <c r="H9" s="83">
        <v>1843.328</v>
      </c>
      <c r="I9" s="83">
        <v>80.918000000000006</v>
      </c>
      <c r="J9" s="83">
        <v>7.681</v>
      </c>
      <c r="K9" s="83">
        <v>10.82</v>
      </c>
      <c r="L9" s="83">
        <v>4.2460000000000004</v>
      </c>
      <c r="M9" s="83">
        <v>3</v>
      </c>
      <c r="N9" s="83">
        <v>23.28</v>
      </c>
      <c r="O9" s="83">
        <v>84.747</v>
      </c>
      <c r="P9" s="83"/>
      <c r="Q9" s="83">
        <v>139.666</v>
      </c>
      <c r="R9" s="83"/>
      <c r="S9" s="83">
        <v>26.63</v>
      </c>
      <c r="T9" s="31">
        <f t="shared" si="1"/>
        <v>380.988</v>
      </c>
      <c r="U9" s="65">
        <f t="shared" si="2"/>
        <v>2224.3159999999998</v>
      </c>
    </row>
    <row r="10" spans="1:21" s="29" customFormat="1" ht="20.25" customHeight="1">
      <c r="A10" s="84">
        <v>4</v>
      </c>
      <c r="B10" s="85" t="s">
        <v>326</v>
      </c>
      <c r="C10" s="86">
        <v>19</v>
      </c>
      <c r="D10" s="86">
        <v>19</v>
      </c>
      <c r="E10" s="87">
        <v>1925.8569750000001</v>
      </c>
      <c r="F10" s="87">
        <v>412.41702499999997</v>
      </c>
      <c r="G10" s="75">
        <f t="shared" si="0"/>
        <v>2338.2740000000003</v>
      </c>
      <c r="H10" s="88">
        <v>1925.8569750000001</v>
      </c>
      <c r="I10" s="88"/>
      <c r="J10" s="88">
        <v>15.681876000000001</v>
      </c>
      <c r="K10" s="88">
        <v>76.209999999999994</v>
      </c>
      <c r="L10" s="88">
        <v>5.5872489999999999</v>
      </c>
      <c r="M10" s="88">
        <v>1.43</v>
      </c>
      <c r="N10" s="88">
        <v>10</v>
      </c>
      <c r="O10" s="88">
        <v>62.938000000000002</v>
      </c>
      <c r="P10" s="88"/>
      <c r="Q10" s="88">
        <v>117.0904</v>
      </c>
      <c r="R10" s="88"/>
      <c r="S10" s="88">
        <v>123.4795</v>
      </c>
      <c r="T10" s="31">
        <f t="shared" si="1"/>
        <v>412.41702499999997</v>
      </c>
      <c r="U10" s="65">
        <f t="shared" si="2"/>
        <v>2338.2740000000003</v>
      </c>
    </row>
    <row r="11" spans="1:21" s="29" customFormat="1" ht="20.25" customHeight="1">
      <c r="A11" s="89">
        <v>5</v>
      </c>
      <c r="B11" s="90" t="s">
        <v>327</v>
      </c>
      <c r="C11" s="91">
        <v>12</v>
      </c>
      <c r="D11" s="91">
        <v>12</v>
      </c>
      <c r="E11" s="92">
        <v>1714</v>
      </c>
      <c r="F11" s="93">
        <v>210</v>
      </c>
      <c r="G11" s="75">
        <f t="shared" si="0"/>
        <v>1924</v>
      </c>
      <c r="H11" s="94">
        <v>1763.385</v>
      </c>
      <c r="I11" s="94">
        <v>40.354999999999997</v>
      </c>
      <c r="J11" s="94">
        <v>11.095000000000001</v>
      </c>
      <c r="K11" s="94">
        <v>1.5</v>
      </c>
      <c r="L11" s="94">
        <v>4.4000000000000004</v>
      </c>
      <c r="M11" s="94">
        <v>14.726000000000001</v>
      </c>
      <c r="N11" s="94">
        <v>13.6</v>
      </c>
      <c r="O11" s="94">
        <v>25.437000000000001</v>
      </c>
      <c r="P11" s="94">
        <v>13.5</v>
      </c>
      <c r="Q11" s="94">
        <v>23.574999999999999</v>
      </c>
      <c r="R11" s="94"/>
      <c r="S11" s="94">
        <v>12.48</v>
      </c>
      <c r="T11" s="31">
        <f t="shared" si="1"/>
        <v>160.66799999999998</v>
      </c>
      <c r="U11" s="65">
        <f t="shared" si="2"/>
        <v>1924.0529999999999</v>
      </c>
    </row>
    <row r="12" spans="1:21" s="29" customFormat="1" ht="20.25" customHeight="1">
      <c r="A12" s="84">
        <v>6</v>
      </c>
      <c r="B12" s="85" t="s">
        <v>328</v>
      </c>
      <c r="C12" s="86">
        <v>14</v>
      </c>
      <c r="D12" s="86">
        <v>13</v>
      </c>
      <c r="E12" s="87">
        <v>1562</v>
      </c>
      <c r="F12" s="87">
        <v>290</v>
      </c>
      <c r="G12" s="75">
        <f t="shared" si="0"/>
        <v>1852</v>
      </c>
      <c r="H12" s="88">
        <v>1562.1</v>
      </c>
      <c r="I12" s="88">
        <v>74.099999999999994</v>
      </c>
      <c r="J12" s="88">
        <v>15.2</v>
      </c>
      <c r="K12" s="88">
        <v>6.8</v>
      </c>
      <c r="L12" s="88">
        <v>7</v>
      </c>
      <c r="M12" s="88">
        <v>5.8</v>
      </c>
      <c r="N12" s="88">
        <v>17.3</v>
      </c>
      <c r="O12" s="88">
        <v>41.1</v>
      </c>
      <c r="P12" s="88"/>
      <c r="Q12" s="88">
        <v>112.3</v>
      </c>
      <c r="R12" s="88"/>
      <c r="S12" s="88">
        <v>10.3</v>
      </c>
      <c r="T12" s="31">
        <f t="shared" si="1"/>
        <v>289.89999999999998</v>
      </c>
      <c r="U12" s="65">
        <f t="shared" si="2"/>
        <v>1852</v>
      </c>
    </row>
    <row r="13" spans="1:21" s="29" customFormat="1" ht="20.25" customHeight="1">
      <c r="A13" s="89">
        <v>7</v>
      </c>
      <c r="B13" s="90" t="s">
        <v>329</v>
      </c>
      <c r="C13" s="91">
        <v>9</v>
      </c>
      <c r="D13" s="91">
        <v>8</v>
      </c>
      <c r="E13" s="94">
        <v>971</v>
      </c>
      <c r="F13" s="94">
        <v>157</v>
      </c>
      <c r="G13" s="75">
        <f t="shared" si="0"/>
        <v>1128</v>
      </c>
      <c r="H13" s="94">
        <v>889.52599999999995</v>
      </c>
      <c r="I13" s="94"/>
      <c r="J13" s="94">
        <v>3.859</v>
      </c>
      <c r="K13" s="94">
        <v>60.79</v>
      </c>
      <c r="L13" s="94">
        <v>1.2410000000000001</v>
      </c>
      <c r="M13" s="94">
        <v>12.718</v>
      </c>
      <c r="N13" s="94">
        <v>1.75</v>
      </c>
      <c r="O13" s="94">
        <v>10.85</v>
      </c>
      <c r="P13" s="94"/>
      <c r="Q13" s="94">
        <v>118.211</v>
      </c>
      <c r="R13" s="94"/>
      <c r="S13" s="94">
        <v>29.456</v>
      </c>
      <c r="T13" s="31">
        <f t="shared" si="1"/>
        <v>238.87499999999997</v>
      </c>
      <c r="U13" s="65">
        <f t="shared" si="2"/>
        <v>1128.4009999999998</v>
      </c>
    </row>
    <row r="14" spans="1:21" s="29" customFormat="1" ht="20.25" customHeight="1">
      <c r="A14" s="84">
        <v>8</v>
      </c>
      <c r="B14" s="85" t="s">
        <v>330</v>
      </c>
      <c r="C14" s="86">
        <v>14</v>
      </c>
      <c r="D14" s="86">
        <v>14</v>
      </c>
      <c r="E14" s="87">
        <f>H14</f>
        <v>1510</v>
      </c>
      <c r="F14" s="87">
        <f>T14</f>
        <v>381.8</v>
      </c>
      <c r="G14" s="75">
        <f t="shared" si="0"/>
        <v>1891.8</v>
      </c>
      <c r="H14" s="88">
        <v>1510</v>
      </c>
      <c r="I14" s="88">
        <v>95</v>
      </c>
      <c r="J14" s="88">
        <v>13</v>
      </c>
      <c r="K14" s="88">
        <v>5</v>
      </c>
      <c r="L14" s="88">
        <v>4</v>
      </c>
      <c r="M14" s="88">
        <v>22</v>
      </c>
      <c r="N14" s="88">
        <v>12</v>
      </c>
      <c r="O14" s="88">
        <v>39</v>
      </c>
      <c r="P14" s="88"/>
      <c r="Q14" s="88">
        <v>182</v>
      </c>
      <c r="R14" s="88"/>
      <c r="S14" s="88">
        <v>9.8000000000000007</v>
      </c>
      <c r="T14" s="31">
        <f t="shared" si="1"/>
        <v>381.8</v>
      </c>
      <c r="U14" s="65">
        <f t="shared" si="2"/>
        <v>1891.8</v>
      </c>
    </row>
    <row r="15" spans="1:21" s="29" customFormat="1" ht="20.25" customHeight="1">
      <c r="A15" s="95">
        <v>9</v>
      </c>
      <c r="B15" s="96" t="s">
        <v>331</v>
      </c>
      <c r="C15" s="97">
        <v>15</v>
      </c>
      <c r="D15" s="97">
        <v>15</v>
      </c>
      <c r="E15" s="98">
        <v>1767</v>
      </c>
      <c r="F15" s="98">
        <v>395</v>
      </c>
      <c r="G15" s="75">
        <f t="shared" si="0"/>
        <v>2162</v>
      </c>
      <c r="H15" s="98">
        <v>1766.9</v>
      </c>
      <c r="I15" s="98">
        <v>63.9</v>
      </c>
      <c r="J15" s="98">
        <v>7.6</v>
      </c>
      <c r="K15" s="98">
        <v>13</v>
      </c>
      <c r="L15" s="98">
        <v>3.89</v>
      </c>
      <c r="M15" s="98">
        <v>2</v>
      </c>
      <c r="N15" s="98">
        <v>19.8</v>
      </c>
      <c r="O15" s="98">
        <v>31.4</v>
      </c>
      <c r="P15" s="98">
        <v>0</v>
      </c>
      <c r="Q15" s="98">
        <v>247.5</v>
      </c>
      <c r="R15" s="98"/>
      <c r="S15" s="98">
        <v>5.5</v>
      </c>
      <c r="T15" s="31">
        <f t="shared" si="1"/>
        <v>394.59000000000003</v>
      </c>
      <c r="U15" s="65">
        <f t="shared" si="2"/>
        <v>2161.4900000000002</v>
      </c>
    </row>
    <row r="16" spans="1:21" s="29" customFormat="1" ht="20.25" customHeight="1">
      <c r="A16" s="84">
        <v>10</v>
      </c>
      <c r="B16" s="85" t="s">
        <v>332</v>
      </c>
      <c r="C16" s="99">
        <v>15</v>
      </c>
      <c r="D16" s="99">
        <v>15</v>
      </c>
      <c r="E16" s="100">
        <v>1973</v>
      </c>
      <c r="F16" s="100">
        <v>191</v>
      </c>
      <c r="G16" s="75">
        <f t="shared" si="0"/>
        <v>2164</v>
      </c>
      <c r="H16" s="100">
        <f>776+980+217</f>
        <v>1973</v>
      </c>
      <c r="I16" s="100"/>
      <c r="J16" s="100">
        <v>8</v>
      </c>
      <c r="K16" s="100">
        <v>12</v>
      </c>
      <c r="L16" s="100">
        <v>7</v>
      </c>
      <c r="M16" s="100">
        <v>5</v>
      </c>
      <c r="N16" s="100">
        <v>6</v>
      </c>
      <c r="O16" s="100">
        <v>13</v>
      </c>
      <c r="P16" s="100"/>
      <c r="Q16" s="100">
        <v>140</v>
      </c>
      <c r="R16" s="100"/>
      <c r="S16" s="100"/>
      <c r="T16" s="31">
        <f t="shared" si="1"/>
        <v>191</v>
      </c>
      <c r="U16" s="65">
        <f t="shared" si="2"/>
        <v>2164</v>
      </c>
    </row>
    <row r="17" spans="1:21" s="29" customFormat="1" ht="20.25" customHeight="1">
      <c r="A17" s="84">
        <v>11</v>
      </c>
      <c r="B17" s="101" t="s">
        <v>333</v>
      </c>
      <c r="C17" s="86">
        <v>21</v>
      </c>
      <c r="D17" s="86">
        <v>19</v>
      </c>
      <c r="E17" s="87">
        <f>H17</f>
        <v>1944</v>
      </c>
      <c r="F17" s="87">
        <f>SUM(I17:S17)</f>
        <v>587</v>
      </c>
      <c r="G17" s="75">
        <f t="shared" si="0"/>
        <v>2531</v>
      </c>
      <c r="H17" s="88">
        <f>865+842+237</f>
        <v>1944</v>
      </c>
      <c r="I17" s="88">
        <v>9</v>
      </c>
      <c r="J17" s="88">
        <v>13</v>
      </c>
      <c r="K17" s="88">
        <v>79</v>
      </c>
      <c r="L17" s="88">
        <v>14</v>
      </c>
      <c r="M17" s="88">
        <v>9</v>
      </c>
      <c r="N17" s="88">
        <v>37</v>
      </c>
      <c r="O17" s="88">
        <v>51</v>
      </c>
      <c r="P17" s="88"/>
      <c r="Q17" s="88">
        <v>303</v>
      </c>
      <c r="R17" s="88"/>
      <c r="S17" s="88">
        <v>72</v>
      </c>
      <c r="T17" s="31">
        <f t="shared" si="1"/>
        <v>587</v>
      </c>
      <c r="U17" s="65">
        <f t="shared" si="2"/>
        <v>2531</v>
      </c>
    </row>
    <row r="18" spans="1:21" s="29" customFormat="1" ht="20.25" customHeight="1">
      <c r="A18" s="84">
        <v>12</v>
      </c>
      <c r="B18" s="85" t="s">
        <v>334</v>
      </c>
      <c r="C18" s="102">
        <v>16</v>
      </c>
      <c r="D18" s="102">
        <v>16</v>
      </c>
      <c r="E18" s="87">
        <v>1728</v>
      </c>
      <c r="F18" s="87">
        <v>326</v>
      </c>
      <c r="G18" s="75">
        <f t="shared" si="0"/>
        <v>2054</v>
      </c>
      <c r="H18" s="87">
        <v>1728</v>
      </c>
      <c r="I18" s="87">
        <v>41</v>
      </c>
      <c r="J18" s="87">
        <v>12</v>
      </c>
      <c r="K18" s="87">
        <v>45</v>
      </c>
      <c r="L18" s="87">
        <v>6.5</v>
      </c>
      <c r="M18" s="87">
        <v>28</v>
      </c>
      <c r="N18" s="87">
        <v>19.5</v>
      </c>
      <c r="O18" s="87">
        <v>14.5</v>
      </c>
      <c r="P18" s="87">
        <f>60+25</f>
        <v>85</v>
      </c>
      <c r="Q18" s="87">
        <v>74</v>
      </c>
      <c r="R18" s="87"/>
      <c r="S18" s="87"/>
      <c r="T18" s="31">
        <f t="shared" si="1"/>
        <v>325.5</v>
      </c>
      <c r="U18" s="65">
        <f t="shared" si="2"/>
        <v>2053.5</v>
      </c>
    </row>
    <row r="19" spans="1:21" s="29" customFormat="1" ht="20.25" customHeight="1">
      <c r="A19" s="84">
        <v>13</v>
      </c>
      <c r="B19" s="85" t="s">
        <v>335</v>
      </c>
      <c r="C19" s="86">
        <v>14</v>
      </c>
      <c r="D19" s="86">
        <v>14</v>
      </c>
      <c r="E19" s="87">
        <v>1809</v>
      </c>
      <c r="F19" s="87">
        <v>332</v>
      </c>
      <c r="G19" s="75">
        <f t="shared" si="0"/>
        <v>2141</v>
      </c>
      <c r="H19" s="88">
        <f>194+1615</f>
        <v>1809</v>
      </c>
      <c r="I19" s="88">
        <v>23</v>
      </c>
      <c r="J19" s="88">
        <v>7</v>
      </c>
      <c r="K19" s="88">
        <v>69</v>
      </c>
      <c r="L19" s="88">
        <v>9</v>
      </c>
      <c r="M19" s="88">
        <v>2</v>
      </c>
      <c r="N19" s="88">
        <v>20</v>
      </c>
      <c r="O19" s="88">
        <v>23</v>
      </c>
      <c r="P19" s="88"/>
      <c r="Q19" s="88">
        <v>168</v>
      </c>
      <c r="R19" s="88"/>
      <c r="S19" s="88">
        <v>11</v>
      </c>
      <c r="T19" s="31">
        <f t="shared" si="1"/>
        <v>332</v>
      </c>
      <c r="U19" s="65">
        <f t="shared" si="2"/>
        <v>2141</v>
      </c>
    </row>
    <row r="20" spans="1:21" s="29" customFormat="1" ht="20.25" customHeight="1">
      <c r="A20" s="80">
        <v>14</v>
      </c>
      <c r="B20" s="81" t="s">
        <v>336</v>
      </c>
      <c r="C20" s="82">
        <v>12</v>
      </c>
      <c r="D20" s="82">
        <v>12</v>
      </c>
      <c r="E20" s="83">
        <f>H20</f>
        <v>1250.4770000000001</v>
      </c>
      <c r="F20" s="83">
        <f>T20</f>
        <v>270.58999999999997</v>
      </c>
      <c r="G20" s="75">
        <f t="shared" si="0"/>
        <v>1521.067</v>
      </c>
      <c r="H20" s="83">
        <v>1250.4770000000001</v>
      </c>
      <c r="I20" s="83">
        <v>45.5</v>
      </c>
      <c r="J20" s="83">
        <v>6.2</v>
      </c>
      <c r="K20" s="83">
        <v>12.5</v>
      </c>
      <c r="L20" s="83">
        <v>3.2</v>
      </c>
      <c r="M20" s="83">
        <v>4.2</v>
      </c>
      <c r="N20" s="83">
        <v>6</v>
      </c>
      <c r="O20" s="83">
        <v>27.61</v>
      </c>
      <c r="P20" s="83">
        <v>25.7</v>
      </c>
      <c r="Q20" s="83">
        <v>125.8</v>
      </c>
      <c r="R20" s="83"/>
      <c r="S20" s="83">
        <v>13.88</v>
      </c>
      <c r="T20" s="31">
        <f t="shared" si="1"/>
        <v>270.58999999999997</v>
      </c>
      <c r="U20" s="65">
        <f t="shared" si="2"/>
        <v>1521.067</v>
      </c>
    </row>
    <row r="21" spans="1:21" s="29" customFormat="1" ht="20.25" customHeight="1">
      <c r="A21" s="84">
        <v>15</v>
      </c>
      <c r="B21" s="85" t="s">
        <v>337</v>
      </c>
      <c r="C21" s="86">
        <v>23</v>
      </c>
      <c r="D21" s="86">
        <v>18</v>
      </c>
      <c r="E21" s="87">
        <v>2329.5075040000002</v>
      </c>
      <c r="F21" s="87">
        <v>657.28549599999997</v>
      </c>
      <c r="G21" s="75">
        <f t="shared" si="0"/>
        <v>2986.7930000000001</v>
      </c>
      <c r="H21" s="88">
        <f>1098.476673+893.20893+332.321901+5.5</f>
        <v>2329.5075040000002</v>
      </c>
      <c r="I21" s="88"/>
      <c r="J21" s="88">
        <v>39.274003999999998</v>
      </c>
      <c r="K21" s="88">
        <v>35.887999999999998</v>
      </c>
      <c r="L21" s="88">
        <v>5.1825989999999997</v>
      </c>
      <c r="M21" s="88">
        <v>21.736999999999998</v>
      </c>
      <c r="N21" s="88">
        <v>23.7</v>
      </c>
      <c r="O21" s="88">
        <v>72.644693000000004</v>
      </c>
      <c r="P21" s="88"/>
      <c r="Q21" s="88">
        <v>289.07420000000002</v>
      </c>
      <c r="R21" s="88"/>
      <c r="S21" s="88">
        <f>168.85+0.935</f>
        <v>169.785</v>
      </c>
      <c r="T21" s="31">
        <f t="shared" si="1"/>
        <v>657.28549599999997</v>
      </c>
      <c r="U21" s="65">
        <f t="shared" si="2"/>
        <v>2986.7930000000001</v>
      </c>
    </row>
    <row r="22" spans="1:21" s="29" customFormat="1" ht="20.25" customHeight="1">
      <c r="A22" s="84">
        <v>16</v>
      </c>
      <c r="B22" s="85" t="s">
        <v>338</v>
      </c>
      <c r="C22" s="86">
        <v>21</v>
      </c>
      <c r="D22" s="86">
        <v>20</v>
      </c>
      <c r="E22" s="87">
        <f>H22</f>
        <v>1882</v>
      </c>
      <c r="F22" s="87">
        <f>SUM(I22:S22)</f>
        <v>484</v>
      </c>
      <c r="G22" s="75">
        <f t="shared" si="0"/>
        <v>2366</v>
      </c>
      <c r="H22" s="88">
        <v>1882</v>
      </c>
      <c r="I22" s="88">
        <v>8</v>
      </c>
      <c r="J22" s="88">
        <v>8</v>
      </c>
      <c r="K22" s="88">
        <v>136</v>
      </c>
      <c r="L22" s="88">
        <v>12</v>
      </c>
      <c r="M22" s="88">
        <v>25</v>
      </c>
      <c r="N22" s="88">
        <v>59</v>
      </c>
      <c r="O22" s="88">
        <v>60</v>
      </c>
      <c r="P22" s="88"/>
      <c r="Q22" s="88">
        <v>143</v>
      </c>
      <c r="R22" s="88"/>
      <c r="S22" s="88">
        <v>33</v>
      </c>
      <c r="T22" s="31">
        <f t="shared" si="1"/>
        <v>484</v>
      </c>
      <c r="U22" s="65">
        <f t="shared" si="2"/>
        <v>2366</v>
      </c>
    </row>
    <row r="23" spans="1:21" s="29" customFormat="1" ht="20.25" customHeight="1">
      <c r="A23" s="84">
        <v>17</v>
      </c>
      <c r="B23" s="85" t="s">
        <v>339</v>
      </c>
      <c r="C23" s="86">
        <v>14</v>
      </c>
      <c r="D23" s="86">
        <v>13</v>
      </c>
      <c r="E23" s="87">
        <v>1571</v>
      </c>
      <c r="F23" s="87">
        <v>381</v>
      </c>
      <c r="G23" s="75">
        <f t="shared" si="0"/>
        <v>1952</v>
      </c>
      <c r="H23" s="88">
        <v>1571.4</v>
      </c>
      <c r="I23" s="88">
        <v>75.599999999999994</v>
      </c>
      <c r="J23" s="88">
        <v>10.199999999999999</v>
      </c>
      <c r="K23" s="88">
        <v>4.3</v>
      </c>
      <c r="L23" s="88">
        <v>6</v>
      </c>
      <c r="M23" s="88">
        <v>11.7</v>
      </c>
      <c r="N23" s="88">
        <v>19.100000000000001</v>
      </c>
      <c r="O23" s="88">
        <v>83.2</v>
      </c>
      <c r="P23" s="88">
        <v>48.3</v>
      </c>
      <c r="Q23" s="88">
        <v>102.2</v>
      </c>
      <c r="R23" s="88"/>
      <c r="S23" s="88">
        <v>20.100000000000001</v>
      </c>
      <c r="T23" s="31">
        <f t="shared" si="1"/>
        <v>380.70000000000005</v>
      </c>
      <c r="U23" s="65">
        <f t="shared" si="2"/>
        <v>1952.1000000000001</v>
      </c>
    </row>
    <row r="24" spans="1:21" s="29" customFormat="1" ht="20.25" customHeight="1">
      <c r="A24" s="84">
        <v>18</v>
      </c>
      <c r="B24" s="85" t="s">
        <v>340</v>
      </c>
      <c r="C24" s="99">
        <v>18</v>
      </c>
      <c r="D24" s="99">
        <v>16</v>
      </c>
      <c r="E24" s="100">
        <v>2720</v>
      </c>
      <c r="F24" s="100">
        <v>342</v>
      </c>
      <c r="G24" s="75">
        <f t="shared" si="0"/>
        <v>3062</v>
      </c>
      <c r="H24" s="100">
        <f>1031+1367+300+22</f>
        <v>2720</v>
      </c>
      <c r="I24" s="100"/>
      <c r="J24" s="100">
        <v>10</v>
      </c>
      <c r="K24" s="100">
        <v>52</v>
      </c>
      <c r="L24" s="100">
        <v>7</v>
      </c>
      <c r="M24" s="100">
        <v>11</v>
      </c>
      <c r="N24" s="100">
        <v>30</v>
      </c>
      <c r="O24" s="100">
        <v>42</v>
      </c>
      <c r="P24" s="100">
        <v>34</v>
      </c>
      <c r="Q24" s="100">
        <v>152</v>
      </c>
      <c r="R24" s="100"/>
      <c r="S24" s="100">
        <v>4</v>
      </c>
      <c r="T24" s="31">
        <f t="shared" si="1"/>
        <v>342</v>
      </c>
      <c r="U24" s="65">
        <f t="shared" si="2"/>
        <v>3062</v>
      </c>
    </row>
    <row r="25" spans="1:21" s="29" customFormat="1" ht="20.25" customHeight="1">
      <c r="A25" s="72">
        <v>19</v>
      </c>
      <c r="B25" s="73" t="s">
        <v>341</v>
      </c>
      <c r="C25" s="74">
        <v>15</v>
      </c>
      <c r="D25" s="74">
        <v>15</v>
      </c>
      <c r="E25" s="75">
        <v>2403</v>
      </c>
      <c r="F25" s="75">
        <v>239</v>
      </c>
      <c r="G25" s="75">
        <f t="shared" si="0"/>
        <v>2642</v>
      </c>
      <c r="H25" s="103">
        <v>2403</v>
      </c>
      <c r="I25" s="104">
        <v>13</v>
      </c>
      <c r="J25" s="104">
        <v>9.4</v>
      </c>
      <c r="K25" s="104">
        <v>8.1999999999999993</v>
      </c>
      <c r="L25" s="104">
        <v>4</v>
      </c>
      <c r="M25" s="104">
        <v>10.199999999999999</v>
      </c>
      <c r="N25" s="104">
        <v>18</v>
      </c>
      <c r="O25" s="104">
        <v>33</v>
      </c>
      <c r="P25" s="104">
        <v>15</v>
      </c>
      <c r="Q25" s="104">
        <v>69</v>
      </c>
      <c r="R25" s="104"/>
      <c r="S25" s="104">
        <v>59.2</v>
      </c>
      <c r="T25" s="31">
        <f t="shared" si="1"/>
        <v>239</v>
      </c>
      <c r="U25" s="65">
        <f t="shared" si="2"/>
        <v>2642</v>
      </c>
    </row>
    <row r="26" spans="1:21" s="29" customFormat="1" ht="20.25" customHeight="1">
      <c r="A26" s="76">
        <v>20</v>
      </c>
      <c r="B26" s="77" t="s">
        <v>342</v>
      </c>
      <c r="C26" s="78">
        <v>25</v>
      </c>
      <c r="D26" s="78">
        <v>25</v>
      </c>
      <c r="E26" s="79">
        <v>3193</v>
      </c>
      <c r="F26" s="79">
        <v>405</v>
      </c>
      <c r="G26" s="75">
        <f t="shared" si="0"/>
        <v>3598</v>
      </c>
      <c r="H26" s="79">
        <v>3193</v>
      </c>
      <c r="I26" s="79"/>
      <c r="J26" s="79">
        <v>17</v>
      </c>
      <c r="K26" s="79">
        <v>21</v>
      </c>
      <c r="L26" s="79">
        <v>6</v>
      </c>
      <c r="M26" s="79">
        <v>21</v>
      </c>
      <c r="N26" s="79">
        <v>16</v>
      </c>
      <c r="O26" s="79">
        <v>87</v>
      </c>
      <c r="P26" s="79">
        <v>29</v>
      </c>
      <c r="Q26" s="79">
        <v>194</v>
      </c>
      <c r="R26" s="79"/>
      <c r="S26" s="79">
        <v>14</v>
      </c>
      <c r="T26" s="31">
        <f t="shared" si="1"/>
        <v>405</v>
      </c>
      <c r="U26" s="65">
        <f t="shared" si="2"/>
        <v>3598</v>
      </c>
    </row>
    <row r="27" spans="1:21" s="29" customFormat="1" ht="20.25" customHeight="1">
      <c r="A27" s="80">
        <v>21</v>
      </c>
      <c r="B27" s="81" t="s">
        <v>343</v>
      </c>
      <c r="C27" s="82">
        <v>18</v>
      </c>
      <c r="D27" s="82">
        <v>17</v>
      </c>
      <c r="E27" s="83">
        <f>H27</f>
        <v>2343.7360000000003</v>
      </c>
      <c r="F27" s="83">
        <f>T27</f>
        <v>327.43299999999999</v>
      </c>
      <c r="G27" s="75">
        <f t="shared" si="0"/>
        <v>2671.1690000000003</v>
      </c>
      <c r="H27" s="83">
        <f>1092.361+895.837+325.629+29.909</f>
        <v>2343.7360000000003</v>
      </c>
      <c r="I27" s="83">
        <f>44.422-K27</f>
        <v>37.475999999999999</v>
      </c>
      <c r="J27" s="83">
        <v>11.141</v>
      </c>
      <c r="K27" s="83">
        <v>6.9459999999999997</v>
      </c>
      <c r="L27" s="83">
        <v>7.0430000000000001</v>
      </c>
      <c r="M27" s="83">
        <v>22.667999999999999</v>
      </c>
      <c r="N27" s="83">
        <v>32.28</v>
      </c>
      <c r="O27" s="83">
        <v>15.653</v>
      </c>
      <c r="P27" s="83">
        <v>14.95</v>
      </c>
      <c r="Q27" s="83">
        <v>167.726</v>
      </c>
      <c r="R27" s="83"/>
      <c r="S27" s="83">
        <v>11.55</v>
      </c>
      <c r="T27" s="31">
        <f t="shared" si="1"/>
        <v>327.43299999999999</v>
      </c>
      <c r="U27" s="65">
        <f t="shared" si="2"/>
        <v>2671.1690000000003</v>
      </c>
    </row>
    <row r="28" spans="1:21" s="29" customFormat="1" ht="20.25" customHeight="1">
      <c r="A28" s="184">
        <v>22</v>
      </c>
      <c r="B28" s="81" t="s">
        <v>167</v>
      </c>
      <c r="C28" s="82">
        <f t="shared" ref="C28:S28" si="3">C29+C30</f>
        <v>23</v>
      </c>
      <c r="D28" s="82">
        <f t="shared" si="3"/>
        <v>22</v>
      </c>
      <c r="E28" s="105">
        <f t="shared" si="3"/>
        <v>2894.8450000000003</v>
      </c>
      <c r="F28" s="105">
        <f t="shared" si="3"/>
        <v>534.25800000000004</v>
      </c>
      <c r="G28" s="75">
        <f t="shared" si="0"/>
        <v>3429.1030000000001</v>
      </c>
      <c r="H28" s="105">
        <f t="shared" si="3"/>
        <v>2894.8450000000003</v>
      </c>
      <c r="I28" s="105">
        <f t="shared" si="3"/>
        <v>88.064999999999998</v>
      </c>
      <c r="J28" s="105">
        <f t="shared" si="3"/>
        <v>17.446999999999999</v>
      </c>
      <c r="K28" s="105">
        <f t="shared" si="3"/>
        <v>30.125</v>
      </c>
      <c r="L28" s="105">
        <f t="shared" si="3"/>
        <v>11.402000000000001</v>
      </c>
      <c r="M28" s="105">
        <f t="shared" si="3"/>
        <v>43.34</v>
      </c>
      <c r="N28" s="105">
        <f t="shared" si="3"/>
        <v>12.600000000000001</v>
      </c>
      <c r="O28" s="105">
        <f t="shared" si="3"/>
        <v>57.92</v>
      </c>
      <c r="P28" s="105">
        <f t="shared" si="3"/>
        <v>45.599999999999994</v>
      </c>
      <c r="Q28" s="105">
        <f t="shared" si="3"/>
        <v>205.66399999999999</v>
      </c>
      <c r="R28" s="105">
        <f t="shared" si="3"/>
        <v>0</v>
      </c>
      <c r="S28" s="105">
        <f t="shared" si="3"/>
        <v>22.094999999999999</v>
      </c>
      <c r="T28" s="31">
        <f t="shared" si="1"/>
        <v>534.25800000000004</v>
      </c>
      <c r="U28" s="65">
        <f t="shared" si="2"/>
        <v>3429.1030000000001</v>
      </c>
    </row>
    <row r="29" spans="1:21" s="29" customFormat="1" ht="20.25" customHeight="1">
      <c r="A29" s="179"/>
      <c r="B29" s="81" t="s">
        <v>163</v>
      </c>
      <c r="C29" s="82">
        <v>10</v>
      </c>
      <c r="D29" s="82">
        <v>9</v>
      </c>
      <c r="E29" s="83">
        <f t="shared" ref="E29:E30" si="4">H29</f>
        <v>1421.788</v>
      </c>
      <c r="F29" s="83">
        <f t="shared" ref="F29:F30" si="5">T29</f>
        <v>307.59300000000002</v>
      </c>
      <c r="G29" s="75">
        <f t="shared" si="0"/>
        <v>1729.3810000000001</v>
      </c>
      <c r="H29" s="83">
        <v>1421.788</v>
      </c>
      <c r="I29" s="83">
        <v>62.564999999999998</v>
      </c>
      <c r="J29" s="83">
        <v>12.596</v>
      </c>
      <c r="K29" s="83">
        <v>16.324999999999999</v>
      </c>
      <c r="L29" s="83">
        <v>6.0270000000000001</v>
      </c>
      <c r="M29" s="83">
        <v>28.42</v>
      </c>
      <c r="N29" s="83">
        <v>7.2</v>
      </c>
      <c r="O29" s="83">
        <v>43</v>
      </c>
      <c r="P29" s="83">
        <v>9.8000000000000007</v>
      </c>
      <c r="Q29" s="83">
        <v>107.78</v>
      </c>
      <c r="R29" s="83"/>
      <c r="S29" s="83">
        <v>13.88</v>
      </c>
      <c r="T29" s="31">
        <f t="shared" si="1"/>
        <v>307.59300000000002</v>
      </c>
      <c r="U29" s="65">
        <f t="shared" si="2"/>
        <v>1729.3810000000001</v>
      </c>
    </row>
    <row r="30" spans="1:21" s="29" customFormat="1" ht="20.25" customHeight="1">
      <c r="A30" s="180"/>
      <c r="B30" s="81" t="s">
        <v>164</v>
      </c>
      <c r="C30" s="82">
        <v>13</v>
      </c>
      <c r="D30" s="82">
        <v>13</v>
      </c>
      <c r="E30" s="83">
        <f t="shared" si="4"/>
        <v>1473.057</v>
      </c>
      <c r="F30" s="83">
        <f t="shared" si="5"/>
        <v>226.66499999999999</v>
      </c>
      <c r="G30" s="75">
        <f t="shared" si="0"/>
        <v>1699.722</v>
      </c>
      <c r="H30" s="83">
        <v>1473.057</v>
      </c>
      <c r="I30" s="83">
        <v>25.5</v>
      </c>
      <c r="J30" s="83">
        <v>4.851</v>
      </c>
      <c r="K30" s="83">
        <v>13.8</v>
      </c>
      <c r="L30" s="83">
        <v>5.375</v>
      </c>
      <c r="M30" s="83">
        <v>14.92</v>
      </c>
      <c r="N30" s="83">
        <v>5.4</v>
      </c>
      <c r="O30" s="83">
        <v>14.92</v>
      </c>
      <c r="P30" s="83">
        <v>35.799999999999997</v>
      </c>
      <c r="Q30" s="83">
        <v>97.884</v>
      </c>
      <c r="R30" s="83"/>
      <c r="S30" s="83">
        <v>8.2149999999999999</v>
      </c>
      <c r="T30" s="31">
        <f t="shared" si="1"/>
        <v>226.66499999999999</v>
      </c>
      <c r="U30" s="65">
        <f t="shared" si="2"/>
        <v>1699.722</v>
      </c>
    </row>
    <row r="31" spans="1:21" s="29" customFormat="1" ht="20.25" customHeight="1">
      <c r="A31" s="185">
        <v>23</v>
      </c>
      <c r="B31" s="106" t="s">
        <v>168</v>
      </c>
      <c r="C31" s="102">
        <f t="shared" ref="C31:S31" si="6">C32+C33</f>
        <v>20</v>
      </c>
      <c r="D31" s="102">
        <f t="shared" si="6"/>
        <v>20</v>
      </c>
      <c r="E31" s="107">
        <f t="shared" si="6"/>
        <v>3542</v>
      </c>
      <c r="F31" s="107">
        <f t="shared" si="6"/>
        <v>266</v>
      </c>
      <c r="G31" s="75">
        <f t="shared" si="0"/>
        <v>3808</v>
      </c>
      <c r="H31" s="107">
        <f t="shared" si="6"/>
        <v>3542.2999999999997</v>
      </c>
      <c r="I31" s="107">
        <f t="shared" si="6"/>
        <v>44.55</v>
      </c>
      <c r="J31" s="107">
        <f t="shared" si="6"/>
        <v>20.6</v>
      </c>
      <c r="K31" s="107">
        <f t="shared" si="6"/>
        <v>13.059999999999999</v>
      </c>
      <c r="L31" s="107">
        <f t="shared" si="6"/>
        <v>3.6399999999999997</v>
      </c>
      <c r="M31" s="107">
        <f t="shared" si="6"/>
        <v>31.839999999999996</v>
      </c>
      <c r="N31" s="107">
        <f t="shared" si="6"/>
        <v>17.7</v>
      </c>
      <c r="O31" s="107">
        <f t="shared" si="6"/>
        <v>22.84</v>
      </c>
      <c r="P31" s="107">
        <f t="shared" si="6"/>
        <v>0</v>
      </c>
      <c r="Q31" s="107">
        <f t="shared" si="6"/>
        <v>103.6</v>
      </c>
      <c r="R31" s="107">
        <f t="shared" si="6"/>
        <v>0</v>
      </c>
      <c r="S31" s="107">
        <f t="shared" si="6"/>
        <v>7.6</v>
      </c>
      <c r="T31" s="31">
        <f t="shared" si="1"/>
        <v>265.43</v>
      </c>
      <c r="U31" s="65">
        <f t="shared" si="2"/>
        <v>3807.7299999999996</v>
      </c>
    </row>
    <row r="32" spans="1:21" s="29" customFormat="1" ht="20.25" customHeight="1">
      <c r="A32" s="179"/>
      <c r="B32" s="106" t="s">
        <v>163</v>
      </c>
      <c r="C32" s="102">
        <v>9</v>
      </c>
      <c r="D32" s="102">
        <v>9</v>
      </c>
      <c r="E32" s="87">
        <v>1644</v>
      </c>
      <c r="F32" s="87">
        <v>147</v>
      </c>
      <c r="G32" s="75">
        <f t="shared" si="0"/>
        <v>1791</v>
      </c>
      <c r="H32" s="87">
        <v>1643.8999999999999</v>
      </c>
      <c r="I32" s="87">
        <v>39.9</v>
      </c>
      <c r="J32" s="87">
        <v>9.4</v>
      </c>
      <c r="K32" s="87">
        <v>6.3</v>
      </c>
      <c r="L32" s="87">
        <v>1.2</v>
      </c>
      <c r="M32" s="87">
        <v>11.1</v>
      </c>
      <c r="N32" s="87">
        <v>8</v>
      </c>
      <c r="O32" s="87">
        <v>11.9</v>
      </c>
      <c r="P32" s="87">
        <v>0</v>
      </c>
      <c r="Q32" s="87">
        <v>54.3</v>
      </c>
      <c r="R32" s="87"/>
      <c r="S32" s="87">
        <v>4.7</v>
      </c>
      <c r="T32" s="31">
        <f t="shared" si="1"/>
        <v>146.79999999999998</v>
      </c>
      <c r="U32" s="65">
        <f t="shared" si="2"/>
        <v>1790.6999999999998</v>
      </c>
    </row>
    <row r="33" spans="1:21" s="29" customFormat="1" ht="20.25" customHeight="1">
      <c r="A33" s="180"/>
      <c r="B33" s="106" t="s">
        <v>164</v>
      </c>
      <c r="C33" s="102">
        <v>11</v>
      </c>
      <c r="D33" s="102">
        <v>11</v>
      </c>
      <c r="E33" s="87">
        <v>1898</v>
      </c>
      <c r="F33" s="87">
        <v>119</v>
      </c>
      <c r="G33" s="75">
        <f t="shared" si="0"/>
        <v>2017</v>
      </c>
      <c r="H33" s="87">
        <v>1898.3999999999999</v>
      </c>
      <c r="I33" s="87">
        <v>4.6500000000000004</v>
      </c>
      <c r="J33" s="87">
        <v>11.2</v>
      </c>
      <c r="K33" s="87">
        <v>6.76</v>
      </c>
      <c r="L33" s="87">
        <v>2.44</v>
      </c>
      <c r="M33" s="87">
        <v>20.74</v>
      </c>
      <c r="N33" s="87">
        <v>9.6999999999999993</v>
      </c>
      <c r="O33" s="87">
        <v>10.94</v>
      </c>
      <c r="P33" s="87">
        <v>0</v>
      </c>
      <c r="Q33" s="87">
        <v>49.3</v>
      </c>
      <c r="R33" s="87"/>
      <c r="S33" s="87">
        <v>2.9</v>
      </c>
      <c r="T33" s="31">
        <f t="shared" si="1"/>
        <v>118.63</v>
      </c>
      <c r="U33" s="65">
        <f t="shared" si="2"/>
        <v>2017.0299999999997</v>
      </c>
    </row>
    <row r="34" spans="1:21" s="29" customFormat="1" ht="20.25" customHeight="1">
      <c r="A34" s="181">
        <v>24</v>
      </c>
      <c r="B34" s="90" t="s">
        <v>169</v>
      </c>
      <c r="C34" s="91">
        <f t="shared" ref="C34:S34" si="7">C35+C36</f>
        <v>20</v>
      </c>
      <c r="D34" s="91">
        <f t="shared" si="7"/>
        <v>16</v>
      </c>
      <c r="E34" s="108">
        <f t="shared" si="7"/>
        <v>2625</v>
      </c>
      <c r="F34" s="108">
        <f t="shared" si="7"/>
        <v>350</v>
      </c>
      <c r="G34" s="75">
        <f t="shared" si="0"/>
        <v>2975</v>
      </c>
      <c r="H34" s="108">
        <f t="shared" si="7"/>
        <v>2500.6440000000002</v>
      </c>
      <c r="I34" s="108">
        <f t="shared" si="7"/>
        <v>0</v>
      </c>
      <c r="J34" s="108">
        <f t="shared" si="7"/>
        <v>2.9740000000000002</v>
      </c>
      <c r="K34" s="108">
        <f t="shared" si="7"/>
        <v>100.68100000000001</v>
      </c>
      <c r="L34" s="108">
        <f t="shared" si="7"/>
        <v>5.9480000000000004</v>
      </c>
      <c r="M34" s="108">
        <f t="shared" si="7"/>
        <v>50.415999999999997</v>
      </c>
      <c r="N34" s="108">
        <f t="shared" si="7"/>
        <v>15.399999999999999</v>
      </c>
      <c r="O34" s="108">
        <f t="shared" si="7"/>
        <v>45.552</v>
      </c>
      <c r="P34" s="108">
        <f t="shared" si="7"/>
        <v>9.8000000000000007</v>
      </c>
      <c r="Q34" s="108">
        <f t="shared" si="7"/>
        <v>212.197</v>
      </c>
      <c r="R34" s="108">
        <f t="shared" si="7"/>
        <v>0</v>
      </c>
      <c r="S34" s="108">
        <f t="shared" si="7"/>
        <v>32.340999999999994</v>
      </c>
      <c r="T34" s="31">
        <f t="shared" si="1"/>
        <v>475.30900000000003</v>
      </c>
      <c r="U34" s="65">
        <f t="shared" si="2"/>
        <v>2975.9530000000004</v>
      </c>
    </row>
    <row r="35" spans="1:21" s="29" customFormat="1" ht="20.25" customHeight="1">
      <c r="A35" s="179"/>
      <c r="B35" s="85" t="s">
        <v>163</v>
      </c>
      <c r="C35" s="86">
        <v>8</v>
      </c>
      <c r="D35" s="86">
        <v>6</v>
      </c>
      <c r="E35" s="88">
        <v>1062</v>
      </c>
      <c r="F35" s="87">
        <v>140</v>
      </c>
      <c r="G35" s="75">
        <f t="shared" si="0"/>
        <v>1202</v>
      </c>
      <c r="H35" s="88">
        <v>1051.702</v>
      </c>
      <c r="I35" s="88"/>
      <c r="J35" s="88">
        <v>1.2270000000000001</v>
      </c>
      <c r="K35" s="88">
        <v>7.3849999999999998</v>
      </c>
      <c r="L35" s="88">
        <v>4</v>
      </c>
      <c r="M35" s="88">
        <v>19.146000000000001</v>
      </c>
      <c r="N35" s="88">
        <v>4.2</v>
      </c>
      <c r="O35" s="88">
        <v>1.8049999999999999</v>
      </c>
      <c r="P35" s="88"/>
      <c r="Q35" s="88">
        <v>102.46899999999999</v>
      </c>
      <c r="R35" s="88"/>
      <c r="S35" s="88">
        <v>10.603999999999999</v>
      </c>
      <c r="T35" s="31">
        <f t="shared" si="1"/>
        <v>150.83600000000001</v>
      </c>
      <c r="U35" s="65">
        <f t="shared" si="2"/>
        <v>1202.538</v>
      </c>
    </row>
    <row r="36" spans="1:21" s="29" customFormat="1" ht="20.25" customHeight="1">
      <c r="A36" s="180"/>
      <c r="B36" s="85" t="s">
        <v>164</v>
      </c>
      <c r="C36" s="86">
        <v>12</v>
      </c>
      <c r="D36" s="86">
        <v>10</v>
      </c>
      <c r="E36" s="88">
        <v>1563</v>
      </c>
      <c r="F36" s="87">
        <v>210</v>
      </c>
      <c r="G36" s="75">
        <f t="shared" si="0"/>
        <v>1773</v>
      </c>
      <c r="H36" s="88">
        <v>1448.942</v>
      </c>
      <c r="I36" s="88"/>
      <c r="J36" s="88">
        <v>1.7470000000000001</v>
      </c>
      <c r="K36" s="88">
        <v>93.296000000000006</v>
      </c>
      <c r="L36" s="88">
        <v>1.948</v>
      </c>
      <c r="M36" s="88">
        <v>31.27</v>
      </c>
      <c r="N36" s="88">
        <v>11.2</v>
      </c>
      <c r="O36" s="88">
        <v>43.747</v>
      </c>
      <c r="P36" s="88">
        <v>9.8000000000000007</v>
      </c>
      <c r="Q36" s="88">
        <v>109.72799999999999</v>
      </c>
      <c r="R36" s="88"/>
      <c r="S36" s="88">
        <v>21.736999999999998</v>
      </c>
      <c r="T36" s="31">
        <f t="shared" si="1"/>
        <v>324.47300000000001</v>
      </c>
      <c r="U36" s="65">
        <f t="shared" si="2"/>
        <v>1773.415</v>
      </c>
    </row>
    <row r="37" spans="1:21" s="29" customFormat="1" ht="20.25" customHeight="1">
      <c r="A37" s="178">
        <v>25</v>
      </c>
      <c r="B37" s="85" t="s">
        <v>170</v>
      </c>
      <c r="C37" s="86">
        <f t="shared" ref="C37:S37" si="8">C38+C39</f>
        <v>24</v>
      </c>
      <c r="D37" s="86">
        <f t="shared" si="8"/>
        <v>19</v>
      </c>
      <c r="E37" s="109">
        <f t="shared" si="8"/>
        <v>2647</v>
      </c>
      <c r="F37" s="109">
        <f t="shared" si="8"/>
        <v>458</v>
      </c>
      <c r="G37" s="75">
        <f t="shared" si="0"/>
        <v>3105</v>
      </c>
      <c r="H37" s="109">
        <f t="shared" si="8"/>
        <v>2647</v>
      </c>
      <c r="I37" s="109">
        <f t="shared" si="8"/>
        <v>86</v>
      </c>
      <c r="J37" s="109">
        <f t="shared" si="8"/>
        <v>39</v>
      </c>
      <c r="K37" s="109">
        <f t="shared" si="8"/>
        <v>77.5</v>
      </c>
      <c r="L37" s="109">
        <f t="shared" si="8"/>
        <v>14</v>
      </c>
      <c r="M37" s="109">
        <f t="shared" si="8"/>
        <v>41</v>
      </c>
      <c r="N37" s="109">
        <f t="shared" si="8"/>
        <v>0</v>
      </c>
      <c r="O37" s="109">
        <f t="shared" si="8"/>
        <v>33</v>
      </c>
      <c r="P37" s="109">
        <f t="shared" si="8"/>
        <v>150</v>
      </c>
      <c r="Q37" s="109">
        <f t="shared" si="8"/>
        <v>17</v>
      </c>
      <c r="R37" s="109">
        <f t="shared" si="8"/>
        <v>0</v>
      </c>
      <c r="S37" s="109">
        <f t="shared" si="8"/>
        <v>0</v>
      </c>
      <c r="T37" s="31">
        <f t="shared" si="1"/>
        <v>457.5</v>
      </c>
      <c r="U37" s="65">
        <f t="shared" si="2"/>
        <v>3104.5</v>
      </c>
    </row>
    <row r="38" spans="1:21" s="29" customFormat="1" ht="20.25" customHeight="1">
      <c r="A38" s="179"/>
      <c r="B38" s="85" t="s">
        <v>163</v>
      </c>
      <c r="C38" s="102">
        <v>12</v>
      </c>
      <c r="D38" s="102">
        <v>8</v>
      </c>
      <c r="E38" s="87">
        <v>1360</v>
      </c>
      <c r="F38" s="87">
        <f>1582-1360</f>
        <v>222</v>
      </c>
      <c r="G38" s="75">
        <f t="shared" si="0"/>
        <v>1582</v>
      </c>
      <c r="H38" s="87">
        <v>1360</v>
      </c>
      <c r="I38" s="87">
        <v>41</v>
      </c>
      <c r="J38" s="87">
        <v>18</v>
      </c>
      <c r="K38" s="87">
        <v>42.5</v>
      </c>
      <c r="L38" s="87">
        <v>4.5</v>
      </c>
      <c r="M38" s="87">
        <v>16</v>
      </c>
      <c r="N38" s="87"/>
      <c r="O38" s="87">
        <v>14.5</v>
      </c>
      <c r="P38" s="87">
        <f>60+25</f>
        <v>85</v>
      </c>
      <c r="Q38" s="87"/>
      <c r="R38" s="87"/>
      <c r="S38" s="87"/>
      <c r="T38" s="31">
        <f t="shared" si="1"/>
        <v>221.5</v>
      </c>
      <c r="U38" s="65">
        <f t="shared" si="2"/>
        <v>1581.5</v>
      </c>
    </row>
    <row r="39" spans="1:21" s="29" customFormat="1" ht="20.25" customHeight="1">
      <c r="A39" s="180"/>
      <c r="B39" s="85" t="s">
        <v>164</v>
      </c>
      <c r="C39" s="102">
        <v>12</v>
      </c>
      <c r="D39" s="102">
        <v>11</v>
      </c>
      <c r="E39" s="87">
        <v>1287</v>
      </c>
      <c r="F39" s="87">
        <f>1523-1287</f>
        <v>236</v>
      </c>
      <c r="G39" s="75">
        <f t="shared" si="0"/>
        <v>1523</v>
      </c>
      <c r="H39" s="87">
        <v>1287</v>
      </c>
      <c r="I39" s="87">
        <v>45</v>
      </c>
      <c r="J39" s="87">
        <v>21</v>
      </c>
      <c r="K39" s="87">
        <v>35</v>
      </c>
      <c r="L39" s="87">
        <v>9.5</v>
      </c>
      <c r="M39" s="87">
        <v>25</v>
      </c>
      <c r="N39" s="87"/>
      <c r="O39" s="87">
        <v>18.5</v>
      </c>
      <c r="P39" s="87">
        <v>65</v>
      </c>
      <c r="Q39" s="87">
        <v>17</v>
      </c>
      <c r="R39" s="87"/>
      <c r="S39" s="87"/>
      <c r="T39" s="31">
        <f t="shared" si="1"/>
        <v>236</v>
      </c>
      <c r="U39" s="65">
        <f t="shared" si="2"/>
        <v>1523</v>
      </c>
    </row>
    <row r="40" spans="1:21" s="32" customFormat="1" ht="20.25" customHeight="1">
      <c r="A40" s="178">
        <v>26</v>
      </c>
      <c r="B40" s="85" t="s">
        <v>171</v>
      </c>
      <c r="C40" s="86">
        <f t="shared" ref="C40:S40" si="9">C41+C42</f>
        <v>23</v>
      </c>
      <c r="D40" s="86">
        <f t="shared" si="9"/>
        <v>22</v>
      </c>
      <c r="E40" s="109">
        <f t="shared" si="9"/>
        <v>3113</v>
      </c>
      <c r="F40" s="109">
        <f t="shared" si="9"/>
        <v>423.5</v>
      </c>
      <c r="G40" s="75">
        <f t="shared" si="0"/>
        <v>3536.5</v>
      </c>
      <c r="H40" s="109">
        <f t="shared" si="9"/>
        <v>3113</v>
      </c>
      <c r="I40" s="109">
        <f t="shared" si="9"/>
        <v>68.5</v>
      </c>
      <c r="J40" s="109">
        <f t="shared" si="9"/>
        <v>12.7</v>
      </c>
      <c r="K40" s="109">
        <f t="shared" si="9"/>
        <v>20</v>
      </c>
      <c r="L40" s="109">
        <f t="shared" si="9"/>
        <v>10</v>
      </c>
      <c r="M40" s="109">
        <f t="shared" si="9"/>
        <v>40</v>
      </c>
      <c r="N40" s="109">
        <f t="shared" si="9"/>
        <v>15.6</v>
      </c>
      <c r="O40" s="109">
        <f t="shared" si="9"/>
        <v>45</v>
      </c>
      <c r="P40" s="109">
        <f t="shared" si="9"/>
        <v>67.7</v>
      </c>
      <c r="Q40" s="109">
        <f t="shared" si="9"/>
        <v>135</v>
      </c>
      <c r="R40" s="109">
        <f t="shared" si="9"/>
        <v>0</v>
      </c>
      <c r="S40" s="109">
        <f t="shared" si="9"/>
        <v>9</v>
      </c>
      <c r="T40" s="31">
        <f t="shared" si="1"/>
        <v>423.5</v>
      </c>
      <c r="U40" s="65">
        <f t="shared" si="2"/>
        <v>3536.5</v>
      </c>
    </row>
    <row r="41" spans="1:21" s="29" customFormat="1" ht="20.25" customHeight="1">
      <c r="A41" s="179"/>
      <c r="B41" s="85" t="s">
        <v>163</v>
      </c>
      <c r="C41" s="86">
        <v>10</v>
      </c>
      <c r="D41" s="86">
        <v>9</v>
      </c>
      <c r="E41" s="87">
        <f t="shared" ref="E41:E42" si="10">H41</f>
        <v>1521</v>
      </c>
      <c r="F41" s="87">
        <f t="shared" ref="F41:F42" si="11">T41</f>
        <v>172</v>
      </c>
      <c r="G41" s="75">
        <f t="shared" si="0"/>
        <v>1693</v>
      </c>
      <c r="H41" s="88">
        <v>1521</v>
      </c>
      <c r="I41" s="88">
        <v>34.5</v>
      </c>
      <c r="J41" s="88">
        <v>3.7</v>
      </c>
      <c r="K41" s="88">
        <v>9</v>
      </c>
      <c r="L41" s="88">
        <v>6</v>
      </c>
      <c r="M41" s="88">
        <v>9</v>
      </c>
      <c r="N41" s="88">
        <v>7.8</v>
      </c>
      <c r="O41" s="88">
        <v>13</v>
      </c>
      <c r="P41" s="88">
        <v>18</v>
      </c>
      <c r="Q41" s="88">
        <v>66</v>
      </c>
      <c r="R41" s="88"/>
      <c r="S41" s="88">
        <v>5</v>
      </c>
      <c r="T41" s="31">
        <f t="shared" si="1"/>
        <v>172</v>
      </c>
      <c r="U41" s="65">
        <f t="shared" si="2"/>
        <v>1693</v>
      </c>
    </row>
    <row r="42" spans="1:21" s="29" customFormat="1" ht="20.25" customHeight="1">
      <c r="A42" s="180"/>
      <c r="B42" s="85" t="s">
        <v>164</v>
      </c>
      <c r="C42" s="86">
        <v>13</v>
      </c>
      <c r="D42" s="86">
        <v>13</v>
      </c>
      <c r="E42" s="87">
        <f t="shared" si="10"/>
        <v>1592</v>
      </c>
      <c r="F42" s="87">
        <f t="shared" si="11"/>
        <v>251.5</v>
      </c>
      <c r="G42" s="75">
        <f t="shared" si="0"/>
        <v>1843.5</v>
      </c>
      <c r="H42" s="88">
        <v>1592</v>
      </c>
      <c r="I42" s="88">
        <v>34</v>
      </c>
      <c r="J42" s="88">
        <v>9</v>
      </c>
      <c r="K42" s="88">
        <v>11</v>
      </c>
      <c r="L42" s="88">
        <v>4</v>
      </c>
      <c r="M42" s="88">
        <v>31</v>
      </c>
      <c r="N42" s="88">
        <v>7.8</v>
      </c>
      <c r="O42" s="88">
        <v>32</v>
      </c>
      <c r="P42" s="88">
        <v>49.7</v>
      </c>
      <c r="Q42" s="88">
        <v>69</v>
      </c>
      <c r="R42" s="88"/>
      <c r="S42" s="88">
        <v>4</v>
      </c>
      <c r="T42" s="31">
        <f t="shared" si="1"/>
        <v>251.5</v>
      </c>
      <c r="U42" s="65">
        <f t="shared" si="2"/>
        <v>1843.5</v>
      </c>
    </row>
    <row r="43" spans="1:21" s="29" customFormat="1" ht="20.25" customHeight="1">
      <c r="A43" s="178">
        <v>27</v>
      </c>
      <c r="B43" s="85" t="s">
        <v>172</v>
      </c>
      <c r="C43" s="86">
        <f t="shared" ref="C43:E43" si="12">C44+C45</f>
        <v>21</v>
      </c>
      <c r="D43" s="86">
        <f t="shared" si="12"/>
        <v>20</v>
      </c>
      <c r="E43" s="87">
        <f t="shared" si="12"/>
        <v>3171</v>
      </c>
      <c r="F43" s="87">
        <v>468</v>
      </c>
      <c r="G43" s="75">
        <f t="shared" si="0"/>
        <v>3639</v>
      </c>
      <c r="H43" s="88">
        <f t="shared" ref="H43:S43" si="13">H44+H45</f>
        <v>3171</v>
      </c>
      <c r="I43" s="88">
        <f t="shared" si="13"/>
        <v>18</v>
      </c>
      <c r="J43" s="88">
        <f t="shared" si="13"/>
        <v>87</v>
      </c>
      <c r="K43" s="88">
        <f t="shared" si="13"/>
        <v>65</v>
      </c>
      <c r="L43" s="88">
        <f t="shared" si="13"/>
        <v>9</v>
      </c>
      <c r="M43" s="88">
        <f t="shared" si="13"/>
        <v>29</v>
      </c>
      <c r="N43" s="88">
        <f t="shared" si="13"/>
        <v>30</v>
      </c>
      <c r="O43" s="88">
        <f t="shared" si="13"/>
        <v>21</v>
      </c>
      <c r="P43" s="88">
        <f t="shared" si="13"/>
        <v>23</v>
      </c>
      <c r="Q43" s="88">
        <f t="shared" si="13"/>
        <v>167</v>
      </c>
      <c r="R43" s="88">
        <f t="shared" si="13"/>
        <v>0</v>
      </c>
      <c r="S43" s="88">
        <f t="shared" si="13"/>
        <v>19</v>
      </c>
      <c r="T43" s="31">
        <f t="shared" si="1"/>
        <v>468</v>
      </c>
      <c r="U43" s="65">
        <f t="shared" si="2"/>
        <v>3639</v>
      </c>
    </row>
    <row r="44" spans="1:21" s="29" customFormat="1" ht="20.25" customHeight="1">
      <c r="A44" s="179"/>
      <c r="B44" s="85" t="s">
        <v>163</v>
      </c>
      <c r="C44" s="86">
        <v>9</v>
      </c>
      <c r="D44" s="86">
        <v>8</v>
      </c>
      <c r="E44" s="87">
        <v>1323</v>
      </c>
      <c r="F44" s="87">
        <v>195</v>
      </c>
      <c r="G44" s="75">
        <f t="shared" si="0"/>
        <v>1518</v>
      </c>
      <c r="H44" s="88">
        <f>148+1175</f>
        <v>1323</v>
      </c>
      <c r="I44" s="88">
        <v>3</v>
      </c>
      <c r="J44" s="88">
        <v>42</v>
      </c>
      <c r="K44" s="88">
        <v>16</v>
      </c>
      <c r="L44" s="88">
        <v>5</v>
      </c>
      <c r="M44" s="88">
        <v>11</v>
      </c>
      <c r="N44" s="88">
        <v>13</v>
      </c>
      <c r="O44" s="88">
        <v>3</v>
      </c>
      <c r="P44" s="88"/>
      <c r="Q44" s="88">
        <v>95</v>
      </c>
      <c r="R44" s="88"/>
      <c r="S44" s="88">
        <v>7</v>
      </c>
      <c r="T44" s="31">
        <f t="shared" si="1"/>
        <v>195</v>
      </c>
      <c r="U44" s="65">
        <f t="shared" si="2"/>
        <v>1518</v>
      </c>
    </row>
    <row r="45" spans="1:21" s="29" customFormat="1" ht="20.25" customHeight="1">
      <c r="A45" s="180"/>
      <c r="B45" s="85" t="s">
        <v>164</v>
      </c>
      <c r="C45" s="86">
        <v>12</v>
      </c>
      <c r="D45" s="86">
        <v>12</v>
      </c>
      <c r="E45" s="87">
        <v>1848</v>
      </c>
      <c r="F45" s="87">
        <v>273</v>
      </c>
      <c r="G45" s="75">
        <f t="shared" si="0"/>
        <v>2121</v>
      </c>
      <c r="H45" s="88">
        <f>218+1630</f>
        <v>1848</v>
      </c>
      <c r="I45" s="88">
        <v>15</v>
      </c>
      <c r="J45" s="88">
        <v>45</v>
      </c>
      <c r="K45" s="88">
        <v>49</v>
      </c>
      <c r="L45" s="88">
        <v>4</v>
      </c>
      <c r="M45" s="88">
        <v>18</v>
      </c>
      <c r="N45" s="88">
        <v>17</v>
      </c>
      <c r="O45" s="88">
        <v>18</v>
      </c>
      <c r="P45" s="88">
        <v>23</v>
      </c>
      <c r="Q45" s="88">
        <v>72</v>
      </c>
      <c r="R45" s="88"/>
      <c r="S45" s="88">
        <v>12</v>
      </c>
      <c r="T45" s="31">
        <f t="shared" si="1"/>
        <v>273</v>
      </c>
      <c r="U45" s="65">
        <f t="shared" si="2"/>
        <v>2121</v>
      </c>
    </row>
    <row r="46" spans="1:21" s="29" customFormat="1" ht="20.25" customHeight="1">
      <c r="A46" s="181">
        <v>28</v>
      </c>
      <c r="B46" s="90" t="s">
        <v>166</v>
      </c>
      <c r="C46" s="91">
        <f t="shared" ref="C46:S46" si="14">C47+C48</f>
        <v>21</v>
      </c>
      <c r="D46" s="91">
        <f t="shared" si="14"/>
        <v>19</v>
      </c>
      <c r="E46" s="108">
        <f t="shared" si="14"/>
        <v>2939</v>
      </c>
      <c r="F46" s="108">
        <f t="shared" si="14"/>
        <v>367</v>
      </c>
      <c r="G46" s="75">
        <f t="shared" si="0"/>
        <v>3306</v>
      </c>
      <c r="H46" s="108">
        <f t="shared" si="14"/>
        <v>2920.1459999999997</v>
      </c>
      <c r="I46" s="108">
        <f t="shared" si="14"/>
        <v>41.314999999999998</v>
      </c>
      <c r="J46" s="108">
        <f t="shared" si="14"/>
        <v>11.873999999999999</v>
      </c>
      <c r="K46" s="108">
        <f t="shared" si="14"/>
        <v>1.885</v>
      </c>
      <c r="L46" s="108">
        <f t="shared" si="14"/>
        <v>5.0380000000000003</v>
      </c>
      <c r="M46" s="108">
        <f t="shared" si="14"/>
        <v>68.018000000000001</v>
      </c>
      <c r="N46" s="108">
        <f t="shared" si="14"/>
        <v>52.527999999999999</v>
      </c>
      <c r="O46" s="108">
        <f t="shared" si="14"/>
        <v>28.255000000000003</v>
      </c>
      <c r="P46" s="108">
        <f t="shared" si="14"/>
        <v>0</v>
      </c>
      <c r="Q46" s="108">
        <f t="shared" si="14"/>
        <v>171.43900000000002</v>
      </c>
      <c r="R46" s="108">
        <f t="shared" si="14"/>
        <v>0</v>
      </c>
      <c r="S46" s="108">
        <f t="shared" si="14"/>
        <v>5.38</v>
      </c>
      <c r="T46" s="31">
        <f t="shared" si="1"/>
        <v>385.73199999999997</v>
      </c>
      <c r="U46" s="65">
        <f t="shared" si="2"/>
        <v>3305.8779999999997</v>
      </c>
    </row>
    <row r="47" spans="1:21" s="29" customFormat="1" ht="20.25" customHeight="1">
      <c r="A47" s="179"/>
      <c r="B47" s="85" t="s">
        <v>163</v>
      </c>
      <c r="C47" s="86">
        <v>9</v>
      </c>
      <c r="D47" s="86">
        <v>8</v>
      </c>
      <c r="E47" s="110">
        <v>1250</v>
      </c>
      <c r="F47" s="111">
        <v>157</v>
      </c>
      <c r="G47" s="75">
        <f t="shared" si="0"/>
        <v>1407</v>
      </c>
      <c r="H47" s="88">
        <v>1242.585</v>
      </c>
      <c r="I47" s="88">
        <v>21.4</v>
      </c>
      <c r="J47" s="88">
        <v>4.8019999999999996</v>
      </c>
      <c r="K47" s="88"/>
      <c r="L47" s="88">
        <v>2.7559999999999998</v>
      </c>
      <c r="M47" s="88">
        <v>27.603999999999999</v>
      </c>
      <c r="N47" s="88">
        <v>18.981999999999999</v>
      </c>
      <c r="O47" s="88">
        <v>12.06</v>
      </c>
      <c r="P47" s="88"/>
      <c r="Q47" s="88">
        <v>74.638000000000005</v>
      </c>
      <c r="R47" s="88"/>
      <c r="S47" s="88">
        <v>2.34</v>
      </c>
      <c r="T47" s="31">
        <f t="shared" si="1"/>
        <v>164.58200000000002</v>
      </c>
      <c r="U47" s="65">
        <f t="shared" si="2"/>
        <v>1407.1670000000001</v>
      </c>
    </row>
    <row r="48" spans="1:21" s="29" customFormat="1" ht="20.25" customHeight="1">
      <c r="A48" s="180"/>
      <c r="B48" s="85" t="s">
        <v>164</v>
      </c>
      <c r="C48" s="86">
        <v>12</v>
      </c>
      <c r="D48" s="86">
        <v>11</v>
      </c>
      <c r="E48" s="112">
        <v>1689</v>
      </c>
      <c r="F48" s="113">
        <v>210</v>
      </c>
      <c r="G48" s="75">
        <f t="shared" si="0"/>
        <v>1899</v>
      </c>
      <c r="H48" s="88">
        <v>1677.5609999999999</v>
      </c>
      <c r="I48" s="88">
        <v>19.914999999999999</v>
      </c>
      <c r="J48" s="88">
        <v>7.0720000000000001</v>
      </c>
      <c r="K48" s="88">
        <v>1.885</v>
      </c>
      <c r="L48" s="88">
        <v>2.282</v>
      </c>
      <c r="M48" s="88">
        <v>40.414000000000001</v>
      </c>
      <c r="N48" s="88">
        <v>33.545999999999999</v>
      </c>
      <c r="O48" s="88">
        <v>16.195</v>
      </c>
      <c r="P48" s="88"/>
      <c r="Q48" s="88">
        <v>96.801000000000002</v>
      </c>
      <c r="R48" s="88"/>
      <c r="S48" s="88">
        <v>3.04</v>
      </c>
      <c r="T48" s="31">
        <f t="shared" si="1"/>
        <v>221.15</v>
      </c>
      <c r="U48" s="65">
        <f t="shared" si="2"/>
        <v>1898.711</v>
      </c>
    </row>
    <row r="49" spans="1:21" s="29" customFormat="1" ht="20.25" customHeight="1">
      <c r="A49" s="84">
        <v>29</v>
      </c>
      <c r="B49" s="85" t="s">
        <v>173</v>
      </c>
      <c r="C49" s="86">
        <v>24</v>
      </c>
      <c r="D49" s="86">
        <v>24</v>
      </c>
      <c r="E49" s="87">
        <v>3189</v>
      </c>
      <c r="F49" s="87">
        <v>546</v>
      </c>
      <c r="G49" s="75">
        <f t="shared" si="0"/>
        <v>3735</v>
      </c>
      <c r="H49" s="88">
        <v>3188.7</v>
      </c>
      <c r="I49" s="88">
        <v>90.2</v>
      </c>
      <c r="J49" s="88">
        <v>20.8</v>
      </c>
      <c r="K49" s="88">
        <v>5.0999999999999996</v>
      </c>
      <c r="L49" s="88">
        <v>13.1</v>
      </c>
      <c r="M49" s="88">
        <v>20.6</v>
      </c>
      <c r="N49" s="88">
        <v>38.200000000000003</v>
      </c>
      <c r="O49" s="88">
        <v>121.1</v>
      </c>
      <c r="P49" s="88">
        <v>14.5</v>
      </c>
      <c r="Q49" s="88">
        <v>184.3</v>
      </c>
      <c r="R49" s="88"/>
      <c r="S49" s="88">
        <v>38.200000000000003</v>
      </c>
      <c r="T49" s="31">
        <f t="shared" si="1"/>
        <v>546.1</v>
      </c>
      <c r="U49" s="65">
        <f t="shared" si="2"/>
        <v>3734.7999999999997</v>
      </c>
    </row>
    <row r="50" spans="1:21" s="29" customFormat="1" ht="20.25" customHeight="1">
      <c r="A50" s="76">
        <v>30</v>
      </c>
      <c r="B50" s="77" t="s">
        <v>174</v>
      </c>
      <c r="C50" s="78">
        <v>14</v>
      </c>
      <c r="D50" s="78">
        <v>14</v>
      </c>
      <c r="E50" s="79">
        <v>2394</v>
      </c>
      <c r="F50" s="79">
        <v>213</v>
      </c>
      <c r="G50" s="75">
        <f t="shared" si="0"/>
        <v>2607</v>
      </c>
      <c r="H50" s="79">
        <v>2394</v>
      </c>
      <c r="I50" s="79"/>
      <c r="J50" s="79">
        <v>6</v>
      </c>
      <c r="K50" s="79">
        <v>42</v>
      </c>
      <c r="L50" s="79">
        <v>2</v>
      </c>
      <c r="M50" s="79">
        <v>19</v>
      </c>
      <c r="N50" s="79">
        <v>30</v>
      </c>
      <c r="O50" s="79">
        <v>30</v>
      </c>
      <c r="P50" s="79"/>
      <c r="Q50" s="79">
        <v>81</v>
      </c>
      <c r="R50" s="79"/>
      <c r="S50" s="79">
        <v>3</v>
      </c>
      <c r="T50" s="31">
        <f t="shared" si="1"/>
        <v>213</v>
      </c>
      <c r="U50" s="65">
        <f t="shared" si="2"/>
        <v>2607</v>
      </c>
    </row>
    <row r="51" spans="1:21" s="29" customFormat="1" ht="20.25" customHeight="1">
      <c r="A51" s="84">
        <v>31</v>
      </c>
      <c r="B51" s="85" t="s">
        <v>182</v>
      </c>
      <c r="C51" s="114">
        <v>25</v>
      </c>
      <c r="D51" s="114">
        <v>24</v>
      </c>
      <c r="E51" s="87">
        <v>2887.4546059999998</v>
      </c>
      <c r="F51" s="88">
        <v>555.89739399999996</v>
      </c>
      <c r="G51" s="75">
        <f t="shared" si="0"/>
        <v>3443.3519999999999</v>
      </c>
      <c r="H51" s="88">
        <v>2887.4546059999998</v>
      </c>
      <c r="I51" s="88"/>
      <c r="J51" s="88">
        <v>35.898826999999997</v>
      </c>
      <c r="K51" s="88">
        <v>72.099999999999994</v>
      </c>
      <c r="L51" s="88">
        <v>5.8688229999999999</v>
      </c>
      <c r="M51" s="88">
        <v>42.95</v>
      </c>
      <c r="N51" s="88">
        <v>33.200000000000003</v>
      </c>
      <c r="O51" s="88">
        <v>66.471000000000004</v>
      </c>
      <c r="P51" s="88">
        <v>47.95</v>
      </c>
      <c r="Q51" s="88">
        <v>162.64274399999999</v>
      </c>
      <c r="R51" s="88"/>
      <c r="S51" s="88">
        <v>88.816000000000003</v>
      </c>
      <c r="T51" s="31">
        <f t="shared" si="1"/>
        <v>555.89739399999996</v>
      </c>
      <c r="U51" s="65">
        <f t="shared" si="2"/>
        <v>3443.3519999999999</v>
      </c>
    </row>
    <row r="52" spans="1:21" s="29" customFormat="1" ht="20.25" customHeight="1">
      <c r="A52" s="80">
        <v>32</v>
      </c>
      <c r="B52" s="81" t="s">
        <v>165</v>
      </c>
      <c r="C52" s="82">
        <v>18</v>
      </c>
      <c r="D52" s="82">
        <v>17</v>
      </c>
      <c r="E52" s="83">
        <v>2262.2539999999999</v>
      </c>
      <c r="F52" s="83">
        <v>390.82499999999999</v>
      </c>
      <c r="G52" s="75">
        <f t="shared" si="0"/>
        <v>2653.0789999999997</v>
      </c>
      <c r="H52" s="83">
        <f>1071.926+863.287+295.202+31.821+0.018</f>
        <v>2262.2539999999999</v>
      </c>
      <c r="I52" s="83">
        <v>73.213999999999999</v>
      </c>
      <c r="J52" s="83">
        <v>11.317</v>
      </c>
      <c r="K52" s="83">
        <v>15.705</v>
      </c>
      <c r="L52" s="83">
        <v>4.6479999999999997</v>
      </c>
      <c r="M52" s="83">
        <v>31.047999999999998</v>
      </c>
      <c r="N52" s="83">
        <v>13.4</v>
      </c>
      <c r="O52" s="83">
        <v>63.241</v>
      </c>
      <c r="P52" s="83">
        <v>44.79</v>
      </c>
      <c r="Q52" s="83">
        <v>99.584000000000003</v>
      </c>
      <c r="R52" s="83"/>
      <c r="S52" s="83">
        <v>33.878</v>
      </c>
      <c r="T52" s="31">
        <f t="shared" si="1"/>
        <v>390.82499999999999</v>
      </c>
      <c r="U52" s="65">
        <f t="shared" si="2"/>
        <v>2653.0789999999997</v>
      </c>
    </row>
    <row r="53" spans="1:21" s="29" customFormat="1" ht="20.25" customHeight="1">
      <c r="A53" s="182" t="s">
        <v>19</v>
      </c>
      <c r="B53" s="183"/>
      <c r="C53" s="115">
        <f>SUM(C7:C27,C28,C31,C34,C37,C40,C43,C46,C49:C52)</f>
        <v>578</v>
      </c>
      <c r="D53" s="115">
        <f t="shared" ref="D53:G53" si="15">SUM(D7:D27,D28,D31,D34,D37,D40,D43,D46,D49:D52)</f>
        <v>548</v>
      </c>
      <c r="E53" s="131">
        <f t="shared" si="15"/>
        <v>71482.45908500001</v>
      </c>
      <c r="F53" s="131">
        <f t="shared" si="15"/>
        <v>12052.993914999999</v>
      </c>
      <c r="G53" s="131">
        <f t="shared" si="15"/>
        <v>83535.452999999994</v>
      </c>
      <c r="H53" s="116">
        <f t="shared" ref="H53:P53" si="16">SUM(H7:H27,H28,H31,H34,H37,H40,H43,H46,H49:H52)</f>
        <v>71307.560085000005</v>
      </c>
      <c r="I53" s="116">
        <f t="shared" si="16"/>
        <v>1127.4929999999999</v>
      </c>
      <c r="J53" s="116">
        <f t="shared" si="16"/>
        <v>507.64270699999997</v>
      </c>
      <c r="K53" s="116">
        <f t="shared" si="16"/>
        <v>1140.31</v>
      </c>
      <c r="L53" s="116">
        <f t="shared" si="16"/>
        <v>210.13467099999997</v>
      </c>
      <c r="M53" s="116">
        <f t="shared" si="16"/>
        <v>669.57100000000003</v>
      </c>
      <c r="N53" s="116">
        <f t="shared" si="16"/>
        <v>685.53800000000012</v>
      </c>
      <c r="O53" s="116">
        <f t="shared" si="16"/>
        <v>1467.3886930000001</v>
      </c>
      <c r="P53" s="116">
        <f t="shared" si="16"/>
        <v>697.79</v>
      </c>
      <c r="Q53" s="116">
        <f>SUM(Q7:Q27,Q28,Q31,Q34,Q37,Q40,Q43,Q46,Q49:Q52)</f>
        <v>4757.2093439999999</v>
      </c>
      <c r="R53" s="116">
        <f t="shared" ref="R53:U53" si="17">SUM(R7:R27,R28,R31,R34,R37,R40,R43,R46,R49:R52)</f>
        <v>0</v>
      </c>
      <c r="S53" s="116">
        <f t="shared" si="17"/>
        <v>964.22050000000024</v>
      </c>
      <c r="T53" s="116">
        <f t="shared" si="17"/>
        <v>12227.297915000001</v>
      </c>
      <c r="U53" s="116">
        <f t="shared" si="17"/>
        <v>83534.858000000007</v>
      </c>
    </row>
    <row r="54" spans="1:21" s="29" customFormat="1" ht="20.25" customHeight="1"/>
    <row r="55" spans="1:21" s="29" customFormat="1" ht="20.25" customHeight="1"/>
    <row r="56" spans="1:21" s="29" customFormat="1" ht="20.25" customHeight="1"/>
    <row r="57" spans="1:21" s="29" customFormat="1" ht="20.25" customHeight="1"/>
    <row r="58" spans="1:21" s="29" customFormat="1" ht="20.25" customHeight="1"/>
    <row r="59" spans="1:21" s="29" customFormat="1" ht="20.25" customHeight="1"/>
    <row r="60" spans="1:21" s="29" customFormat="1" ht="20.25" customHeight="1"/>
    <row r="61" spans="1:21" s="29" customFormat="1" ht="20.25" customHeight="1"/>
    <row r="62" spans="1:21" s="29" customFormat="1" ht="20.25" customHeight="1"/>
    <row r="63" spans="1:21" s="29" customFormat="1" ht="20.25" customHeight="1"/>
    <row r="64" spans="1:21" s="29" customFormat="1" ht="20.25" customHeight="1"/>
    <row r="65" spans="1:7" s="29" customFormat="1" ht="20.25" customHeight="1"/>
    <row r="66" spans="1:7" s="27" customFormat="1" ht="20.25" customHeight="1">
      <c r="G66" s="118"/>
    </row>
    <row r="67" spans="1:7" s="29" customFormat="1" ht="20.25" customHeight="1"/>
    <row r="68" spans="1:7">
      <c r="A68" s="15"/>
      <c r="B68" s="58"/>
      <c r="C68" s="58"/>
      <c r="D68" s="58"/>
      <c r="E68" s="58"/>
      <c r="F68" s="58"/>
      <c r="G68" s="58"/>
    </row>
    <row r="69" spans="1:7">
      <c r="A69" s="15"/>
      <c r="B69" s="58"/>
      <c r="C69" s="58"/>
      <c r="D69" s="58"/>
      <c r="E69" s="58"/>
      <c r="F69" s="58"/>
      <c r="G69" s="58"/>
    </row>
    <row r="70" spans="1:7">
      <c r="A70" s="15"/>
      <c r="B70" s="58"/>
      <c r="C70" s="58"/>
      <c r="D70" s="58"/>
      <c r="E70" s="58"/>
      <c r="F70" s="58"/>
      <c r="G70" s="58"/>
    </row>
    <row r="71" spans="1:7">
      <c r="A71" s="15"/>
      <c r="B71" s="58"/>
      <c r="C71" s="58"/>
      <c r="D71" s="58"/>
      <c r="E71" s="58"/>
      <c r="F71" s="58"/>
      <c r="G71" s="58"/>
    </row>
    <row r="72" spans="1:7">
      <c r="A72" s="15"/>
      <c r="B72" s="58"/>
      <c r="C72" s="58"/>
      <c r="D72" s="58"/>
      <c r="E72" s="58"/>
      <c r="F72" s="58"/>
      <c r="G72" s="58"/>
    </row>
    <row r="73" spans="1:7">
      <c r="A73" s="15"/>
      <c r="B73" s="58"/>
      <c r="C73" s="58"/>
      <c r="D73" s="58"/>
      <c r="E73" s="58"/>
      <c r="F73" s="58"/>
      <c r="G73" s="58"/>
    </row>
    <row r="74" spans="1:7">
      <c r="A74" s="15"/>
      <c r="B74" s="58"/>
      <c r="C74" s="58"/>
      <c r="D74" s="58"/>
      <c r="E74" s="58"/>
      <c r="F74" s="58"/>
      <c r="G74" s="58"/>
    </row>
    <row r="75" spans="1:7">
      <c r="A75" s="15"/>
      <c r="B75" s="58"/>
      <c r="C75" s="58"/>
      <c r="D75" s="58"/>
      <c r="E75" s="58"/>
      <c r="F75" s="58"/>
      <c r="G75" s="58"/>
    </row>
    <row r="76" spans="1:7">
      <c r="A76" s="15"/>
      <c r="B76" s="58"/>
      <c r="C76" s="58"/>
      <c r="D76" s="58"/>
      <c r="E76" s="58"/>
      <c r="F76" s="58"/>
      <c r="G76" s="58"/>
    </row>
    <row r="77" spans="1:7">
      <c r="A77" s="15"/>
      <c r="B77" s="58"/>
      <c r="C77" s="58"/>
      <c r="D77" s="58"/>
      <c r="E77" s="58"/>
      <c r="F77" s="58"/>
      <c r="G77" s="58"/>
    </row>
    <row r="78" spans="1:7">
      <c r="A78" s="15"/>
      <c r="B78" s="58"/>
      <c r="C78" s="58"/>
      <c r="D78" s="58"/>
      <c r="E78" s="58"/>
      <c r="F78" s="58"/>
      <c r="G78" s="58"/>
    </row>
    <row r="79" spans="1:7">
      <c r="A79" s="15"/>
      <c r="B79" s="58"/>
      <c r="C79" s="58"/>
      <c r="D79" s="58"/>
      <c r="E79" s="58"/>
      <c r="F79" s="58"/>
      <c r="G79" s="58"/>
    </row>
    <row r="80" spans="1:7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  <row r="107" spans="1:1">
      <c r="A107" s="15"/>
    </row>
    <row r="108" spans="1:1">
      <c r="A108" s="15"/>
    </row>
    <row r="109" spans="1:1">
      <c r="A109" s="15"/>
    </row>
    <row r="110" spans="1:1">
      <c r="A110" s="15"/>
    </row>
    <row r="111" spans="1:1">
      <c r="A111" s="15"/>
    </row>
    <row r="112" spans="1:1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  <row r="126" spans="1:1">
      <c r="A126" s="15"/>
    </row>
    <row r="127" spans="1:1">
      <c r="A127" s="15"/>
    </row>
    <row r="128" spans="1:1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36" spans="1:1">
      <c r="A136" s="15"/>
    </row>
    <row r="137" spans="1:1">
      <c r="A137" s="15"/>
    </row>
    <row r="138" spans="1:1">
      <c r="A138" s="15"/>
    </row>
    <row r="139" spans="1:1">
      <c r="A139" s="15"/>
    </row>
    <row r="140" spans="1:1">
      <c r="A140" s="15"/>
    </row>
    <row r="141" spans="1:1">
      <c r="A141" s="15"/>
    </row>
    <row r="142" spans="1:1">
      <c r="A142" s="15"/>
    </row>
    <row r="143" spans="1:1">
      <c r="A143" s="15"/>
    </row>
    <row r="144" spans="1:1">
      <c r="A144" s="15"/>
    </row>
    <row r="145" spans="1:1">
      <c r="A145" s="15"/>
    </row>
    <row r="146" spans="1:1">
      <c r="A146" s="15"/>
    </row>
    <row r="147" spans="1:1">
      <c r="A147" s="15"/>
    </row>
    <row r="148" spans="1:1">
      <c r="A148" s="15"/>
    </row>
    <row r="149" spans="1:1">
      <c r="A149" s="15"/>
    </row>
    <row r="150" spans="1:1">
      <c r="A150" s="15"/>
    </row>
    <row r="151" spans="1:1">
      <c r="A151" s="15"/>
    </row>
    <row r="152" spans="1:1">
      <c r="A152" s="15"/>
    </row>
    <row r="153" spans="1:1">
      <c r="A153" s="15"/>
    </row>
    <row r="154" spans="1:1">
      <c r="A154" s="15"/>
    </row>
    <row r="155" spans="1:1">
      <c r="A155" s="15"/>
    </row>
    <row r="156" spans="1:1">
      <c r="A156" s="15"/>
    </row>
    <row r="157" spans="1:1">
      <c r="A157" s="15"/>
    </row>
    <row r="158" spans="1:1">
      <c r="A158" s="15"/>
    </row>
    <row r="159" spans="1:1">
      <c r="A159" s="15"/>
    </row>
    <row r="160" spans="1:1">
      <c r="A160" s="15"/>
    </row>
    <row r="161" spans="1:1">
      <c r="A161" s="15"/>
    </row>
    <row r="162" spans="1:1">
      <c r="A162" s="15"/>
    </row>
    <row r="163" spans="1:1">
      <c r="A163" s="15"/>
    </row>
    <row r="164" spans="1:1">
      <c r="A164" s="15"/>
    </row>
    <row r="165" spans="1:1">
      <c r="A165" s="15"/>
    </row>
    <row r="166" spans="1:1">
      <c r="A166" s="15"/>
    </row>
    <row r="167" spans="1:1">
      <c r="A167" s="15"/>
    </row>
    <row r="168" spans="1:1">
      <c r="A168" s="15"/>
    </row>
    <row r="169" spans="1:1">
      <c r="A169" s="15"/>
    </row>
    <row r="170" spans="1:1">
      <c r="A170" s="15"/>
    </row>
    <row r="171" spans="1:1">
      <c r="A171" s="15"/>
    </row>
    <row r="172" spans="1:1">
      <c r="A172" s="15"/>
    </row>
    <row r="173" spans="1:1">
      <c r="A173" s="15"/>
    </row>
    <row r="174" spans="1:1">
      <c r="A174" s="15"/>
    </row>
    <row r="175" spans="1:1">
      <c r="A175" s="15"/>
    </row>
    <row r="176" spans="1: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  <row r="185" spans="1:1">
      <c r="A185" s="15"/>
    </row>
    <row r="186" spans="1:1">
      <c r="A186" s="15"/>
    </row>
    <row r="187" spans="1:1">
      <c r="A187" s="15"/>
    </row>
    <row r="188" spans="1:1">
      <c r="A188" s="15"/>
    </row>
    <row r="189" spans="1:1">
      <c r="A189" s="15"/>
    </row>
    <row r="190" spans="1:1">
      <c r="A190" s="15"/>
    </row>
    <row r="191" spans="1:1">
      <c r="A191" s="15"/>
    </row>
    <row r="192" spans="1:1">
      <c r="A192" s="15"/>
    </row>
    <row r="193" spans="1:1">
      <c r="A193" s="15"/>
    </row>
    <row r="194" spans="1:1">
      <c r="A194" s="15"/>
    </row>
    <row r="195" spans="1:1">
      <c r="A195" s="15"/>
    </row>
    <row r="196" spans="1:1">
      <c r="A196" s="15"/>
    </row>
    <row r="197" spans="1:1">
      <c r="A197" s="15"/>
    </row>
    <row r="198" spans="1:1">
      <c r="A198" s="15"/>
    </row>
    <row r="199" spans="1:1">
      <c r="A199" s="15"/>
    </row>
    <row r="200" spans="1:1">
      <c r="A200" s="15"/>
    </row>
    <row r="201" spans="1:1">
      <c r="A201" s="15"/>
    </row>
    <row r="202" spans="1:1">
      <c r="A202" s="15"/>
    </row>
    <row r="203" spans="1:1">
      <c r="A203" s="15"/>
    </row>
    <row r="204" spans="1:1">
      <c r="A204" s="15"/>
    </row>
    <row r="205" spans="1:1">
      <c r="A205" s="15"/>
    </row>
    <row r="206" spans="1:1">
      <c r="A206" s="15"/>
    </row>
    <row r="207" spans="1:1">
      <c r="A207" s="15"/>
    </row>
    <row r="208" spans="1:1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5"/>
    </row>
    <row r="269" spans="1:1">
      <c r="A269" s="15"/>
    </row>
    <row r="270" spans="1:1">
      <c r="A270" s="15"/>
    </row>
    <row r="271" spans="1:1">
      <c r="A271" s="15"/>
    </row>
    <row r="272" spans="1:1">
      <c r="A272" s="15"/>
    </row>
    <row r="273" spans="1:1">
      <c r="A273" s="15"/>
    </row>
    <row r="274" spans="1:1">
      <c r="A274" s="15"/>
    </row>
    <row r="275" spans="1:1">
      <c r="A275" s="15"/>
    </row>
    <row r="276" spans="1:1">
      <c r="A276" s="15"/>
    </row>
    <row r="277" spans="1:1">
      <c r="A277" s="15"/>
    </row>
    <row r="278" spans="1:1">
      <c r="A278" s="15"/>
    </row>
    <row r="279" spans="1:1">
      <c r="A279" s="15"/>
    </row>
    <row r="280" spans="1:1">
      <c r="A280" s="15"/>
    </row>
    <row r="281" spans="1:1">
      <c r="A281" s="15"/>
    </row>
    <row r="282" spans="1:1">
      <c r="A282" s="15"/>
    </row>
    <row r="283" spans="1:1">
      <c r="A283" s="15"/>
    </row>
    <row r="284" spans="1:1">
      <c r="A284" s="15"/>
    </row>
    <row r="285" spans="1:1">
      <c r="A285" s="15"/>
    </row>
    <row r="286" spans="1:1">
      <c r="A286" s="15"/>
    </row>
    <row r="287" spans="1:1">
      <c r="A287" s="15"/>
    </row>
    <row r="288" spans="1:1">
      <c r="A288" s="15"/>
    </row>
    <row r="289" spans="1:1">
      <c r="A289" s="15"/>
    </row>
    <row r="290" spans="1:1">
      <c r="A290" s="15"/>
    </row>
    <row r="291" spans="1:1">
      <c r="A291" s="15"/>
    </row>
    <row r="292" spans="1:1">
      <c r="A292" s="15"/>
    </row>
    <row r="293" spans="1:1">
      <c r="A293" s="15"/>
    </row>
    <row r="294" spans="1:1">
      <c r="A294" s="15"/>
    </row>
    <row r="295" spans="1:1">
      <c r="A295" s="15"/>
    </row>
    <row r="296" spans="1:1">
      <c r="A296" s="15"/>
    </row>
    <row r="297" spans="1:1">
      <c r="A297" s="15"/>
    </row>
    <row r="298" spans="1:1">
      <c r="A298" s="15"/>
    </row>
    <row r="299" spans="1:1">
      <c r="A299" s="15"/>
    </row>
    <row r="300" spans="1:1">
      <c r="A300" s="15"/>
    </row>
    <row r="301" spans="1:1">
      <c r="A301" s="15"/>
    </row>
    <row r="302" spans="1:1">
      <c r="A302" s="15"/>
    </row>
    <row r="303" spans="1:1">
      <c r="A303" s="15"/>
    </row>
    <row r="304" spans="1:1">
      <c r="A304" s="15"/>
    </row>
    <row r="305" spans="1:1">
      <c r="A305" s="15"/>
    </row>
    <row r="306" spans="1:1">
      <c r="A306" s="15"/>
    </row>
    <row r="307" spans="1:1">
      <c r="A307" s="15"/>
    </row>
    <row r="308" spans="1:1">
      <c r="A308" s="15"/>
    </row>
    <row r="309" spans="1:1">
      <c r="A309" s="15"/>
    </row>
    <row r="310" spans="1:1">
      <c r="A310" s="15"/>
    </row>
    <row r="311" spans="1:1">
      <c r="A311" s="15"/>
    </row>
    <row r="312" spans="1:1">
      <c r="A312" s="15"/>
    </row>
    <row r="313" spans="1:1">
      <c r="A313" s="15"/>
    </row>
    <row r="314" spans="1:1">
      <c r="A314" s="15"/>
    </row>
    <row r="315" spans="1:1">
      <c r="A315" s="15"/>
    </row>
    <row r="316" spans="1:1">
      <c r="A316" s="15"/>
    </row>
    <row r="317" spans="1:1">
      <c r="A317" s="15"/>
    </row>
    <row r="318" spans="1:1">
      <c r="A318" s="15"/>
    </row>
    <row r="319" spans="1:1">
      <c r="A319" s="15"/>
    </row>
    <row r="320" spans="1:1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  <row r="335" spans="1:1">
      <c r="A335" s="15"/>
    </row>
    <row r="336" spans="1:1">
      <c r="A336" s="15"/>
    </row>
    <row r="337" spans="1:1">
      <c r="A337" s="15"/>
    </row>
    <row r="338" spans="1:1">
      <c r="A338" s="15"/>
    </row>
    <row r="339" spans="1:1">
      <c r="A339" s="15"/>
    </row>
    <row r="340" spans="1:1">
      <c r="A340" s="15"/>
    </row>
    <row r="341" spans="1:1">
      <c r="A341" s="15"/>
    </row>
    <row r="342" spans="1:1">
      <c r="A342" s="15"/>
    </row>
    <row r="343" spans="1:1">
      <c r="A343" s="15"/>
    </row>
  </sheetData>
  <autoFilter ref="A6:U67"/>
  <mergeCells count="18">
    <mergeCell ref="A1:U1"/>
    <mergeCell ref="A2:U2"/>
    <mergeCell ref="A4:A6"/>
    <mergeCell ref="B4:B6"/>
    <mergeCell ref="H4:U4"/>
    <mergeCell ref="C4:D5"/>
    <mergeCell ref="H5:H6"/>
    <mergeCell ref="I5:T5"/>
    <mergeCell ref="U5:U6"/>
    <mergeCell ref="E4:G5"/>
    <mergeCell ref="A43:A45"/>
    <mergeCell ref="A46:A48"/>
    <mergeCell ref="A53:B53"/>
    <mergeCell ref="A28:A30"/>
    <mergeCell ref="A31:A33"/>
    <mergeCell ref="A34:A36"/>
    <mergeCell ref="A37:A39"/>
    <mergeCell ref="A40:A42"/>
  </mergeCells>
  <pageMargins left="0.2" right="0.2" top="0.23" bottom="0.27" header="0.2" footer="0.2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2"/>
  <sheetViews>
    <sheetView tabSelected="1" workbookViewId="0">
      <selection activeCell="H9" sqref="H9"/>
    </sheetView>
  </sheetViews>
  <sheetFormatPr defaultColWidth="9.140625" defaultRowHeight="15"/>
  <cols>
    <col min="1" max="1" width="5.140625" style="16" customWidth="1"/>
    <col min="2" max="2" width="19.5703125" style="15" customWidth="1"/>
    <col min="3" max="3" width="7" style="15" customWidth="1"/>
    <col min="4" max="4" width="5.85546875" style="15" customWidth="1"/>
    <col min="5" max="5" width="10.85546875" style="15" customWidth="1"/>
    <col min="6" max="6" width="9.42578125" style="15" customWidth="1"/>
    <col min="7" max="7" width="9.140625" style="15" customWidth="1"/>
    <col min="8" max="8" width="10.85546875" style="15" customWidth="1"/>
    <col min="9" max="9" width="9.140625" style="15" customWidth="1"/>
    <col min="10" max="10" width="9" style="15" customWidth="1"/>
    <col min="11" max="12" width="8.85546875" style="15" customWidth="1"/>
    <col min="13" max="13" width="6.5703125" style="15" customWidth="1"/>
    <col min="14" max="14" width="6.140625" style="15" customWidth="1"/>
    <col min="15" max="15" width="9.140625" style="15" customWidth="1"/>
    <col min="16" max="16" width="8.7109375" style="15" customWidth="1"/>
    <col min="17" max="17" width="8.42578125" style="15" customWidth="1"/>
    <col min="18" max="18" width="10" style="15" customWidth="1"/>
    <col min="19" max="19" width="6.7109375" style="15" customWidth="1"/>
    <col min="20" max="20" width="7.28515625" style="15" customWidth="1"/>
    <col min="21" max="21" width="13.140625" style="15" customWidth="1"/>
    <col min="22" max="16384" width="9.140625" style="15"/>
  </cols>
  <sheetData>
    <row r="1" spans="1:21">
      <c r="A1" s="147" t="s">
        <v>344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24.6" customHeight="1">
      <c r="A2" s="148" t="s">
        <v>347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18" customHeight="1">
      <c r="U3" s="17" t="s">
        <v>20</v>
      </c>
    </row>
    <row r="4" spans="1:21" ht="27.75" customHeight="1">
      <c r="A4" s="142" t="s">
        <v>0</v>
      </c>
      <c r="B4" s="142" t="s">
        <v>18</v>
      </c>
      <c r="C4" s="143" t="s">
        <v>1</v>
      </c>
      <c r="D4" s="144"/>
      <c r="E4" s="150" t="s">
        <v>4</v>
      </c>
      <c r="F4" s="151"/>
      <c r="G4" s="152"/>
      <c r="H4" s="156" t="s">
        <v>5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8"/>
    </row>
    <row r="5" spans="1:21" ht="27.75" customHeight="1">
      <c r="A5" s="142"/>
      <c r="B5" s="142"/>
      <c r="C5" s="145"/>
      <c r="D5" s="146"/>
      <c r="E5" s="186"/>
      <c r="F5" s="187"/>
      <c r="G5" s="188"/>
      <c r="H5" s="150" t="s">
        <v>6</v>
      </c>
      <c r="I5" s="142" t="s">
        <v>181</v>
      </c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52" t="s">
        <v>19</v>
      </c>
    </row>
    <row r="6" spans="1:21" ht="63.75">
      <c r="A6" s="142"/>
      <c r="B6" s="142"/>
      <c r="C6" s="18" t="s">
        <v>2</v>
      </c>
      <c r="D6" s="18" t="s">
        <v>3</v>
      </c>
      <c r="E6" s="117" t="s">
        <v>179</v>
      </c>
      <c r="F6" s="117" t="s">
        <v>180</v>
      </c>
      <c r="G6" s="117" t="s">
        <v>19</v>
      </c>
      <c r="H6" s="153"/>
      <c r="I6" s="117" t="s">
        <v>7</v>
      </c>
      <c r="J6" s="117" t="s">
        <v>8</v>
      </c>
      <c r="K6" s="117" t="s">
        <v>9</v>
      </c>
      <c r="L6" s="117" t="s">
        <v>10</v>
      </c>
      <c r="M6" s="117" t="s">
        <v>11</v>
      </c>
      <c r="N6" s="117" t="s">
        <v>12</v>
      </c>
      <c r="O6" s="117" t="s">
        <v>13</v>
      </c>
      <c r="P6" s="117" t="s">
        <v>14</v>
      </c>
      <c r="Q6" s="117" t="s">
        <v>15</v>
      </c>
      <c r="R6" s="117" t="s">
        <v>17</v>
      </c>
      <c r="S6" s="117" t="s">
        <v>16</v>
      </c>
      <c r="T6" s="117" t="s">
        <v>178</v>
      </c>
      <c r="U6" s="155"/>
    </row>
    <row r="7" spans="1:21" s="29" customFormat="1" ht="20.25" customHeight="1">
      <c r="A7" s="71">
        <v>1</v>
      </c>
      <c r="B7" s="41" t="s">
        <v>48</v>
      </c>
      <c r="C7" s="119">
        <v>72</v>
      </c>
      <c r="D7" s="119">
        <v>72</v>
      </c>
      <c r="E7" s="31">
        <v>9814</v>
      </c>
      <c r="F7" s="31">
        <v>1265</v>
      </c>
      <c r="G7" s="31">
        <f>E7+F7</f>
        <v>11079</v>
      </c>
      <c r="H7" s="31">
        <v>9898</v>
      </c>
      <c r="I7" s="31"/>
      <c r="J7" s="31">
        <v>43.853999999999999</v>
      </c>
      <c r="K7" s="31">
        <v>198.73699999999999</v>
      </c>
      <c r="L7" s="31">
        <v>106</v>
      </c>
      <c r="M7" s="31"/>
      <c r="N7" s="31">
        <v>88.99</v>
      </c>
      <c r="O7" s="31">
        <v>131.07</v>
      </c>
      <c r="P7" s="31">
        <v>69.45</v>
      </c>
      <c r="Q7" s="31">
        <v>303.00099999999998</v>
      </c>
      <c r="R7" s="31">
        <v>3</v>
      </c>
      <c r="S7" s="31">
        <v>237</v>
      </c>
      <c r="T7" s="31">
        <f>SUM(I7:S7)</f>
        <v>1181.1020000000001</v>
      </c>
      <c r="U7" s="65">
        <f>T7+H7</f>
        <v>11079.102000000001</v>
      </c>
    </row>
    <row r="8" spans="1:21" s="29" customFormat="1" ht="20.25" customHeight="1">
      <c r="A8" s="71">
        <v>2</v>
      </c>
      <c r="B8" s="119" t="s">
        <v>49</v>
      </c>
      <c r="C8" s="119">
        <v>68</v>
      </c>
      <c r="D8" s="119">
        <v>62</v>
      </c>
      <c r="E8" s="44">
        <v>10414</v>
      </c>
      <c r="F8" s="44">
        <v>1155.223</v>
      </c>
      <c r="G8" s="31">
        <f t="shared" ref="G8:G21" si="0">E8+F8</f>
        <v>11569.223</v>
      </c>
      <c r="H8" s="44">
        <v>10384.459000000003</v>
      </c>
      <c r="I8" s="44">
        <v>0</v>
      </c>
      <c r="J8" s="44">
        <v>92.695999999999998</v>
      </c>
      <c r="K8" s="44">
        <v>129.90899999999999</v>
      </c>
      <c r="L8" s="44">
        <v>113</v>
      </c>
      <c r="M8" s="44">
        <v>0</v>
      </c>
      <c r="N8" s="44">
        <v>112.752</v>
      </c>
      <c r="O8" s="44">
        <v>101.232</v>
      </c>
      <c r="P8" s="44">
        <v>56.96</v>
      </c>
      <c r="Q8" s="44">
        <v>464.83</v>
      </c>
      <c r="R8" s="44">
        <v>0</v>
      </c>
      <c r="S8" s="31">
        <v>113.94199999999999</v>
      </c>
      <c r="T8" s="31">
        <f t="shared" ref="T8:T10" si="1">SUM(I8:S8)</f>
        <v>1185.3210000000001</v>
      </c>
      <c r="U8" s="65">
        <f t="shared" ref="U8:U10" si="2">T8+H8</f>
        <v>11569.780000000002</v>
      </c>
    </row>
    <row r="9" spans="1:21" s="29" customFormat="1" ht="20.25" customHeight="1">
      <c r="A9" s="71">
        <v>3</v>
      </c>
      <c r="B9" s="34" t="s">
        <v>53</v>
      </c>
      <c r="C9" s="119">
        <v>56</v>
      </c>
      <c r="D9" s="119">
        <v>56</v>
      </c>
      <c r="E9" s="132">
        <v>7363.1970000000001</v>
      </c>
      <c r="F9" s="132">
        <v>870.9</v>
      </c>
      <c r="G9" s="31">
        <f t="shared" si="0"/>
        <v>8234.0969999999998</v>
      </c>
      <c r="H9" s="132">
        <v>7371.2020000000002</v>
      </c>
      <c r="I9" s="50"/>
      <c r="J9" s="50">
        <v>31.710999999999999</v>
      </c>
      <c r="K9" s="50">
        <v>120.185</v>
      </c>
      <c r="L9" s="50">
        <v>20.792000000000002</v>
      </c>
      <c r="M9" s="50">
        <v>49.584000000000003</v>
      </c>
      <c r="N9" s="50">
        <v>3.9247000000000001</v>
      </c>
      <c r="O9" s="50">
        <v>72.888800000000003</v>
      </c>
      <c r="P9" s="50"/>
      <c r="Q9" s="50">
        <v>278.0505</v>
      </c>
      <c r="R9" s="50"/>
      <c r="S9" s="50">
        <v>285.75900000000001</v>
      </c>
      <c r="T9" s="31">
        <f t="shared" si="1"/>
        <v>862.89499999999998</v>
      </c>
      <c r="U9" s="65">
        <f t="shared" si="2"/>
        <v>8234.0969999999998</v>
      </c>
    </row>
    <row r="10" spans="1:21" s="29" customFormat="1" ht="20.25" customHeight="1">
      <c r="A10" s="71">
        <v>4</v>
      </c>
      <c r="B10" s="119" t="s">
        <v>50</v>
      </c>
      <c r="C10" s="119">
        <v>56</v>
      </c>
      <c r="D10" s="119">
        <v>52</v>
      </c>
      <c r="E10" s="50">
        <v>7395.59</v>
      </c>
      <c r="F10" s="50">
        <v>1016</v>
      </c>
      <c r="G10" s="31">
        <f t="shared" si="0"/>
        <v>8411.59</v>
      </c>
      <c r="H10" s="50">
        <v>7396</v>
      </c>
      <c r="I10" s="50"/>
      <c r="J10" s="50">
        <v>47.7</v>
      </c>
      <c r="K10" s="50">
        <v>55.2</v>
      </c>
      <c r="L10" s="50">
        <v>14.8</v>
      </c>
      <c r="M10" s="50">
        <v>190.7</v>
      </c>
      <c r="N10" s="50">
        <v>63.7</v>
      </c>
      <c r="O10" s="50">
        <v>78.8</v>
      </c>
      <c r="P10" s="50"/>
      <c r="Q10" s="50">
        <v>213</v>
      </c>
      <c r="R10" s="50">
        <v>8.4</v>
      </c>
      <c r="S10" s="50">
        <v>344.14</v>
      </c>
      <c r="T10" s="31">
        <f t="shared" si="1"/>
        <v>1016.4399999999999</v>
      </c>
      <c r="U10" s="65">
        <f t="shared" si="2"/>
        <v>8412.44</v>
      </c>
    </row>
    <row r="11" spans="1:21" s="29" customFormat="1" ht="20.25" customHeight="1">
      <c r="A11" s="71">
        <v>5</v>
      </c>
      <c r="B11" s="34" t="s">
        <v>183</v>
      </c>
      <c r="C11" s="119">
        <v>39</v>
      </c>
      <c r="D11" s="119">
        <v>32</v>
      </c>
      <c r="E11" s="50">
        <v>5183.1660000000002</v>
      </c>
      <c r="F11" s="50">
        <v>752.6</v>
      </c>
      <c r="G11" s="31">
        <f t="shared" si="0"/>
        <v>5935.7660000000005</v>
      </c>
      <c r="H11" s="50">
        <v>5072.5998709999994</v>
      </c>
      <c r="I11" s="50"/>
      <c r="J11" s="50">
        <v>42.91863</v>
      </c>
      <c r="K11" s="50">
        <v>69.475218999999996</v>
      </c>
      <c r="L11" s="50">
        <v>8.3201619999999998</v>
      </c>
      <c r="M11" s="50">
        <v>192.8</v>
      </c>
      <c r="N11" s="50">
        <v>45.899464000000002</v>
      </c>
      <c r="O11" s="50">
        <v>137.43488600000001</v>
      </c>
      <c r="P11" s="50">
        <v>52.581868</v>
      </c>
      <c r="Q11" s="50">
        <v>117.8961</v>
      </c>
      <c r="R11" s="50">
        <v>0</v>
      </c>
      <c r="S11" s="50">
        <v>176.0548</v>
      </c>
      <c r="T11" s="31">
        <f t="shared" ref="T11:T18" si="3">SUM(I11:S11)</f>
        <v>843.3811290000001</v>
      </c>
      <c r="U11" s="65">
        <f t="shared" ref="U11:U19" si="4">T11+H11</f>
        <v>5915.9809999999998</v>
      </c>
    </row>
    <row r="12" spans="1:21" s="29" customFormat="1" ht="20.25" customHeight="1">
      <c r="A12" s="71">
        <v>6</v>
      </c>
      <c r="B12" s="34" t="s">
        <v>51</v>
      </c>
      <c r="C12" s="119">
        <v>44</v>
      </c>
      <c r="D12" s="119">
        <v>41</v>
      </c>
      <c r="E12" s="50">
        <v>8193.4500000000007</v>
      </c>
      <c r="F12" s="50">
        <v>886</v>
      </c>
      <c r="G12" s="31">
        <f t="shared" si="0"/>
        <v>9079.4500000000007</v>
      </c>
      <c r="H12" s="50">
        <v>8193</v>
      </c>
      <c r="I12" s="50"/>
      <c r="J12" s="50">
        <v>60.1</v>
      </c>
      <c r="K12" s="50">
        <v>28</v>
      </c>
      <c r="L12" s="50">
        <v>35</v>
      </c>
      <c r="M12" s="50">
        <v>170</v>
      </c>
      <c r="N12" s="50">
        <v>100</v>
      </c>
      <c r="O12" s="50">
        <v>93</v>
      </c>
      <c r="P12" s="50">
        <v>30</v>
      </c>
      <c r="Q12" s="50">
        <v>170</v>
      </c>
      <c r="R12" s="50"/>
      <c r="S12" s="50">
        <v>200</v>
      </c>
      <c r="T12" s="31">
        <f t="shared" si="3"/>
        <v>886.1</v>
      </c>
      <c r="U12" s="65">
        <f t="shared" si="4"/>
        <v>9079.1</v>
      </c>
    </row>
    <row r="13" spans="1:21" s="29" customFormat="1" ht="20.25" customHeight="1">
      <c r="A13" s="71">
        <v>7</v>
      </c>
      <c r="B13" s="41" t="s">
        <v>52</v>
      </c>
      <c r="C13" s="51">
        <v>27</v>
      </c>
      <c r="D13" s="51">
        <v>27</v>
      </c>
      <c r="E13" s="44">
        <v>2850</v>
      </c>
      <c r="F13" s="44">
        <v>589</v>
      </c>
      <c r="G13" s="31">
        <f t="shared" si="0"/>
        <v>3439</v>
      </c>
      <c r="H13" s="44">
        <v>2850</v>
      </c>
      <c r="I13" s="44">
        <v>30</v>
      </c>
      <c r="J13" s="44">
        <v>23</v>
      </c>
      <c r="K13" s="44">
        <v>32</v>
      </c>
      <c r="L13" s="44">
        <v>11</v>
      </c>
      <c r="M13" s="44">
        <v>120</v>
      </c>
      <c r="N13" s="44">
        <v>193</v>
      </c>
      <c r="O13" s="44">
        <v>77</v>
      </c>
      <c r="P13" s="44"/>
      <c r="Q13" s="44">
        <v>70</v>
      </c>
      <c r="R13" s="44">
        <v>5</v>
      </c>
      <c r="S13" s="44">
        <v>33</v>
      </c>
      <c r="T13" s="31">
        <f t="shared" si="3"/>
        <v>594</v>
      </c>
      <c r="U13" s="65">
        <f t="shared" si="4"/>
        <v>3444</v>
      </c>
    </row>
    <row r="14" spans="1:21" s="29" customFormat="1" ht="20.25" customHeight="1">
      <c r="A14" s="71">
        <v>8</v>
      </c>
      <c r="B14" s="119" t="s">
        <v>37</v>
      </c>
      <c r="C14" s="119">
        <v>39</v>
      </c>
      <c r="D14" s="119">
        <v>35</v>
      </c>
      <c r="E14" s="46">
        <f>U14-F14</f>
        <v>4767.8410000000003</v>
      </c>
      <c r="F14" s="46">
        <v>789.36</v>
      </c>
      <c r="G14" s="31">
        <f t="shared" si="0"/>
        <v>5557.201</v>
      </c>
      <c r="H14" s="46">
        <v>4822.5010000000002</v>
      </c>
      <c r="I14" s="46"/>
      <c r="J14" s="46">
        <v>54</v>
      </c>
      <c r="K14" s="46">
        <v>135</v>
      </c>
      <c r="L14" s="46">
        <v>12.5</v>
      </c>
      <c r="M14" s="46">
        <v>140.6</v>
      </c>
      <c r="N14" s="46">
        <v>62.6</v>
      </c>
      <c r="O14" s="46">
        <v>61</v>
      </c>
      <c r="P14" s="46">
        <v>22.9</v>
      </c>
      <c r="Q14" s="46">
        <v>120</v>
      </c>
      <c r="R14" s="46"/>
      <c r="S14" s="46">
        <v>126.1</v>
      </c>
      <c r="T14" s="31">
        <f t="shared" si="3"/>
        <v>734.7</v>
      </c>
      <c r="U14" s="65">
        <f t="shared" si="4"/>
        <v>5557.201</v>
      </c>
    </row>
    <row r="15" spans="1:21" s="29" customFormat="1" ht="20.25" customHeight="1">
      <c r="A15" s="71">
        <v>9</v>
      </c>
      <c r="B15" s="119" t="s">
        <v>54</v>
      </c>
      <c r="C15" s="119">
        <v>43</v>
      </c>
      <c r="D15" s="119">
        <v>33</v>
      </c>
      <c r="E15" s="44">
        <v>4932.0529999999999</v>
      </c>
      <c r="F15" s="44">
        <v>706</v>
      </c>
      <c r="G15" s="31">
        <f t="shared" si="0"/>
        <v>5638.0529999999999</v>
      </c>
      <c r="H15" s="44">
        <v>4739.6469999999999</v>
      </c>
      <c r="I15" s="44">
        <v>91</v>
      </c>
      <c r="J15" s="44">
        <v>41.075000000000003</v>
      </c>
      <c r="K15" s="44">
        <v>79.108000000000004</v>
      </c>
      <c r="L15" s="44">
        <v>30.347999999999999</v>
      </c>
      <c r="M15" s="44">
        <v>155.76599999999999</v>
      </c>
      <c r="N15" s="44">
        <v>13.8</v>
      </c>
      <c r="O15" s="44">
        <v>109.515</v>
      </c>
      <c r="P15" s="44">
        <v>37.5</v>
      </c>
      <c r="Q15" s="44">
        <v>211.85</v>
      </c>
      <c r="R15" s="44">
        <v>0</v>
      </c>
      <c r="S15" s="44">
        <v>127.66900000000001</v>
      </c>
      <c r="T15" s="31">
        <v>897.63100000000009</v>
      </c>
      <c r="U15" s="65">
        <v>5637.2780000000002</v>
      </c>
    </row>
    <row r="16" spans="1:21" s="29" customFormat="1" ht="20.25" customHeight="1">
      <c r="A16" s="71">
        <v>10</v>
      </c>
      <c r="B16" s="34" t="s">
        <v>161</v>
      </c>
      <c r="C16" s="30">
        <v>40</v>
      </c>
      <c r="D16" s="30">
        <v>34</v>
      </c>
      <c r="E16" s="133">
        <f>4185.89+50.607</f>
        <v>4236.4970000000003</v>
      </c>
      <c r="F16" s="134">
        <v>770</v>
      </c>
      <c r="G16" s="31">
        <f t="shared" si="0"/>
        <v>5006.4970000000003</v>
      </c>
      <c r="H16" s="30">
        <f>(1886265507+2075803437+562733534+250186800)/1000000</f>
        <v>4774.989278</v>
      </c>
      <c r="I16" s="30"/>
      <c r="J16" s="30">
        <f>67544935/1000000</f>
        <v>67.544934999999995</v>
      </c>
      <c r="K16" s="30">
        <f>112115000/1000000</f>
        <v>112.11499999999999</v>
      </c>
      <c r="L16" s="30">
        <v>11</v>
      </c>
      <c r="M16" s="30">
        <f>274871600/1000000</f>
        <v>274.8716</v>
      </c>
      <c r="N16" s="30">
        <f>5990000/1000000</f>
        <v>5.99</v>
      </c>
      <c r="O16" s="30">
        <f>45337358/1000000</f>
        <v>45.337358000000002</v>
      </c>
      <c r="P16" s="30">
        <v>0</v>
      </c>
      <c r="Q16" s="30">
        <f>203581090/1000000</f>
        <v>203.58108999999999</v>
      </c>
      <c r="R16" s="30">
        <v>0</v>
      </c>
      <c r="S16" s="30">
        <f>(93887780+23900000+1935000+201736225)/1000000</f>
        <v>321.45900499999999</v>
      </c>
      <c r="T16" s="31">
        <f t="shared" si="3"/>
        <v>1041.8989879999999</v>
      </c>
      <c r="U16" s="65">
        <f t="shared" si="4"/>
        <v>5816.8882659999999</v>
      </c>
    </row>
    <row r="17" spans="1:21" s="29" customFormat="1" ht="20.25" customHeight="1">
      <c r="A17" s="71">
        <v>11</v>
      </c>
      <c r="B17" s="119" t="s">
        <v>162</v>
      </c>
      <c r="C17" s="119">
        <v>55</v>
      </c>
      <c r="D17" s="119">
        <v>50</v>
      </c>
      <c r="E17" s="31">
        <v>6413.8590000000004</v>
      </c>
      <c r="F17" s="31">
        <v>993.14099999999996</v>
      </c>
      <c r="G17" s="31">
        <f t="shared" si="0"/>
        <v>7407</v>
      </c>
      <c r="H17" s="31">
        <v>6310.2666120000004</v>
      </c>
      <c r="I17" s="31"/>
      <c r="J17" s="31">
        <v>56.875658000000001</v>
      </c>
      <c r="K17" s="31">
        <v>114.571</v>
      </c>
      <c r="L17" s="31">
        <v>5.7485989999999996</v>
      </c>
      <c r="M17" s="31">
        <v>246.04104000000001</v>
      </c>
      <c r="N17" s="31">
        <v>88.094200000000001</v>
      </c>
      <c r="O17" s="31">
        <v>107.595</v>
      </c>
      <c r="P17" s="31">
        <v>23.85</v>
      </c>
      <c r="Q17" s="31">
        <v>213.35300000000001</v>
      </c>
      <c r="R17" s="31">
        <v>3.6</v>
      </c>
      <c r="S17" s="31">
        <v>237.12184099999999</v>
      </c>
      <c r="T17" s="31">
        <f t="shared" si="3"/>
        <v>1096.8503380000002</v>
      </c>
      <c r="U17" s="65">
        <f t="shared" ref="U17" si="5">H17+T17</f>
        <v>7407.1169500000005</v>
      </c>
    </row>
    <row r="18" spans="1:21" s="118" customFormat="1" ht="19.5" customHeight="1">
      <c r="A18" s="71">
        <v>12</v>
      </c>
      <c r="B18" s="41" t="s">
        <v>55</v>
      </c>
      <c r="C18" s="34">
        <v>53</v>
      </c>
      <c r="D18" s="34">
        <v>50</v>
      </c>
      <c r="E18" s="135">
        <f>6925.845-454.605</f>
        <v>6471.24</v>
      </c>
      <c r="F18" s="135">
        <f>1029-58.15</f>
        <v>970.85</v>
      </c>
      <c r="G18" s="31">
        <f t="shared" si="0"/>
        <v>7442.09</v>
      </c>
      <c r="H18" s="135">
        <f>3244.729646+153.201068+1947.825385+34.35+45.5+943.244131+26.82</f>
        <v>6395.6702300000006</v>
      </c>
      <c r="I18" s="135">
        <v>103.158412</v>
      </c>
      <c r="J18" s="135">
        <v>26.174789000000001</v>
      </c>
      <c r="K18" s="135">
        <v>45.338000000000001</v>
      </c>
      <c r="L18" s="135">
        <v>19.908750000000001</v>
      </c>
      <c r="M18" s="135">
        <v>204.83359999999999</v>
      </c>
      <c r="N18" s="135">
        <v>80.662000000000006</v>
      </c>
      <c r="O18" s="135">
        <v>47.98</v>
      </c>
      <c r="P18" s="135">
        <v>117.02</v>
      </c>
      <c r="Q18" s="135">
        <f>299.5714</f>
        <v>299.57139999999998</v>
      </c>
      <c r="R18" s="135">
        <f>1.7</f>
        <v>1.7</v>
      </c>
      <c r="S18" s="135">
        <f>100.072819</f>
        <v>100.072819</v>
      </c>
      <c r="T18" s="31">
        <f t="shared" si="3"/>
        <v>1046.41977</v>
      </c>
      <c r="U18" s="65">
        <f t="shared" si="4"/>
        <v>7442.09</v>
      </c>
    </row>
    <row r="19" spans="1:21" s="29" customFormat="1" ht="20.25" customHeight="1">
      <c r="A19" s="71">
        <v>13</v>
      </c>
      <c r="B19" s="119" t="s">
        <v>56</v>
      </c>
      <c r="C19" s="119">
        <v>38</v>
      </c>
      <c r="D19" s="119">
        <v>36</v>
      </c>
      <c r="E19" s="136">
        <v>5529</v>
      </c>
      <c r="F19" s="136">
        <v>762</v>
      </c>
      <c r="G19" s="31">
        <f t="shared" si="0"/>
        <v>6291</v>
      </c>
      <c r="H19" s="136">
        <v>5505.5204159999994</v>
      </c>
      <c r="I19" s="136"/>
      <c r="J19" s="136">
        <v>50.658969999999997</v>
      </c>
      <c r="K19" s="136">
        <v>96.984999999999999</v>
      </c>
      <c r="L19" s="136">
        <v>39.192776000000002</v>
      </c>
      <c r="M19" s="136">
        <v>223.56549999999999</v>
      </c>
      <c r="N19" s="136">
        <v>25.71</v>
      </c>
      <c r="O19" s="136">
        <v>30.5</v>
      </c>
      <c r="P19" s="136"/>
      <c r="Q19" s="136">
        <v>201.8963</v>
      </c>
      <c r="R19" s="136"/>
      <c r="S19" s="136">
        <v>116.22103799999999</v>
      </c>
      <c r="T19" s="31">
        <f>SUM(I19:S19)</f>
        <v>784.72958400000005</v>
      </c>
      <c r="U19" s="65">
        <f t="shared" si="4"/>
        <v>6290.2499999999991</v>
      </c>
    </row>
    <row r="20" spans="1:21" s="29" customFormat="1" ht="21.75" customHeight="1">
      <c r="A20" s="71">
        <v>14</v>
      </c>
      <c r="B20" s="119" t="s">
        <v>176</v>
      </c>
      <c r="C20" s="119">
        <v>56</v>
      </c>
      <c r="D20" s="119">
        <v>51</v>
      </c>
      <c r="E20" s="31">
        <v>6548.3429999999998</v>
      </c>
      <c r="F20" s="31">
        <v>1036.6489999999999</v>
      </c>
      <c r="G20" s="31">
        <f t="shared" si="0"/>
        <v>7584.9920000000002</v>
      </c>
      <c r="H20" s="46">
        <v>6456.8919109999997</v>
      </c>
      <c r="I20" s="46"/>
      <c r="J20" s="46">
        <v>61.719316999999997</v>
      </c>
      <c r="K20" s="46">
        <v>58.829031000000001</v>
      </c>
      <c r="L20" s="46">
        <v>13.982177</v>
      </c>
      <c r="M20" s="46">
        <v>212.03100000000001</v>
      </c>
      <c r="N20" s="122">
        <f>46.34-36.84</f>
        <v>9.5</v>
      </c>
      <c r="O20" s="46">
        <v>122.4</v>
      </c>
      <c r="P20" s="46">
        <v>41.3</v>
      </c>
      <c r="Q20" s="46">
        <v>240.99137800000051</v>
      </c>
      <c r="R20" s="123">
        <v>1.2</v>
      </c>
      <c r="S20" s="46">
        <v>366.14718600000003</v>
      </c>
      <c r="T20" s="31">
        <f>SUM(I20:S20)</f>
        <v>1128.1000890000005</v>
      </c>
      <c r="U20" s="65">
        <f>T20+H20</f>
        <v>7584.9920000000002</v>
      </c>
    </row>
    <row r="21" spans="1:21" s="29" customFormat="1" ht="20.25" customHeight="1">
      <c r="A21" s="71">
        <v>15</v>
      </c>
      <c r="B21" s="139" t="s">
        <v>177</v>
      </c>
      <c r="C21" s="119">
        <v>31</v>
      </c>
      <c r="D21" s="119">
        <v>28</v>
      </c>
      <c r="E21" s="137">
        <v>3916.4349999999999</v>
      </c>
      <c r="F21" s="137">
        <v>486.745</v>
      </c>
      <c r="G21" s="31">
        <f t="shared" si="0"/>
        <v>4403.18</v>
      </c>
      <c r="H21" s="137">
        <v>3925.384192</v>
      </c>
      <c r="I21" s="138"/>
      <c r="J21" s="137">
        <v>13.495384999999999</v>
      </c>
      <c r="K21" s="137">
        <v>98.754127999999994</v>
      </c>
      <c r="L21" s="137">
        <v>21.5427</v>
      </c>
      <c r="M21" s="137">
        <v>16.16</v>
      </c>
      <c r="N21" s="137">
        <v>17.8</v>
      </c>
      <c r="O21" s="137">
        <v>62.4636</v>
      </c>
      <c r="P21" s="138">
        <v>16.3</v>
      </c>
      <c r="Q21" s="137">
        <v>81.857644999999991</v>
      </c>
      <c r="R21" s="137"/>
      <c r="S21" s="31">
        <v>149.42234999999999</v>
      </c>
      <c r="T21" s="31">
        <f>SUM(I21:S21)</f>
        <v>477.79580800000002</v>
      </c>
      <c r="U21" s="65">
        <f>T21+H21</f>
        <v>4403.18</v>
      </c>
    </row>
    <row r="22" spans="1:21" s="29" customFormat="1" ht="20.25" customHeight="1">
      <c r="A22" s="141" t="s">
        <v>19</v>
      </c>
      <c r="B22" s="141"/>
      <c r="C22" s="52">
        <f>SUM(C7:C21)</f>
        <v>717</v>
      </c>
      <c r="D22" s="52">
        <f t="shared" ref="D22:U22" si="6">SUM(D7:D21)</f>
        <v>659</v>
      </c>
      <c r="E22" s="52">
        <f t="shared" si="6"/>
        <v>94028.670999999988</v>
      </c>
      <c r="F22" s="52">
        <f t="shared" si="6"/>
        <v>13049.467999999999</v>
      </c>
      <c r="G22" s="52">
        <f t="shared" si="6"/>
        <v>107078.139</v>
      </c>
      <c r="H22" s="52">
        <f t="shared" si="6"/>
        <v>94096.131510000007</v>
      </c>
      <c r="I22" s="52">
        <f t="shared" si="6"/>
        <v>224.158412</v>
      </c>
      <c r="J22" s="52">
        <f t="shared" si="6"/>
        <v>713.523684</v>
      </c>
      <c r="K22" s="52">
        <f t="shared" si="6"/>
        <v>1374.2063779999999</v>
      </c>
      <c r="L22" s="52">
        <f t="shared" si="6"/>
        <v>463.13516400000003</v>
      </c>
      <c r="M22" s="52">
        <f t="shared" si="6"/>
        <v>2196.9527399999997</v>
      </c>
      <c r="N22" s="52">
        <f t="shared" si="6"/>
        <v>912.42236400000002</v>
      </c>
      <c r="O22" s="52">
        <f t="shared" si="6"/>
        <v>1278.2166440000001</v>
      </c>
      <c r="P22" s="52">
        <f t="shared" si="6"/>
        <v>467.86186800000007</v>
      </c>
      <c r="Q22" s="52">
        <f t="shared" si="6"/>
        <v>3189.8784130000004</v>
      </c>
      <c r="R22" s="52">
        <f t="shared" si="6"/>
        <v>22.9</v>
      </c>
      <c r="S22" s="52">
        <f t="shared" si="6"/>
        <v>2934.1090389999999</v>
      </c>
      <c r="T22" s="52">
        <f t="shared" si="6"/>
        <v>13777.364706000002</v>
      </c>
      <c r="U22" s="52">
        <f t="shared" si="6"/>
        <v>107873.496216</v>
      </c>
    </row>
  </sheetData>
  <autoFilter ref="A6:U19"/>
  <mergeCells count="11">
    <mergeCell ref="A1:U1"/>
    <mergeCell ref="A2:U2"/>
    <mergeCell ref="A4:A6"/>
    <mergeCell ref="B4:B6"/>
    <mergeCell ref="H4:U4"/>
    <mergeCell ref="U5:U6"/>
    <mergeCell ref="A22:B22"/>
    <mergeCell ref="C4:D5"/>
    <mergeCell ref="H5:H6"/>
    <mergeCell ref="I5:T5"/>
    <mergeCell ref="E4:G5"/>
  </mergeCells>
  <pageMargins left="0.2" right="0.2" top="0.39" bottom="0.27" header="0.3" footer="0.2"/>
  <pageSetup paperSize="9" scale="7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948998cdeabfb4e6</MaTinBai>
    <_dlc_DocId xmlns="ae4e42cd-c673-4541-a17d-d353a4125f5e">DDYPFUVZ5X6F-6-4496</_dlc_DocId>
    <_dlc_DocIdUrl xmlns="ae4e42cd-c673-4541-a17d-d353a4125f5e">
      <Url>https://dbdc.backan.gov.vn/_layouts/15/DocIdRedir.aspx?ID=DDYPFUVZ5X6F-6-4496</Url>
      <Description>DDYPFUVZ5X6F-6-4496</Description>
    </_dlc_DocIdUrl>
  </documentManagement>
</p:properties>
</file>

<file path=customXml/itemProps1.xml><?xml version="1.0" encoding="utf-8"?>
<ds:datastoreItem xmlns:ds="http://schemas.openxmlformats.org/officeDocument/2006/customXml" ds:itemID="{643CA2D9-F601-4A33-9AD2-A2BE99C8D3E2}"/>
</file>

<file path=customXml/itemProps2.xml><?xml version="1.0" encoding="utf-8"?>
<ds:datastoreItem xmlns:ds="http://schemas.openxmlformats.org/officeDocument/2006/customXml" ds:itemID="{3006390F-FD03-4430-931D-C4F688C54A7A}"/>
</file>

<file path=customXml/itemProps3.xml><?xml version="1.0" encoding="utf-8"?>
<ds:datastoreItem xmlns:ds="http://schemas.openxmlformats.org/officeDocument/2006/customXml" ds:itemID="{CE3C1D80-96F2-454D-AD18-B594F75C84F0}"/>
</file>

<file path=customXml/itemProps4.xml><?xml version="1.0" encoding="utf-8"?>
<ds:datastoreItem xmlns:ds="http://schemas.openxmlformats.org/officeDocument/2006/customXml" ds:itemID="{7794C620-B42D-4CDA-8EC9-6DB9376072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2021-PN</vt:lpstr>
      <vt:lpstr>2021-BB</vt:lpstr>
      <vt:lpstr>2021-CD</vt:lpstr>
      <vt:lpstr>2021-NR</vt:lpstr>
      <vt:lpstr>2021-CM</vt:lpstr>
      <vt:lpstr>2021-NS</vt:lpstr>
      <vt:lpstr>2021-TP</vt:lpstr>
      <vt:lpstr>2021-BT</vt:lpstr>
      <vt:lpstr>2021-SO</vt:lpstr>
      <vt:lpstr>'2021-BB'!Print_Titles</vt:lpstr>
      <vt:lpstr>'2021-BT'!Print_Titles</vt:lpstr>
      <vt:lpstr>'2021-CD'!Print_Titles</vt:lpstr>
      <vt:lpstr>'2021-CM'!Print_Titles</vt:lpstr>
      <vt:lpstr>'2021-NR'!Print_Titles</vt:lpstr>
      <vt:lpstr>'2021-PN'!Print_Titles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QUỲNH HƯƠNG</dc:creator>
  <cp:lastModifiedBy>Admin</cp:lastModifiedBy>
  <cp:lastPrinted>2022-06-09T11:02:36Z</cp:lastPrinted>
  <dcterms:created xsi:type="dcterms:W3CDTF">2015-06-05T18:17:20Z</dcterms:created>
  <dcterms:modified xsi:type="dcterms:W3CDTF">2022-09-20T08:40:48Z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5db27020-c948-4a6b-93dc-5dde64d9eaec</vt:lpwstr>
  </property>
</Properties>
</file>