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firstSheet="1" activeTab="8"/>
  </bookViews>
  <sheets>
    <sheet name="2020-PN" sheetId="4" r:id="rId1"/>
    <sheet name="2020-BB" sheetId="6" r:id="rId2"/>
    <sheet name="2020-CD" sheetId="7" r:id="rId3"/>
    <sheet name="2020-NR" sheetId="8" r:id="rId4"/>
    <sheet name="2020-CM" sheetId="9" r:id="rId5"/>
    <sheet name="2020-NS" sheetId="10" r:id="rId6"/>
    <sheet name="2020-TP" sheetId="11" r:id="rId7"/>
    <sheet name="2020-BT" sheetId="12" r:id="rId8"/>
    <sheet name="2020-SO" sheetId="13" r:id="rId9"/>
  </sheets>
  <definedNames>
    <definedName name="_xlnm._FilterDatabase" localSheetId="1" hidden="1">'2020-BB'!$A$6:$Z$51</definedName>
    <definedName name="_xlnm._FilterDatabase" localSheetId="7" hidden="1">'2020-BT'!$A$6:$U$55</definedName>
    <definedName name="_xlnm._FilterDatabase" localSheetId="2" hidden="1">'2020-CD'!$A$6:$V$55</definedName>
    <definedName name="_xlnm._FilterDatabase" localSheetId="4" hidden="1">'2020-CM'!$A$6:$U$175</definedName>
    <definedName name="_xlnm._FilterDatabase" localSheetId="3" hidden="1">'2020-NR'!$A$6:$U$218</definedName>
    <definedName name="_xlnm._FilterDatabase" localSheetId="5" hidden="1">'2020-NS'!$A$6:$U$126</definedName>
    <definedName name="_xlnm._FilterDatabase" localSheetId="0" hidden="1">'2020-PN'!$A$6:$U$41</definedName>
    <definedName name="_xlnm._FilterDatabase" localSheetId="8" hidden="1">'2020-SO'!$A$6:$U$19</definedName>
    <definedName name="_xlnm._FilterDatabase" localSheetId="6" hidden="1">'2020-TP'!$A$6:$T$93</definedName>
    <definedName name="_xlnm.Print_Titles" localSheetId="1">'2020-BB'!$4:$6</definedName>
    <definedName name="_xlnm.Print_Titles" localSheetId="7">'2020-BT'!$4:$6</definedName>
    <definedName name="_xlnm.Print_Titles" localSheetId="2">'2020-CD'!$4:$6</definedName>
    <definedName name="_xlnm.Print_Titles" localSheetId="4">'2020-CM'!$4:$6</definedName>
    <definedName name="_xlnm.Print_Titles" localSheetId="3">'2020-NR'!$4:$6</definedName>
    <definedName name="_xlnm.Print_Titles" localSheetId="5">'2020-NS'!$4:$6</definedName>
    <definedName name="_xlnm.Print_Titles" localSheetId="0">'2020-PN'!$4:$6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3"/>
  <c r="G9"/>
  <c r="G10"/>
  <c r="G11"/>
  <c r="G22" s="1"/>
  <c r="G12"/>
  <c r="G13"/>
  <c r="G14"/>
  <c r="G15"/>
  <c r="G16"/>
  <c r="G17"/>
  <c r="G18"/>
  <c r="G19"/>
  <c r="G20"/>
  <c r="G21"/>
  <c r="G7"/>
  <c r="G8" i="12"/>
  <c r="G11"/>
  <c r="G12"/>
  <c r="G14"/>
  <c r="G15"/>
  <c r="G17"/>
  <c r="G19"/>
  <c r="G22"/>
  <c r="G23"/>
  <c r="G24"/>
  <c r="G25"/>
  <c r="G26"/>
  <c r="G36"/>
  <c r="G37"/>
  <c r="G39"/>
  <c r="G40"/>
  <c r="G42"/>
  <c r="G43"/>
  <c r="G45"/>
  <c r="G46"/>
  <c r="G52"/>
  <c r="G53"/>
  <c r="G54"/>
  <c r="G7"/>
  <c r="G29" i="1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7"/>
  <c r="G8" i="10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7"/>
  <c r="G17" i="9"/>
  <c r="G40"/>
  <c r="G8" i="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6"/>
  <c r="G47"/>
  <c r="G48"/>
  <c r="G7"/>
  <c r="G41" i="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7"/>
  <c r="G52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7"/>
  <c r="G55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7"/>
  <c r="F52" i="6"/>
  <c r="T7" l="1"/>
  <c r="S16" i="13"/>
  <c r="Q16"/>
  <c r="P16"/>
  <c r="O16"/>
  <c r="M16"/>
  <c r="K16"/>
  <c r="J16"/>
  <c r="H16"/>
  <c r="U7" i="6" l="1"/>
  <c r="H51" i="12"/>
  <c r="E51" s="1"/>
  <c r="H50"/>
  <c r="E50" s="1"/>
  <c r="E49"/>
  <c r="E48"/>
  <c r="S47"/>
  <c r="R47"/>
  <c r="Q47"/>
  <c r="P47"/>
  <c r="O47"/>
  <c r="N47"/>
  <c r="M47"/>
  <c r="L47"/>
  <c r="K47"/>
  <c r="J47"/>
  <c r="I47"/>
  <c r="H47"/>
  <c r="D47"/>
  <c r="C47"/>
  <c r="I46"/>
  <c r="I45"/>
  <c r="S44"/>
  <c r="R44"/>
  <c r="Q44"/>
  <c r="P44"/>
  <c r="O44"/>
  <c r="N44"/>
  <c r="M44"/>
  <c r="L44"/>
  <c r="K44"/>
  <c r="J44"/>
  <c r="H44"/>
  <c r="F44"/>
  <c r="E44"/>
  <c r="G44" s="1"/>
  <c r="D44"/>
  <c r="C44"/>
  <c r="H43"/>
  <c r="H42"/>
  <c r="S41"/>
  <c r="R41"/>
  <c r="Q41"/>
  <c r="P41"/>
  <c r="O41"/>
  <c r="N41"/>
  <c r="M41"/>
  <c r="L41"/>
  <c r="K41"/>
  <c r="J41"/>
  <c r="I41"/>
  <c r="F41"/>
  <c r="E41"/>
  <c r="D41"/>
  <c r="C41"/>
  <c r="S38"/>
  <c r="R38"/>
  <c r="Q38"/>
  <c r="P38"/>
  <c r="O38"/>
  <c r="N38"/>
  <c r="M38"/>
  <c r="L38"/>
  <c r="K38"/>
  <c r="J38"/>
  <c r="I38"/>
  <c r="H38"/>
  <c r="F38"/>
  <c r="E38"/>
  <c r="D38"/>
  <c r="C38"/>
  <c r="S35"/>
  <c r="R35"/>
  <c r="Q35"/>
  <c r="P35"/>
  <c r="O35"/>
  <c r="N35"/>
  <c r="M35"/>
  <c r="L35"/>
  <c r="K35"/>
  <c r="J35"/>
  <c r="I35"/>
  <c r="H35"/>
  <c r="F35"/>
  <c r="E35"/>
  <c r="D35"/>
  <c r="D55" s="1"/>
  <c r="C35"/>
  <c r="F34"/>
  <c r="G34" s="1"/>
  <c r="F33"/>
  <c r="G33" s="1"/>
  <c r="S32"/>
  <c r="R32"/>
  <c r="Q32"/>
  <c r="P32"/>
  <c r="O32"/>
  <c r="N32"/>
  <c r="M32"/>
  <c r="L32"/>
  <c r="K32"/>
  <c r="J32"/>
  <c r="I32"/>
  <c r="H32"/>
  <c r="E32"/>
  <c r="D32"/>
  <c r="C32"/>
  <c r="E31"/>
  <c r="G31" s="1"/>
  <c r="S29"/>
  <c r="R29"/>
  <c r="Q29"/>
  <c r="Q55" s="1"/>
  <c r="P29"/>
  <c r="O29"/>
  <c r="O55" s="1"/>
  <c r="N29"/>
  <c r="M29"/>
  <c r="M55" s="1"/>
  <c r="L29"/>
  <c r="K29"/>
  <c r="K55" s="1"/>
  <c r="J29"/>
  <c r="I29"/>
  <c r="H29"/>
  <c r="E29"/>
  <c r="D29"/>
  <c r="C29"/>
  <c r="C55" s="1"/>
  <c r="O28"/>
  <c r="I28"/>
  <c r="H28"/>
  <c r="E28"/>
  <c r="Q27"/>
  <c r="N27"/>
  <c r="N55" s="1"/>
  <c r="K27"/>
  <c r="H27"/>
  <c r="E27" s="1"/>
  <c r="S25"/>
  <c r="H25"/>
  <c r="H23"/>
  <c r="H21"/>
  <c r="F21"/>
  <c r="G21" s="1"/>
  <c r="P20"/>
  <c r="F20"/>
  <c r="G20" s="1"/>
  <c r="I19"/>
  <c r="H19"/>
  <c r="H18"/>
  <c r="F18"/>
  <c r="E18"/>
  <c r="G18" s="1"/>
  <c r="E16"/>
  <c r="E10"/>
  <c r="E9"/>
  <c r="G35" l="1"/>
  <c r="G38"/>
  <c r="G41"/>
  <c r="E47"/>
  <c r="S55"/>
  <c r="P55"/>
  <c r="J55"/>
  <c r="L55"/>
  <c r="R55"/>
  <c r="H41"/>
  <c r="H55" s="1"/>
  <c r="I44"/>
  <c r="I55" s="1"/>
  <c r="F27"/>
  <c r="G27" s="1"/>
  <c r="F32"/>
  <c r="G32" s="1"/>
  <c r="T10" i="13"/>
  <c r="T11"/>
  <c r="T12"/>
  <c r="U12" s="1"/>
  <c r="T14"/>
  <c r="E55" i="12" l="1"/>
  <c r="S18" i="13"/>
  <c r="Q18"/>
  <c r="M18"/>
  <c r="L18"/>
  <c r="K18"/>
  <c r="J18"/>
  <c r="H18"/>
  <c r="F18"/>
  <c r="E18"/>
  <c r="T18" l="1"/>
  <c r="U18" s="1"/>
  <c r="T19"/>
  <c r="U19" s="1"/>
  <c r="S21"/>
  <c r="Q21"/>
  <c r="N21"/>
  <c r="H21"/>
  <c r="F21"/>
  <c r="E21"/>
  <c r="T21" l="1"/>
  <c r="U21" s="1"/>
  <c r="T17"/>
  <c r="U17" s="1"/>
  <c r="T8" l="1"/>
  <c r="U8" s="1"/>
  <c r="T9"/>
  <c r="U9" l="1"/>
  <c r="U14"/>
  <c r="E14" s="1"/>
  <c r="D22" l="1"/>
  <c r="I22"/>
  <c r="N22"/>
  <c r="O22"/>
  <c r="P22"/>
  <c r="R22"/>
  <c r="C22"/>
  <c r="T48" i="8"/>
  <c r="T47"/>
  <c r="T46"/>
  <c r="T45"/>
  <c r="E45"/>
  <c r="G45" s="1"/>
  <c r="T44"/>
  <c r="T43"/>
  <c r="T42"/>
  <c r="T41"/>
  <c r="E41"/>
  <c r="G41" s="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S7"/>
  <c r="P7"/>
  <c r="G49" l="1"/>
  <c r="T7"/>
  <c r="T51" i="6"/>
  <c r="U51" s="1"/>
  <c r="T50"/>
  <c r="U50" s="1"/>
  <c r="S49"/>
  <c r="Q49"/>
  <c r="H49"/>
  <c r="T48"/>
  <c r="U48" s="1"/>
  <c r="T47"/>
  <c r="U47" s="1"/>
  <c r="S46"/>
  <c r="T46" s="1"/>
  <c r="H46"/>
  <c r="T45"/>
  <c r="U45" s="1"/>
  <c r="T44"/>
  <c r="U44" s="1"/>
  <c r="T43"/>
  <c r="U43" s="1"/>
  <c r="T42"/>
  <c r="U42" s="1"/>
  <c r="T41"/>
  <c r="U41" s="1"/>
  <c r="T40"/>
  <c r="U40" s="1"/>
  <c r="T39"/>
  <c r="U39" s="1"/>
  <c r="H39"/>
  <c r="T38"/>
  <c r="U38" s="1"/>
  <c r="T37"/>
  <c r="U37" s="1"/>
  <c r="T36"/>
  <c r="U36" s="1"/>
  <c r="T35"/>
  <c r="U35" s="1"/>
  <c r="S34"/>
  <c r="T34" s="1"/>
  <c r="H34"/>
  <c r="T33"/>
  <c r="U33" s="1"/>
  <c r="T32"/>
  <c r="U32" s="1"/>
  <c r="T31"/>
  <c r="H3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S19"/>
  <c r="T19" s="1"/>
  <c r="H19"/>
  <c r="T18"/>
  <c r="U18" s="1"/>
  <c r="T17"/>
  <c r="U17" s="1"/>
  <c r="Q16"/>
  <c r="K16"/>
  <c r="H16"/>
  <c r="T15"/>
  <c r="U15" s="1"/>
  <c r="T14"/>
  <c r="U14" s="1"/>
  <c r="T13"/>
  <c r="U13" s="1"/>
  <c r="T12"/>
  <c r="U12" s="1"/>
  <c r="T11"/>
  <c r="U11" s="1"/>
  <c r="T10"/>
  <c r="U10" s="1"/>
  <c r="T9"/>
  <c r="U9" s="1"/>
  <c r="T8"/>
  <c r="U8" l="1"/>
  <c r="U31"/>
  <c r="U19"/>
  <c r="U34"/>
  <c r="U46"/>
  <c r="T16"/>
  <c r="U16" s="1"/>
  <c r="T49"/>
  <c r="U49" s="1"/>
  <c r="T52" l="1"/>
  <c r="U52"/>
  <c r="F49" i="9" l="1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39"/>
  <c r="G39" s="1"/>
  <c r="F38"/>
  <c r="G38" s="1"/>
  <c r="F37"/>
  <c r="G37" s="1"/>
  <c r="F36"/>
  <c r="G36" s="1"/>
  <c r="P35"/>
  <c r="H35"/>
  <c r="F35"/>
  <c r="G35" s="1"/>
  <c r="F34"/>
  <c r="G34" s="1"/>
  <c r="S33"/>
  <c r="F33"/>
  <c r="G33" s="1"/>
  <c r="F32"/>
  <c r="G32" s="1"/>
  <c r="F31"/>
  <c r="G31" s="1"/>
  <c r="F30"/>
  <c r="G30" s="1"/>
  <c r="F29"/>
  <c r="G29" s="1"/>
  <c r="S28"/>
  <c r="F28"/>
  <c r="G28" s="1"/>
  <c r="F27"/>
  <c r="G27" s="1"/>
  <c r="F26"/>
  <c r="G26" s="1"/>
  <c r="F25"/>
  <c r="G25" s="1"/>
  <c r="I24"/>
  <c r="F24"/>
  <c r="G24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G50" s="1"/>
  <c r="F54" i="7" l="1"/>
  <c r="F53"/>
  <c r="F52"/>
  <c r="F51"/>
  <c r="F50"/>
  <c r="F49"/>
  <c r="F48"/>
  <c r="S47"/>
  <c r="Q47"/>
  <c r="P47"/>
  <c r="O47"/>
  <c r="M47"/>
  <c r="L47"/>
  <c r="K47"/>
  <c r="J47"/>
  <c r="H47"/>
  <c r="C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Q27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41" i="4" l="1"/>
  <c r="E41"/>
  <c r="F41"/>
  <c r="H41"/>
  <c r="I41"/>
  <c r="J41"/>
  <c r="K41"/>
  <c r="L41"/>
  <c r="M41"/>
  <c r="N41"/>
  <c r="O41"/>
  <c r="P41"/>
  <c r="Q41"/>
  <c r="R41"/>
  <c r="S41"/>
  <c r="C4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/>
  <c r="T7"/>
  <c r="T8" i="7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/>
  <c r="T39"/>
  <c r="T40"/>
  <c r="U40" s="1"/>
  <c r="T41"/>
  <c r="T42"/>
  <c r="U42" s="1"/>
  <c r="T43"/>
  <c r="T44"/>
  <c r="U44" s="1"/>
  <c r="T45"/>
  <c r="T46"/>
  <c r="U46" s="1"/>
  <c r="T47"/>
  <c r="T48"/>
  <c r="U48" s="1"/>
  <c r="T49"/>
  <c r="T50"/>
  <c r="U50" s="1"/>
  <c r="T51"/>
  <c r="T52"/>
  <c r="U52" s="1"/>
  <c r="T53"/>
  <c r="T54"/>
  <c r="U54" s="1"/>
  <c r="T7"/>
  <c r="U7" s="1"/>
  <c r="U8" i="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T8" i="9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T22"/>
  <c r="U22" s="1"/>
  <c r="T23"/>
  <c r="U23" s="1"/>
  <c r="T25"/>
  <c r="U25" s="1"/>
  <c r="T26"/>
  <c r="U26" s="1"/>
  <c r="T27"/>
  <c r="U27" s="1"/>
  <c r="T29"/>
  <c r="U29" s="1"/>
  <c r="T30"/>
  <c r="U30" s="1"/>
  <c r="T31"/>
  <c r="U31" s="1"/>
  <c r="T32"/>
  <c r="U32" s="1"/>
  <c r="T34"/>
  <c r="U34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7"/>
  <c r="U7" s="1"/>
  <c r="T8" i="10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7"/>
  <c r="Q29" i="11"/>
  <c r="P29"/>
  <c r="O29"/>
  <c r="N29"/>
  <c r="M29"/>
  <c r="L29"/>
  <c r="K29"/>
  <c r="I29"/>
  <c r="D29"/>
  <c r="C29"/>
  <c r="R28"/>
  <c r="S28" s="1"/>
  <c r="H28"/>
  <c r="F28"/>
  <c r="E28"/>
  <c r="S27"/>
  <c r="H27"/>
  <c r="E27"/>
  <c r="S26"/>
  <c r="T26" s="1"/>
  <c r="E26"/>
  <c r="S25"/>
  <c r="H25"/>
  <c r="F25"/>
  <c r="E25"/>
  <c r="R24"/>
  <c r="S24" s="1"/>
  <c r="E24"/>
  <c r="R23"/>
  <c r="S23" s="1"/>
  <c r="T23" s="1"/>
  <c r="F23"/>
  <c r="E23"/>
  <c r="R22"/>
  <c r="S22" s="1"/>
  <c r="H22"/>
  <c r="E22"/>
  <c r="R21"/>
  <c r="S21" s="1"/>
  <c r="E21"/>
  <c r="R20"/>
  <c r="S20" s="1"/>
  <c r="T20" s="1"/>
  <c r="F20"/>
  <c r="E20"/>
  <c r="S19"/>
  <c r="H19"/>
  <c r="E19"/>
  <c r="R18"/>
  <c r="S18" s="1"/>
  <c r="F18"/>
  <c r="E18"/>
  <c r="R17"/>
  <c r="S17" s="1"/>
  <c r="E17"/>
  <c r="S16"/>
  <c r="H16"/>
  <c r="E16"/>
  <c r="R15"/>
  <c r="S15" s="1"/>
  <c r="F15"/>
  <c r="E15"/>
  <c r="R14"/>
  <c r="S14" s="1"/>
  <c r="H14"/>
  <c r="F14"/>
  <c r="E14"/>
  <c r="R13"/>
  <c r="S13" s="1"/>
  <c r="E13"/>
  <c r="R12"/>
  <c r="J12"/>
  <c r="J29" s="1"/>
  <c r="F12"/>
  <c r="E12"/>
  <c r="S11"/>
  <c r="H11"/>
  <c r="F11"/>
  <c r="R10"/>
  <c r="S10" s="1"/>
  <c r="T10" s="1"/>
  <c r="F10"/>
  <c r="E10"/>
  <c r="R9"/>
  <c r="S9" s="1"/>
  <c r="E9"/>
  <c r="S8"/>
  <c r="H8"/>
  <c r="F8"/>
  <c r="E8"/>
  <c r="R7"/>
  <c r="S7" s="1"/>
  <c r="E7"/>
  <c r="E29" l="1"/>
  <c r="H29"/>
  <c r="T11"/>
  <c r="T14"/>
  <c r="R29"/>
  <c r="T28"/>
  <c r="T41" i="4"/>
  <c r="U7" i="8"/>
  <c r="U7" i="10"/>
  <c r="T27" i="11"/>
  <c r="T16"/>
  <c r="T19"/>
  <c r="T25"/>
  <c r="T7"/>
  <c r="U7" i="4"/>
  <c r="U41" s="1"/>
  <c r="U53" i="7"/>
  <c r="U49"/>
  <c r="U45"/>
  <c r="U41"/>
  <c r="U51"/>
  <c r="U47"/>
  <c r="U43"/>
  <c r="U39"/>
  <c r="T9" i="11"/>
  <c r="T15"/>
  <c r="T18"/>
  <c r="T22"/>
  <c r="T8"/>
  <c r="S12"/>
  <c r="T12" s="1"/>
  <c r="F29"/>
  <c r="S29"/>
  <c r="T13"/>
  <c r="T17"/>
  <c r="T21"/>
  <c r="T24"/>
  <c r="T29" l="1"/>
  <c r="T8" i="12" l="1"/>
  <c r="U8" s="1"/>
  <c r="T9"/>
  <c r="T10"/>
  <c r="F10" s="1"/>
  <c r="G10" s="1"/>
  <c r="T11"/>
  <c r="U11" s="1"/>
  <c r="T12"/>
  <c r="U12" s="1"/>
  <c r="T13"/>
  <c r="T14"/>
  <c r="U14" s="1"/>
  <c r="T15"/>
  <c r="U15" s="1"/>
  <c r="T16"/>
  <c r="F16" s="1"/>
  <c r="G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F28" s="1"/>
  <c r="G28" s="1"/>
  <c r="T29"/>
  <c r="U29" s="1"/>
  <c r="T30"/>
  <c r="F30" s="1"/>
  <c r="G30" s="1"/>
  <c r="T31"/>
  <c r="U31" s="1"/>
  <c r="T32"/>
  <c r="U32" s="1"/>
  <c r="T33"/>
  <c r="U33" s="1"/>
  <c r="T34"/>
  <c r="U34"/>
  <c r="T35"/>
  <c r="U35" s="1"/>
  <c r="T36"/>
  <c r="U36" s="1"/>
  <c r="T37"/>
  <c r="U37" s="1"/>
  <c r="T38"/>
  <c r="U38" s="1"/>
  <c r="T39"/>
  <c r="T40"/>
  <c r="U40" s="1"/>
  <c r="T41"/>
  <c r="T42"/>
  <c r="U42" s="1"/>
  <c r="T43"/>
  <c r="T44"/>
  <c r="U44" s="1"/>
  <c r="T45"/>
  <c r="T46"/>
  <c r="U46" s="1"/>
  <c r="T47"/>
  <c r="T48"/>
  <c r="F48" s="1"/>
  <c r="G48" s="1"/>
  <c r="T49"/>
  <c r="F49" s="1"/>
  <c r="G49" s="1"/>
  <c r="T50"/>
  <c r="F50" s="1"/>
  <c r="G50" s="1"/>
  <c r="T51"/>
  <c r="F51" s="1"/>
  <c r="G51" s="1"/>
  <c r="T52"/>
  <c r="U52" s="1"/>
  <c r="T53"/>
  <c r="T54"/>
  <c r="U54" s="1"/>
  <c r="T7"/>
  <c r="T55" s="1"/>
  <c r="T7" i="13"/>
  <c r="U11"/>
  <c r="T16"/>
  <c r="U16" s="1"/>
  <c r="U50" i="12" l="1"/>
  <c r="U10"/>
  <c r="U30"/>
  <c r="U7"/>
  <c r="U48"/>
  <c r="U28"/>
  <c r="U16"/>
  <c r="F47"/>
  <c r="G47" s="1"/>
  <c r="F29"/>
  <c r="G29" s="1"/>
  <c r="U13"/>
  <c r="F13"/>
  <c r="G13" s="1"/>
  <c r="U9"/>
  <c r="F9"/>
  <c r="G9" s="1"/>
  <c r="U10" i="13"/>
  <c r="U7"/>
  <c r="U51" i="12"/>
  <c r="U47"/>
  <c r="U43"/>
  <c r="U39"/>
  <c r="U53"/>
  <c r="U49"/>
  <c r="U45"/>
  <c r="U41"/>
  <c r="G55" l="1"/>
  <c r="U55"/>
  <c r="F55"/>
  <c r="S22" i="13" l="1"/>
  <c r="M22"/>
  <c r="L22"/>
  <c r="K22"/>
  <c r="F22" l="1"/>
  <c r="J22"/>
  <c r="E22"/>
  <c r="Q20"/>
  <c r="T20" s="1"/>
  <c r="H20"/>
  <c r="T22" l="1"/>
  <c r="Q22"/>
  <c r="U20"/>
  <c r="U22" s="1"/>
  <c r="H22"/>
  <c r="R49" i="8"/>
  <c r="Q49"/>
  <c r="O49"/>
  <c r="N49"/>
  <c r="M49"/>
  <c r="L49"/>
  <c r="K49"/>
  <c r="J49"/>
  <c r="I49"/>
  <c r="H49"/>
  <c r="F49"/>
  <c r="D49"/>
  <c r="C49"/>
  <c r="S49"/>
  <c r="P49" l="1"/>
  <c r="E49"/>
  <c r="U49" l="1"/>
  <c r="T49"/>
  <c r="R55" i="7" l="1"/>
  <c r="N55"/>
  <c r="L55"/>
  <c r="J55"/>
  <c r="I55"/>
  <c r="E55"/>
  <c r="D55"/>
  <c r="C55"/>
  <c r="S55"/>
  <c r="P55"/>
  <c r="O55"/>
  <c r="M55"/>
  <c r="K55"/>
  <c r="Q55"/>
  <c r="F55"/>
  <c r="H55" l="1"/>
  <c r="U55" l="1"/>
  <c r="T55"/>
  <c r="Q52" i="6" l="1"/>
  <c r="O52"/>
  <c r="N52"/>
  <c r="M52"/>
  <c r="L52"/>
  <c r="K52"/>
  <c r="I52"/>
  <c r="H52"/>
  <c r="E52"/>
  <c r="D52"/>
  <c r="C52"/>
  <c r="R52"/>
  <c r="P52"/>
  <c r="J52"/>
  <c r="S52" l="1"/>
  <c r="C50" i="9" l="1"/>
  <c r="R50"/>
  <c r="N50"/>
  <c r="D50"/>
  <c r="Q50"/>
  <c r="O50"/>
  <c r="M50"/>
  <c r="L50"/>
  <c r="K50"/>
  <c r="J50"/>
  <c r="T35"/>
  <c r="T33"/>
  <c r="U33" s="1"/>
  <c r="T28"/>
  <c r="U28" s="1"/>
  <c r="T24"/>
  <c r="U24" s="1"/>
  <c r="U21" l="1"/>
  <c r="U35"/>
  <c r="H50"/>
  <c r="P50"/>
  <c r="S50"/>
  <c r="I50"/>
  <c r="U50" l="1"/>
  <c r="T50"/>
  <c r="F50"/>
  <c r="E50"/>
</calcChain>
</file>

<file path=xl/sharedStrings.xml><?xml version="1.0" encoding="utf-8"?>
<sst xmlns="http://schemas.openxmlformats.org/spreadsheetml/2006/main" count="608" uniqueCount="359">
  <si>
    <t>STT</t>
  </si>
  <si>
    <t>Biên chế, HĐ 68</t>
  </si>
  <si>
    <t>Số được giao</t>
  </si>
  <si>
    <t>Số có mặt</t>
  </si>
  <si>
    <t>Kinh phí được giao thực hiện tự chủ</t>
  </si>
  <si>
    <t>Kinh phí đã sử dụng</t>
  </si>
  <si>
    <t>Chi lương, phụ cấp và các khoản đóng góp theo lương</t>
  </si>
  <si>
    <t>Chi thanh toán hàng hoá dịch vụ</t>
  </si>
  <si>
    <t>Chi thanh toán dịch vụ công cộng</t>
  </si>
  <si>
    <t>Chi văn phòng phẩm</t>
  </si>
  <si>
    <t>Chi thông tin tuyên tuyền liên lạc</t>
  </si>
  <si>
    <t>Chi công tác phí</t>
  </si>
  <si>
    <t>Chi thuê mướn</t>
  </si>
  <si>
    <t>Sửa chữa, duy trì tài sản phục vụ chuyên môn</t>
  </si>
  <si>
    <t>Mua sắm tài sản phục vụ chuyên môn</t>
  </si>
  <si>
    <t>Chi phí nghiệp vụ chuyên môn</t>
  </si>
  <si>
    <t>Chi khác</t>
  </si>
  <si>
    <t>Chi cho công tác đào tạo bồi dưỡng</t>
  </si>
  <si>
    <t>Đơn vị</t>
  </si>
  <si>
    <t>Tổng cộng</t>
  </si>
  <si>
    <t>Đơn vị tính: Triệu đồng</t>
  </si>
  <si>
    <t>THCS Phương Viên</t>
  </si>
  <si>
    <t>THCS Thị trấn Bằng Lũng</t>
  </si>
  <si>
    <t>THCS Hoàng Văn Thụ</t>
  </si>
  <si>
    <t>THCS Đồng Lạc</t>
  </si>
  <si>
    <t>THCS Nam Cường</t>
  </si>
  <si>
    <t>Bán Trú THCS Xuân Lạc</t>
  </si>
  <si>
    <t>THCS Yên Thịnh</t>
  </si>
  <si>
    <t>PTDT Nội trú</t>
  </si>
  <si>
    <t>TH&amp;THCS Bằng Phúc</t>
  </si>
  <si>
    <t>TH&amp;THCS Đồng Thắng</t>
  </si>
  <si>
    <t>TH&amp;THCS Đại Sảo</t>
  </si>
  <si>
    <t>TH&amp;THCS Yên Mỹ</t>
  </si>
  <si>
    <t>TH&amp;THCS Yên Phong</t>
  </si>
  <si>
    <t>TH&amp;THCS Nghĩa Tá</t>
  </si>
  <si>
    <t>TH&amp;THCS Lương Bằng</t>
  </si>
  <si>
    <t xml:space="preserve"> </t>
  </si>
  <si>
    <t>0</t>
  </si>
  <si>
    <t>THPT Phủ Thông</t>
  </si>
  <si>
    <t>TH và THCS Nà Khoang</t>
  </si>
  <si>
    <t>TPTDTBT THCS Cốc Đán</t>
  </si>
  <si>
    <t xml:space="preserve">THCS Bằng Vân </t>
  </si>
  <si>
    <t xml:space="preserve">THCS  Vân Tùng </t>
  </si>
  <si>
    <t>TH- THCS  Nà Khoang</t>
  </si>
  <si>
    <t>PT Dân tộc nội trú</t>
  </si>
  <si>
    <t>THCS Xuất Hóa</t>
  </si>
  <si>
    <t>THCS Nông Thượng</t>
  </si>
  <si>
    <t>THCS Huyền Tụng</t>
  </si>
  <si>
    <t xml:space="preserve">THCS Đức Xuân </t>
  </si>
  <si>
    <t>THCS Bắc Kạn</t>
  </si>
  <si>
    <t>THCS Dương Quang</t>
  </si>
  <si>
    <t>THPT Bắc Kạn</t>
  </si>
  <si>
    <t>THPT Chuyên Bắc Kạn</t>
  </si>
  <si>
    <t>THPT Chợ Đồn</t>
  </si>
  <si>
    <t>THCS và THPT Nà Phặc</t>
  </si>
  <si>
    <t xml:space="preserve">THPT Ngân Sơn </t>
  </si>
  <si>
    <t>PTDT Nội trú Bắc Kạn</t>
  </si>
  <si>
    <t>THPT Quảng Khê</t>
  </si>
  <si>
    <t>THPT Chợ Mới</t>
  </si>
  <si>
    <t>THPT Yên Hân</t>
  </si>
  <si>
    <t>Tiểu học Cao Tân</t>
  </si>
  <si>
    <t>Tiểu học Cổ Linh</t>
  </si>
  <si>
    <t>TH&amp;THCS Giáo Hiệu ( TH)</t>
  </si>
  <si>
    <t>Tiểu học Bộc Bố</t>
  </si>
  <si>
    <t>PTDTBT TH&amp;THCS Nhạn Môn (TH)</t>
  </si>
  <si>
    <t>Tiểu học Bằng Thành I</t>
  </si>
  <si>
    <t>Tiểu học Xuân La</t>
  </si>
  <si>
    <t>Tiểu học Nghiên Loan I</t>
  </si>
  <si>
    <t>Tiểu học Nghiên Loan II</t>
  </si>
  <si>
    <t>PTDTBT THCS Cao Tân</t>
  </si>
  <si>
    <t>PTDTBT THCS Cổ Linh</t>
  </si>
  <si>
    <t>PTDTBT THCS Công Bằng</t>
  </si>
  <si>
    <t>THCS Bộc Bố</t>
  </si>
  <si>
    <t>PTDTBT TH&amp;THCS Nhạn Môn (THCS)</t>
  </si>
  <si>
    <t>PTDTBT THCS Bằng Thành</t>
  </si>
  <si>
    <t>PTDTBT THCS Xuân La</t>
  </si>
  <si>
    <t>PTDTBT THCS Nghiên Loan</t>
  </si>
  <si>
    <t>TH&amp;THCS An Thắng (THCS)</t>
  </si>
  <si>
    <t>PTDT Nội trú Pác Nặm</t>
  </si>
  <si>
    <t>Mầm non Bành Trạch</t>
  </si>
  <si>
    <t xml:space="preserve">Mầm non Cao Thượng </t>
  </si>
  <si>
    <t>Mầm non Chu Hương</t>
  </si>
  <si>
    <t>Mầm non Địa Linh</t>
  </si>
  <si>
    <t>Mầm non Đồng Phúc</t>
  </si>
  <si>
    <t>Mầm non Hà Hiệu</t>
  </si>
  <si>
    <t>Mầm non Hoàng Trĩ</t>
  </si>
  <si>
    <t>Mầm non Khang Ninh</t>
  </si>
  <si>
    <t>Mầm non Mỹ Phương</t>
  </si>
  <si>
    <t xml:space="preserve">Mầm non Nam Mẫu </t>
  </si>
  <si>
    <t>Mầm non Phúc Lộc</t>
  </si>
  <si>
    <t>Mầm non Quảng Khê</t>
  </si>
  <si>
    <t xml:space="preserve">Mầm non TT Chợ Rã </t>
  </si>
  <si>
    <t>Mầm non Thượng Giáo</t>
  </si>
  <si>
    <t>Mầm non Yến Dương</t>
  </si>
  <si>
    <t>Tiểu học Bành Trạch</t>
  </si>
  <si>
    <t xml:space="preserve">Tiểu học Cao Thượng </t>
  </si>
  <si>
    <t>Tiểu học Chu Hương</t>
  </si>
  <si>
    <t>Tiểu học Địa Linh</t>
  </si>
  <si>
    <t>Tiểu học Đồng Phúc</t>
  </si>
  <si>
    <t>Tiểu học Hà Hiệu</t>
  </si>
  <si>
    <t>TH&amp;THCS Hoàng Trĩ (TH)</t>
  </si>
  <si>
    <t>Tiểu học Khang Ninh</t>
  </si>
  <si>
    <t>Tiểu học Mỹ Phương</t>
  </si>
  <si>
    <t>TH&amp;THCS Nam Mẫu (TH)</t>
  </si>
  <si>
    <t>PTDTBT Tiểu học Phúc Lộc</t>
  </si>
  <si>
    <t>Tiểu học Quảng Khê</t>
  </si>
  <si>
    <t xml:space="preserve">Tiểu học Thị trấn Chợ Rã </t>
  </si>
  <si>
    <t>Tiểu học Thượng Giáo</t>
  </si>
  <si>
    <t>Tiểu học Yến Dương</t>
  </si>
  <si>
    <t>THCS Bành Trạch</t>
  </si>
  <si>
    <t xml:space="preserve">PTDTBT THCS Cao Thượng </t>
  </si>
  <si>
    <t>THCS Chu Hương</t>
  </si>
  <si>
    <t>THCS Địa Linh</t>
  </si>
  <si>
    <t>THCS Đồng Phúc</t>
  </si>
  <si>
    <t>THCS Hà Hiệu</t>
  </si>
  <si>
    <t>TH&amp;THCS Hoàng Trĩ (THCS)</t>
  </si>
  <si>
    <t>THCS Khang Ninh</t>
  </si>
  <si>
    <t>THCS Mỹ Phương</t>
  </si>
  <si>
    <t>TH&amp;THCS Nam Mẫu (THCS)</t>
  </si>
  <si>
    <t>THCS Phúc Lộc</t>
  </si>
  <si>
    <t>PTDT Nội trú Ba Bể</t>
  </si>
  <si>
    <t xml:space="preserve">THCS Thị trấn Chợ Rã </t>
  </si>
  <si>
    <t>THCS Thượng Giáo</t>
  </si>
  <si>
    <t>THCS Yến Dương</t>
  </si>
  <si>
    <t>PTDTBT Tiểu học Đổng Xá</t>
  </si>
  <si>
    <t>Tiểu học Trần Phú</t>
  </si>
  <si>
    <t>Tiểu học Yến Lạc</t>
  </si>
  <si>
    <t>PTDTBT Tiểu học Văn Vũ</t>
  </si>
  <si>
    <t>PTDTBT THCS Đổng Xá</t>
  </si>
  <si>
    <t xml:space="preserve"> THCS Trần Phú</t>
  </si>
  <si>
    <t xml:space="preserve"> THCS Yến Lạc</t>
  </si>
  <si>
    <t>PTDTBT THCS Văn Vũ</t>
  </si>
  <si>
    <t>PTDT Nội Trú</t>
  </si>
  <si>
    <t>TH&amp;THCS Liêm Thủy</t>
  </si>
  <si>
    <t>TH&amp;THCS Xuân Dương</t>
  </si>
  <si>
    <t>TH&amp;THCS Dương Sơn</t>
  </si>
  <si>
    <t>TH&amp;THCS Côn Minh</t>
  </si>
  <si>
    <t>TH&amp;THCS Quang Phong</t>
  </si>
  <si>
    <t>TH&amp;THCS Cư Lễ</t>
  </si>
  <si>
    <t>TH&amp;THCS Lam Sơn</t>
  </si>
  <si>
    <t>TH&amp;THCS Kim Lư</t>
  </si>
  <si>
    <t>TH&amp;THCS Cường Lợi</t>
  </si>
  <si>
    <t>TH&amp;THCS Văn Minh</t>
  </si>
  <si>
    <t>TH&amp;THCS Lương Thành</t>
  </si>
  <si>
    <t>TH&amp;THCS Lạng San</t>
  </si>
  <si>
    <t>TH&amp;THCS Lương Thượng</t>
  </si>
  <si>
    <t>PTDTBT TH&amp;THCS Kim Hỷ</t>
  </si>
  <si>
    <t>TH&amp;THCS Ân Tình</t>
  </si>
  <si>
    <t>TH&amp;THCS Thanh Bình (TH)</t>
  </si>
  <si>
    <t>TH&amp;THCS Thanh Mai(TH)</t>
  </si>
  <si>
    <t>TH&amp;THCS Tân Sơn (TH)</t>
  </si>
  <si>
    <t>TH&amp;THCS Mai Lạp (TH)</t>
  </si>
  <si>
    <t>PTDT NT THCS Chợ Mới</t>
  </si>
  <si>
    <t>THCS Nông Hạ</t>
  </si>
  <si>
    <t>THCS Cao Kỳ</t>
  </si>
  <si>
    <t>THCS Chợ Mới</t>
  </si>
  <si>
    <t>THCS Như Cố</t>
  </si>
  <si>
    <t>THCS Quảng Chu</t>
  </si>
  <si>
    <t>TH&amp;THCS Thanh Bình (THCS)</t>
  </si>
  <si>
    <t>TH&amp;THCS Thanh Mai (THCS)</t>
  </si>
  <si>
    <t xml:space="preserve"> TH&amp;THCS Tân Sơn (THCS)</t>
  </si>
  <si>
    <t>TH&amp;THCS Mai Lạp (THCS)</t>
  </si>
  <si>
    <t>THPT Bình Trung</t>
  </si>
  <si>
    <t>THPT Bộc Bố</t>
  </si>
  <si>
    <t>THPT Na Rì</t>
  </si>
  <si>
    <t>PTDTBT TH&amp;THCS Giáo Hiệu (THCS)</t>
  </si>
  <si>
    <t>Tiểu học (072)</t>
  </si>
  <si>
    <t>THCS (073)</t>
  </si>
  <si>
    <t>TH&amp;THCS Hà Vị</t>
  </si>
  <si>
    <t>THCS Quân Hà</t>
  </si>
  <si>
    <t>TH&amp;THCS Vũ Muộn</t>
  </si>
  <si>
    <t>TH&amp;THCS Sỹ Bình</t>
  </si>
  <si>
    <t>TH&amp;THCS Mỹ Thanh</t>
  </si>
  <si>
    <t>TH&amp;THCS Dương Phong</t>
  </si>
  <si>
    <t>TH&amp;THCS Quang Thuận</t>
  </si>
  <si>
    <t xml:space="preserve">TH&amp;THCS Vi Hương </t>
  </si>
  <si>
    <t>THCS Cẩm Giàng</t>
  </si>
  <si>
    <t>THCS Đôn Phong</t>
  </si>
  <si>
    <t>THCS phủ Thông</t>
  </si>
  <si>
    <t>Tiều học Tân Tiến</t>
  </si>
  <si>
    <t>TH&amp;THCS Cao Sơn</t>
  </si>
  <si>
    <t>THPT Ba Bể</t>
  </si>
  <si>
    <t>TT GDTEKT tỉnh Bắc Kạn</t>
  </si>
  <si>
    <t>Chi phục vụ hoạt động</t>
  </si>
  <si>
    <t>KP chi trả lương</t>
  </si>
  <si>
    <t>KP chi phục vụ hoạt động</t>
  </si>
  <si>
    <t>Tổng</t>
  </si>
  <si>
    <t>BẢNG TỔNG HỢP SỬ DỤNG KINH PHÍ ĐƯỢC GIAO THỰC HIỆN TỰ CHỦ NĂM 2020 - HUYỆN PÁC NẶM</t>
  </si>
  <si>
    <t>TH&amp;THCS An Thắng (TH)</t>
  </si>
  <si>
    <t>Đơn vị
 (Trường)</t>
  </si>
  <si>
    <t>Mầm non Cao Tân</t>
  </si>
  <si>
    <t>Mầm non Cổ Linh</t>
  </si>
  <si>
    <t>Mầm non Công Bằng</t>
  </si>
  <si>
    <t>Mầm non Giáo Hiệu</t>
  </si>
  <si>
    <t>Mầm non Bộc Bố</t>
  </si>
  <si>
    <t>Mầm non Nhạn Môn</t>
  </si>
  <si>
    <t>Mầm non Bằng Thành</t>
  </si>
  <si>
    <t>Mầm non Xuân La</t>
  </si>
  <si>
    <t>Mầm non Nghiên Loan I</t>
  </si>
  <si>
    <t>Mầm non Nghiên Loan II</t>
  </si>
  <si>
    <t>Mầm non An Thắng</t>
  </si>
  <si>
    <t>PTDTBT Tiểu học Công Bằng</t>
  </si>
  <si>
    <t>PTDTBT Tiểu học Bằng Thành II</t>
  </si>
  <si>
    <t>BẢNG TỔNG HỢP SỬ DỤNG KINH PHÍ ĐƯỢC GIAO THỰC HIỆN TỰ CHỦ NĂM 2020 - HUYỆN BA BỂ</t>
  </si>
  <si>
    <t>Đơn vị 
(Trường)</t>
  </si>
  <si>
    <t>BẢNG TỔNG HỢP SỬ DỤNG KINH PHÍ ĐƯỢC GIAO THỰC HIỆN TỰ CHỦ NĂM 2020 - HUYỆN CHỢ ĐỒN</t>
  </si>
  <si>
    <t>Tiểu học Phương Viên</t>
  </si>
  <si>
    <t>Tiểu học Bình Trung</t>
  </si>
  <si>
    <t>Tiểu học Bằng Lãng</t>
  </si>
  <si>
    <t>Tiểu học Thị trấn Bằng Lũng</t>
  </si>
  <si>
    <t>Tiểu học Ngọc Phái</t>
  </si>
  <si>
    <t>Tiểu học Quảng Bạch</t>
  </si>
  <si>
    <t>Tiểu học Tân Lập</t>
  </si>
  <si>
    <t>Tiểu học Đồng Lạc</t>
  </si>
  <si>
    <t>Tiểu học Nam Cường</t>
  </si>
  <si>
    <t>Tiểu học Xuân Lạc</t>
  </si>
  <si>
    <t>Tiểu học Yên Thượng</t>
  </si>
  <si>
    <t>Tiểu học Yên Thịnh</t>
  </si>
  <si>
    <t>Tiểu học Bản Thi</t>
  </si>
  <si>
    <t>Mầm non Bằng Phúc</t>
  </si>
  <si>
    <t>Mầm non Phương Viên</t>
  </si>
  <si>
    <t xml:space="preserve">Mầm non Đồng Thắng </t>
  </si>
  <si>
    <t>Mầm non Đại Sảo</t>
  </si>
  <si>
    <t>Mầm non Yên Mỹ</t>
  </si>
  <si>
    <t>Mầm non Yên Phong</t>
  </si>
  <si>
    <t>Mầm non Bình Trung</t>
  </si>
  <si>
    <t>Mầm non Nghĩa Tá</t>
  </si>
  <si>
    <t>Mầm non Lương Bằng</t>
  </si>
  <si>
    <t>Mầm non Bằng Lãng</t>
  </si>
  <si>
    <t>Mầm non Thị trấn Bằng Lũng</t>
  </si>
  <si>
    <t>Mầm non Ngọc Phái</t>
  </si>
  <si>
    <t>Mầm non Quảng Bạch</t>
  </si>
  <si>
    <t>Mầm non Tân Lập</t>
  </si>
  <si>
    <t>Mầm non Đồng Lạc</t>
  </si>
  <si>
    <t>Mầm non Nam Cường</t>
  </si>
  <si>
    <t>Mầm non Xuân Lạc</t>
  </si>
  <si>
    <t>Mầm non Yên Thượng</t>
  </si>
  <si>
    <t>Mầm non Yên Thịnh</t>
  </si>
  <si>
    <t>Mầm non Bản Thi</t>
  </si>
  <si>
    <t>BẢNG TỔNG HỢP SỬ DỤNG KINH PHÍ ĐƯỢC GIAO THỰC HIỆN TỰ CHỦ NĂM 2020 - HUYỆN NA RÌ</t>
  </si>
  <si>
    <t>Mầm non Liêm Thủy</t>
  </si>
  <si>
    <t xml:space="preserve">Mầm non Đổng Xá </t>
  </si>
  <si>
    <t xml:space="preserve">Mầm non Xuân Dương </t>
  </si>
  <si>
    <t>Mầm non Dương Sơn</t>
  </si>
  <si>
    <t>Mầm non Côn Minh</t>
  </si>
  <si>
    <t>Mầm non Quang Phong</t>
  </si>
  <si>
    <t>Mầm non Trần Phú</t>
  </si>
  <si>
    <t>Mầm non Cư Lễ</t>
  </si>
  <si>
    <t>Mầm non Yến Lạc</t>
  </si>
  <si>
    <t>Mầm non Kim Lư</t>
  </si>
  <si>
    <t>Mầm non Cường Lợi</t>
  </si>
  <si>
    <t>Mầm non Vũ Loan</t>
  </si>
  <si>
    <t>Mầm non Văn Học</t>
  </si>
  <si>
    <t>Mầm non Văn Minh</t>
  </si>
  <si>
    <t>Mầm non Sơn Thành</t>
  </si>
  <si>
    <t>Mầm non Văn Lang</t>
  </si>
  <si>
    <t>Mầm non Lương Thượng</t>
  </si>
  <si>
    <t>Mầm non Kim Hỷ</t>
  </si>
  <si>
    <t>BẢNG TỔNG HỢP SỬ DỤNG KINH PHÍ ĐƯỢC GIAO THỰC HIỆN TỰ CHỦ NĂM 2020 - HUYỆN CHỢ MỚI</t>
  </si>
  <si>
    <t>Mầm non Bình Văn</t>
  </si>
  <si>
    <t>Mầm non Cao Kỳ</t>
  </si>
  <si>
    <t>Mầm non Hoà Mục</t>
  </si>
  <si>
    <t>Mầm non Mai Lạp</t>
  </si>
  <si>
    <t>Mầm non Nông Hạ</t>
  </si>
  <si>
    <t>Mầm non Quảng Chu</t>
  </si>
  <si>
    <t>Mầm non Tân Sơn</t>
  </si>
  <si>
    <t>Mầm non Thanh Vận</t>
  </si>
  <si>
    <t>Mầm non Thanh Bình</t>
  </si>
  <si>
    <t>Mầm non Nông Thịnh</t>
  </si>
  <si>
    <t>Mầm non Yên Hân</t>
  </si>
  <si>
    <t>Mầm non Thanh Mai</t>
  </si>
  <si>
    <t>Mầm non Như Cố</t>
  </si>
  <si>
    <t>Mầm non Yên Cư</t>
  </si>
  <si>
    <t>Mầm non  Chợ Mới</t>
  </si>
  <si>
    <t>Mầm non Yên Đĩnh</t>
  </si>
  <si>
    <t>Tiểu học Bình Văn</t>
  </si>
  <si>
    <t>Tiểu học Cao Kỳ</t>
  </si>
  <si>
    <t>Tiểu học Chợ Mới</t>
  </si>
  <si>
    <t>Tiểu học Yên Đĩnh</t>
  </si>
  <si>
    <t>Tiểu học Hoà Mục</t>
  </si>
  <si>
    <t>Tiểu học Như Cố</t>
  </si>
  <si>
    <t>Tiểu học Nông Hạ</t>
  </si>
  <si>
    <t>Tiểu học Quảng Chu</t>
  </si>
  <si>
    <t>Tiểu học Thanh Vận</t>
  </si>
  <si>
    <t>Tiểu học Yên Hân</t>
  </si>
  <si>
    <t>Tiểu học Nông Thịnh</t>
  </si>
  <si>
    <t>Tiểu học Yên Cư</t>
  </si>
  <si>
    <t>MN Thanh Thịnh (Sáp nhập)</t>
  </si>
  <si>
    <t>BẢNG TỔNG HỢP SỬ DỤNG KINH PHÍ ĐƯỢC GIAO THỰC HIỆN TỰ CHỦ NĂM 2020 - NGÂN SƠN</t>
  </si>
  <si>
    <t>Tiểu học Cốc Đán</t>
  </si>
  <si>
    <t>Tiểu học và THCS T. Ân</t>
  </si>
  <si>
    <t xml:space="preserve">Tiểu học Bằng Vân </t>
  </si>
  <si>
    <t>Tiểu học Đức Vân</t>
  </si>
  <si>
    <t xml:space="preserve">Tiểu học Vân Tùng  </t>
  </si>
  <si>
    <t xml:space="preserve">Tiểu học Thượng Quan  </t>
  </si>
  <si>
    <t>Tiểu học Thuần Mang</t>
  </si>
  <si>
    <t>Tiểu học Lãng Ngâm</t>
  </si>
  <si>
    <t>Tiểu học Hương Nê</t>
  </si>
  <si>
    <t>Tiểu học Hiệp Lực</t>
  </si>
  <si>
    <t>Tiểu học Trung Hòa</t>
  </si>
  <si>
    <t>Tiểu học Nà Phặc</t>
  </si>
  <si>
    <t>Mầm non Cốc Đán</t>
  </si>
  <si>
    <t>Mầm non Thượng Ân</t>
  </si>
  <si>
    <t>Mầm non Bằng Vân</t>
  </si>
  <si>
    <t>Mầm non Đức Vân</t>
  </si>
  <si>
    <t>Mầm non Vân Tùng</t>
  </si>
  <si>
    <t>Mầm non Thượng Quan</t>
  </si>
  <si>
    <t>Mầm non Thuần Mang</t>
  </si>
  <si>
    <t>Mầm non Lãng Ngâm</t>
  </si>
  <si>
    <t>Mầm non Hương Nê</t>
  </si>
  <si>
    <t>Mầm non Hiệp Lực</t>
  </si>
  <si>
    <t>Mầm non Trung Hòa</t>
  </si>
  <si>
    <t>Mầm non Nà Phặc</t>
  </si>
  <si>
    <t>Mầm non Quốc lập Nà Khoang</t>
  </si>
  <si>
    <t>TH và THCS Thượng Ân</t>
  </si>
  <si>
    <t>PTDTBT THCS Thượng Quan</t>
  </si>
  <si>
    <t xml:space="preserve">PTDTBT THCS Thuần Mang  </t>
  </si>
  <si>
    <t xml:space="preserve">PTDTBTTHCS Lãng Ngâm  </t>
  </si>
  <si>
    <t>Mầm non Đức Xuân</t>
  </si>
  <si>
    <t>Mầm non Dương Quang</t>
  </si>
  <si>
    <t>Mầm non Huyền Tụng</t>
  </si>
  <si>
    <t>Mầm non Minh Khai</t>
  </si>
  <si>
    <t>Mầm non Nông Thượng</t>
  </si>
  <si>
    <t>Mầm non Phùng Chí Kiên</t>
  </si>
  <si>
    <t>Mầm non Sông Cầu</t>
  </si>
  <si>
    <t>Mầm non Xuất Hóa</t>
  </si>
  <si>
    <t>Tiểu học Đức Xuân</t>
  </si>
  <si>
    <t>Tiểu học Dương Quang</t>
  </si>
  <si>
    <t>Tiểu học Huyền Tụng</t>
  </si>
  <si>
    <t>Tiểu học Minh Khai</t>
  </si>
  <si>
    <t>Tiểu học Nông Thượng</t>
  </si>
  <si>
    <t>Tiểu học Phùng Chí Kiên</t>
  </si>
  <si>
    <t>Tiểu học Sông Cầu</t>
  </si>
  <si>
    <t>Tiểu học Xuất Hóa</t>
  </si>
  <si>
    <t>BẢNG TỔNG HỢP SỬ DỤNG KINH PHÍ ĐƯỢC GIAO THỰC HIỆN TỰ CHỦ NĂM 2020 - THÀNH PHỐ</t>
  </si>
  <si>
    <t>BẢNG TỔNG HỢP SỬ DỤNG KINH PHÍ ĐƯỢC GIAO THỰC HIỆN TỰ CHỦ NĂM 2020 - BẠCH THÔNG</t>
  </si>
  <si>
    <t>Tiểu học Cẩm Giàng</t>
  </si>
  <si>
    <t>Tiểu học Nguyên Phúc</t>
  </si>
  <si>
    <t>Tiểu học Lục Bình</t>
  </si>
  <si>
    <t>Tiểu học Phương Thông</t>
  </si>
  <si>
    <t>Tiểu học Đôn Phong</t>
  </si>
  <si>
    <t>Tiểu học Quân Hà</t>
  </si>
  <si>
    <t>Mầm non Lục Bình</t>
  </si>
  <si>
    <t>Mầm non  Đôn Phong</t>
  </si>
  <si>
    <t>Mầm non Hà Vị</t>
  </si>
  <si>
    <t>Mầm non Quân Bình</t>
  </si>
  <si>
    <t>Mầm non Phương Thông</t>
  </si>
  <si>
    <t>Mầm non Vũ Muộn</t>
  </si>
  <si>
    <t>Mầm non Sỹ Bình</t>
  </si>
  <si>
    <t>Mầm non Cẩm Giàng</t>
  </si>
  <si>
    <t>Mầm non Cao Sơn</t>
  </si>
  <si>
    <t>Mầm non Quang Thuận</t>
  </si>
  <si>
    <t>Mầm non Nguyên Phúc</t>
  </si>
  <si>
    <t>Mầm non Tân Tú</t>
  </si>
  <si>
    <t>Mầm non Dương Phong</t>
  </si>
  <si>
    <t>Mầm non Vi Hương</t>
  </si>
  <si>
    <t>Mầm non Mỹ Thanh</t>
  </si>
  <si>
    <t>BẢNG TỔNG HỢP SỬ DỤNG KINH PHÍ ĐƯỢC GIAO THỰC HIỆN TỰ CHỦ NĂM 2020 - TRỰC THUỘC SỞ GD&amp;ĐT</t>
  </si>
  <si>
    <t>(Kèm theo Báo cáo số 1291/BC-SGDĐT ngày 10/6/2022 của Sở GD&amp;ĐT)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</si>
</sst>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_(* #,##0.0_);_(* \(#,##0.0\);_(* &quot;-&quot;_);_(@_)"/>
    <numFmt numFmtId="169" formatCode="_-* #,##0_-;\-* #,##0_-;_-* &quot;-&quot;??_-;_-@"/>
  </numFmts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9"/>
      <name val="&quot;Times New Roman&quot;"/>
    </font>
    <font>
      <sz val="9"/>
      <name val="Arial Narrow"/>
      <family val="2"/>
    </font>
    <font>
      <sz val="11"/>
      <name val="Calibri"/>
      <family val="2"/>
    </font>
    <font>
      <sz val="9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ED7D31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1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4" fontId="7" fillId="0" borderId="1" xfId="0" applyNumberFormat="1" applyFont="1" applyFill="1" applyBorder="1" applyAlignment="1" applyProtection="1">
      <alignment horizontal="left" vertical="center" shrinkToFit="1"/>
      <protection hidden="1"/>
    </xf>
    <xf numFmtId="3" fontId="7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1" xfId="1" applyNumberFormat="1" applyFont="1" applyFill="1" applyBorder="1" applyAlignment="1">
      <alignment vertical="center" shrinkToFit="1"/>
    </xf>
    <xf numFmtId="3" fontId="7" fillId="0" borderId="1" xfId="1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7" fillId="0" borderId="0" xfId="4" applyFont="1" applyFill="1" applyAlignment="1">
      <alignment vertical="center"/>
    </xf>
    <xf numFmtId="0" fontId="18" fillId="0" borderId="0" xfId="0" applyFont="1" applyFill="1"/>
    <xf numFmtId="3" fontId="7" fillId="0" borderId="1" xfId="0" applyNumberFormat="1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vertical="center"/>
    </xf>
    <xf numFmtId="168" fontId="7" fillId="0" borderId="1" xfId="4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right" vertical="center"/>
    </xf>
    <xf numFmtId="169" fontId="7" fillId="2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169" fontId="7" fillId="3" borderId="13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right" vertical="center"/>
    </xf>
    <xf numFmtId="169" fontId="7" fillId="4" borderId="13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right" vertical="center"/>
    </xf>
    <xf numFmtId="169" fontId="7" fillId="6" borderId="13" xfId="0" applyNumberFormat="1" applyFont="1" applyFill="1" applyBorder="1" applyAlignment="1">
      <alignment vertical="center"/>
    </xf>
    <xf numFmtId="169" fontId="7" fillId="5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right" vertical="center"/>
    </xf>
    <xf numFmtId="169" fontId="7" fillId="7" borderId="13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left" vertical="center" wrapText="1"/>
    </xf>
    <xf numFmtId="169" fontId="7" fillId="6" borderId="13" xfId="0" applyNumberFormat="1" applyFont="1" applyFill="1" applyBorder="1" applyAlignment="1">
      <alignment horizontal="right" vertical="center"/>
    </xf>
    <xf numFmtId="169" fontId="7" fillId="5" borderId="13" xfId="0" applyNumberFormat="1" applyFont="1" applyFill="1" applyBorder="1" applyAlignment="1">
      <alignment horizontal="right" vertical="center"/>
    </xf>
    <xf numFmtId="0" fontId="20" fillId="5" borderId="13" xfId="0" applyFont="1" applyFill="1" applyBorder="1" applyAlignment="1">
      <alignment horizontal="right" vertical="center"/>
    </xf>
    <xf numFmtId="169" fontId="20" fillId="6" borderId="13" xfId="0" applyNumberFormat="1" applyFont="1" applyFill="1" applyBorder="1" applyAlignment="1">
      <alignment vertical="center"/>
    </xf>
    <xf numFmtId="169" fontId="20" fillId="5" borderId="13" xfId="0" applyNumberFormat="1" applyFont="1" applyFill="1" applyBorder="1" applyAlignment="1">
      <alignment vertical="center"/>
    </xf>
    <xf numFmtId="0" fontId="7" fillId="8" borderId="13" xfId="0" applyFont="1" applyFill="1" applyBorder="1" applyAlignment="1">
      <alignment horizontal="right" vertical="center"/>
    </xf>
    <xf numFmtId="169" fontId="7" fillId="8" borderId="13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right" vertical="center"/>
    </xf>
    <xf numFmtId="169" fontId="7" fillId="2" borderId="13" xfId="0" applyNumberFormat="1" applyFont="1" applyFill="1" applyBorder="1" applyAlignment="1">
      <alignment horizontal="center" vertical="center"/>
    </xf>
    <xf numFmtId="169" fontId="7" fillId="4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 shrinkToFit="1"/>
    </xf>
    <xf numFmtId="169" fontId="7" fillId="5" borderId="13" xfId="0" applyNumberFormat="1" applyFont="1" applyFill="1" applyBorder="1" applyAlignment="1">
      <alignment horizontal="right" vertical="center" shrinkToFit="1"/>
    </xf>
    <xf numFmtId="169" fontId="7" fillId="7" borderId="13" xfId="0" applyNumberFormat="1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horizontal="center" vertical="center"/>
    </xf>
    <xf numFmtId="169" fontId="11" fillId="5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166" fontId="11" fillId="0" borderId="0" xfId="1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/>
    </xf>
    <xf numFmtId="169" fontId="7" fillId="2" borderId="17" xfId="0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69" fontId="19" fillId="7" borderId="13" xfId="0" applyNumberFormat="1" applyFont="1" applyFill="1" applyBorder="1" applyAlignment="1">
      <alignment vertical="center"/>
    </xf>
    <xf numFmtId="169" fontId="19" fillId="7" borderId="14" xfId="0" applyNumberFormat="1" applyFont="1" applyFill="1" applyBorder="1" applyAlignment="1">
      <alignment vertical="center"/>
    </xf>
    <xf numFmtId="169" fontId="7" fillId="6" borderId="14" xfId="0" applyNumberFormat="1" applyFont="1" applyFill="1" applyBorder="1" applyAlignment="1">
      <alignment vertical="center"/>
    </xf>
    <xf numFmtId="169" fontId="7" fillId="6" borderId="17" xfId="0" applyNumberFormat="1" applyFont="1" applyFill="1" applyBorder="1" applyAlignment="1">
      <alignment vertical="center"/>
    </xf>
    <xf numFmtId="169" fontId="7" fillId="6" borderId="18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166" fontId="7" fillId="0" borderId="1" xfId="6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41" fontId="11" fillId="0" borderId="1" xfId="4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/>
    </xf>
    <xf numFmtId="0" fontId="7" fillId="7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</cellXfs>
  <cellStyles count="8">
    <cellStyle name="Chuẩn 2" xfId="2"/>
    <cellStyle name="Comma" xfId="1" builtinId="3"/>
    <cellStyle name="Comma [0]" xfId="4" builtinId="6"/>
    <cellStyle name="Comma 2" xfId="6"/>
    <cellStyle name="Dấu_phảy 2" xfId="5"/>
    <cellStyle name="Normal" xfId="0" builtinId="0"/>
    <cellStyle name="Normal 16" xfId="3"/>
    <cellStyle name="Normal 2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2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6.140625" style="18" customWidth="1"/>
    <col min="3" max="3" width="7" style="18" customWidth="1"/>
    <col min="4" max="4" width="5.5703125" style="18" customWidth="1"/>
    <col min="5" max="6" width="9.5703125" style="18" customWidth="1"/>
    <col min="7" max="7" width="9.5703125" style="73" customWidth="1"/>
    <col min="8" max="8" width="10.42578125" style="18" customWidth="1"/>
    <col min="9" max="10" width="6.85546875" style="18" customWidth="1"/>
    <col min="11" max="11" width="8.42578125" style="18" customWidth="1"/>
    <col min="12" max="12" width="8.85546875" style="18" customWidth="1"/>
    <col min="13" max="13" width="7.42578125" style="18" customWidth="1"/>
    <col min="14" max="14" width="6.28515625" style="18" customWidth="1"/>
    <col min="15" max="15" width="10.140625" style="18" customWidth="1"/>
    <col min="16" max="16" width="9.85546875" style="18" customWidth="1"/>
    <col min="17" max="17" width="9.42578125" style="18" customWidth="1"/>
    <col min="18" max="18" width="8.42578125" style="18" customWidth="1"/>
    <col min="19" max="19" width="6.7109375" style="18" customWidth="1"/>
    <col min="20" max="20" width="8.28515625" style="18" customWidth="1"/>
    <col min="21" max="21" width="9" style="18" customWidth="1"/>
    <col min="22" max="16384" width="9.140625" style="18"/>
  </cols>
  <sheetData>
    <row r="1" spans="1:21" ht="21.75" customHeight="1">
      <c r="A1" s="158" t="s">
        <v>187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7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0" t="s">
        <v>20</v>
      </c>
    </row>
    <row r="4" spans="1:21" ht="18.75" customHeight="1">
      <c r="A4" s="160" t="s">
        <v>0</v>
      </c>
      <c r="B4" s="161" t="s">
        <v>189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17.25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80.25" customHeight="1">
      <c r="A6" s="160"/>
      <c r="B6" s="160"/>
      <c r="C6" s="21" t="s">
        <v>2</v>
      </c>
      <c r="D6" s="21" t="s">
        <v>3</v>
      </c>
      <c r="E6" s="22" t="s">
        <v>184</v>
      </c>
      <c r="F6" s="22" t="s">
        <v>185</v>
      </c>
      <c r="G6" s="115" t="s">
        <v>19</v>
      </c>
      <c r="H6" s="170"/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14</v>
      </c>
      <c r="Q6" s="22" t="s">
        <v>15</v>
      </c>
      <c r="R6" s="22" t="s">
        <v>17</v>
      </c>
      <c r="S6" s="22" t="s">
        <v>16</v>
      </c>
      <c r="T6" s="22" t="s">
        <v>186</v>
      </c>
      <c r="U6" s="172"/>
    </row>
    <row r="7" spans="1:21" s="23" customFormat="1" ht="23.25" customHeight="1">
      <c r="A7" s="29">
        <v>1</v>
      </c>
      <c r="B7" s="37" t="s">
        <v>190</v>
      </c>
      <c r="C7" s="37">
        <v>23</v>
      </c>
      <c r="D7" s="37">
        <v>21</v>
      </c>
      <c r="E7" s="42">
        <v>2458.83</v>
      </c>
      <c r="F7" s="42">
        <v>383.64000000000004</v>
      </c>
      <c r="G7" s="42">
        <f>E7+F7</f>
        <v>2842.47</v>
      </c>
      <c r="H7" s="42">
        <v>2281.1827760000001</v>
      </c>
      <c r="I7" s="42"/>
      <c r="J7" s="42">
        <v>17.067261999999999</v>
      </c>
      <c r="K7" s="42">
        <v>165.02799999999999</v>
      </c>
      <c r="L7" s="42">
        <v>1.2894140000000001</v>
      </c>
      <c r="M7" s="42">
        <v>64.796999999999997</v>
      </c>
      <c r="N7" s="42">
        <v>37.25</v>
      </c>
      <c r="O7" s="42">
        <v>40.585149999999999</v>
      </c>
      <c r="P7" s="42">
        <v>33.86</v>
      </c>
      <c r="Q7" s="42">
        <v>115.43666399999999</v>
      </c>
      <c r="R7" s="42"/>
      <c r="S7" s="42">
        <v>85.974000000000004</v>
      </c>
      <c r="T7" s="42">
        <f>SUM(I7:S7)</f>
        <v>561.28749000000005</v>
      </c>
      <c r="U7" s="39">
        <f>T7+H7</f>
        <v>2842.4702660000003</v>
      </c>
    </row>
    <row r="8" spans="1:21" s="23" customFormat="1" ht="23.25" customHeight="1">
      <c r="A8" s="29">
        <v>2</v>
      </c>
      <c r="B8" s="37" t="s">
        <v>191</v>
      </c>
      <c r="C8" s="37">
        <v>23</v>
      </c>
      <c r="D8" s="37">
        <v>23</v>
      </c>
      <c r="E8" s="42">
        <v>2630.63</v>
      </c>
      <c r="F8" s="42">
        <v>383.64000000000004</v>
      </c>
      <c r="G8" s="42">
        <f t="shared" ref="G8:G40" si="0">E8+F8</f>
        <v>3014.27</v>
      </c>
      <c r="H8" s="42">
        <v>2606.9397100000006</v>
      </c>
      <c r="I8" s="42"/>
      <c r="J8" s="42">
        <v>23.653725000000001</v>
      </c>
      <c r="K8" s="42">
        <v>128.12</v>
      </c>
      <c r="L8" s="42">
        <v>3.8483369999999999</v>
      </c>
      <c r="M8" s="42">
        <v>55.265000000000001</v>
      </c>
      <c r="N8" s="42">
        <v>39.6</v>
      </c>
      <c r="O8" s="42">
        <v>3.9</v>
      </c>
      <c r="P8" s="42"/>
      <c r="Q8" s="42">
        <v>81.527758000000006</v>
      </c>
      <c r="R8" s="42"/>
      <c r="S8" s="42">
        <v>71.415999999999997</v>
      </c>
      <c r="T8" s="42">
        <f t="shared" ref="T8:T40" si="1">SUM(I8:S8)</f>
        <v>407.33082000000002</v>
      </c>
      <c r="U8" s="39">
        <f t="shared" ref="U8:U40" si="2">T8+H8</f>
        <v>3014.2705300000007</v>
      </c>
    </row>
    <row r="9" spans="1:21" s="23" customFormat="1" ht="23.25" customHeight="1">
      <c r="A9" s="72">
        <v>3</v>
      </c>
      <c r="B9" s="37" t="s">
        <v>192</v>
      </c>
      <c r="C9" s="37">
        <v>14</v>
      </c>
      <c r="D9" s="37">
        <v>10</v>
      </c>
      <c r="E9" s="42">
        <v>1750.366</v>
      </c>
      <c r="F9" s="42">
        <v>233.52000000000004</v>
      </c>
      <c r="G9" s="42">
        <f t="shared" si="0"/>
        <v>1983.886</v>
      </c>
      <c r="H9" s="42">
        <v>1514.1120000000001</v>
      </c>
      <c r="I9" s="42">
        <v>23.71</v>
      </c>
      <c r="J9" s="42">
        <v>11.516999999999999</v>
      </c>
      <c r="K9" s="42">
        <v>45.89</v>
      </c>
      <c r="L9" s="42">
        <v>0.92900000000000005</v>
      </c>
      <c r="M9" s="42">
        <v>56.238</v>
      </c>
      <c r="N9" s="42">
        <v>62.7</v>
      </c>
      <c r="O9" s="42">
        <v>22.331</v>
      </c>
      <c r="P9" s="42">
        <v>26.91</v>
      </c>
      <c r="Q9" s="42">
        <v>80.128</v>
      </c>
      <c r="R9" s="42"/>
      <c r="S9" s="42">
        <v>139.42099999999999</v>
      </c>
      <c r="T9" s="42">
        <f t="shared" si="1"/>
        <v>469.77399999999994</v>
      </c>
      <c r="U9" s="39">
        <f t="shared" si="2"/>
        <v>1983.886</v>
      </c>
    </row>
    <row r="10" spans="1:21" s="23" customFormat="1" ht="23.25" customHeight="1">
      <c r="A10" s="72">
        <v>4</v>
      </c>
      <c r="B10" s="37" t="s">
        <v>193</v>
      </c>
      <c r="C10" s="37">
        <v>13</v>
      </c>
      <c r="D10" s="37">
        <v>12</v>
      </c>
      <c r="E10" s="42">
        <v>1502.7460000000001</v>
      </c>
      <c r="F10" s="42">
        <v>216.84</v>
      </c>
      <c r="G10" s="42">
        <f t="shared" si="0"/>
        <v>1719.586</v>
      </c>
      <c r="H10" s="42">
        <v>1376.682855</v>
      </c>
      <c r="I10" s="42">
        <v>76.671999999999997</v>
      </c>
      <c r="J10" s="42">
        <v>12.767852</v>
      </c>
      <c r="K10" s="42">
        <v>31.510002</v>
      </c>
      <c r="L10" s="42">
        <v>4.3823359999999996</v>
      </c>
      <c r="M10" s="42">
        <v>23.17</v>
      </c>
      <c r="N10" s="42">
        <v>36</v>
      </c>
      <c r="O10" s="42">
        <v>8.07</v>
      </c>
      <c r="P10" s="42"/>
      <c r="Q10" s="42">
        <v>71.756338999999997</v>
      </c>
      <c r="R10" s="42"/>
      <c r="S10" s="42">
        <v>77.817000000000007</v>
      </c>
      <c r="T10" s="42">
        <f t="shared" si="1"/>
        <v>342.14552900000001</v>
      </c>
      <c r="U10" s="39">
        <f t="shared" si="2"/>
        <v>1718.8283839999999</v>
      </c>
    </row>
    <row r="11" spans="1:21" s="23" customFormat="1" ht="23.25" customHeight="1">
      <c r="A11" s="72">
        <v>5</v>
      </c>
      <c r="B11" s="37" t="s">
        <v>194</v>
      </c>
      <c r="C11" s="37">
        <v>26</v>
      </c>
      <c r="D11" s="37">
        <v>22</v>
      </c>
      <c r="E11" s="55">
        <v>2976.1970000000001</v>
      </c>
      <c r="F11" s="55">
        <v>433.68</v>
      </c>
      <c r="G11" s="42">
        <f t="shared" si="0"/>
        <v>3409.877</v>
      </c>
      <c r="H11" s="53">
        <v>3003.4936050000001</v>
      </c>
      <c r="I11" s="53"/>
      <c r="J11" s="53">
        <v>19.625066</v>
      </c>
      <c r="K11" s="53">
        <v>49.872</v>
      </c>
      <c r="L11" s="53">
        <v>3.4623050000000002</v>
      </c>
      <c r="M11" s="53">
        <v>28.835000000000001</v>
      </c>
      <c r="N11" s="53"/>
      <c r="O11" s="53">
        <v>3.2</v>
      </c>
      <c r="P11" s="53">
        <v>31.25</v>
      </c>
      <c r="Q11" s="53">
        <v>177.30070000000001</v>
      </c>
      <c r="R11" s="53"/>
      <c r="S11" s="53">
        <v>92.838667999999998</v>
      </c>
      <c r="T11" s="42">
        <f t="shared" si="1"/>
        <v>406.38373899999999</v>
      </c>
      <c r="U11" s="39">
        <f t="shared" si="2"/>
        <v>3409.877344</v>
      </c>
    </row>
    <row r="12" spans="1:21" s="23" customFormat="1" ht="23.25" customHeight="1">
      <c r="A12" s="72">
        <v>6</v>
      </c>
      <c r="B12" s="37" t="s">
        <v>195</v>
      </c>
      <c r="C12" s="37">
        <v>14</v>
      </c>
      <c r="D12" s="37">
        <v>13</v>
      </c>
      <c r="E12" s="42">
        <v>1591.7090000000001</v>
      </c>
      <c r="F12" s="42">
        <v>233.52000000000004</v>
      </c>
      <c r="G12" s="42">
        <f t="shared" si="0"/>
        <v>1825.229</v>
      </c>
      <c r="H12" s="42">
        <v>1573.3199090000001</v>
      </c>
      <c r="I12" s="42">
        <v>19.890999999999998</v>
      </c>
      <c r="J12" s="42">
        <v>6.525995</v>
      </c>
      <c r="K12" s="42">
        <v>35.975000000000001</v>
      </c>
      <c r="L12" s="42">
        <v>1.748899</v>
      </c>
      <c r="M12" s="42">
        <v>9.5549999999999997</v>
      </c>
      <c r="N12" s="42">
        <v>59.684199999999997</v>
      </c>
      <c r="O12" s="42">
        <v>4.47</v>
      </c>
      <c r="P12" s="42">
        <v>14.96</v>
      </c>
      <c r="Q12" s="42">
        <v>66.493112999999994</v>
      </c>
      <c r="R12" s="42"/>
      <c r="S12" s="42">
        <v>32.606000000000002</v>
      </c>
      <c r="T12" s="42">
        <f t="shared" si="1"/>
        <v>251.90920700000001</v>
      </c>
      <c r="U12" s="39">
        <f t="shared" si="2"/>
        <v>1825.229116</v>
      </c>
    </row>
    <row r="13" spans="1:21" s="23" customFormat="1" ht="23.25" customHeight="1">
      <c r="A13" s="72">
        <v>7</v>
      </c>
      <c r="B13" s="37" t="s">
        <v>196</v>
      </c>
      <c r="C13" s="37">
        <v>23</v>
      </c>
      <c r="D13" s="37">
        <v>21</v>
      </c>
      <c r="E13" s="42">
        <v>2599.6860000000001</v>
      </c>
      <c r="F13" s="42">
        <v>383.64000000000004</v>
      </c>
      <c r="G13" s="42">
        <f t="shared" si="0"/>
        <v>2983.326</v>
      </c>
      <c r="H13" s="42">
        <v>2492.110592</v>
      </c>
      <c r="I13" s="42"/>
      <c r="J13" s="42">
        <v>10.278171</v>
      </c>
      <c r="K13" s="42">
        <v>143.67400000000001</v>
      </c>
      <c r="L13" s="42">
        <v>5.93</v>
      </c>
      <c r="M13" s="42">
        <v>67.802000000000007</v>
      </c>
      <c r="N13" s="42">
        <v>46.56</v>
      </c>
      <c r="O13" s="42">
        <v>80.775000000000006</v>
      </c>
      <c r="P13" s="42"/>
      <c r="Q13" s="42">
        <v>133.28779399999999</v>
      </c>
      <c r="R13" s="42"/>
      <c r="S13" s="42">
        <v>2.9089999999999998</v>
      </c>
      <c r="T13" s="42">
        <f t="shared" si="1"/>
        <v>491.21596499999998</v>
      </c>
      <c r="U13" s="39">
        <f t="shared" si="2"/>
        <v>2983.3265569999999</v>
      </c>
    </row>
    <row r="14" spans="1:21" s="23" customFormat="1" ht="23.25" customHeight="1">
      <c r="A14" s="72">
        <v>8</v>
      </c>
      <c r="B14" s="37" t="s">
        <v>197</v>
      </c>
      <c r="C14" s="37">
        <v>15</v>
      </c>
      <c r="D14" s="37">
        <v>13</v>
      </c>
      <c r="E14" s="42">
        <v>1849.2919999999999</v>
      </c>
      <c r="F14" s="43">
        <v>250.2</v>
      </c>
      <c r="G14" s="42">
        <f t="shared" si="0"/>
        <v>2099.4919999999997</v>
      </c>
      <c r="H14" s="42">
        <v>1856.106041</v>
      </c>
      <c r="I14" s="42"/>
      <c r="J14" s="42">
        <v>12.759976</v>
      </c>
      <c r="K14" s="42">
        <v>30.986000000000001</v>
      </c>
      <c r="L14" s="42">
        <v>2.4980929999999999</v>
      </c>
      <c r="M14" s="42">
        <v>16.513999999999999</v>
      </c>
      <c r="N14" s="42">
        <v>57.6</v>
      </c>
      <c r="O14" s="42"/>
      <c r="P14" s="42">
        <v>50.222000000000001</v>
      </c>
      <c r="Q14" s="42">
        <v>52.868791999999999</v>
      </c>
      <c r="R14" s="42"/>
      <c r="S14" s="42">
        <v>19.937000000000001</v>
      </c>
      <c r="T14" s="42">
        <f t="shared" si="1"/>
        <v>243.38586100000003</v>
      </c>
      <c r="U14" s="39">
        <f t="shared" si="2"/>
        <v>2099.4919020000002</v>
      </c>
    </row>
    <row r="15" spans="1:21" s="23" customFormat="1" ht="23.25" customHeight="1">
      <c r="A15" s="72">
        <v>9</v>
      </c>
      <c r="B15" s="37" t="s">
        <v>198</v>
      </c>
      <c r="C15" s="37">
        <v>17</v>
      </c>
      <c r="D15" s="37">
        <v>15</v>
      </c>
      <c r="E15" s="43">
        <v>1985.3071330000002</v>
      </c>
      <c r="F15" s="43">
        <v>283.56</v>
      </c>
      <c r="G15" s="42">
        <f t="shared" si="0"/>
        <v>2268.8671330000002</v>
      </c>
      <c r="H15" s="43">
        <v>1874.9929279999999</v>
      </c>
      <c r="I15" s="43">
        <v>49.121000000000002</v>
      </c>
      <c r="J15" s="43">
        <v>9.9392080000000007</v>
      </c>
      <c r="K15" s="43">
        <v>3.7</v>
      </c>
      <c r="L15" s="43">
        <v>3.8582369999999999</v>
      </c>
      <c r="M15" s="43">
        <v>88.734999999999999</v>
      </c>
      <c r="N15" s="43">
        <v>71.069999999999993</v>
      </c>
      <c r="O15" s="43">
        <v>11.47</v>
      </c>
      <c r="P15" s="43">
        <v>10.5</v>
      </c>
      <c r="Q15" s="43">
        <v>43.466000000000001</v>
      </c>
      <c r="R15" s="43"/>
      <c r="S15" s="43">
        <v>75.559207000000001</v>
      </c>
      <c r="T15" s="42">
        <f t="shared" si="1"/>
        <v>367.41865200000001</v>
      </c>
      <c r="U15" s="39">
        <f t="shared" si="2"/>
        <v>2242.41158</v>
      </c>
    </row>
    <row r="16" spans="1:21" s="23" customFormat="1" ht="23.25" customHeight="1">
      <c r="A16" s="72">
        <v>10</v>
      </c>
      <c r="B16" s="37" t="s">
        <v>199</v>
      </c>
      <c r="C16" s="37">
        <v>15</v>
      </c>
      <c r="D16" s="37">
        <v>14</v>
      </c>
      <c r="E16" s="43">
        <v>1710.744817</v>
      </c>
      <c r="F16" s="43">
        <v>250.2</v>
      </c>
      <c r="G16" s="42">
        <f t="shared" si="0"/>
        <v>1960.9448170000001</v>
      </c>
      <c r="H16" s="43">
        <v>1661.8959</v>
      </c>
      <c r="I16" s="43">
        <v>57.561</v>
      </c>
      <c r="J16" s="43">
        <v>5.9261229999999996</v>
      </c>
      <c r="K16" s="43"/>
      <c r="L16" s="43">
        <v>4.1138709999999996</v>
      </c>
      <c r="M16" s="43">
        <v>54.103000000000002</v>
      </c>
      <c r="N16" s="43">
        <v>41.9</v>
      </c>
      <c r="O16" s="43">
        <v>5.2379230000000003</v>
      </c>
      <c r="P16" s="43">
        <v>31.11</v>
      </c>
      <c r="Q16" s="43">
        <v>23.78</v>
      </c>
      <c r="R16" s="43"/>
      <c r="S16" s="43">
        <v>50.536999999999999</v>
      </c>
      <c r="T16" s="42">
        <f t="shared" si="1"/>
        <v>274.26891699999999</v>
      </c>
      <c r="U16" s="39">
        <f t="shared" si="2"/>
        <v>1936.1648169999999</v>
      </c>
    </row>
    <row r="17" spans="1:21" s="23" customFormat="1" ht="23.25" customHeight="1">
      <c r="A17" s="72">
        <v>11</v>
      </c>
      <c r="B17" s="37" t="s">
        <v>200</v>
      </c>
      <c r="C17" s="37">
        <v>12</v>
      </c>
      <c r="D17" s="37">
        <v>10</v>
      </c>
      <c r="E17" s="43">
        <v>1376.84</v>
      </c>
      <c r="F17" s="43">
        <v>200.16</v>
      </c>
      <c r="G17" s="42">
        <f t="shared" si="0"/>
        <v>1577</v>
      </c>
      <c r="H17" s="42">
        <v>1198.4000000000001</v>
      </c>
      <c r="I17" s="42">
        <v>48.195</v>
      </c>
      <c r="J17" s="42">
        <v>14.923999999999999</v>
      </c>
      <c r="K17" s="42">
        <v>0</v>
      </c>
      <c r="L17" s="42">
        <v>1.4830000000000001</v>
      </c>
      <c r="M17" s="42">
        <v>45.667000000000002</v>
      </c>
      <c r="N17" s="42">
        <v>45.95</v>
      </c>
      <c r="O17" s="42">
        <v>48.671999999999997</v>
      </c>
      <c r="P17" s="42">
        <v>13.25</v>
      </c>
      <c r="Q17" s="42">
        <v>117.22799999999999</v>
      </c>
      <c r="R17" s="42"/>
      <c r="S17" s="42">
        <v>43.230999999999995</v>
      </c>
      <c r="T17" s="42">
        <f t="shared" si="1"/>
        <v>378.59999999999997</v>
      </c>
      <c r="U17" s="39">
        <f t="shared" si="2"/>
        <v>1577</v>
      </c>
    </row>
    <row r="18" spans="1:21" s="23" customFormat="1" ht="23.25" customHeight="1">
      <c r="A18" s="72">
        <v>12</v>
      </c>
      <c r="B18" s="37" t="s">
        <v>60</v>
      </c>
      <c r="C18" s="37">
        <v>41</v>
      </c>
      <c r="D18" s="37">
        <v>39</v>
      </c>
      <c r="E18" s="43">
        <v>5599.562664</v>
      </c>
      <c r="F18" s="43">
        <v>683.88000000000011</v>
      </c>
      <c r="G18" s="42">
        <f t="shared" si="0"/>
        <v>6283.4426640000001</v>
      </c>
      <c r="H18" s="42">
        <v>5379.1681710000003</v>
      </c>
      <c r="I18" s="42"/>
      <c r="J18" s="42">
        <v>28.417897</v>
      </c>
      <c r="K18" s="42">
        <v>139.94</v>
      </c>
      <c r="L18" s="42">
        <v>2.6317689999999998</v>
      </c>
      <c r="M18" s="42">
        <v>129.07900000000001</v>
      </c>
      <c r="N18" s="42">
        <v>27.41</v>
      </c>
      <c r="O18" s="42">
        <v>90.034999999999997</v>
      </c>
      <c r="P18" s="42">
        <v>148.9</v>
      </c>
      <c r="Q18" s="42">
        <v>181.6414</v>
      </c>
      <c r="R18" s="42"/>
      <c r="S18" s="42">
        <v>93.796199999999999</v>
      </c>
      <c r="T18" s="42">
        <f t="shared" si="1"/>
        <v>841.85126600000001</v>
      </c>
      <c r="U18" s="39">
        <f t="shared" si="2"/>
        <v>6221.0194369999999</v>
      </c>
    </row>
    <row r="19" spans="1:21" s="23" customFormat="1" ht="23.25" customHeight="1">
      <c r="A19" s="72">
        <v>13</v>
      </c>
      <c r="B19" s="37" t="s">
        <v>61</v>
      </c>
      <c r="C19" s="37">
        <v>49</v>
      </c>
      <c r="D19" s="37">
        <v>49</v>
      </c>
      <c r="E19" s="43">
        <v>7380.3731659999994</v>
      </c>
      <c r="F19" s="43">
        <v>817.31999999999994</v>
      </c>
      <c r="G19" s="42">
        <f t="shared" si="0"/>
        <v>8197.6931659999991</v>
      </c>
      <c r="H19" s="42">
        <v>7097.7552729999998</v>
      </c>
      <c r="I19" s="42"/>
      <c r="J19" s="42">
        <v>28.473741</v>
      </c>
      <c r="K19" s="42">
        <v>306.267</v>
      </c>
      <c r="L19" s="42">
        <v>7.2407079999999997</v>
      </c>
      <c r="M19" s="42">
        <v>108.02500000000001</v>
      </c>
      <c r="N19" s="42">
        <v>37.519179999999999</v>
      </c>
      <c r="O19" s="42">
        <v>93.104600000000005</v>
      </c>
      <c r="P19" s="42">
        <v>75.2</v>
      </c>
      <c r="Q19" s="42">
        <v>257.50944900000002</v>
      </c>
      <c r="R19" s="42"/>
      <c r="S19" s="42">
        <v>186.59821499999998</v>
      </c>
      <c r="T19" s="42">
        <f t="shared" si="1"/>
        <v>1099.937893</v>
      </c>
      <c r="U19" s="39">
        <f t="shared" si="2"/>
        <v>8197.6931659999991</v>
      </c>
    </row>
    <row r="20" spans="1:21" s="23" customFormat="1" ht="23.25" customHeight="1">
      <c r="A20" s="72">
        <v>14</v>
      </c>
      <c r="B20" s="37" t="s">
        <v>201</v>
      </c>
      <c r="C20" s="37">
        <v>25</v>
      </c>
      <c r="D20" s="37">
        <v>24</v>
      </c>
      <c r="E20" s="43">
        <v>4099.5889999999999</v>
      </c>
      <c r="F20" s="43">
        <v>417</v>
      </c>
      <c r="G20" s="42">
        <f t="shared" si="0"/>
        <v>4516.5889999999999</v>
      </c>
      <c r="H20" s="42">
        <v>4014.2420000000002</v>
      </c>
      <c r="I20" s="42">
        <v>103.349</v>
      </c>
      <c r="J20" s="42">
        <v>20.908000000000001</v>
      </c>
      <c r="K20" s="42">
        <v>76.489999999999995</v>
      </c>
      <c r="L20" s="42">
        <v>5.59</v>
      </c>
      <c r="M20" s="42">
        <v>107.541</v>
      </c>
      <c r="N20" s="42">
        <v>32.9</v>
      </c>
      <c r="O20" s="42">
        <v>28.067</v>
      </c>
      <c r="P20" s="42"/>
      <c r="Q20" s="42">
        <v>48.795000000000002</v>
      </c>
      <c r="R20" s="42"/>
      <c r="S20" s="42">
        <v>77.944000000000003</v>
      </c>
      <c r="T20" s="42">
        <f t="shared" si="1"/>
        <v>501.58400000000006</v>
      </c>
      <c r="U20" s="39">
        <f t="shared" si="2"/>
        <v>4515.826</v>
      </c>
    </row>
    <row r="21" spans="1:21" s="23" customFormat="1" ht="23.25" customHeight="1">
      <c r="A21" s="72">
        <v>15</v>
      </c>
      <c r="B21" s="37" t="s">
        <v>62</v>
      </c>
      <c r="C21" s="37">
        <v>18</v>
      </c>
      <c r="D21" s="37">
        <v>18</v>
      </c>
      <c r="E21" s="43">
        <v>2739.4419509999998</v>
      </c>
      <c r="F21" s="43">
        <v>300.24</v>
      </c>
      <c r="G21" s="42">
        <f t="shared" si="0"/>
        <v>3039.6819509999996</v>
      </c>
      <c r="H21" s="42">
        <v>2605.7839439999998</v>
      </c>
      <c r="I21" s="42">
        <v>107.768</v>
      </c>
      <c r="J21" s="42">
        <v>12.512356</v>
      </c>
      <c r="K21" s="42">
        <v>21.658999999999999</v>
      </c>
      <c r="L21" s="42">
        <v>28.705878999999999</v>
      </c>
      <c r="M21" s="42">
        <v>52.881</v>
      </c>
      <c r="N21" s="42">
        <v>41.515000000000001</v>
      </c>
      <c r="O21" s="42">
        <v>8.7989999999999995</v>
      </c>
      <c r="P21" s="42"/>
      <c r="Q21" s="42">
        <v>63.797600000000003</v>
      </c>
      <c r="R21" s="42"/>
      <c r="S21" s="42">
        <v>95.263648000000003</v>
      </c>
      <c r="T21" s="42">
        <f t="shared" si="1"/>
        <v>432.90148299999998</v>
      </c>
      <c r="U21" s="39">
        <f t="shared" si="2"/>
        <v>3038.6854269999999</v>
      </c>
    </row>
    <row r="22" spans="1:21" s="23" customFormat="1" ht="23.25" customHeight="1">
      <c r="A22" s="72">
        <v>16</v>
      </c>
      <c r="B22" s="37" t="s">
        <v>63</v>
      </c>
      <c r="C22" s="37">
        <v>43</v>
      </c>
      <c r="D22" s="37">
        <v>38</v>
      </c>
      <c r="E22" s="43">
        <v>5838.5647550000003</v>
      </c>
      <c r="F22" s="43">
        <v>717.24</v>
      </c>
      <c r="G22" s="42">
        <f t="shared" si="0"/>
        <v>6555.8047550000001</v>
      </c>
      <c r="H22" s="53">
        <v>5822.67364</v>
      </c>
      <c r="I22" s="53"/>
      <c r="J22" s="53">
        <v>32.328659000000002</v>
      </c>
      <c r="K22" s="53">
        <v>99.581999999999994</v>
      </c>
      <c r="L22" s="53">
        <v>7.9541519999999997</v>
      </c>
      <c r="M22" s="53">
        <v>103.67</v>
      </c>
      <c r="N22" s="53">
        <v>38.897500000000001</v>
      </c>
      <c r="O22" s="53">
        <v>31.38</v>
      </c>
      <c r="P22" s="53"/>
      <c r="Q22" s="53">
        <v>217.6593</v>
      </c>
      <c r="R22" s="53"/>
      <c r="S22" s="53">
        <v>201.65950399999997</v>
      </c>
      <c r="T22" s="42">
        <f t="shared" si="1"/>
        <v>733.13111499999991</v>
      </c>
      <c r="U22" s="39">
        <f t="shared" si="2"/>
        <v>6555.8047550000001</v>
      </c>
    </row>
    <row r="23" spans="1:21" s="23" customFormat="1" ht="23.25" customHeight="1">
      <c r="A23" s="72">
        <v>17</v>
      </c>
      <c r="B23" s="54" t="s">
        <v>64</v>
      </c>
      <c r="C23" s="37">
        <v>21</v>
      </c>
      <c r="D23" s="37">
        <v>17</v>
      </c>
      <c r="E23" s="43">
        <v>2877.6390380000003</v>
      </c>
      <c r="F23" s="43">
        <v>350.28</v>
      </c>
      <c r="G23" s="42">
        <f t="shared" si="0"/>
        <v>3227.919038</v>
      </c>
      <c r="H23" s="42">
        <v>2731.2281489999996</v>
      </c>
      <c r="I23" s="42">
        <v>132.86600000000001</v>
      </c>
      <c r="J23" s="42">
        <v>10.008789999999999</v>
      </c>
      <c r="K23" s="42">
        <v>45.405000000000001</v>
      </c>
      <c r="L23" s="42">
        <v>1.456</v>
      </c>
      <c r="M23" s="42">
        <v>65.984999999999999</v>
      </c>
      <c r="N23" s="42">
        <v>9.0549999999999997</v>
      </c>
      <c r="O23" s="42">
        <v>22.809000000000001</v>
      </c>
      <c r="P23" s="42"/>
      <c r="Q23" s="42">
        <v>64.290400000000005</v>
      </c>
      <c r="R23" s="42"/>
      <c r="S23" s="42">
        <v>66.224283999999997</v>
      </c>
      <c r="T23" s="42">
        <f t="shared" si="1"/>
        <v>418.0994740000001</v>
      </c>
      <c r="U23" s="39">
        <f t="shared" si="2"/>
        <v>3149.3276229999997</v>
      </c>
    </row>
    <row r="24" spans="1:21" s="23" customFormat="1" ht="23.25" customHeight="1">
      <c r="A24" s="72">
        <v>18</v>
      </c>
      <c r="B24" s="37" t="s">
        <v>65</v>
      </c>
      <c r="C24" s="37">
        <v>28</v>
      </c>
      <c r="D24" s="37">
        <v>28</v>
      </c>
      <c r="E24" s="43">
        <v>4605.0847329999997</v>
      </c>
      <c r="F24" s="43">
        <v>467.04000000000008</v>
      </c>
      <c r="G24" s="42">
        <f t="shared" si="0"/>
        <v>5072.1247329999997</v>
      </c>
      <c r="H24" s="42">
        <v>4590.0023440000004</v>
      </c>
      <c r="I24" s="42"/>
      <c r="J24" s="42">
        <v>16.714697999999999</v>
      </c>
      <c r="K24" s="42">
        <v>115.308133</v>
      </c>
      <c r="L24" s="42">
        <v>7.6954820000000002</v>
      </c>
      <c r="M24" s="42">
        <v>107.488</v>
      </c>
      <c r="N24" s="42">
        <v>29.696000000000002</v>
      </c>
      <c r="O24" s="42">
        <v>42.969000000000001</v>
      </c>
      <c r="P24" s="42">
        <v>14.9</v>
      </c>
      <c r="Q24" s="42">
        <v>138.75107600000001</v>
      </c>
      <c r="R24" s="42"/>
      <c r="S24" s="42">
        <v>8.6</v>
      </c>
      <c r="T24" s="42">
        <f t="shared" si="1"/>
        <v>482.122389</v>
      </c>
      <c r="U24" s="39">
        <f t="shared" si="2"/>
        <v>5072.1247330000006</v>
      </c>
    </row>
    <row r="25" spans="1:21" s="23" customFormat="1" ht="23.25" customHeight="1">
      <c r="A25" s="72">
        <v>19</v>
      </c>
      <c r="B25" s="37" t="s">
        <v>202</v>
      </c>
      <c r="C25" s="37">
        <v>19</v>
      </c>
      <c r="D25" s="37">
        <v>19</v>
      </c>
      <c r="E25" s="43">
        <v>2704.0786109999999</v>
      </c>
      <c r="F25" s="43">
        <v>316.92</v>
      </c>
      <c r="G25" s="42">
        <f t="shared" si="0"/>
        <v>3020.998611</v>
      </c>
      <c r="H25" s="42">
        <v>2572.9057670000002</v>
      </c>
      <c r="I25" s="42"/>
      <c r="J25" s="42">
        <v>23.032125000000001</v>
      </c>
      <c r="K25" s="42">
        <v>41.568489999999997</v>
      </c>
      <c r="L25" s="42">
        <v>4.2158290000000003</v>
      </c>
      <c r="M25" s="42">
        <v>90.983999999999995</v>
      </c>
      <c r="N25" s="42">
        <v>36.799999999999997</v>
      </c>
      <c r="O25" s="42">
        <v>43.725000000000001</v>
      </c>
      <c r="P25" s="42"/>
      <c r="Q25" s="42">
        <v>163.2424</v>
      </c>
      <c r="R25" s="42"/>
      <c r="S25" s="42">
        <v>20.893999999999998</v>
      </c>
      <c r="T25" s="42">
        <f t="shared" si="1"/>
        <v>424.46184399999999</v>
      </c>
      <c r="U25" s="39">
        <f t="shared" si="2"/>
        <v>2997.3676110000001</v>
      </c>
    </row>
    <row r="26" spans="1:21" s="23" customFormat="1" ht="23.25" customHeight="1">
      <c r="A26" s="72">
        <v>20</v>
      </c>
      <c r="B26" s="37" t="s">
        <v>66</v>
      </c>
      <c r="C26" s="37">
        <v>32</v>
      </c>
      <c r="D26" s="37">
        <v>30</v>
      </c>
      <c r="E26" s="43">
        <v>5350.7311159999999</v>
      </c>
      <c r="F26" s="43">
        <v>533.76</v>
      </c>
      <c r="G26" s="42">
        <f t="shared" si="0"/>
        <v>5884.4911160000001</v>
      </c>
      <c r="H26" s="42">
        <v>5169.6283350000003</v>
      </c>
      <c r="I26" s="42">
        <v>122.16500000000001</v>
      </c>
      <c r="J26" s="42">
        <v>22.021325000000001</v>
      </c>
      <c r="K26" s="42">
        <v>33.232999999999997</v>
      </c>
      <c r="L26" s="42">
        <v>27.757705999999999</v>
      </c>
      <c r="M26" s="42">
        <v>94.971999999999994</v>
      </c>
      <c r="N26" s="42">
        <v>54.429749999999999</v>
      </c>
      <c r="O26" s="42">
        <v>28.48</v>
      </c>
      <c r="P26" s="42">
        <v>99.046999999999997</v>
      </c>
      <c r="Q26" s="42">
        <v>107.625</v>
      </c>
      <c r="R26" s="42"/>
      <c r="S26" s="42">
        <v>68.460999999999999</v>
      </c>
      <c r="T26" s="42">
        <f t="shared" si="1"/>
        <v>658.19178099999999</v>
      </c>
      <c r="U26" s="39">
        <f t="shared" si="2"/>
        <v>5827.8201160000008</v>
      </c>
    </row>
    <row r="27" spans="1:21" s="23" customFormat="1" ht="23.25" customHeight="1">
      <c r="A27" s="72">
        <v>21</v>
      </c>
      <c r="B27" s="37" t="s">
        <v>67</v>
      </c>
      <c r="C27" s="37">
        <v>34</v>
      </c>
      <c r="D27" s="37">
        <v>30</v>
      </c>
      <c r="E27" s="43">
        <v>5711.0454220000001</v>
      </c>
      <c r="F27" s="43">
        <v>567.12</v>
      </c>
      <c r="G27" s="42">
        <f t="shared" si="0"/>
        <v>6278.165422</v>
      </c>
      <c r="H27" s="42">
        <v>5341.4786940000004</v>
      </c>
      <c r="I27" s="42">
        <v>105.17700000000001</v>
      </c>
      <c r="J27" s="42">
        <v>19.009566</v>
      </c>
      <c r="K27" s="42">
        <v>18.597999999999999</v>
      </c>
      <c r="L27" s="42">
        <v>4.8887239999999998</v>
      </c>
      <c r="M27" s="42">
        <v>173.70600000000002</v>
      </c>
      <c r="N27" s="42">
        <v>43.65</v>
      </c>
      <c r="O27" s="42">
        <v>28</v>
      </c>
      <c r="P27" s="42"/>
      <c r="Q27" s="42">
        <v>141.3262</v>
      </c>
      <c r="R27" s="42"/>
      <c r="S27" s="42">
        <v>339.34500600000001</v>
      </c>
      <c r="T27" s="42">
        <f t="shared" si="1"/>
        <v>873.70049599999993</v>
      </c>
      <c r="U27" s="39">
        <f t="shared" si="2"/>
        <v>6215.1791900000007</v>
      </c>
    </row>
    <row r="28" spans="1:21" s="23" customFormat="1" ht="23.25" customHeight="1">
      <c r="A28" s="72">
        <v>22</v>
      </c>
      <c r="B28" s="37" t="s">
        <v>68</v>
      </c>
      <c r="C28" s="37">
        <v>22</v>
      </c>
      <c r="D28" s="37">
        <v>22</v>
      </c>
      <c r="E28" s="43">
        <v>3406.0833259999999</v>
      </c>
      <c r="F28" s="43">
        <v>366.96</v>
      </c>
      <c r="G28" s="42">
        <f t="shared" si="0"/>
        <v>3773.043326</v>
      </c>
      <c r="H28" s="42">
        <v>3360.3983520000002</v>
      </c>
      <c r="I28" s="42">
        <v>58.989485000000002</v>
      </c>
      <c r="J28" s="42">
        <v>9.9563970000000008</v>
      </c>
      <c r="K28" s="42">
        <v>5.64</v>
      </c>
      <c r="L28" s="42">
        <v>4.4840920000000004</v>
      </c>
      <c r="M28" s="42">
        <v>81.015999999999991</v>
      </c>
      <c r="N28" s="42">
        <v>28.35</v>
      </c>
      <c r="O28" s="42">
        <v>8.48</v>
      </c>
      <c r="P28" s="42">
        <v>29.92</v>
      </c>
      <c r="Q28" s="42">
        <v>96.468999999999994</v>
      </c>
      <c r="R28" s="42"/>
      <c r="S28" s="42">
        <v>89.34</v>
      </c>
      <c r="T28" s="42">
        <f t="shared" si="1"/>
        <v>412.64497399999993</v>
      </c>
      <c r="U28" s="39">
        <f t="shared" si="2"/>
        <v>3773.043326</v>
      </c>
    </row>
    <row r="29" spans="1:21" s="23" customFormat="1" ht="23.25" customHeight="1">
      <c r="A29" s="72">
        <v>23</v>
      </c>
      <c r="B29" s="41" t="s">
        <v>188</v>
      </c>
      <c r="C29" s="37">
        <v>16</v>
      </c>
      <c r="D29" s="37">
        <v>15</v>
      </c>
      <c r="E29" s="43">
        <v>2292.42</v>
      </c>
      <c r="F29" s="43">
        <v>266.88</v>
      </c>
      <c r="G29" s="42">
        <f t="shared" si="0"/>
        <v>2559.3000000000002</v>
      </c>
      <c r="H29" s="42">
        <v>2135.3000000000002</v>
      </c>
      <c r="I29" s="42">
        <v>55.39</v>
      </c>
      <c r="J29" s="42">
        <v>16.745000000000001</v>
      </c>
      <c r="K29" s="42">
        <v>21.446999999999999</v>
      </c>
      <c r="L29" s="42">
        <v>7.9619999999999997</v>
      </c>
      <c r="M29" s="42">
        <v>92.573000000000008</v>
      </c>
      <c r="N29" s="42">
        <v>38.5</v>
      </c>
      <c r="O29" s="42">
        <v>61.140999999999998</v>
      </c>
      <c r="P29" s="42"/>
      <c r="Q29" s="42">
        <v>46.512</v>
      </c>
      <c r="R29" s="42"/>
      <c r="S29" s="42">
        <v>83.73</v>
      </c>
      <c r="T29" s="42">
        <f t="shared" si="1"/>
        <v>424.00000000000006</v>
      </c>
      <c r="U29" s="39">
        <f t="shared" si="2"/>
        <v>2559.3000000000002</v>
      </c>
    </row>
    <row r="30" spans="1:21" s="23" customFormat="1" ht="23.25" customHeight="1">
      <c r="A30" s="72">
        <v>24</v>
      </c>
      <c r="B30" s="37" t="s">
        <v>69</v>
      </c>
      <c r="C30" s="37">
        <v>23</v>
      </c>
      <c r="D30" s="37">
        <v>23</v>
      </c>
      <c r="E30" s="43">
        <v>3064.113143</v>
      </c>
      <c r="F30" s="43">
        <v>383.64000000000004</v>
      </c>
      <c r="G30" s="42">
        <f t="shared" si="0"/>
        <v>3447.7531429999999</v>
      </c>
      <c r="H30" s="42">
        <v>2728.1378549999999</v>
      </c>
      <c r="I30" s="42"/>
      <c r="J30" s="42">
        <v>14.113927</v>
      </c>
      <c r="K30" s="42">
        <v>120.80967099999999</v>
      </c>
      <c r="L30" s="42">
        <v>5.0131899999999998</v>
      </c>
      <c r="M30" s="42">
        <v>141.73400000000001</v>
      </c>
      <c r="N30" s="42">
        <v>32.979999999999997</v>
      </c>
      <c r="O30" s="42">
        <v>185.89349999999999</v>
      </c>
      <c r="P30" s="42">
        <v>60.2</v>
      </c>
      <c r="Q30" s="42">
        <v>79.347999999999999</v>
      </c>
      <c r="R30" s="42"/>
      <c r="S30" s="42">
        <v>79.522999999999996</v>
      </c>
      <c r="T30" s="42">
        <f t="shared" si="1"/>
        <v>719.61528800000008</v>
      </c>
      <c r="U30" s="39">
        <f t="shared" si="2"/>
        <v>3447.7531429999999</v>
      </c>
    </row>
    <row r="31" spans="1:21" s="23" customFormat="1" ht="23.25" customHeight="1">
      <c r="A31" s="72">
        <v>25</v>
      </c>
      <c r="B31" s="37" t="s">
        <v>70</v>
      </c>
      <c r="C31" s="37">
        <v>20</v>
      </c>
      <c r="D31" s="37">
        <v>20</v>
      </c>
      <c r="E31" s="43">
        <v>3146.7846279999999</v>
      </c>
      <c r="F31" s="43">
        <v>333.6</v>
      </c>
      <c r="G31" s="42">
        <f t="shared" si="0"/>
        <v>3480.3846279999998</v>
      </c>
      <c r="H31" s="42">
        <v>2879.918064</v>
      </c>
      <c r="I31" s="42"/>
      <c r="J31" s="42">
        <v>39.024062000000001</v>
      </c>
      <c r="K31" s="42">
        <v>164.36291700000001</v>
      </c>
      <c r="L31" s="42">
        <v>5.5970849999999999</v>
      </c>
      <c r="M31" s="42">
        <v>75.4328</v>
      </c>
      <c r="N31" s="42">
        <v>26.4</v>
      </c>
      <c r="O31" s="42">
        <v>44.67</v>
      </c>
      <c r="P31" s="42">
        <v>128.63499999999999</v>
      </c>
      <c r="Q31" s="42">
        <v>57.314700000000002</v>
      </c>
      <c r="R31" s="42"/>
      <c r="S31" s="42">
        <v>59.03</v>
      </c>
      <c r="T31" s="42">
        <f t="shared" si="1"/>
        <v>600.46656399999995</v>
      </c>
      <c r="U31" s="39">
        <f t="shared" si="2"/>
        <v>3480.3846279999998</v>
      </c>
    </row>
    <row r="32" spans="1:21" s="23" customFormat="1" ht="23.25" customHeight="1">
      <c r="A32" s="72">
        <v>26</v>
      </c>
      <c r="B32" s="37" t="s">
        <v>71</v>
      </c>
      <c r="C32" s="37">
        <v>20</v>
      </c>
      <c r="D32" s="37">
        <v>16</v>
      </c>
      <c r="E32" s="43">
        <v>2694.4230000000002</v>
      </c>
      <c r="F32" s="43">
        <v>333.6</v>
      </c>
      <c r="G32" s="42">
        <f t="shared" si="0"/>
        <v>3028.0230000000001</v>
      </c>
      <c r="H32" s="42">
        <v>2449.5160000000001</v>
      </c>
      <c r="I32" s="42">
        <v>42.52</v>
      </c>
      <c r="J32" s="42">
        <v>14.97</v>
      </c>
      <c r="K32" s="42">
        <v>53.91</v>
      </c>
      <c r="L32" s="42">
        <v>3.9319999999999999</v>
      </c>
      <c r="M32" s="42">
        <v>123.758</v>
      </c>
      <c r="N32" s="42">
        <v>46.505000000000003</v>
      </c>
      <c r="O32" s="42">
        <v>21.8</v>
      </c>
      <c r="P32" s="42">
        <v>39.869999999999997</v>
      </c>
      <c r="Q32" s="42">
        <v>108.02500000000001</v>
      </c>
      <c r="R32" s="42"/>
      <c r="S32" s="42">
        <v>60.447000000000003</v>
      </c>
      <c r="T32" s="42">
        <f t="shared" si="1"/>
        <v>515.73700000000008</v>
      </c>
      <c r="U32" s="39">
        <f t="shared" si="2"/>
        <v>2965.2530000000002</v>
      </c>
    </row>
    <row r="33" spans="1:21" s="23" customFormat="1" ht="23.25" customHeight="1">
      <c r="A33" s="72">
        <v>27</v>
      </c>
      <c r="B33" s="54" t="s">
        <v>165</v>
      </c>
      <c r="C33" s="37">
        <v>11</v>
      </c>
      <c r="D33" s="37">
        <v>11</v>
      </c>
      <c r="E33" s="43">
        <v>1341.513635</v>
      </c>
      <c r="F33" s="43">
        <v>183.48</v>
      </c>
      <c r="G33" s="42">
        <f t="shared" si="0"/>
        <v>1524.993635</v>
      </c>
      <c r="H33" s="42">
        <v>1259.9826110000001</v>
      </c>
      <c r="I33" s="42">
        <v>72.215499999999992</v>
      </c>
      <c r="J33" s="42">
        <v>8.2499590000000005</v>
      </c>
      <c r="K33" s="42">
        <v>20.574000000000002</v>
      </c>
      <c r="L33" s="42">
        <v>3.9455140000000002</v>
      </c>
      <c r="M33" s="42">
        <v>29.382999999999999</v>
      </c>
      <c r="N33" s="42">
        <v>2</v>
      </c>
      <c r="O33" s="42">
        <v>11.8855</v>
      </c>
      <c r="P33" s="42"/>
      <c r="Q33" s="42">
        <v>53.616999999999997</v>
      </c>
      <c r="R33" s="42"/>
      <c r="S33" s="42">
        <v>63.053799999999995</v>
      </c>
      <c r="T33" s="42">
        <f t="shared" si="1"/>
        <v>264.92427299999997</v>
      </c>
      <c r="U33" s="39">
        <f t="shared" si="2"/>
        <v>1524.906884</v>
      </c>
    </row>
    <row r="34" spans="1:21" s="23" customFormat="1" ht="23.25" customHeight="1">
      <c r="A34" s="72">
        <v>28</v>
      </c>
      <c r="B34" s="37" t="s">
        <v>72</v>
      </c>
      <c r="C34" s="37">
        <v>20</v>
      </c>
      <c r="D34" s="37">
        <v>17</v>
      </c>
      <c r="E34" s="43">
        <v>2498.3115190000003</v>
      </c>
      <c r="F34" s="43">
        <v>333.6</v>
      </c>
      <c r="G34" s="42">
        <f t="shared" si="0"/>
        <v>2831.9115190000002</v>
      </c>
      <c r="H34" s="53">
        <v>2361.211139</v>
      </c>
      <c r="I34" s="53"/>
      <c r="J34" s="53">
        <v>21.732945000000001</v>
      </c>
      <c r="K34" s="53">
        <v>87.331500000000005</v>
      </c>
      <c r="L34" s="53">
        <v>1.6356900000000001</v>
      </c>
      <c r="M34" s="53">
        <v>77.725999999999999</v>
      </c>
      <c r="N34" s="53">
        <v>5.14</v>
      </c>
      <c r="O34" s="53">
        <v>18.145</v>
      </c>
      <c r="P34" s="53">
        <v>19.850000000000001</v>
      </c>
      <c r="Q34" s="53">
        <v>69.182199999999995</v>
      </c>
      <c r="R34" s="53"/>
      <c r="S34" s="53">
        <v>169.95704499999999</v>
      </c>
      <c r="T34" s="42">
        <f t="shared" si="1"/>
        <v>470.70038</v>
      </c>
      <c r="U34" s="39">
        <f t="shared" si="2"/>
        <v>2831.9115190000002</v>
      </c>
    </row>
    <row r="35" spans="1:21" s="23" customFormat="1" ht="23.25" customHeight="1">
      <c r="A35" s="72">
        <v>29</v>
      </c>
      <c r="B35" s="54" t="s">
        <v>73</v>
      </c>
      <c r="C35" s="37">
        <v>12</v>
      </c>
      <c r="D35" s="37">
        <v>11</v>
      </c>
      <c r="E35" s="43">
        <v>1942.9102139999998</v>
      </c>
      <c r="F35" s="43">
        <v>200.16</v>
      </c>
      <c r="G35" s="42">
        <f t="shared" si="0"/>
        <v>2143.0702139999999</v>
      </c>
      <c r="H35" s="42">
        <v>1777.271092</v>
      </c>
      <c r="I35" s="42"/>
      <c r="J35" s="42">
        <v>8.9631930000000004</v>
      </c>
      <c r="K35" s="42">
        <v>27.571000000000002</v>
      </c>
      <c r="L35" s="42">
        <v>10.770172000000001</v>
      </c>
      <c r="M35" s="42">
        <v>36.363999999999997</v>
      </c>
      <c r="N35" s="42">
        <v>33.386600000000001</v>
      </c>
      <c r="O35" s="42">
        <v>0.6</v>
      </c>
      <c r="P35" s="42"/>
      <c r="Q35" s="42">
        <v>80.36</v>
      </c>
      <c r="R35" s="42"/>
      <c r="S35" s="42">
        <v>16.869</v>
      </c>
      <c r="T35" s="42">
        <f t="shared" si="1"/>
        <v>214.88396499999999</v>
      </c>
      <c r="U35" s="39">
        <f t="shared" si="2"/>
        <v>1992.1550569999999</v>
      </c>
    </row>
    <row r="36" spans="1:21" s="23" customFormat="1" ht="23.25" customHeight="1">
      <c r="A36" s="72">
        <v>30</v>
      </c>
      <c r="B36" s="37" t="s">
        <v>74</v>
      </c>
      <c r="C36" s="37">
        <v>20</v>
      </c>
      <c r="D36" s="37">
        <v>17</v>
      </c>
      <c r="E36" s="43">
        <v>2695.1256899999998</v>
      </c>
      <c r="F36" s="43">
        <v>333.6</v>
      </c>
      <c r="G36" s="42">
        <f t="shared" si="0"/>
        <v>3028.7256899999998</v>
      </c>
      <c r="H36" s="42">
        <v>2460.769722</v>
      </c>
      <c r="I36" s="42"/>
      <c r="J36" s="42">
        <v>9.3820490000000003</v>
      </c>
      <c r="K36" s="42">
        <v>100.66200000000001</v>
      </c>
      <c r="L36" s="42">
        <v>8.7252240000000008</v>
      </c>
      <c r="M36" s="42">
        <v>57.648000000000003</v>
      </c>
      <c r="N36" s="42">
        <v>46.2</v>
      </c>
      <c r="O36" s="42">
        <v>32.61</v>
      </c>
      <c r="P36" s="42">
        <v>63.5</v>
      </c>
      <c r="Q36" s="42">
        <v>156.53299999999999</v>
      </c>
      <c r="R36" s="42"/>
      <c r="S36" s="42">
        <v>10.664</v>
      </c>
      <c r="T36" s="42">
        <f t="shared" si="1"/>
        <v>485.92427299999997</v>
      </c>
      <c r="U36" s="39">
        <f t="shared" si="2"/>
        <v>2946.6939950000001</v>
      </c>
    </row>
    <row r="37" spans="1:21" s="23" customFormat="1" ht="23.25" customHeight="1">
      <c r="A37" s="72">
        <v>31</v>
      </c>
      <c r="B37" s="37" t="s">
        <v>75</v>
      </c>
      <c r="C37" s="37">
        <v>19</v>
      </c>
      <c r="D37" s="37">
        <v>17</v>
      </c>
      <c r="E37" s="43">
        <v>2483.3246599999998</v>
      </c>
      <c r="F37" s="43">
        <v>316.92</v>
      </c>
      <c r="G37" s="42">
        <f t="shared" si="0"/>
        <v>2800.2446599999998</v>
      </c>
      <c r="H37" s="42">
        <v>2484.4319070000001</v>
      </c>
      <c r="I37" s="42">
        <v>49.923999999999999</v>
      </c>
      <c r="J37" s="42">
        <v>25.640892000000001</v>
      </c>
      <c r="K37" s="42">
        <v>3.5350000000000001</v>
      </c>
      <c r="L37" s="42">
        <v>3.351769</v>
      </c>
      <c r="M37" s="42">
        <v>46.99</v>
      </c>
      <c r="N37" s="42">
        <v>38.392499999999998</v>
      </c>
      <c r="O37" s="42">
        <v>21.927</v>
      </c>
      <c r="P37" s="42">
        <v>68.650999999999996</v>
      </c>
      <c r="Q37" s="42">
        <v>23.549592000000001</v>
      </c>
      <c r="R37" s="42"/>
      <c r="S37" s="42">
        <v>22.350999999999999</v>
      </c>
      <c r="T37" s="42">
        <f t="shared" si="1"/>
        <v>304.31275299999999</v>
      </c>
      <c r="U37" s="39">
        <f t="shared" si="2"/>
        <v>2788.7446600000003</v>
      </c>
    </row>
    <row r="38" spans="1:21" s="23" customFormat="1" ht="23.25" customHeight="1">
      <c r="A38" s="72">
        <v>32</v>
      </c>
      <c r="B38" s="37" t="s">
        <v>76</v>
      </c>
      <c r="C38" s="37">
        <v>26</v>
      </c>
      <c r="D38" s="37">
        <v>26</v>
      </c>
      <c r="E38" s="43">
        <v>4309.6560489999993</v>
      </c>
      <c r="F38" s="43">
        <v>433.68</v>
      </c>
      <c r="G38" s="42">
        <f t="shared" si="0"/>
        <v>4743.3360489999995</v>
      </c>
      <c r="H38" s="42">
        <v>4085.9179899999999</v>
      </c>
      <c r="I38" s="42">
        <v>70.781000000000006</v>
      </c>
      <c r="J38" s="42">
        <v>11.983437</v>
      </c>
      <c r="K38" s="42">
        <v>8.59</v>
      </c>
      <c r="L38" s="42">
        <v>1.508955</v>
      </c>
      <c r="M38" s="42">
        <v>132.50300000000001</v>
      </c>
      <c r="N38" s="42">
        <v>38.590000000000003</v>
      </c>
      <c r="O38" s="42">
        <v>13.92</v>
      </c>
      <c r="P38" s="42">
        <v>32.46</v>
      </c>
      <c r="Q38" s="42">
        <v>92.991299999999995</v>
      </c>
      <c r="R38" s="42"/>
      <c r="S38" s="42">
        <v>212.21614400000001</v>
      </c>
      <c r="T38" s="42">
        <f t="shared" si="1"/>
        <v>615.54383600000006</v>
      </c>
      <c r="U38" s="39">
        <f t="shared" si="2"/>
        <v>4701.4618259999997</v>
      </c>
    </row>
    <row r="39" spans="1:21" s="23" customFormat="1" ht="23.25" customHeight="1">
      <c r="A39" s="72">
        <v>33</v>
      </c>
      <c r="B39" s="41" t="s">
        <v>77</v>
      </c>
      <c r="C39" s="37">
        <v>10</v>
      </c>
      <c r="D39" s="37">
        <v>9</v>
      </c>
      <c r="E39" s="43">
        <v>1431.6000000000001</v>
      </c>
      <c r="F39" s="43">
        <v>166.8</v>
      </c>
      <c r="G39" s="42">
        <f t="shared" si="0"/>
        <v>1598.4</v>
      </c>
      <c r="H39" s="42">
        <v>1299.866</v>
      </c>
      <c r="I39" s="42">
        <v>29.381</v>
      </c>
      <c r="J39" s="42">
        <v>10.55</v>
      </c>
      <c r="K39" s="42">
        <v>13.163</v>
      </c>
      <c r="L39" s="42">
        <v>19.704999999999998</v>
      </c>
      <c r="M39" s="42">
        <v>54.316000000000003</v>
      </c>
      <c r="N39" s="42">
        <v>8.4849999999999994</v>
      </c>
      <c r="O39" s="42">
        <v>23</v>
      </c>
      <c r="P39" s="42">
        <v>50.21</v>
      </c>
      <c r="Q39" s="42">
        <v>58.558999999999997</v>
      </c>
      <c r="R39" s="42"/>
      <c r="S39" s="42">
        <v>31.164999999999999</v>
      </c>
      <c r="T39" s="42">
        <f t="shared" si="1"/>
        <v>298.53400000000005</v>
      </c>
      <c r="U39" s="39">
        <f t="shared" si="2"/>
        <v>1598.4</v>
      </c>
    </row>
    <row r="40" spans="1:21" s="23" customFormat="1" ht="23.25" customHeight="1">
      <c r="A40" s="72">
        <v>34</v>
      </c>
      <c r="B40" s="37" t="s">
        <v>78</v>
      </c>
      <c r="C40" s="37">
        <v>34</v>
      </c>
      <c r="D40" s="37">
        <v>29</v>
      </c>
      <c r="E40" s="43">
        <v>3769.91</v>
      </c>
      <c r="F40" s="43">
        <v>567.12</v>
      </c>
      <c r="G40" s="42">
        <f t="shared" si="0"/>
        <v>4337.03</v>
      </c>
      <c r="H40" s="42">
        <v>3282.317106</v>
      </c>
      <c r="I40" s="42"/>
      <c r="J40" s="42">
        <v>29.378700000000002</v>
      </c>
      <c r="K40" s="42">
        <v>128.505945</v>
      </c>
      <c r="L40" s="42">
        <v>58.413977000000003</v>
      </c>
      <c r="M40" s="42">
        <v>121.34400000000001</v>
      </c>
      <c r="N40" s="42">
        <v>9.4749999999999996</v>
      </c>
      <c r="O40" s="42">
        <v>122.74758800000001</v>
      </c>
      <c r="P40" s="42"/>
      <c r="Q40" s="42">
        <v>130.1705</v>
      </c>
      <c r="R40" s="42"/>
      <c r="S40" s="42">
        <v>198.768</v>
      </c>
      <c r="T40" s="42">
        <f t="shared" si="1"/>
        <v>798.80371000000014</v>
      </c>
      <c r="U40" s="39">
        <f t="shared" si="2"/>
        <v>4081.1208160000001</v>
      </c>
    </row>
    <row r="41" spans="1:21" s="28" customFormat="1" ht="23.25" customHeight="1">
      <c r="A41" s="157" t="s">
        <v>19</v>
      </c>
      <c r="B41" s="157"/>
      <c r="C41" s="39">
        <f>SUM(C7:C40)</f>
        <v>758</v>
      </c>
      <c r="D41" s="39">
        <f t="shared" ref="D41:U41" si="3">SUM(D7:D40)</f>
        <v>699</v>
      </c>
      <c r="E41" s="39">
        <f t="shared" si="3"/>
        <v>104414.63426999997</v>
      </c>
      <c r="F41" s="39">
        <f t="shared" si="3"/>
        <v>12643.439999999999</v>
      </c>
      <c r="G41" s="39">
        <f t="shared" si="3"/>
        <v>117058.07427000001</v>
      </c>
      <c r="H41" s="39">
        <f t="shared" si="3"/>
        <v>99329.140471000021</v>
      </c>
      <c r="I41" s="39">
        <f t="shared" si="3"/>
        <v>1225.6759849999999</v>
      </c>
      <c r="J41" s="39">
        <f t="shared" si="3"/>
        <v>579.10209599999996</v>
      </c>
      <c r="K41" s="39">
        <f t="shared" si="3"/>
        <v>2288.9076580000001</v>
      </c>
      <c r="L41" s="39">
        <f t="shared" si="3"/>
        <v>266.72440899999992</v>
      </c>
      <c r="M41" s="39">
        <f t="shared" si="3"/>
        <v>2615.7997999999998</v>
      </c>
      <c r="N41" s="39">
        <f t="shared" si="3"/>
        <v>1204.5907299999997</v>
      </c>
      <c r="O41" s="39">
        <f t="shared" si="3"/>
        <v>1212.8992609999998</v>
      </c>
      <c r="P41" s="39">
        <f t="shared" si="3"/>
        <v>1043.405</v>
      </c>
      <c r="Q41" s="39">
        <f t="shared" si="3"/>
        <v>3400.5422770000009</v>
      </c>
      <c r="R41" s="39">
        <f t="shared" si="3"/>
        <v>0</v>
      </c>
      <c r="S41" s="39">
        <f t="shared" si="3"/>
        <v>2948.1457210000008</v>
      </c>
      <c r="T41" s="39">
        <f t="shared" si="3"/>
        <v>16785.792936999998</v>
      </c>
      <c r="U41" s="39">
        <f t="shared" si="3"/>
        <v>116114.93340799995</v>
      </c>
    </row>
    <row r="42" spans="1:21" s="23" customFormat="1" ht="19.5" customHeight="1">
      <c r="G42" s="74"/>
    </row>
    <row r="43" spans="1:21" s="23" customFormat="1" ht="19.5" customHeight="1">
      <c r="G43" s="74"/>
    </row>
    <row r="44" spans="1:21" s="23" customFormat="1" ht="19.5" customHeight="1">
      <c r="G44" s="74"/>
    </row>
    <row r="45" spans="1:21" s="23" customFormat="1" ht="19.5" customHeight="1">
      <c r="G45" s="74"/>
    </row>
    <row r="46" spans="1:21" s="23" customFormat="1" ht="19.5" customHeight="1">
      <c r="G46" s="74"/>
    </row>
    <row r="47" spans="1:21" s="23" customFormat="1" ht="19.5" customHeight="1">
      <c r="G47" s="74"/>
    </row>
    <row r="48" spans="1:21" s="23" customFormat="1" ht="19.5" customHeight="1">
      <c r="G48" s="74"/>
    </row>
    <row r="49" spans="7:7" s="23" customFormat="1" ht="19.5" customHeight="1">
      <c r="G49" s="74"/>
    </row>
    <row r="50" spans="7:7" s="23" customFormat="1" ht="19.5" customHeight="1">
      <c r="G50" s="74"/>
    </row>
    <row r="51" spans="7:7" s="23" customFormat="1" ht="19.5" customHeight="1">
      <c r="G51" s="74"/>
    </row>
    <row r="52" spans="7:7" s="23" customFormat="1" ht="19.5" customHeight="1">
      <c r="G52" s="74"/>
    </row>
    <row r="53" spans="7:7" s="23" customFormat="1" ht="19.5" customHeight="1">
      <c r="G53" s="74"/>
    </row>
    <row r="54" spans="7:7" s="23" customFormat="1" ht="19.5" customHeight="1">
      <c r="G54" s="74"/>
    </row>
    <row r="55" spans="7:7" s="23" customFormat="1" ht="19.5" customHeight="1">
      <c r="G55" s="74"/>
    </row>
    <row r="56" spans="7:7" s="23" customFormat="1" ht="19.5" customHeight="1">
      <c r="G56" s="74"/>
    </row>
    <row r="57" spans="7:7" s="23" customFormat="1" ht="19.5" customHeight="1">
      <c r="G57" s="74"/>
    </row>
    <row r="58" spans="7:7" s="23" customFormat="1" ht="19.5" customHeight="1">
      <c r="G58" s="74"/>
    </row>
    <row r="59" spans="7:7" s="23" customFormat="1" ht="19.5" customHeight="1">
      <c r="G59" s="74"/>
    </row>
    <row r="60" spans="7:7" s="23" customFormat="1" ht="19.5" customHeight="1">
      <c r="G60" s="74"/>
    </row>
    <row r="61" spans="7:7" s="23" customFormat="1" ht="19.5" customHeight="1">
      <c r="G61" s="74"/>
    </row>
    <row r="62" spans="7:7" s="23" customFormat="1" ht="19.5" customHeight="1">
      <c r="G62" s="74"/>
    </row>
    <row r="63" spans="7:7" s="23" customFormat="1" ht="19.5" customHeight="1">
      <c r="G63" s="74"/>
    </row>
    <row r="64" spans="7:7" s="23" customFormat="1" ht="19.5" customHeight="1">
      <c r="G64" s="74"/>
    </row>
    <row r="65" spans="7:7" s="23" customFormat="1" ht="19.5" customHeight="1">
      <c r="G65" s="74"/>
    </row>
    <row r="66" spans="7:7" s="23" customFormat="1" ht="19.5" customHeight="1">
      <c r="G66" s="74"/>
    </row>
    <row r="67" spans="7:7" s="23" customFormat="1" ht="19.5" customHeight="1">
      <c r="G67" s="74"/>
    </row>
    <row r="68" spans="7:7" s="23" customFormat="1" ht="19.5" customHeight="1">
      <c r="G68" s="74"/>
    </row>
    <row r="69" spans="7:7" s="23" customFormat="1" ht="19.5" customHeight="1">
      <c r="G69" s="74"/>
    </row>
    <row r="70" spans="7:7" s="23" customFormat="1" ht="19.5" customHeight="1">
      <c r="G70" s="74"/>
    </row>
    <row r="71" spans="7:7" s="23" customFormat="1" ht="19.5" customHeight="1">
      <c r="G71" s="74"/>
    </row>
    <row r="72" spans="7:7" s="23" customFormat="1" ht="19.5" customHeight="1">
      <c r="G72" s="74"/>
    </row>
    <row r="73" spans="7:7" s="23" customFormat="1" ht="19.5" customHeight="1">
      <c r="G73" s="74"/>
    </row>
    <row r="74" spans="7:7" s="23" customFormat="1" ht="19.5" customHeight="1">
      <c r="G74" s="74"/>
    </row>
    <row r="75" spans="7:7" s="23" customFormat="1" ht="19.5" customHeight="1">
      <c r="G75" s="74"/>
    </row>
    <row r="76" spans="7:7" s="23" customFormat="1" ht="19.5" customHeight="1">
      <c r="G76" s="74"/>
    </row>
    <row r="77" spans="7:7" s="23" customFormat="1" ht="19.5" customHeight="1">
      <c r="G77" s="74"/>
    </row>
    <row r="78" spans="7:7" s="23" customFormat="1" ht="19.5" customHeight="1">
      <c r="G78" s="74"/>
    </row>
    <row r="79" spans="7:7" s="23" customFormat="1" ht="19.5" customHeight="1">
      <c r="G79" s="74"/>
    </row>
    <row r="80" spans="7:7" s="23" customFormat="1" ht="19.5" customHeight="1">
      <c r="G80" s="74"/>
    </row>
    <row r="81" spans="7:7" s="23" customFormat="1" ht="19.5" customHeight="1">
      <c r="G81" s="74"/>
    </row>
    <row r="82" spans="7:7" s="23" customFormat="1" ht="19.5" customHeight="1">
      <c r="G82" s="74"/>
    </row>
    <row r="83" spans="7:7" s="23" customFormat="1" ht="19.5" customHeight="1">
      <c r="G83" s="74"/>
    </row>
    <row r="84" spans="7:7" s="23" customFormat="1" ht="19.5" customHeight="1">
      <c r="G84" s="74"/>
    </row>
    <row r="85" spans="7:7" s="23" customFormat="1" ht="19.5" customHeight="1">
      <c r="G85" s="74"/>
    </row>
    <row r="86" spans="7:7" s="23" customFormat="1" ht="19.5" customHeight="1">
      <c r="G86" s="74"/>
    </row>
    <row r="87" spans="7:7" s="23" customFormat="1" ht="19.5" customHeight="1">
      <c r="G87" s="74"/>
    </row>
    <row r="88" spans="7:7" s="23" customFormat="1" ht="19.5" customHeight="1">
      <c r="G88" s="74"/>
    </row>
    <row r="89" spans="7:7" s="23" customFormat="1" ht="19.5" customHeight="1">
      <c r="G89" s="74"/>
    </row>
    <row r="90" spans="7:7" s="23" customFormat="1" ht="19.5" customHeight="1">
      <c r="G90" s="74"/>
    </row>
    <row r="91" spans="7:7" s="23" customFormat="1" ht="19.5" customHeight="1">
      <c r="G91" s="74"/>
    </row>
    <row r="92" spans="7:7" s="23" customFormat="1" ht="19.5" customHeight="1">
      <c r="G92" s="74"/>
    </row>
    <row r="93" spans="7:7" s="23" customFormat="1" ht="19.5" customHeight="1">
      <c r="G93" s="74"/>
    </row>
    <row r="94" spans="7:7" s="23" customFormat="1" ht="19.5" customHeight="1">
      <c r="G94" s="74"/>
    </row>
    <row r="95" spans="7:7" s="23" customFormat="1" ht="19.5" customHeight="1">
      <c r="G95" s="74"/>
    </row>
    <row r="96" spans="7:7" s="23" customFormat="1" ht="19.5" customHeight="1">
      <c r="G96" s="74"/>
    </row>
    <row r="97" spans="7:7" s="23" customFormat="1" ht="19.5" customHeight="1">
      <c r="G97" s="74"/>
    </row>
    <row r="98" spans="7:7" s="23" customFormat="1" ht="19.5" customHeight="1">
      <c r="G98" s="74"/>
    </row>
    <row r="99" spans="7:7" s="23" customFormat="1" ht="19.5" customHeight="1">
      <c r="G99" s="74"/>
    </row>
    <row r="100" spans="7:7" s="23" customFormat="1" ht="19.5" customHeight="1">
      <c r="G100" s="74"/>
    </row>
    <row r="101" spans="7:7" s="23" customFormat="1" ht="19.5" customHeight="1">
      <c r="G101" s="74"/>
    </row>
    <row r="102" spans="7:7" s="23" customFormat="1" ht="19.5" customHeight="1">
      <c r="G102" s="74"/>
    </row>
    <row r="103" spans="7:7" s="23" customFormat="1" ht="19.5" customHeight="1">
      <c r="G103" s="74"/>
    </row>
    <row r="104" spans="7:7" s="23" customFormat="1" ht="19.5" customHeight="1">
      <c r="G104" s="74"/>
    </row>
    <row r="105" spans="7:7" s="23" customFormat="1" ht="19.5" customHeight="1">
      <c r="G105" s="74"/>
    </row>
    <row r="106" spans="7:7" s="23" customFormat="1" ht="19.5" customHeight="1">
      <c r="G106" s="74"/>
    </row>
    <row r="107" spans="7:7" s="23" customFormat="1" ht="19.5" customHeight="1">
      <c r="G107" s="74"/>
    </row>
    <row r="108" spans="7:7" s="23" customFormat="1" ht="19.5" customHeight="1">
      <c r="G108" s="74"/>
    </row>
    <row r="109" spans="7:7" s="23" customFormat="1" ht="19.5" customHeight="1">
      <c r="G109" s="74"/>
    </row>
    <row r="110" spans="7:7" s="23" customFormat="1" ht="19.5" customHeight="1">
      <c r="G110" s="74"/>
    </row>
    <row r="111" spans="7:7" s="23" customFormat="1" ht="19.5" customHeight="1">
      <c r="G111" s="74"/>
    </row>
    <row r="112" spans="7:7" s="23" customFormat="1" ht="19.5" customHeight="1">
      <c r="G112" s="74"/>
    </row>
    <row r="113" spans="7:7" s="23" customFormat="1" ht="19.5" customHeight="1">
      <c r="G113" s="74"/>
    </row>
    <row r="114" spans="7:7" s="23" customFormat="1" ht="19.5" customHeight="1">
      <c r="G114" s="74"/>
    </row>
    <row r="115" spans="7:7" s="23" customFormat="1" ht="19.5" customHeight="1">
      <c r="G115" s="74"/>
    </row>
    <row r="116" spans="7:7" s="23" customFormat="1" ht="19.5" customHeight="1">
      <c r="G116" s="74"/>
    </row>
    <row r="117" spans="7:7" s="23" customFormat="1" ht="19.5" customHeight="1">
      <c r="G117" s="74"/>
    </row>
    <row r="118" spans="7:7" s="23" customFormat="1" ht="19.5" customHeight="1">
      <c r="G118" s="74"/>
    </row>
    <row r="119" spans="7:7" s="23" customFormat="1" ht="19.5" customHeight="1">
      <c r="G119" s="74"/>
    </row>
    <row r="120" spans="7:7" s="23" customFormat="1" ht="19.5" customHeight="1">
      <c r="G120" s="74"/>
    </row>
    <row r="121" spans="7:7" s="23" customFormat="1" ht="19.5" customHeight="1">
      <c r="G121" s="74"/>
    </row>
    <row r="122" spans="7:7" s="23" customFormat="1" ht="19.5" customHeight="1">
      <c r="G122" s="74"/>
    </row>
    <row r="123" spans="7:7" s="23" customFormat="1" ht="19.5" customHeight="1">
      <c r="G123" s="74"/>
    </row>
    <row r="124" spans="7:7" s="23" customFormat="1" ht="19.5" customHeight="1">
      <c r="G124" s="74"/>
    </row>
    <row r="125" spans="7:7" s="23" customFormat="1" ht="19.5" customHeight="1">
      <c r="G125" s="74"/>
    </row>
    <row r="126" spans="7:7" s="23" customFormat="1" ht="19.5" customHeight="1">
      <c r="G126" s="74"/>
    </row>
    <row r="127" spans="7:7" s="23" customFormat="1" ht="19.5" customHeight="1">
      <c r="G127" s="74"/>
    </row>
    <row r="128" spans="7:7" s="23" customFormat="1" ht="19.5" customHeight="1">
      <c r="G128" s="74"/>
    </row>
    <row r="129" spans="7:7" s="23" customFormat="1" ht="19.5" customHeight="1">
      <c r="G129" s="74"/>
    </row>
    <row r="130" spans="7:7" s="23" customFormat="1" ht="19.5" customHeight="1">
      <c r="G130" s="74"/>
    </row>
    <row r="131" spans="7:7" s="23" customFormat="1" ht="19.5" customHeight="1">
      <c r="G131" s="74"/>
    </row>
    <row r="132" spans="7:7" s="23" customFormat="1" ht="19.5" customHeight="1">
      <c r="G132" s="74"/>
    </row>
    <row r="133" spans="7:7" s="23" customFormat="1" ht="19.5" customHeight="1">
      <c r="G133" s="74"/>
    </row>
    <row r="134" spans="7:7" s="23" customFormat="1" ht="19.5" customHeight="1">
      <c r="G134" s="74"/>
    </row>
    <row r="135" spans="7:7" s="23" customFormat="1" ht="19.5" customHeight="1">
      <c r="G135" s="74"/>
    </row>
    <row r="136" spans="7:7" s="23" customFormat="1" ht="19.5" customHeight="1">
      <c r="G136" s="74"/>
    </row>
    <row r="137" spans="7:7" s="23" customFormat="1" ht="19.5" customHeight="1">
      <c r="G137" s="74"/>
    </row>
    <row r="138" spans="7:7" s="23" customFormat="1" ht="19.5" customHeight="1">
      <c r="G138" s="74"/>
    </row>
    <row r="139" spans="7:7" s="23" customFormat="1" ht="19.5" customHeight="1">
      <c r="G139" s="74"/>
    </row>
    <row r="140" spans="7:7" s="23" customFormat="1" ht="19.5" customHeight="1">
      <c r="G140" s="74"/>
    </row>
    <row r="141" spans="7:7" s="23" customFormat="1" ht="19.5" customHeight="1">
      <c r="G141" s="74"/>
    </row>
    <row r="142" spans="7:7" s="23" customFormat="1" ht="19.5" customHeight="1">
      <c r="G142" s="74"/>
    </row>
    <row r="143" spans="7:7" s="23" customFormat="1" ht="19.5" customHeight="1">
      <c r="G143" s="74"/>
    </row>
    <row r="144" spans="7:7" s="23" customFormat="1" ht="19.5" customHeight="1">
      <c r="G144" s="74"/>
    </row>
    <row r="145" spans="7:7" s="23" customFormat="1" ht="19.5" customHeight="1">
      <c r="G145" s="74"/>
    </row>
    <row r="146" spans="7:7" s="23" customFormat="1" ht="19.5" customHeight="1">
      <c r="G146" s="74"/>
    </row>
    <row r="147" spans="7:7" s="23" customFormat="1" ht="19.5" customHeight="1">
      <c r="G147" s="74"/>
    </row>
    <row r="148" spans="7:7" s="23" customFormat="1" ht="19.5" customHeight="1">
      <c r="G148" s="74"/>
    </row>
    <row r="149" spans="7:7" s="23" customFormat="1" ht="19.5" customHeight="1">
      <c r="G149" s="74"/>
    </row>
    <row r="150" spans="7:7" s="23" customFormat="1" ht="19.5" customHeight="1">
      <c r="G150" s="74"/>
    </row>
    <row r="151" spans="7:7" s="23" customFormat="1" ht="19.5" customHeight="1">
      <c r="G151" s="74"/>
    </row>
    <row r="152" spans="7:7" s="23" customFormat="1" ht="19.5" customHeight="1">
      <c r="G152" s="74"/>
    </row>
    <row r="153" spans="7:7" s="23" customFormat="1" ht="19.5" customHeight="1">
      <c r="G153" s="74"/>
    </row>
    <row r="154" spans="7:7" s="23" customFormat="1" ht="19.5" customHeight="1">
      <c r="G154" s="74"/>
    </row>
    <row r="155" spans="7:7" s="23" customFormat="1" ht="19.5" customHeight="1">
      <c r="G155" s="74"/>
    </row>
    <row r="156" spans="7:7" s="23" customFormat="1" ht="19.5" customHeight="1">
      <c r="G156" s="74"/>
    </row>
    <row r="157" spans="7:7" s="23" customFormat="1" ht="19.5" customHeight="1">
      <c r="G157" s="74"/>
    </row>
    <row r="158" spans="7:7" s="23" customFormat="1" ht="19.5" customHeight="1">
      <c r="G158" s="74"/>
    </row>
    <row r="159" spans="7:7" s="23" customFormat="1" ht="19.5" customHeight="1">
      <c r="G159" s="74"/>
    </row>
    <row r="160" spans="7:7" s="23" customFormat="1" ht="19.5" customHeight="1">
      <c r="G160" s="74"/>
    </row>
    <row r="161" spans="7:7" s="23" customFormat="1" ht="19.5" customHeight="1">
      <c r="G161" s="74"/>
    </row>
    <row r="162" spans="7:7" s="23" customFormat="1" ht="19.5" customHeight="1">
      <c r="G162" s="74"/>
    </row>
    <row r="163" spans="7:7" s="23" customFormat="1" ht="19.5" customHeight="1">
      <c r="G163" s="74"/>
    </row>
    <row r="164" spans="7:7" s="23" customFormat="1" ht="19.5" customHeight="1">
      <c r="G164" s="74"/>
    </row>
    <row r="165" spans="7:7" s="23" customFormat="1" ht="19.5" customHeight="1">
      <c r="G165" s="74"/>
    </row>
    <row r="166" spans="7:7" s="23" customFormat="1" ht="19.5" customHeight="1">
      <c r="G166" s="74"/>
    </row>
    <row r="167" spans="7:7" s="23" customFormat="1" ht="19.5" customHeight="1">
      <c r="G167" s="74"/>
    </row>
    <row r="168" spans="7:7" s="23" customFormat="1" ht="19.5" customHeight="1">
      <c r="G168" s="74"/>
    </row>
    <row r="169" spans="7:7" s="23" customFormat="1" ht="19.5" customHeight="1">
      <c r="G169" s="74"/>
    </row>
    <row r="170" spans="7:7" s="23" customFormat="1" ht="19.5" customHeight="1">
      <c r="G170" s="74"/>
    </row>
    <row r="171" spans="7:7" s="23" customFormat="1" ht="19.5" customHeight="1">
      <c r="G171" s="74"/>
    </row>
    <row r="172" spans="7:7" s="23" customFormat="1" ht="19.5" customHeight="1">
      <c r="G172" s="74"/>
    </row>
    <row r="173" spans="7:7" s="23" customFormat="1" ht="19.5" customHeight="1">
      <c r="G173" s="74"/>
    </row>
    <row r="174" spans="7:7" s="23" customFormat="1" ht="19.5" customHeight="1">
      <c r="G174" s="74"/>
    </row>
    <row r="175" spans="7:7" s="23" customFormat="1" ht="19.5" customHeight="1">
      <c r="G175" s="74"/>
    </row>
    <row r="176" spans="7:7" s="23" customFormat="1" ht="19.5" customHeight="1">
      <c r="G176" s="74"/>
    </row>
    <row r="177" spans="7:7" s="23" customFormat="1" ht="19.5" customHeight="1">
      <c r="G177" s="74"/>
    </row>
    <row r="178" spans="7:7" s="23" customFormat="1" ht="19.5" customHeight="1">
      <c r="G178" s="74"/>
    </row>
    <row r="179" spans="7:7" s="23" customFormat="1" ht="19.5" customHeight="1">
      <c r="G179" s="74"/>
    </row>
    <row r="180" spans="7:7" s="23" customFormat="1" ht="19.5" customHeight="1">
      <c r="G180" s="74"/>
    </row>
    <row r="181" spans="7:7" s="28" customFormat="1" ht="19.5" customHeight="1"/>
    <row r="182" spans="7:7" s="23" customFormat="1" ht="19.5" customHeight="1">
      <c r="G182" s="74"/>
    </row>
    <row r="183" spans="7:7" s="23" customFormat="1" ht="19.5" customHeight="1">
      <c r="G183" s="74"/>
    </row>
    <row r="184" spans="7:7" s="23" customFormat="1" ht="19.5" customHeight="1">
      <c r="G184" s="74"/>
    </row>
    <row r="185" spans="7:7" s="23" customFormat="1" ht="19.5" customHeight="1">
      <c r="G185" s="74"/>
    </row>
    <row r="186" spans="7:7" s="23" customFormat="1" ht="19.5" customHeight="1">
      <c r="G186" s="74"/>
    </row>
    <row r="187" spans="7:7" s="23" customFormat="1" ht="19.5" customHeight="1">
      <c r="G187" s="74"/>
    </row>
    <row r="188" spans="7:7" s="23" customFormat="1" ht="19.5" customHeight="1">
      <c r="G188" s="74"/>
    </row>
    <row r="189" spans="7:7" s="23" customFormat="1" ht="19.5" customHeight="1">
      <c r="G189" s="74"/>
    </row>
    <row r="190" spans="7:7" s="23" customFormat="1" ht="19.5" customHeight="1">
      <c r="G190" s="74"/>
    </row>
    <row r="191" spans="7:7" s="23" customFormat="1" ht="19.5" customHeight="1">
      <c r="G191" s="74"/>
    </row>
    <row r="192" spans="7:7" s="23" customFormat="1" ht="19.5" customHeight="1">
      <c r="G192" s="74"/>
    </row>
    <row r="193" spans="7:7" s="23" customFormat="1" ht="19.5" customHeight="1">
      <c r="G193" s="74"/>
    </row>
    <row r="194" spans="7:7" s="23" customFormat="1" ht="19.5" customHeight="1">
      <c r="G194" s="74"/>
    </row>
    <row r="195" spans="7:7" s="23" customFormat="1" ht="19.5" customHeight="1">
      <c r="G195" s="74"/>
    </row>
    <row r="196" spans="7:7" s="23" customFormat="1" ht="19.5" customHeight="1">
      <c r="G196" s="74"/>
    </row>
    <row r="197" spans="7:7" s="23" customFormat="1" ht="19.5" customHeight="1">
      <c r="G197" s="74"/>
    </row>
    <row r="198" spans="7:7" s="23" customFormat="1" ht="19.5" customHeight="1">
      <c r="G198" s="74"/>
    </row>
    <row r="199" spans="7:7" s="23" customFormat="1" ht="19.5" customHeight="1">
      <c r="G199" s="74"/>
    </row>
    <row r="200" spans="7:7" s="23" customFormat="1" ht="19.5" customHeight="1">
      <c r="G200" s="74"/>
    </row>
    <row r="201" spans="7:7" s="23" customFormat="1" ht="19.5" customHeight="1">
      <c r="G201" s="74"/>
    </row>
    <row r="202" spans="7:7" s="23" customFormat="1" ht="19.5" customHeight="1">
      <c r="G202" s="74"/>
    </row>
    <row r="203" spans="7:7" s="23" customFormat="1" ht="19.5" customHeight="1">
      <c r="G203" s="74"/>
    </row>
    <row r="204" spans="7:7" s="23" customFormat="1" ht="19.5" customHeight="1">
      <c r="G204" s="74"/>
    </row>
    <row r="205" spans="7:7" s="23" customFormat="1" ht="19.5" customHeight="1">
      <c r="G205" s="74"/>
    </row>
    <row r="206" spans="7:7" s="23" customFormat="1" ht="19.5" customHeight="1">
      <c r="G206" s="74"/>
    </row>
    <row r="207" spans="7:7" s="23" customFormat="1" ht="19.5" customHeight="1">
      <c r="G207" s="74"/>
    </row>
    <row r="208" spans="7:7" s="23" customFormat="1" ht="19.5" customHeight="1">
      <c r="G208" s="74"/>
    </row>
    <row r="209" spans="7:7" s="23" customFormat="1" ht="19.5" customHeight="1">
      <c r="G209" s="74"/>
    </row>
    <row r="210" spans="7:7" s="23" customFormat="1" ht="19.5" customHeight="1">
      <c r="G210" s="74"/>
    </row>
    <row r="211" spans="7:7" s="23" customFormat="1" ht="19.5" customHeight="1">
      <c r="G211" s="74"/>
    </row>
    <row r="212" spans="7:7" s="23" customFormat="1" ht="19.5" customHeight="1">
      <c r="G212" s="74"/>
    </row>
    <row r="213" spans="7:7" s="23" customFormat="1" ht="19.5" customHeight="1">
      <c r="G213" s="74"/>
    </row>
    <row r="214" spans="7:7" s="23" customFormat="1" ht="19.5" customHeight="1">
      <c r="G214" s="74"/>
    </row>
    <row r="215" spans="7:7" s="23" customFormat="1" ht="19.5" customHeight="1">
      <c r="G215" s="74"/>
    </row>
    <row r="216" spans="7:7" s="23" customFormat="1" ht="19.5" customHeight="1">
      <c r="G216" s="74"/>
    </row>
    <row r="217" spans="7:7" s="23" customFormat="1" ht="19.5" customHeight="1">
      <c r="G217" s="74"/>
    </row>
    <row r="218" spans="7:7" s="23" customFormat="1" ht="19.5" customHeight="1">
      <c r="G218" s="74"/>
    </row>
    <row r="219" spans="7:7" s="23" customFormat="1" ht="19.5" customHeight="1">
      <c r="G219" s="74"/>
    </row>
    <row r="220" spans="7:7" s="23" customFormat="1" ht="19.5" customHeight="1">
      <c r="G220" s="74"/>
    </row>
    <row r="221" spans="7:7" s="23" customFormat="1" ht="19.5" customHeight="1">
      <c r="G221" s="74"/>
    </row>
    <row r="222" spans="7:7" s="23" customFormat="1" ht="19.5" customHeight="1">
      <c r="G222" s="74"/>
    </row>
    <row r="223" spans="7:7" s="23" customFormat="1" ht="19.5" customHeight="1">
      <c r="G223" s="74"/>
    </row>
    <row r="224" spans="7:7" s="23" customFormat="1" ht="19.5" customHeight="1">
      <c r="G224" s="74"/>
    </row>
    <row r="225" spans="7:7" s="23" customFormat="1" ht="19.5" customHeight="1">
      <c r="G225" s="74"/>
    </row>
    <row r="226" spans="7:7" s="23" customFormat="1" ht="19.5" customHeight="1">
      <c r="G226" s="74"/>
    </row>
    <row r="227" spans="7:7" s="23" customFormat="1" ht="19.5" customHeight="1">
      <c r="G227" s="74"/>
    </row>
    <row r="228" spans="7:7" s="23" customFormat="1" ht="19.5" customHeight="1">
      <c r="G228" s="74"/>
    </row>
    <row r="229" spans="7:7" s="23" customFormat="1" ht="19.5" customHeight="1">
      <c r="G229" s="74"/>
    </row>
    <row r="230" spans="7:7" s="23" customFormat="1" ht="19.5" customHeight="1">
      <c r="G230" s="74"/>
    </row>
    <row r="231" spans="7:7" s="23" customFormat="1" ht="19.5" customHeight="1">
      <c r="G231" s="74"/>
    </row>
    <row r="232" spans="7:7" s="23" customFormat="1" ht="19.5" customHeight="1">
      <c r="G232" s="74"/>
    </row>
    <row r="233" spans="7:7" s="23" customFormat="1" ht="19.5" customHeight="1">
      <c r="G233" s="74"/>
    </row>
    <row r="234" spans="7:7" s="23" customFormat="1" ht="19.5" customHeight="1">
      <c r="G234" s="74"/>
    </row>
    <row r="235" spans="7:7" s="23" customFormat="1" ht="19.5" customHeight="1">
      <c r="G235" s="74"/>
    </row>
    <row r="236" spans="7:7" s="23" customFormat="1" ht="19.5" customHeight="1">
      <c r="G236" s="74"/>
    </row>
    <row r="237" spans="7:7" s="23" customFormat="1" ht="19.5" customHeight="1">
      <c r="G237" s="74"/>
    </row>
    <row r="238" spans="7:7" s="23" customFormat="1" ht="19.5" customHeight="1">
      <c r="G238" s="74"/>
    </row>
    <row r="239" spans="7:7" s="23" customFormat="1" ht="19.5" customHeight="1">
      <c r="G239" s="74"/>
    </row>
    <row r="240" spans="7:7" s="23" customFormat="1" ht="19.5" customHeight="1">
      <c r="G240" s="74"/>
    </row>
    <row r="241" spans="7:7" s="23" customFormat="1" ht="19.5" customHeight="1">
      <c r="G241" s="74"/>
    </row>
    <row r="242" spans="7:7" s="23" customFormat="1" ht="19.5" customHeight="1">
      <c r="G242" s="74"/>
    </row>
    <row r="243" spans="7:7" s="23" customFormat="1" ht="19.5" customHeight="1">
      <c r="G243" s="74"/>
    </row>
    <row r="244" spans="7:7" s="23" customFormat="1" ht="19.5" customHeight="1">
      <c r="G244" s="74"/>
    </row>
    <row r="245" spans="7:7" s="23" customFormat="1" ht="19.5" customHeight="1">
      <c r="G245" s="74"/>
    </row>
    <row r="246" spans="7:7" s="23" customFormat="1" ht="19.5" customHeight="1">
      <c r="G246" s="74"/>
    </row>
    <row r="247" spans="7:7" s="23" customFormat="1" ht="19.5" customHeight="1">
      <c r="G247" s="74"/>
    </row>
    <row r="248" spans="7:7" s="23" customFormat="1" ht="19.5" customHeight="1">
      <c r="G248" s="74"/>
    </row>
    <row r="249" spans="7:7" s="23" customFormat="1" ht="19.5" customHeight="1">
      <c r="G249" s="74"/>
    </row>
    <row r="250" spans="7:7" s="23" customFormat="1" ht="19.5" customHeight="1">
      <c r="G250" s="74"/>
    </row>
    <row r="251" spans="7:7" s="23" customFormat="1" ht="19.5" customHeight="1">
      <c r="G251" s="74"/>
    </row>
    <row r="252" spans="7:7" s="23" customFormat="1" ht="19.5" customHeight="1">
      <c r="G252" s="74"/>
    </row>
    <row r="253" spans="7:7" s="23" customFormat="1" ht="19.5" customHeight="1">
      <c r="G253" s="74"/>
    </row>
    <row r="254" spans="7:7" s="23" customFormat="1" ht="19.5" customHeight="1">
      <c r="G254" s="74"/>
    </row>
    <row r="255" spans="7:7" s="23" customFormat="1" ht="19.5" customHeight="1">
      <c r="G255" s="74"/>
    </row>
    <row r="256" spans="7:7" s="23" customFormat="1" ht="19.5" customHeight="1">
      <c r="G256" s="74"/>
    </row>
    <row r="257" spans="7:7" s="23" customFormat="1" ht="19.5" customHeight="1">
      <c r="G257" s="74"/>
    </row>
    <row r="258" spans="7:7" s="23" customFormat="1" ht="19.5" customHeight="1">
      <c r="G258" s="74"/>
    </row>
    <row r="259" spans="7:7" s="23" customFormat="1" ht="19.5" customHeight="1">
      <c r="G259" s="74"/>
    </row>
    <row r="260" spans="7:7" s="23" customFormat="1" ht="19.5" customHeight="1">
      <c r="G260" s="74"/>
    </row>
    <row r="261" spans="7:7" s="23" customFormat="1" ht="19.5" customHeight="1">
      <c r="G261" s="74"/>
    </row>
    <row r="262" spans="7:7" s="23" customFormat="1" ht="19.5" customHeight="1">
      <c r="G262" s="74"/>
    </row>
    <row r="263" spans="7:7" s="23" customFormat="1" ht="19.5" customHeight="1">
      <c r="G263" s="74"/>
    </row>
    <row r="264" spans="7:7" s="23" customFormat="1" ht="19.5" customHeight="1">
      <c r="G264" s="74"/>
    </row>
    <row r="265" spans="7:7" s="23" customFormat="1" ht="19.5" customHeight="1">
      <c r="G265" s="74"/>
    </row>
    <row r="266" spans="7:7" s="23" customFormat="1" ht="19.5" customHeight="1">
      <c r="G266" s="74"/>
    </row>
    <row r="267" spans="7:7" s="23" customFormat="1" ht="19.5" customHeight="1">
      <c r="G267" s="74"/>
    </row>
    <row r="268" spans="7:7" s="23" customFormat="1" ht="19.5" customHeight="1">
      <c r="G268" s="74"/>
    </row>
    <row r="269" spans="7:7" s="23" customFormat="1" ht="19.5" customHeight="1">
      <c r="G269" s="74"/>
    </row>
    <row r="270" spans="7:7" s="23" customFormat="1" ht="19.5" customHeight="1">
      <c r="G270" s="74"/>
    </row>
    <row r="271" spans="7:7" s="23" customFormat="1" ht="19.5" customHeight="1">
      <c r="G271" s="74"/>
    </row>
    <row r="272" spans="7:7" s="23" customFormat="1" ht="19.5" customHeight="1">
      <c r="G272" s="74"/>
    </row>
    <row r="273" spans="7:7" s="23" customFormat="1" ht="19.5" customHeight="1">
      <c r="G273" s="74"/>
    </row>
    <row r="274" spans="7:7" s="23" customFormat="1" ht="19.5" customHeight="1">
      <c r="G274" s="74"/>
    </row>
    <row r="275" spans="7:7" s="23" customFormat="1" ht="19.5" customHeight="1">
      <c r="G275" s="74"/>
    </row>
    <row r="276" spans="7:7" s="23" customFormat="1" ht="19.5" customHeight="1">
      <c r="G276" s="74"/>
    </row>
    <row r="277" spans="7:7" s="23" customFormat="1" ht="19.5" customHeight="1">
      <c r="G277" s="74"/>
    </row>
    <row r="278" spans="7:7" s="23" customFormat="1" ht="19.5" customHeight="1">
      <c r="G278" s="74"/>
    </row>
    <row r="279" spans="7:7" s="23" customFormat="1" ht="19.5" customHeight="1">
      <c r="G279" s="74"/>
    </row>
    <row r="280" spans="7:7" s="23" customFormat="1" ht="19.5" customHeight="1">
      <c r="G280" s="74"/>
    </row>
    <row r="281" spans="7:7" s="23" customFormat="1" ht="19.5" customHeight="1">
      <c r="G281" s="74"/>
    </row>
    <row r="282" spans="7:7" s="23" customFormat="1" ht="19.5" customHeight="1">
      <c r="G282" s="74"/>
    </row>
    <row r="283" spans="7:7" s="23" customFormat="1" ht="19.5" customHeight="1">
      <c r="G283" s="74"/>
    </row>
    <row r="284" spans="7:7" s="23" customFormat="1" ht="19.5" customHeight="1">
      <c r="G284" s="74"/>
    </row>
    <row r="285" spans="7:7" s="23" customFormat="1" ht="19.5" customHeight="1">
      <c r="G285" s="74"/>
    </row>
    <row r="286" spans="7:7" s="23" customFormat="1" ht="19.5" customHeight="1">
      <c r="G286" s="74"/>
    </row>
    <row r="287" spans="7:7" s="23" customFormat="1" ht="19.5" customHeight="1">
      <c r="G287" s="74"/>
    </row>
    <row r="288" spans="7:7" s="23" customFormat="1" ht="19.5" customHeight="1">
      <c r="G288" s="74"/>
    </row>
    <row r="289" spans="7:7" s="23" customFormat="1" ht="19.5" customHeight="1">
      <c r="G289" s="74"/>
    </row>
    <row r="290" spans="7:7" s="23" customFormat="1" ht="19.5" customHeight="1">
      <c r="G290" s="74"/>
    </row>
    <row r="291" spans="7:7" s="23" customFormat="1" ht="19.5" customHeight="1">
      <c r="G291" s="74"/>
    </row>
    <row r="292" spans="7:7" s="23" customFormat="1" ht="19.5" customHeight="1">
      <c r="G292" s="74"/>
    </row>
    <row r="293" spans="7:7" s="23" customFormat="1" ht="19.5" customHeight="1">
      <c r="G293" s="74"/>
    </row>
    <row r="294" spans="7:7" s="23" customFormat="1" ht="19.5" customHeight="1">
      <c r="G294" s="74"/>
    </row>
    <row r="295" spans="7:7" s="23" customFormat="1" ht="19.5" customHeight="1">
      <c r="G295" s="74"/>
    </row>
    <row r="296" spans="7:7" s="23" customFormat="1" ht="19.5" customHeight="1">
      <c r="G296" s="74"/>
    </row>
    <row r="297" spans="7:7" s="23" customFormat="1" ht="19.5" customHeight="1">
      <c r="G297" s="74"/>
    </row>
    <row r="298" spans="7:7" s="23" customFormat="1" ht="19.5" customHeight="1">
      <c r="G298" s="74"/>
    </row>
    <row r="299" spans="7:7" s="23" customFormat="1" ht="19.5" customHeight="1">
      <c r="G299" s="74"/>
    </row>
    <row r="300" spans="7:7" s="23" customFormat="1" ht="19.5" customHeight="1">
      <c r="G300" s="74"/>
    </row>
    <row r="301" spans="7:7" s="23" customFormat="1" ht="19.5" customHeight="1">
      <c r="G301" s="74"/>
    </row>
    <row r="302" spans="7:7" s="23" customFormat="1" ht="19.5" customHeight="1">
      <c r="G302" s="74"/>
    </row>
    <row r="303" spans="7:7" s="23" customFormat="1" ht="19.5" customHeight="1">
      <c r="G303" s="74"/>
    </row>
    <row r="304" spans="7:7" s="23" customFormat="1" ht="19.5" customHeight="1">
      <c r="G304" s="74"/>
    </row>
    <row r="305" spans="7:7" s="23" customFormat="1" ht="19.5" customHeight="1">
      <c r="G305" s="74"/>
    </row>
    <row r="306" spans="7:7" s="23" customFormat="1" ht="19.5" customHeight="1">
      <c r="G306" s="74"/>
    </row>
    <row r="307" spans="7:7" s="23" customFormat="1" ht="19.5" customHeight="1">
      <c r="G307" s="74"/>
    </row>
    <row r="308" spans="7:7" s="23" customFormat="1" ht="19.5" customHeight="1">
      <c r="G308" s="74"/>
    </row>
    <row r="309" spans="7:7" s="23" customFormat="1" ht="19.5" customHeight="1">
      <c r="G309" s="74"/>
    </row>
    <row r="310" spans="7:7" s="23" customFormat="1" ht="19.5" customHeight="1">
      <c r="G310" s="74"/>
    </row>
    <row r="311" spans="7:7" s="23" customFormat="1" ht="19.5" customHeight="1">
      <c r="G311" s="74"/>
    </row>
    <row r="312" spans="7:7" s="23" customFormat="1" ht="19.5" customHeight="1">
      <c r="G312" s="74"/>
    </row>
    <row r="313" spans="7:7" s="23" customFormat="1" ht="19.5" customHeight="1">
      <c r="G313" s="74"/>
    </row>
    <row r="314" spans="7:7" s="28" customFormat="1" ht="19.5" customHeight="1"/>
    <row r="315" spans="7:7" s="28" customFormat="1" ht="19.5" customHeight="1"/>
    <row r="316" spans="7:7" s="23" customFormat="1" ht="19.5" customHeight="1">
      <c r="G316" s="74"/>
    </row>
    <row r="317" spans="7:7" s="23" customFormat="1" ht="19.5" customHeight="1">
      <c r="G317" s="74"/>
    </row>
    <row r="318" spans="7:7" s="23" customFormat="1" ht="19.5" customHeight="1">
      <c r="G318" s="74"/>
    </row>
    <row r="319" spans="7:7" s="23" customFormat="1" ht="19.5" customHeight="1">
      <c r="G319" s="74"/>
    </row>
    <row r="320" spans="7:7" s="23" customFormat="1" ht="19.5" customHeight="1">
      <c r="G320" s="74"/>
    </row>
    <row r="321" spans="7:7" s="23" customFormat="1" ht="19.5" customHeight="1">
      <c r="G321" s="74"/>
    </row>
    <row r="322" spans="7:7" s="23" customFormat="1" ht="19.5" customHeight="1">
      <c r="G322" s="74"/>
    </row>
    <row r="323" spans="7:7" s="23" customFormat="1" ht="19.5" customHeight="1">
      <c r="G323" s="74"/>
    </row>
    <row r="324" spans="7:7" s="23" customFormat="1" ht="19.5" customHeight="1">
      <c r="G324" s="74"/>
    </row>
    <row r="325" spans="7:7" s="23" customFormat="1" ht="19.5" customHeight="1">
      <c r="G325" s="74"/>
    </row>
    <row r="326" spans="7:7" s="23" customFormat="1" ht="19.5" customHeight="1">
      <c r="G326" s="74"/>
    </row>
    <row r="327" spans="7:7" s="23" customFormat="1" ht="19.5" customHeight="1">
      <c r="G327" s="74"/>
    </row>
    <row r="328" spans="7:7" s="23" customFormat="1" ht="19.5" customHeight="1">
      <c r="G328" s="74"/>
    </row>
    <row r="329" spans="7:7" s="23" customFormat="1" ht="19.5" customHeight="1">
      <c r="G329" s="74"/>
    </row>
    <row r="330" spans="7:7" s="23" customFormat="1" ht="19.5" customHeight="1">
      <c r="G330" s="74"/>
    </row>
    <row r="331" spans="7:7" s="23" customFormat="1" ht="19.5" customHeight="1">
      <c r="G331" s="74"/>
    </row>
    <row r="332" spans="7:7" s="23" customFormat="1" ht="19.5" customHeight="1">
      <c r="G332" s="74"/>
    </row>
    <row r="333" spans="7:7" s="23" customFormat="1" ht="19.5" customHeight="1">
      <c r="G333" s="74"/>
    </row>
    <row r="334" spans="7:7" s="23" customFormat="1" ht="19.5" customHeight="1">
      <c r="G334" s="74"/>
    </row>
    <row r="335" spans="7:7" s="23" customFormat="1" ht="19.5" customHeight="1">
      <c r="G335" s="74"/>
    </row>
    <row r="336" spans="7:7" s="23" customFormat="1" ht="19.5" customHeight="1">
      <c r="G336" s="74"/>
    </row>
    <row r="337" spans="1:7" s="23" customFormat="1" ht="19.5" customHeight="1">
      <c r="G337" s="74"/>
    </row>
    <row r="338" spans="1:7" s="23" customFormat="1" ht="19.5" customHeight="1">
      <c r="G338" s="74"/>
    </row>
    <row r="339" spans="1:7" s="23" customFormat="1" ht="19.5" customHeight="1">
      <c r="G339" s="74"/>
    </row>
    <row r="340" spans="1:7" s="23" customFormat="1" ht="19.5" customHeight="1">
      <c r="G340" s="74"/>
    </row>
    <row r="341" spans="1:7" s="23" customFormat="1" ht="19.5" customHeight="1">
      <c r="G341" s="74"/>
    </row>
    <row r="342" spans="1:7" s="23" customFormat="1" ht="19.5" customHeight="1">
      <c r="G342" s="74"/>
    </row>
    <row r="343" spans="1:7" s="23" customFormat="1" ht="19.5" customHeight="1">
      <c r="G343" s="74"/>
    </row>
    <row r="344" spans="1:7" s="23" customFormat="1" ht="19.5" customHeight="1">
      <c r="G344" s="74"/>
    </row>
    <row r="345" spans="1:7" s="23" customFormat="1" ht="19.5" customHeight="1">
      <c r="G345" s="74"/>
    </row>
    <row r="346" spans="1:7" s="32" customFormat="1" ht="21" customHeight="1"/>
    <row r="347" spans="1:7" s="23" customFormat="1" ht="19.5" customHeight="1">
      <c r="G347" s="74"/>
    </row>
    <row r="348" spans="1:7" s="23" customFormat="1" ht="19.5" customHeight="1">
      <c r="G348" s="74"/>
    </row>
    <row r="349" spans="1:7" s="23" customFormat="1" ht="19.5" customHeight="1">
      <c r="G349" s="74"/>
    </row>
    <row r="350" spans="1:7" s="33" customFormat="1" ht="19.5" customHeight="1">
      <c r="G350" s="113"/>
    </row>
    <row r="351" spans="1:7" s="23" customFormat="1" ht="19.5" customHeight="1">
      <c r="G351" s="74"/>
    </row>
    <row r="352" spans="1:7" ht="19.5" customHeight="1">
      <c r="A352" s="18"/>
    </row>
  </sheetData>
  <autoFilter ref="A6:U351"/>
  <mergeCells count="11">
    <mergeCell ref="A41:B41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6.28515625" style="73" customWidth="1"/>
    <col min="3" max="3" width="7" style="73" customWidth="1"/>
    <col min="4" max="4" width="5.5703125" style="73" customWidth="1"/>
    <col min="5" max="5" width="8" style="73" customWidth="1"/>
    <col min="6" max="6" width="7.85546875" style="73" customWidth="1"/>
    <col min="7" max="7" width="8.5703125" style="73" customWidth="1"/>
    <col min="8" max="8" width="10.42578125" style="73" customWidth="1"/>
    <col min="9" max="9" width="7.7109375" style="73" customWidth="1"/>
    <col min="10" max="10" width="6.85546875" style="73" customWidth="1"/>
    <col min="11" max="11" width="8.42578125" style="73" customWidth="1"/>
    <col min="12" max="12" width="8.85546875" style="73" customWidth="1"/>
    <col min="13" max="13" width="9.42578125" style="73" customWidth="1"/>
    <col min="14" max="14" width="7.140625" style="73" customWidth="1"/>
    <col min="15" max="15" width="10.140625" style="73" customWidth="1"/>
    <col min="16" max="16" width="9.85546875" style="73" customWidth="1"/>
    <col min="17" max="17" width="9.42578125" style="73" customWidth="1"/>
    <col min="18" max="18" width="8.42578125" style="73" customWidth="1"/>
    <col min="19" max="19" width="6" style="73" customWidth="1"/>
    <col min="20" max="20" width="10" style="73" customWidth="1"/>
    <col min="21" max="21" width="9" style="128" customWidth="1"/>
    <col min="22" max="16384" width="9.140625" style="73"/>
  </cols>
  <sheetData>
    <row r="1" spans="1:21" ht="21.75" customHeight="1">
      <c r="A1" s="158" t="s">
        <v>203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U3" s="20" t="s">
        <v>20</v>
      </c>
    </row>
    <row r="4" spans="1:21" ht="27.75" customHeight="1">
      <c r="A4" s="160" t="s">
        <v>0</v>
      </c>
      <c r="B4" s="161" t="s">
        <v>204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27.75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76.5">
      <c r="A6" s="160"/>
      <c r="B6" s="160"/>
      <c r="C6" s="117" t="s">
        <v>2</v>
      </c>
      <c r="D6" s="117" t="s">
        <v>3</v>
      </c>
      <c r="E6" s="115" t="s">
        <v>184</v>
      </c>
      <c r="F6" s="115" t="s">
        <v>185</v>
      </c>
      <c r="G6" s="115" t="s">
        <v>19</v>
      </c>
      <c r="H6" s="170"/>
      <c r="I6" s="115" t="s">
        <v>7</v>
      </c>
      <c r="J6" s="115" t="s">
        <v>8</v>
      </c>
      <c r="K6" s="115" t="s">
        <v>9</v>
      </c>
      <c r="L6" s="115" t="s">
        <v>10</v>
      </c>
      <c r="M6" s="115" t="s">
        <v>11</v>
      </c>
      <c r="N6" s="115" t="s">
        <v>12</v>
      </c>
      <c r="O6" s="115" t="s">
        <v>13</v>
      </c>
      <c r="P6" s="115" t="s">
        <v>14</v>
      </c>
      <c r="Q6" s="115" t="s">
        <v>15</v>
      </c>
      <c r="R6" s="115" t="s">
        <v>17</v>
      </c>
      <c r="S6" s="115" t="s">
        <v>16</v>
      </c>
      <c r="T6" s="115" t="s">
        <v>186</v>
      </c>
      <c r="U6" s="172"/>
    </row>
    <row r="7" spans="1:21" s="74" customFormat="1" ht="19.5" customHeight="1">
      <c r="A7" s="72">
        <v>1</v>
      </c>
      <c r="B7" s="120" t="s">
        <v>79</v>
      </c>
      <c r="C7" s="38">
        <v>18</v>
      </c>
      <c r="D7" s="38">
        <v>18</v>
      </c>
      <c r="E7" s="38">
        <v>2023.6020000000001</v>
      </c>
      <c r="F7" s="38">
        <v>303.83999999999997</v>
      </c>
      <c r="G7" s="38">
        <f>E7+F7</f>
        <v>2327.442</v>
      </c>
      <c r="H7" s="38">
        <v>1967.894</v>
      </c>
      <c r="I7" s="38"/>
      <c r="J7" s="38">
        <v>12.670999999999999</v>
      </c>
      <c r="K7" s="38">
        <v>138.31</v>
      </c>
      <c r="L7" s="38">
        <v>1.65</v>
      </c>
      <c r="M7" s="38">
        <v>7.42</v>
      </c>
      <c r="N7" s="38">
        <v>22.227</v>
      </c>
      <c r="O7" s="38">
        <v>17.649000000000001</v>
      </c>
      <c r="P7" s="38">
        <v>10.5</v>
      </c>
      <c r="Q7" s="38">
        <v>41.807000000000002</v>
      </c>
      <c r="R7" s="38"/>
      <c r="S7" s="38">
        <v>51.749000000000002</v>
      </c>
      <c r="T7" s="38">
        <f>SUM(I7:S7)</f>
        <v>303.983</v>
      </c>
      <c r="U7" s="125">
        <f>T7+H7</f>
        <v>2271.877</v>
      </c>
    </row>
    <row r="8" spans="1:21" s="74" customFormat="1" ht="19.5" customHeight="1">
      <c r="A8" s="72">
        <v>2</v>
      </c>
      <c r="B8" s="120" t="s">
        <v>80</v>
      </c>
      <c r="C8" s="38">
        <v>22</v>
      </c>
      <c r="D8" s="38">
        <v>22</v>
      </c>
      <c r="E8" s="38">
        <v>2612.607</v>
      </c>
      <c r="F8" s="38">
        <v>371.36</v>
      </c>
      <c r="G8" s="38">
        <f t="shared" ref="G8:G51" si="0">E8+F8</f>
        <v>2983.9670000000001</v>
      </c>
      <c r="H8" s="38">
        <v>2397.299</v>
      </c>
      <c r="I8" s="38"/>
      <c r="J8" s="38">
        <v>14.920999999999999</v>
      </c>
      <c r="K8" s="38">
        <v>162.01300000000001</v>
      </c>
      <c r="L8" s="38">
        <v>1.2210000000000001</v>
      </c>
      <c r="M8" s="38">
        <v>78.484999999999999</v>
      </c>
      <c r="N8" s="38">
        <v>24.620999999999999</v>
      </c>
      <c r="O8" s="38">
        <v>91.393000000000001</v>
      </c>
      <c r="P8" s="38"/>
      <c r="Q8" s="38">
        <v>176.37200000000001</v>
      </c>
      <c r="R8" s="38"/>
      <c r="S8" s="38">
        <v>131.66900000000001</v>
      </c>
      <c r="T8" s="38">
        <f t="shared" ref="T8:T51" si="1">SUM(I8:S8)</f>
        <v>680.69500000000005</v>
      </c>
      <c r="U8" s="125">
        <f t="shared" ref="U8:U51" si="2">T8+H8</f>
        <v>3077.9940000000001</v>
      </c>
    </row>
    <row r="9" spans="1:21" s="74" customFormat="1" ht="19.5" customHeight="1">
      <c r="A9" s="72">
        <v>3</v>
      </c>
      <c r="B9" s="121" t="s">
        <v>81</v>
      </c>
      <c r="C9" s="38">
        <v>21</v>
      </c>
      <c r="D9" s="38">
        <v>21</v>
      </c>
      <c r="E9" s="38">
        <v>2689.8310000000001</v>
      </c>
      <c r="F9" s="38">
        <v>354.48</v>
      </c>
      <c r="G9" s="38">
        <f t="shared" si="0"/>
        <v>3044.3110000000001</v>
      </c>
      <c r="H9" s="38">
        <v>2280.4650000000001</v>
      </c>
      <c r="I9" s="38"/>
      <c r="J9" s="38">
        <v>15.186999999999999</v>
      </c>
      <c r="K9" s="38">
        <v>120.04300000000001</v>
      </c>
      <c r="L9" s="38">
        <v>12.349</v>
      </c>
      <c r="M9" s="38">
        <v>46.04</v>
      </c>
      <c r="N9" s="38">
        <v>46.238</v>
      </c>
      <c r="O9" s="38">
        <v>55.38</v>
      </c>
      <c r="P9" s="38">
        <v>50.27</v>
      </c>
      <c r="Q9" s="38">
        <v>151.35900000000001</v>
      </c>
      <c r="R9" s="38"/>
      <c r="S9" s="38">
        <v>76.888000000000005</v>
      </c>
      <c r="T9" s="38">
        <f t="shared" si="1"/>
        <v>573.75400000000002</v>
      </c>
      <c r="U9" s="125">
        <f t="shared" si="2"/>
        <v>2854.2190000000001</v>
      </c>
    </row>
    <row r="10" spans="1:21" s="74" customFormat="1" ht="19.5" customHeight="1">
      <c r="A10" s="72">
        <v>4</v>
      </c>
      <c r="B10" s="120" t="s">
        <v>82</v>
      </c>
      <c r="C10" s="38">
        <v>17</v>
      </c>
      <c r="D10" s="38">
        <v>17</v>
      </c>
      <c r="E10" s="38">
        <v>2414.5680000000002</v>
      </c>
      <c r="F10" s="38">
        <v>286.95999999999998</v>
      </c>
      <c r="G10" s="38">
        <f t="shared" si="0"/>
        <v>2701.5280000000002</v>
      </c>
      <c r="H10" s="38">
        <v>2321.3049999999998</v>
      </c>
      <c r="I10" s="38">
        <v>130.43799999999999</v>
      </c>
      <c r="J10" s="38">
        <v>12.903</v>
      </c>
      <c r="K10" s="38">
        <v>16.760000000000002</v>
      </c>
      <c r="L10" s="38">
        <v>7.8289999999999997</v>
      </c>
      <c r="M10" s="38">
        <v>24.37</v>
      </c>
      <c r="N10" s="38">
        <v>48.31</v>
      </c>
      <c r="O10" s="38">
        <v>18.472999999999999</v>
      </c>
      <c r="P10" s="38">
        <v>12.8</v>
      </c>
      <c r="Q10" s="38">
        <v>147.08799999999999</v>
      </c>
      <c r="R10" s="38"/>
      <c r="S10" s="38">
        <v>69.533000000000001</v>
      </c>
      <c r="T10" s="38">
        <f t="shared" si="1"/>
        <v>488.50400000000002</v>
      </c>
      <c r="U10" s="125">
        <f t="shared" si="2"/>
        <v>2809.8089999999997</v>
      </c>
    </row>
    <row r="11" spans="1:21" s="74" customFormat="1" ht="19.5" customHeight="1">
      <c r="A11" s="72">
        <v>5</v>
      </c>
      <c r="B11" s="120" t="s">
        <v>83</v>
      </c>
      <c r="C11" s="38">
        <v>15</v>
      </c>
      <c r="D11" s="38">
        <v>15</v>
      </c>
      <c r="E11" s="38">
        <v>1764.595</v>
      </c>
      <c r="F11" s="38">
        <v>253.2</v>
      </c>
      <c r="G11" s="38">
        <f t="shared" si="0"/>
        <v>2017.7950000000001</v>
      </c>
      <c r="H11" s="38">
        <v>1807.7090000000001</v>
      </c>
      <c r="I11" s="38">
        <v>55.423999999999999</v>
      </c>
      <c r="J11" s="38">
        <v>14.638</v>
      </c>
      <c r="K11" s="38">
        <v>27.085000000000001</v>
      </c>
      <c r="L11" s="38">
        <v>1.462</v>
      </c>
      <c r="M11" s="38">
        <v>59.298000000000002</v>
      </c>
      <c r="N11" s="38">
        <v>25.58</v>
      </c>
      <c r="O11" s="38">
        <v>131.614</v>
      </c>
      <c r="P11" s="38">
        <v>12</v>
      </c>
      <c r="Q11" s="38">
        <v>230.953</v>
      </c>
      <c r="R11" s="38"/>
      <c r="S11" s="38">
        <v>95.257999999999996</v>
      </c>
      <c r="T11" s="38">
        <f t="shared" si="1"/>
        <v>653.31200000000001</v>
      </c>
      <c r="U11" s="125">
        <f t="shared" si="2"/>
        <v>2461.0210000000002</v>
      </c>
    </row>
    <row r="12" spans="1:21" s="74" customFormat="1" ht="19.5" customHeight="1">
      <c r="A12" s="72">
        <v>6</v>
      </c>
      <c r="B12" s="120" t="s">
        <v>84</v>
      </c>
      <c r="C12" s="38">
        <v>13</v>
      </c>
      <c r="D12" s="38">
        <v>13</v>
      </c>
      <c r="E12" s="38">
        <v>1425.018</v>
      </c>
      <c r="F12" s="38">
        <v>219.44</v>
      </c>
      <c r="G12" s="38">
        <f t="shared" si="0"/>
        <v>1644.4580000000001</v>
      </c>
      <c r="H12" s="38">
        <v>1391.43</v>
      </c>
      <c r="I12" s="38"/>
      <c r="J12" s="38">
        <v>7.0439999999999996</v>
      </c>
      <c r="K12" s="38">
        <v>56.655000000000001</v>
      </c>
      <c r="L12" s="38">
        <v>0.3</v>
      </c>
      <c r="M12" s="38">
        <v>45.033999999999999</v>
      </c>
      <c r="N12" s="38">
        <v>22.7</v>
      </c>
      <c r="O12" s="38">
        <v>8.73</v>
      </c>
      <c r="P12" s="38"/>
      <c r="Q12" s="38">
        <v>31.465</v>
      </c>
      <c r="R12" s="38"/>
      <c r="S12" s="38">
        <v>75.025999999999996</v>
      </c>
      <c r="T12" s="38">
        <f t="shared" si="1"/>
        <v>246.95399999999995</v>
      </c>
      <c r="U12" s="125">
        <f t="shared" si="2"/>
        <v>1638.384</v>
      </c>
    </row>
    <row r="13" spans="1:21" s="74" customFormat="1" ht="19.5" customHeight="1">
      <c r="A13" s="72">
        <v>7</v>
      </c>
      <c r="B13" s="120" t="s">
        <v>85</v>
      </c>
      <c r="C13" s="38">
        <v>7</v>
      </c>
      <c r="D13" s="38">
        <v>7</v>
      </c>
      <c r="E13" s="38">
        <v>701.30700000000002</v>
      </c>
      <c r="F13" s="38">
        <v>118.16</v>
      </c>
      <c r="G13" s="38">
        <f t="shared" si="0"/>
        <v>819.46699999999998</v>
      </c>
      <c r="H13" s="38">
        <v>699.82899999999995</v>
      </c>
      <c r="I13" s="38">
        <v>17.103999999999999</v>
      </c>
      <c r="J13" s="38">
        <v>7.5949999999999998</v>
      </c>
      <c r="K13" s="38">
        <v>5.1100000000000003</v>
      </c>
      <c r="L13" s="38">
        <v>6.59</v>
      </c>
      <c r="M13" s="38">
        <v>23.234999999999999</v>
      </c>
      <c r="N13" s="38">
        <v>19.7</v>
      </c>
      <c r="O13" s="38">
        <v>6.899</v>
      </c>
      <c r="P13" s="38">
        <v>0</v>
      </c>
      <c r="Q13" s="38">
        <v>33.496000000000002</v>
      </c>
      <c r="R13" s="38">
        <v>0</v>
      </c>
      <c r="S13" s="38">
        <v>55.168999999999997</v>
      </c>
      <c r="T13" s="38">
        <f t="shared" si="1"/>
        <v>174.89800000000002</v>
      </c>
      <c r="U13" s="125">
        <f t="shared" si="2"/>
        <v>874.72699999999998</v>
      </c>
    </row>
    <row r="14" spans="1:21" s="74" customFormat="1" ht="19.5" customHeight="1">
      <c r="A14" s="72">
        <v>8</v>
      </c>
      <c r="B14" s="120" t="s">
        <v>86</v>
      </c>
      <c r="C14" s="38">
        <v>20</v>
      </c>
      <c r="D14" s="38">
        <v>20</v>
      </c>
      <c r="E14" s="38">
        <v>2245.2269999999999</v>
      </c>
      <c r="F14" s="38">
        <v>337.6</v>
      </c>
      <c r="G14" s="38">
        <f t="shared" si="0"/>
        <v>2582.8269999999998</v>
      </c>
      <c r="H14" s="38">
        <v>2218.5990000000002</v>
      </c>
      <c r="I14" s="38"/>
      <c r="J14" s="38">
        <v>12.831</v>
      </c>
      <c r="K14" s="38">
        <v>129.59200000000001</v>
      </c>
      <c r="L14" s="38">
        <v>5.2750000000000004</v>
      </c>
      <c r="M14" s="38">
        <v>14.180999999999999</v>
      </c>
      <c r="N14" s="38">
        <v>25.981999999999999</v>
      </c>
      <c r="O14" s="38">
        <v>79.522999999999996</v>
      </c>
      <c r="P14" s="38"/>
      <c r="Q14" s="38">
        <v>85.045000000000002</v>
      </c>
      <c r="R14" s="38"/>
      <c r="S14" s="38">
        <v>70.942999999999998</v>
      </c>
      <c r="T14" s="38">
        <f t="shared" si="1"/>
        <v>423.37200000000001</v>
      </c>
      <c r="U14" s="125">
        <f t="shared" si="2"/>
        <v>2641.971</v>
      </c>
    </row>
    <row r="15" spans="1:21" s="74" customFormat="1" ht="19.5" customHeight="1">
      <c r="A15" s="72">
        <v>9</v>
      </c>
      <c r="B15" s="120" t="s">
        <v>87</v>
      </c>
      <c r="C15" s="38">
        <v>15</v>
      </c>
      <c r="D15" s="38">
        <v>15</v>
      </c>
      <c r="E15" s="38">
        <v>2060.741</v>
      </c>
      <c r="F15" s="38">
        <v>253.2</v>
      </c>
      <c r="G15" s="38">
        <f t="shared" si="0"/>
        <v>2313.9409999999998</v>
      </c>
      <c r="H15" s="38">
        <v>1899.2460000000001</v>
      </c>
      <c r="I15" s="38"/>
      <c r="J15" s="38">
        <v>7.7789999999999999</v>
      </c>
      <c r="K15" s="38">
        <v>16.367000000000001</v>
      </c>
      <c r="L15" s="38">
        <v>1.0960000000000001</v>
      </c>
      <c r="M15" s="38">
        <v>41.9</v>
      </c>
      <c r="N15" s="38">
        <v>52.055999999999997</v>
      </c>
      <c r="O15" s="38">
        <v>61.64</v>
      </c>
      <c r="P15" s="38"/>
      <c r="Q15" s="38">
        <v>83.753</v>
      </c>
      <c r="R15" s="38"/>
      <c r="S15" s="38">
        <v>99.869</v>
      </c>
      <c r="T15" s="38">
        <f t="shared" si="1"/>
        <v>364.46000000000004</v>
      </c>
      <c r="U15" s="125">
        <f t="shared" si="2"/>
        <v>2263.7060000000001</v>
      </c>
    </row>
    <row r="16" spans="1:21" s="74" customFormat="1" ht="19.5" customHeight="1">
      <c r="A16" s="72">
        <v>10</v>
      </c>
      <c r="B16" s="120" t="s">
        <v>88</v>
      </c>
      <c r="C16" s="38">
        <v>14</v>
      </c>
      <c r="D16" s="38">
        <v>14</v>
      </c>
      <c r="E16" s="38">
        <v>1390.152</v>
      </c>
      <c r="F16" s="38">
        <v>236.32</v>
      </c>
      <c r="G16" s="38">
        <f t="shared" si="0"/>
        <v>1626.472</v>
      </c>
      <c r="H16" s="38">
        <f>649.491+632.412+171.591</f>
        <v>1453.4940000000001</v>
      </c>
      <c r="I16" s="38"/>
      <c r="J16" s="38">
        <v>12.423999999999999</v>
      </c>
      <c r="K16" s="38">
        <f>57.002+2.002</f>
        <v>59.004000000000005</v>
      </c>
      <c r="L16" s="38">
        <v>0.83499999999999996</v>
      </c>
      <c r="M16" s="38">
        <v>27.228000000000002</v>
      </c>
      <c r="N16" s="38">
        <v>20.16</v>
      </c>
      <c r="O16" s="38">
        <v>6.28</v>
      </c>
      <c r="P16" s="38">
        <v>30.47</v>
      </c>
      <c r="Q16" s="38">
        <f>75.352+12.226</f>
        <v>87.578000000000003</v>
      </c>
      <c r="R16" s="38">
        <v>0</v>
      </c>
      <c r="S16" s="38">
        <v>49.847000000000001</v>
      </c>
      <c r="T16" s="38">
        <f t="shared" si="1"/>
        <v>293.82599999999996</v>
      </c>
      <c r="U16" s="125">
        <f t="shared" si="2"/>
        <v>1747.3200000000002</v>
      </c>
    </row>
    <row r="17" spans="1:21" s="74" customFormat="1" ht="19.5" customHeight="1">
      <c r="A17" s="72">
        <v>11</v>
      </c>
      <c r="B17" s="120" t="s">
        <v>89</v>
      </c>
      <c r="C17" s="38">
        <v>18</v>
      </c>
      <c r="D17" s="38">
        <v>18</v>
      </c>
      <c r="E17" s="38">
        <v>2159.2420000000002</v>
      </c>
      <c r="F17" s="38">
        <v>303.83999999999997</v>
      </c>
      <c r="G17" s="38">
        <f t="shared" si="0"/>
        <v>2463.0820000000003</v>
      </c>
      <c r="H17" s="38">
        <v>2384.5729999999999</v>
      </c>
      <c r="I17" s="38">
        <v>40.034999999999997</v>
      </c>
      <c r="J17" s="38">
        <v>8.0449999999999999</v>
      </c>
      <c r="K17" s="38">
        <v>42.875999999999998</v>
      </c>
      <c r="L17" s="38">
        <v>1.5209999999999999</v>
      </c>
      <c r="M17" s="38">
        <v>54.942</v>
      </c>
      <c r="N17" s="38">
        <v>25.157</v>
      </c>
      <c r="O17" s="38">
        <v>52.354999999999997</v>
      </c>
      <c r="P17" s="38">
        <v>24.262</v>
      </c>
      <c r="Q17" s="38">
        <v>116.94199999999999</v>
      </c>
      <c r="R17" s="38">
        <v>0</v>
      </c>
      <c r="S17" s="38">
        <v>24.783000000000001</v>
      </c>
      <c r="T17" s="38">
        <f t="shared" si="1"/>
        <v>390.91800000000001</v>
      </c>
      <c r="U17" s="125">
        <f t="shared" si="2"/>
        <v>2775.491</v>
      </c>
    </row>
    <row r="18" spans="1:21" s="74" customFormat="1" ht="19.5" customHeight="1">
      <c r="A18" s="72">
        <v>12</v>
      </c>
      <c r="B18" s="120" t="s">
        <v>90</v>
      </c>
      <c r="C18" s="38">
        <v>19</v>
      </c>
      <c r="D18" s="38">
        <v>19</v>
      </c>
      <c r="E18" s="38">
        <v>1880.8150000000001</v>
      </c>
      <c r="F18" s="38">
        <v>320.72000000000003</v>
      </c>
      <c r="G18" s="38">
        <f t="shared" si="0"/>
        <v>2201.5349999999999</v>
      </c>
      <c r="H18" s="38">
        <v>1826.1310000000001</v>
      </c>
      <c r="I18" s="38"/>
      <c r="J18" s="38">
        <v>8.1839999999999993</v>
      </c>
      <c r="K18" s="38">
        <v>61.845999999999997</v>
      </c>
      <c r="L18" s="38">
        <v>2.1480000000000001</v>
      </c>
      <c r="M18" s="38">
        <v>39.923999999999999</v>
      </c>
      <c r="N18" s="38">
        <v>18.440000000000001</v>
      </c>
      <c r="O18" s="38">
        <v>49.017000000000003</v>
      </c>
      <c r="P18" s="38"/>
      <c r="Q18" s="38">
        <v>121.623</v>
      </c>
      <c r="R18" s="38">
        <v>0</v>
      </c>
      <c r="S18" s="38">
        <v>69.956000000000003</v>
      </c>
      <c r="T18" s="38">
        <f t="shared" si="1"/>
        <v>371.13800000000003</v>
      </c>
      <c r="U18" s="125">
        <f t="shared" si="2"/>
        <v>2197.2690000000002</v>
      </c>
    </row>
    <row r="19" spans="1:21" s="74" customFormat="1" ht="19.5" customHeight="1">
      <c r="A19" s="72">
        <v>13</v>
      </c>
      <c r="B19" s="120" t="s">
        <v>91</v>
      </c>
      <c r="C19" s="38">
        <v>23</v>
      </c>
      <c r="D19" s="38">
        <v>23</v>
      </c>
      <c r="E19" s="38">
        <v>2301.9960000000001</v>
      </c>
      <c r="F19" s="38">
        <v>388.24</v>
      </c>
      <c r="G19" s="38">
        <f t="shared" si="0"/>
        <v>2690.2359999999999</v>
      </c>
      <c r="H19" s="38">
        <f>1077.571+870.598+290.306</f>
        <v>2238.4749999999999</v>
      </c>
      <c r="I19" s="38"/>
      <c r="J19" s="38">
        <v>49.012</v>
      </c>
      <c r="K19" s="38">
        <v>51.253</v>
      </c>
      <c r="L19" s="38">
        <v>1.62</v>
      </c>
      <c r="M19" s="38">
        <v>8.1370000000000005</v>
      </c>
      <c r="N19" s="38">
        <v>44.125</v>
      </c>
      <c r="O19" s="38">
        <v>4.75</v>
      </c>
      <c r="P19" s="38">
        <v>48.4</v>
      </c>
      <c r="Q19" s="38">
        <v>103.749</v>
      </c>
      <c r="R19" s="38"/>
      <c r="S19" s="38">
        <f>86.993+3.2+10.117</f>
        <v>100.31</v>
      </c>
      <c r="T19" s="38">
        <f t="shared" si="1"/>
        <v>411.35599999999999</v>
      </c>
      <c r="U19" s="125">
        <f t="shared" si="2"/>
        <v>2649.8310000000001</v>
      </c>
    </row>
    <row r="20" spans="1:21" s="74" customFormat="1" ht="19.5" customHeight="1">
      <c r="A20" s="72">
        <v>14</v>
      </c>
      <c r="B20" s="120" t="s">
        <v>92</v>
      </c>
      <c r="C20" s="122">
        <v>14</v>
      </c>
      <c r="D20" s="122">
        <v>14</v>
      </c>
      <c r="E20" s="38">
        <v>1564.5</v>
      </c>
      <c r="F20" s="38">
        <v>236.32</v>
      </c>
      <c r="G20" s="38">
        <f t="shared" si="0"/>
        <v>1800.82</v>
      </c>
      <c r="H20" s="122">
        <v>2115.5</v>
      </c>
      <c r="I20" s="122">
        <v>62.9</v>
      </c>
      <c r="J20" s="122">
        <v>10.6</v>
      </c>
      <c r="K20" s="122">
        <v>19.3</v>
      </c>
      <c r="L20" s="122">
        <v>7.5</v>
      </c>
      <c r="M20" s="122">
        <v>10.4</v>
      </c>
      <c r="N20" s="122">
        <v>24.1</v>
      </c>
      <c r="O20" s="122">
        <v>8.1999999999999993</v>
      </c>
      <c r="P20" s="122">
        <v>54</v>
      </c>
      <c r="Q20" s="122">
        <v>127.4</v>
      </c>
      <c r="R20" s="38"/>
      <c r="S20" s="122">
        <v>57.4</v>
      </c>
      <c r="T20" s="38">
        <f t="shared" si="1"/>
        <v>381.79999999999995</v>
      </c>
      <c r="U20" s="125">
        <f t="shared" si="2"/>
        <v>2497.3000000000002</v>
      </c>
    </row>
    <row r="21" spans="1:21" s="74" customFormat="1" ht="19.5" customHeight="1">
      <c r="A21" s="72">
        <v>15</v>
      </c>
      <c r="B21" s="120" t="s">
        <v>93</v>
      </c>
      <c r="C21" s="38">
        <v>12</v>
      </c>
      <c r="D21" s="38">
        <v>12</v>
      </c>
      <c r="E21" s="38">
        <v>1484.04</v>
      </c>
      <c r="F21" s="38">
        <v>202.56</v>
      </c>
      <c r="G21" s="38">
        <f t="shared" si="0"/>
        <v>1686.6</v>
      </c>
      <c r="H21" s="38">
        <v>1427.55</v>
      </c>
      <c r="I21" s="38">
        <v>25.166</v>
      </c>
      <c r="J21" s="38">
        <v>7.1340000000000003</v>
      </c>
      <c r="K21" s="38">
        <v>21.463000000000001</v>
      </c>
      <c r="L21" s="38">
        <v>2.1</v>
      </c>
      <c r="M21" s="38">
        <v>25.297999999999998</v>
      </c>
      <c r="N21" s="38">
        <v>15.6</v>
      </c>
      <c r="O21" s="38">
        <v>64.924000000000007</v>
      </c>
      <c r="P21" s="38">
        <v>9.8000000000000007</v>
      </c>
      <c r="Q21" s="38">
        <v>56.609000000000002</v>
      </c>
      <c r="R21" s="38"/>
      <c r="S21" s="38">
        <v>35.64</v>
      </c>
      <c r="T21" s="38">
        <f t="shared" si="1"/>
        <v>263.73400000000004</v>
      </c>
      <c r="U21" s="125">
        <f t="shared" si="2"/>
        <v>1691.2840000000001</v>
      </c>
    </row>
    <row r="22" spans="1:21" s="74" customFormat="1" ht="19.5" customHeight="1">
      <c r="A22" s="72">
        <v>16</v>
      </c>
      <c r="B22" s="120" t="s">
        <v>94</v>
      </c>
      <c r="C22" s="38">
        <v>39</v>
      </c>
      <c r="D22" s="38">
        <v>39</v>
      </c>
      <c r="E22" s="38">
        <v>6034.5879999999997</v>
      </c>
      <c r="F22" s="38">
        <v>658.32</v>
      </c>
      <c r="G22" s="38">
        <f t="shared" si="0"/>
        <v>6692.9079999999994</v>
      </c>
      <c r="H22" s="38">
        <v>5833.9290000000001</v>
      </c>
      <c r="I22" s="38"/>
      <c r="J22" s="38">
        <v>13.917</v>
      </c>
      <c r="K22" s="38">
        <v>112.30800000000001</v>
      </c>
      <c r="L22" s="38">
        <v>112.753</v>
      </c>
      <c r="M22" s="38">
        <v>61.286000000000001</v>
      </c>
      <c r="N22" s="38">
        <v>39.22</v>
      </c>
      <c r="O22" s="38">
        <v>43.037999999999997</v>
      </c>
      <c r="P22" s="38">
        <v>13.9</v>
      </c>
      <c r="Q22" s="38">
        <v>171.684</v>
      </c>
      <c r="R22" s="38"/>
      <c r="S22" s="38">
        <v>91.582999999999998</v>
      </c>
      <c r="T22" s="38">
        <f t="shared" si="1"/>
        <v>659.68899999999996</v>
      </c>
      <c r="U22" s="125">
        <f t="shared" si="2"/>
        <v>6493.6180000000004</v>
      </c>
    </row>
    <row r="23" spans="1:21" s="74" customFormat="1" ht="19.5" customHeight="1">
      <c r="A23" s="72">
        <v>17</v>
      </c>
      <c r="B23" s="120" t="s">
        <v>95</v>
      </c>
      <c r="C23" s="38">
        <v>41</v>
      </c>
      <c r="D23" s="38">
        <v>41</v>
      </c>
      <c r="E23" s="38">
        <v>6128.0479999999998</v>
      </c>
      <c r="F23" s="38">
        <v>692.08</v>
      </c>
      <c r="G23" s="38">
        <f t="shared" si="0"/>
        <v>6820.1279999999997</v>
      </c>
      <c r="H23" s="38">
        <v>6202.7929999999997</v>
      </c>
      <c r="I23" s="38"/>
      <c r="J23" s="38">
        <v>19.141999999999999</v>
      </c>
      <c r="K23" s="38">
        <v>224.76499999999999</v>
      </c>
      <c r="L23" s="38">
        <v>14.162000000000001</v>
      </c>
      <c r="M23" s="38">
        <v>101.38500000000001</v>
      </c>
      <c r="N23" s="38">
        <v>20.48</v>
      </c>
      <c r="O23" s="38">
        <v>210.124</v>
      </c>
      <c r="P23" s="38">
        <v>63.15</v>
      </c>
      <c r="Q23" s="38">
        <v>208.31899999999999</v>
      </c>
      <c r="R23" s="38"/>
      <c r="S23" s="38">
        <v>69.468000000000004</v>
      </c>
      <c r="T23" s="38">
        <f t="shared" si="1"/>
        <v>930.99499999999989</v>
      </c>
      <c r="U23" s="125">
        <f t="shared" si="2"/>
        <v>7133.7879999999996</v>
      </c>
    </row>
    <row r="24" spans="1:21" s="74" customFormat="1" ht="19.5" customHeight="1">
      <c r="A24" s="72">
        <v>18</v>
      </c>
      <c r="B24" s="121" t="s">
        <v>96</v>
      </c>
      <c r="C24" s="38">
        <v>29</v>
      </c>
      <c r="D24" s="38">
        <v>29</v>
      </c>
      <c r="E24" s="38">
        <v>4648.549</v>
      </c>
      <c r="F24" s="38">
        <v>489.52</v>
      </c>
      <c r="G24" s="38">
        <f t="shared" si="0"/>
        <v>5138.0689999999995</v>
      </c>
      <c r="H24" s="38">
        <v>4529.4250000000002</v>
      </c>
      <c r="I24" s="38"/>
      <c r="J24" s="38">
        <v>12.198</v>
      </c>
      <c r="K24" s="38">
        <v>110.751</v>
      </c>
      <c r="L24" s="38">
        <v>6.5659999999999998</v>
      </c>
      <c r="M24" s="38">
        <v>73.403000000000006</v>
      </c>
      <c r="N24" s="38">
        <v>93.724000000000004</v>
      </c>
      <c r="O24" s="38">
        <v>102.02200000000001</v>
      </c>
      <c r="P24" s="38"/>
      <c r="Q24" s="38">
        <v>102.494</v>
      </c>
      <c r="R24" s="38"/>
      <c r="S24" s="38">
        <v>84.081999999999994</v>
      </c>
      <c r="T24" s="38">
        <f t="shared" si="1"/>
        <v>585.24</v>
      </c>
      <c r="U24" s="125">
        <f t="shared" si="2"/>
        <v>5114.665</v>
      </c>
    </row>
    <row r="25" spans="1:21" s="74" customFormat="1" ht="19.5" customHeight="1">
      <c r="A25" s="72">
        <v>19</v>
      </c>
      <c r="B25" s="120" t="s">
        <v>97</v>
      </c>
      <c r="C25" s="38">
        <v>21</v>
      </c>
      <c r="D25" s="38">
        <v>21</v>
      </c>
      <c r="E25" s="38">
        <v>3607.7539999999999</v>
      </c>
      <c r="F25" s="38">
        <v>354.48</v>
      </c>
      <c r="G25" s="38">
        <f t="shared" si="0"/>
        <v>3962.2339999999999</v>
      </c>
      <c r="H25" s="38">
        <v>3050.3679999999999</v>
      </c>
      <c r="I25" s="38">
        <v>151.273</v>
      </c>
      <c r="J25" s="38">
        <v>16.998999999999999</v>
      </c>
      <c r="K25" s="38">
        <v>16.812000000000001</v>
      </c>
      <c r="L25" s="38">
        <v>1.7410000000000001</v>
      </c>
      <c r="M25" s="38">
        <v>37.53</v>
      </c>
      <c r="N25" s="38">
        <v>31.05</v>
      </c>
      <c r="O25" s="38">
        <v>12.32</v>
      </c>
      <c r="P25" s="38">
        <v>0</v>
      </c>
      <c r="Q25" s="38">
        <v>159.31299999999999</v>
      </c>
      <c r="R25" s="38">
        <v>0</v>
      </c>
      <c r="S25" s="38">
        <v>50.5</v>
      </c>
      <c r="T25" s="38">
        <f t="shared" si="1"/>
        <v>477.53800000000001</v>
      </c>
      <c r="U25" s="125">
        <f t="shared" si="2"/>
        <v>3527.9059999999999</v>
      </c>
    </row>
    <row r="26" spans="1:21" s="74" customFormat="1" ht="19.5" customHeight="1">
      <c r="A26" s="72">
        <v>20</v>
      </c>
      <c r="B26" s="120" t="s">
        <v>98</v>
      </c>
      <c r="C26" s="38">
        <v>24</v>
      </c>
      <c r="D26" s="38">
        <v>24</v>
      </c>
      <c r="E26" s="38">
        <v>4008.9279999999999</v>
      </c>
      <c r="F26" s="38">
        <v>405.12</v>
      </c>
      <c r="G26" s="38">
        <f t="shared" si="0"/>
        <v>4414.0479999999998</v>
      </c>
      <c r="H26" s="38">
        <v>3952.8609999999999</v>
      </c>
      <c r="I26" s="38">
        <v>73.004000000000005</v>
      </c>
      <c r="J26" s="38">
        <v>8.0079999999999991</v>
      </c>
      <c r="K26" s="38">
        <v>27.69</v>
      </c>
      <c r="L26" s="38">
        <v>3.6</v>
      </c>
      <c r="M26" s="38">
        <v>82.852999999999994</v>
      </c>
      <c r="N26" s="38">
        <v>10.5</v>
      </c>
      <c r="O26" s="38">
        <v>6.01</v>
      </c>
      <c r="P26" s="38"/>
      <c r="Q26" s="38">
        <v>98.703000000000003</v>
      </c>
      <c r="R26" s="38"/>
      <c r="S26" s="38">
        <v>39.726999999999997</v>
      </c>
      <c r="T26" s="38">
        <f t="shared" si="1"/>
        <v>350.09499999999991</v>
      </c>
      <c r="U26" s="125">
        <f t="shared" si="2"/>
        <v>4302.9560000000001</v>
      </c>
    </row>
    <row r="27" spans="1:21" s="74" customFormat="1" ht="19.5" customHeight="1">
      <c r="A27" s="72">
        <v>21</v>
      </c>
      <c r="B27" s="120" t="s">
        <v>99</v>
      </c>
      <c r="C27" s="38">
        <v>28</v>
      </c>
      <c r="D27" s="38">
        <v>28</v>
      </c>
      <c r="E27" s="38">
        <v>3856.5369999999998</v>
      </c>
      <c r="F27" s="38">
        <v>472.64</v>
      </c>
      <c r="G27" s="38">
        <f t="shared" si="0"/>
        <v>4329.1769999999997</v>
      </c>
      <c r="H27" s="38">
        <v>3831.9540000000002</v>
      </c>
      <c r="I27" s="38"/>
      <c r="J27" s="38">
        <v>12.476000000000001</v>
      </c>
      <c r="K27" s="38">
        <v>21.922999999999998</v>
      </c>
      <c r="L27" s="38">
        <v>5.6219999999999999</v>
      </c>
      <c r="M27" s="38">
        <v>94.48</v>
      </c>
      <c r="N27" s="38">
        <v>23.08</v>
      </c>
      <c r="O27" s="38">
        <v>60.956000000000003</v>
      </c>
      <c r="P27" s="38">
        <v>28</v>
      </c>
      <c r="Q27" s="38">
        <v>110.301</v>
      </c>
      <c r="R27" s="38"/>
      <c r="S27" s="38">
        <v>312.57900000000001</v>
      </c>
      <c r="T27" s="38">
        <f t="shared" si="1"/>
        <v>669.41700000000003</v>
      </c>
      <c r="U27" s="125">
        <f t="shared" si="2"/>
        <v>4501.3710000000001</v>
      </c>
    </row>
    <row r="28" spans="1:21" s="74" customFormat="1" ht="19.5" customHeight="1">
      <c r="A28" s="72">
        <v>22</v>
      </c>
      <c r="B28" s="120" t="s">
        <v>100</v>
      </c>
      <c r="C28" s="38">
        <v>13</v>
      </c>
      <c r="D28" s="38">
        <v>13</v>
      </c>
      <c r="E28" s="38">
        <v>1782.8679999999999</v>
      </c>
      <c r="F28" s="38">
        <v>219.44</v>
      </c>
      <c r="G28" s="38">
        <f t="shared" si="0"/>
        <v>2002.308</v>
      </c>
      <c r="H28" s="38">
        <v>1676.4780000000001</v>
      </c>
      <c r="I28" s="38">
        <v>72.308999999999997</v>
      </c>
      <c r="J28" s="38">
        <v>7.1639999999999997</v>
      </c>
      <c r="K28" s="38">
        <v>9.6999999999999993</v>
      </c>
      <c r="L28" s="38">
        <v>0</v>
      </c>
      <c r="M28" s="38">
        <v>50.204999999999998</v>
      </c>
      <c r="N28" s="38">
        <v>11.94</v>
      </c>
      <c r="O28" s="38">
        <v>49.08</v>
      </c>
      <c r="P28" s="38">
        <v>0</v>
      </c>
      <c r="Q28" s="38">
        <v>61.204000000000001</v>
      </c>
      <c r="R28" s="38">
        <v>0</v>
      </c>
      <c r="S28" s="38">
        <v>34.520000000000003</v>
      </c>
      <c r="T28" s="38">
        <f t="shared" si="1"/>
        <v>296.12199999999996</v>
      </c>
      <c r="U28" s="125">
        <f t="shared" si="2"/>
        <v>1972.6</v>
      </c>
    </row>
    <row r="29" spans="1:21" s="74" customFormat="1" ht="19.5" customHeight="1">
      <c r="A29" s="72">
        <v>23</v>
      </c>
      <c r="B29" s="120" t="s">
        <v>101</v>
      </c>
      <c r="C29" s="38">
        <v>35</v>
      </c>
      <c r="D29" s="38">
        <v>35</v>
      </c>
      <c r="E29" s="38">
        <v>5438.47</v>
      </c>
      <c r="F29" s="38">
        <v>590.79999999999995</v>
      </c>
      <c r="G29" s="38">
        <f t="shared" si="0"/>
        <v>6029.27</v>
      </c>
      <c r="H29" s="38">
        <v>5249.7349999999997</v>
      </c>
      <c r="I29" s="38"/>
      <c r="J29" s="38">
        <v>26.821000000000002</v>
      </c>
      <c r="K29" s="38">
        <v>110.268</v>
      </c>
      <c r="L29" s="38">
        <v>2.3109999999999999</v>
      </c>
      <c r="M29" s="38">
        <v>62.554000000000002</v>
      </c>
      <c r="N29" s="38">
        <v>51.811</v>
      </c>
      <c r="O29" s="38">
        <v>98.554000000000002</v>
      </c>
      <c r="P29" s="38">
        <v>54.841000000000001</v>
      </c>
      <c r="Q29" s="38">
        <v>192.55799999999999</v>
      </c>
      <c r="R29" s="38"/>
      <c r="S29" s="38">
        <v>138.209</v>
      </c>
      <c r="T29" s="38">
        <f t="shared" si="1"/>
        <v>737.92700000000013</v>
      </c>
      <c r="U29" s="125">
        <f t="shared" si="2"/>
        <v>5987.6620000000003</v>
      </c>
    </row>
    <row r="30" spans="1:21" s="74" customFormat="1" ht="19.5" customHeight="1">
      <c r="A30" s="72">
        <v>24</v>
      </c>
      <c r="B30" s="120" t="s">
        <v>102</v>
      </c>
      <c r="C30" s="38">
        <v>27</v>
      </c>
      <c r="D30" s="38">
        <v>27</v>
      </c>
      <c r="E30" s="38">
        <v>3951.7660000000001</v>
      </c>
      <c r="F30" s="38">
        <v>455.76</v>
      </c>
      <c r="G30" s="38">
        <f t="shared" si="0"/>
        <v>4407.5259999999998</v>
      </c>
      <c r="H30" s="38">
        <v>3727.4180000000001</v>
      </c>
      <c r="I30" s="38"/>
      <c r="J30" s="38">
        <v>15.039</v>
      </c>
      <c r="K30" s="38">
        <v>25.698</v>
      </c>
      <c r="L30" s="38">
        <v>4.2009999999999996</v>
      </c>
      <c r="M30" s="38">
        <v>83.325000000000003</v>
      </c>
      <c r="N30" s="38">
        <v>65.929000000000002</v>
      </c>
      <c r="O30" s="38">
        <v>43.805999999999997</v>
      </c>
      <c r="P30" s="38">
        <v>60.603999999999999</v>
      </c>
      <c r="Q30" s="38">
        <v>103.274</v>
      </c>
      <c r="R30" s="38"/>
      <c r="S30" s="38">
        <v>187.58600000000001</v>
      </c>
      <c r="T30" s="38">
        <f t="shared" si="1"/>
        <v>589.46199999999999</v>
      </c>
      <c r="U30" s="125">
        <f t="shared" si="2"/>
        <v>4316.88</v>
      </c>
    </row>
    <row r="31" spans="1:21" s="74" customFormat="1" ht="19.5" customHeight="1">
      <c r="A31" s="72">
        <v>25</v>
      </c>
      <c r="B31" s="120" t="s">
        <v>103</v>
      </c>
      <c r="C31" s="38">
        <v>23</v>
      </c>
      <c r="D31" s="38">
        <v>23</v>
      </c>
      <c r="E31" s="38">
        <v>2804.549</v>
      </c>
      <c r="F31" s="38">
        <v>388.24</v>
      </c>
      <c r="G31" s="38">
        <f t="shared" si="0"/>
        <v>3192.7889999999998</v>
      </c>
      <c r="H31" s="38">
        <f>1235.322+1380.669+328.165</f>
        <v>2944.1559999999999</v>
      </c>
      <c r="I31" s="38">
        <v>0</v>
      </c>
      <c r="J31" s="38">
        <v>20.382000000000001</v>
      </c>
      <c r="K31" s="38">
        <v>111.48699999999999</v>
      </c>
      <c r="L31" s="38">
        <v>9.2360000000000007</v>
      </c>
      <c r="M31" s="38">
        <v>47.326000000000001</v>
      </c>
      <c r="N31" s="38">
        <v>29.67</v>
      </c>
      <c r="O31" s="38">
        <v>107.441</v>
      </c>
      <c r="P31" s="38">
        <v>136.61799999999999</v>
      </c>
      <c r="Q31" s="38">
        <v>102.39</v>
      </c>
      <c r="R31" s="38"/>
      <c r="S31" s="38">
        <v>60.963000000000001</v>
      </c>
      <c r="T31" s="38">
        <f t="shared" si="1"/>
        <v>625.51300000000003</v>
      </c>
      <c r="U31" s="125">
        <f t="shared" si="2"/>
        <v>3569.6689999999999</v>
      </c>
    </row>
    <row r="32" spans="1:21" s="74" customFormat="1" ht="19.5" customHeight="1">
      <c r="A32" s="72">
        <v>26</v>
      </c>
      <c r="B32" s="120" t="s">
        <v>104</v>
      </c>
      <c r="C32" s="38">
        <v>40</v>
      </c>
      <c r="D32" s="38">
        <v>40</v>
      </c>
      <c r="E32" s="38">
        <v>6706.2510000000002</v>
      </c>
      <c r="F32" s="38">
        <v>675.2</v>
      </c>
      <c r="G32" s="38">
        <f t="shared" si="0"/>
        <v>7381.451</v>
      </c>
      <c r="H32" s="38">
        <v>6684.8739999999998</v>
      </c>
      <c r="I32" s="38">
        <v>119.626</v>
      </c>
      <c r="J32" s="38">
        <v>24.777999999999999</v>
      </c>
      <c r="K32" s="38">
        <v>49.802999999999997</v>
      </c>
      <c r="L32" s="38">
        <v>3.1160000000000001</v>
      </c>
      <c r="M32" s="38">
        <v>110.89100000000001</v>
      </c>
      <c r="N32" s="38">
        <v>33.81</v>
      </c>
      <c r="O32" s="38">
        <v>73.468999999999994</v>
      </c>
      <c r="P32" s="38">
        <v>12.5</v>
      </c>
      <c r="Q32" s="38">
        <v>188.726</v>
      </c>
      <c r="R32" s="38"/>
      <c r="S32" s="38">
        <v>73.379000000000005</v>
      </c>
      <c r="T32" s="38">
        <f t="shared" si="1"/>
        <v>690.09800000000007</v>
      </c>
      <c r="U32" s="125">
        <f t="shared" si="2"/>
        <v>7374.9719999999998</v>
      </c>
    </row>
    <row r="33" spans="1:25" s="74" customFormat="1" ht="19.5" customHeight="1">
      <c r="A33" s="72">
        <v>27</v>
      </c>
      <c r="B33" s="120" t="s">
        <v>105</v>
      </c>
      <c r="C33" s="38">
        <v>26</v>
      </c>
      <c r="D33" s="38">
        <v>26</v>
      </c>
      <c r="E33" s="38">
        <v>3725.5659999999998</v>
      </c>
      <c r="F33" s="38">
        <v>675.2</v>
      </c>
      <c r="G33" s="38">
        <f t="shared" si="0"/>
        <v>4400.7659999999996</v>
      </c>
      <c r="H33" s="38">
        <v>3658.7350000000001</v>
      </c>
      <c r="I33" s="38"/>
      <c r="J33" s="38">
        <v>11.811</v>
      </c>
      <c r="K33" s="38">
        <v>55.343000000000004</v>
      </c>
      <c r="L33" s="38">
        <v>7.923</v>
      </c>
      <c r="M33" s="38">
        <v>72.843000000000004</v>
      </c>
      <c r="N33" s="38">
        <v>37.880000000000003</v>
      </c>
      <c r="O33" s="38">
        <v>17.89</v>
      </c>
      <c r="P33" s="38"/>
      <c r="Q33" s="38">
        <v>232.37200000000001</v>
      </c>
      <c r="R33" s="38">
        <v>0</v>
      </c>
      <c r="S33" s="38">
        <v>91.421000000000006</v>
      </c>
      <c r="T33" s="38">
        <f t="shared" si="1"/>
        <v>527.48300000000006</v>
      </c>
      <c r="U33" s="125">
        <f t="shared" si="2"/>
        <v>4186.2179999999998</v>
      </c>
    </row>
    <row r="34" spans="1:25" s="74" customFormat="1" ht="19.5" customHeight="1">
      <c r="A34" s="72">
        <v>28</v>
      </c>
      <c r="B34" s="120" t="s">
        <v>106</v>
      </c>
      <c r="C34" s="38">
        <v>35</v>
      </c>
      <c r="D34" s="38">
        <v>35</v>
      </c>
      <c r="E34" s="38">
        <v>4043.6379999999999</v>
      </c>
      <c r="F34" s="38">
        <v>590.79999999999995</v>
      </c>
      <c r="G34" s="38">
        <f t="shared" si="0"/>
        <v>4634.4380000000001</v>
      </c>
      <c r="H34" s="38">
        <f>1983.119+1564.388+531.005</f>
        <v>4078.5119999999997</v>
      </c>
      <c r="I34" s="38"/>
      <c r="J34" s="38">
        <v>38.685000000000002</v>
      </c>
      <c r="K34" s="38">
        <v>262.41699999999997</v>
      </c>
      <c r="L34" s="38">
        <v>3.7</v>
      </c>
      <c r="M34" s="38">
        <v>64.59</v>
      </c>
      <c r="N34" s="38">
        <v>43.84</v>
      </c>
      <c r="O34" s="38">
        <v>8.0299999999999994</v>
      </c>
      <c r="P34" s="38">
        <v>59.4</v>
      </c>
      <c r="Q34" s="38">
        <v>190.863</v>
      </c>
      <c r="R34" s="38"/>
      <c r="S34" s="38">
        <f>64.93+22.75+7.414</f>
        <v>95.094000000000008</v>
      </c>
      <c r="T34" s="38">
        <f t="shared" si="1"/>
        <v>766.61899999999991</v>
      </c>
      <c r="U34" s="125">
        <f t="shared" si="2"/>
        <v>4845.1309999999994</v>
      </c>
    </row>
    <row r="35" spans="1:25" s="74" customFormat="1" ht="19.5" customHeight="1">
      <c r="A35" s="72">
        <v>29</v>
      </c>
      <c r="B35" s="120" t="s">
        <v>107</v>
      </c>
      <c r="C35" s="122">
        <v>21</v>
      </c>
      <c r="D35" s="122">
        <v>21</v>
      </c>
      <c r="E35" s="38">
        <v>3177.2930000000001</v>
      </c>
      <c r="F35" s="38">
        <v>354.48</v>
      </c>
      <c r="G35" s="38">
        <f t="shared" si="0"/>
        <v>3531.7730000000001</v>
      </c>
      <c r="H35" s="122">
        <v>3846.3</v>
      </c>
      <c r="I35" s="122">
        <v>58.9</v>
      </c>
      <c r="J35" s="122">
        <v>19.3</v>
      </c>
      <c r="K35" s="122">
        <v>11.9</v>
      </c>
      <c r="L35" s="122">
        <v>22.3</v>
      </c>
      <c r="M35" s="122">
        <v>39.799999999999997</v>
      </c>
      <c r="N35" s="122">
        <v>35.700000000000003</v>
      </c>
      <c r="O35" s="122">
        <v>93.4</v>
      </c>
      <c r="P35" s="122">
        <v>29.5</v>
      </c>
      <c r="Q35" s="122">
        <v>165.7</v>
      </c>
      <c r="R35" s="38"/>
      <c r="S35" s="122">
        <v>66.8</v>
      </c>
      <c r="T35" s="38">
        <f t="shared" si="1"/>
        <v>543.29999999999995</v>
      </c>
      <c r="U35" s="125">
        <f t="shared" si="2"/>
        <v>4389.6000000000004</v>
      </c>
    </row>
    <row r="36" spans="1:25" s="74" customFormat="1" ht="19.5" customHeight="1">
      <c r="A36" s="72">
        <v>30</v>
      </c>
      <c r="B36" s="120" t="s">
        <v>108</v>
      </c>
      <c r="C36" s="38">
        <v>24</v>
      </c>
      <c r="D36" s="38">
        <v>24</v>
      </c>
      <c r="E36" s="38">
        <v>3668.0639999999999</v>
      </c>
      <c r="F36" s="38">
        <v>405.12</v>
      </c>
      <c r="G36" s="38">
        <f t="shared" si="0"/>
        <v>4073.1839999999997</v>
      </c>
      <c r="H36" s="38">
        <v>3885.07</v>
      </c>
      <c r="I36" s="38">
        <v>62.680999999999997</v>
      </c>
      <c r="J36" s="38">
        <v>8.6140000000000008</v>
      </c>
      <c r="K36" s="38">
        <v>33.162999999999997</v>
      </c>
      <c r="L36" s="38">
        <v>4.2569999999999997</v>
      </c>
      <c r="M36" s="38">
        <v>68.093999999999994</v>
      </c>
      <c r="N36" s="38">
        <v>42.08</v>
      </c>
      <c r="O36" s="38">
        <v>30.44</v>
      </c>
      <c r="P36" s="38"/>
      <c r="Q36" s="38">
        <v>28.091000000000001</v>
      </c>
      <c r="R36" s="38"/>
      <c r="S36" s="38">
        <v>55.25</v>
      </c>
      <c r="T36" s="38">
        <f t="shared" si="1"/>
        <v>332.67</v>
      </c>
      <c r="U36" s="125">
        <f t="shared" si="2"/>
        <v>4217.74</v>
      </c>
    </row>
    <row r="37" spans="1:25" s="74" customFormat="1" ht="19.5" customHeight="1">
      <c r="A37" s="72">
        <v>31</v>
      </c>
      <c r="B37" s="120" t="s">
        <v>109</v>
      </c>
      <c r="C37" s="38">
        <v>14</v>
      </c>
      <c r="D37" s="38">
        <v>14</v>
      </c>
      <c r="E37" s="38">
        <v>1177.8340000000001</v>
      </c>
      <c r="F37" s="38">
        <v>236.32</v>
      </c>
      <c r="G37" s="38">
        <f t="shared" si="0"/>
        <v>1414.154</v>
      </c>
      <c r="H37" s="38">
        <v>1741.598</v>
      </c>
      <c r="I37" s="38"/>
      <c r="J37" s="38">
        <v>15.332000000000001</v>
      </c>
      <c r="K37" s="38">
        <v>91.959000000000003</v>
      </c>
      <c r="L37" s="38">
        <v>1.208</v>
      </c>
      <c r="M37" s="38">
        <v>40.505000000000003</v>
      </c>
      <c r="N37" s="38">
        <v>22.82</v>
      </c>
      <c r="O37" s="38">
        <v>22.66</v>
      </c>
      <c r="P37" s="38"/>
      <c r="Q37" s="38">
        <v>108.40900000000001</v>
      </c>
      <c r="R37" s="38"/>
      <c r="S37" s="38">
        <v>30.099</v>
      </c>
      <c r="T37" s="38">
        <f t="shared" si="1"/>
        <v>332.99199999999996</v>
      </c>
      <c r="U37" s="125">
        <f t="shared" si="2"/>
        <v>2074.59</v>
      </c>
    </row>
    <row r="38" spans="1:25" s="74" customFormat="1" ht="19.5" customHeight="1">
      <c r="A38" s="72">
        <v>32</v>
      </c>
      <c r="B38" s="120" t="s">
        <v>110</v>
      </c>
      <c r="C38" s="38">
        <v>23</v>
      </c>
      <c r="D38" s="38">
        <v>23</v>
      </c>
      <c r="E38" s="38">
        <v>3996.8240000000001</v>
      </c>
      <c r="F38" s="38">
        <v>388.24</v>
      </c>
      <c r="G38" s="38">
        <f t="shared" si="0"/>
        <v>4385.0640000000003</v>
      </c>
      <c r="H38" s="38">
        <v>3510.4090000000001</v>
      </c>
      <c r="I38" s="38"/>
      <c r="J38" s="38">
        <v>5.7939999999999996</v>
      </c>
      <c r="K38" s="38">
        <v>163.267</v>
      </c>
      <c r="L38" s="38">
        <v>15.015000000000001</v>
      </c>
      <c r="M38" s="38">
        <v>120.85</v>
      </c>
      <c r="N38" s="38">
        <v>24.88</v>
      </c>
      <c r="O38" s="38">
        <v>55.805</v>
      </c>
      <c r="P38" s="38">
        <v>29.85</v>
      </c>
      <c r="Q38" s="38">
        <v>96.596000000000004</v>
      </c>
      <c r="R38" s="38"/>
      <c r="S38" s="38">
        <v>51.604999999999997</v>
      </c>
      <c r="T38" s="38">
        <f t="shared" si="1"/>
        <v>563.66200000000003</v>
      </c>
      <c r="U38" s="125">
        <f t="shared" si="2"/>
        <v>4074.0709999999999</v>
      </c>
    </row>
    <row r="39" spans="1:25" s="74" customFormat="1" ht="19.5" customHeight="1">
      <c r="A39" s="72">
        <v>33</v>
      </c>
      <c r="B39" s="123" t="s">
        <v>111</v>
      </c>
      <c r="C39" s="38">
        <v>18</v>
      </c>
      <c r="D39" s="38">
        <v>18</v>
      </c>
      <c r="E39" s="38">
        <v>3405.085</v>
      </c>
      <c r="F39" s="38">
        <v>303.83999999999997</v>
      </c>
      <c r="G39" s="38">
        <f t="shared" si="0"/>
        <v>3708.9250000000002</v>
      </c>
      <c r="H39" s="38">
        <f>3062.535+31.045</f>
        <v>3093.58</v>
      </c>
      <c r="I39" s="38"/>
      <c r="J39" s="38">
        <v>7.3310000000000004</v>
      </c>
      <c r="K39" s="38">
        <v>14.494999999999999</v>
      </c>
      <c r="L39" s="38">
        <v>7.0339999999999998</v>
      </c>
      <c r="M39" s="38">
        <v>80.19</v>
      </c>
      <c r="N39" s="38">
        <v>61.023000000000003</v>
      </c>
      <c r="O39" s="38">
        <v>125.214</v>
      </c>
      <c r="P39" s="38">
        <v>101.6</v>
      </c>
      <c r="Q39" s="38">
        <v>140.5</v>
      </c>
      <c r="R39" s="38"/>
      <c r="S39" s="38">
        <v>54.01</v>
      </c>
      <c r="T39" s="38">
        <f t="shared" si="1"/>
        <v>591.39700000000005</v>
      </c>
      <c r="U39" s="125">
        <f t="shared" si="2"/>
        <v>3684.9769999999999</v>
      </c>
    </row>
    <row r="40" spans="1:25" s="74" customFormat="1" ht="19.5" customHeight="1">
      <c r="A40" s="72">
        <v>34</v>
      </c>
      <c r="B40" s="120" t="s">
        <v>112</v>
      </c>
      <c r="C40" s="38">
        <v>14</v>
      </c>
      <c r="D40" s="38">
        <v>14</v>
      </c>
      <c r="E40" s="38">
        <v>2420.9690000000001</v>
      </c>
      <c r="F40" s="38">
        <v>236.32</v>
      </c>
      <c r="G40" s="38">
        <f t="shared" si="0"/>
        <v>2657.2890000000002</v>
      </c>
      <c r="H40" s="38">
        <v>2438.462</v>
      </c>
      <c r="I40" s="38">
        <v>56.521999999999998</v>
      </c>
      <c r="J40" s="38">
        <v>8.9909999999999997</v>
      </c>
      <c r="K40" s="38">
        <v>6.63</v>
      </c>
      <c r="L40" s="38">
        <v>2.7269999999999999</v>
      </c>
      <c r="M40" s="38">
        <v>53.008000000000003</v>
      </c>
      <c r="N40" s="38">
        <v>22.984999999999999</v>
      </c>
      <c r="O40" s="38">
        <v>16.399000000000001</v>
      </c>
      <c r="P40" s="38">
        <v>0</v>
      </c>
      <c r="Q40" s="38">
        <v>57.213999999999999</v>
      </c>
      <c r="R40" s="38">
        <v>0</v>
      </c>
      <c r="S40" s="38">
        <v>61.110999999999997</v>
      </c>
      <c r="T40" s="38">
        <f t="shared" si="1"/>
        <v>285.58699999999999</v>
      </c>
      <c r="U40" s="125">
        <f t="shared" si="2"/>
        <v>2724.049</v>
      </c>
    </row>
    <row r="41" spans="1:25" s="74" customFormat="1" ht="19.5" customHeight="1">
      <c r="A41" s="72">
        <v>35</v>
      </c>
      <c r="B41" s="120" t="s">
        <v>113</v>
      </c>
      <c r="C41" s="38">
        <v>16</v>
      </c>
      <c r="D41" s="38">
        <v>16</v>
      </c>
      <c r="E41" s="38">
        <v>2273.1550000000002</v>
      </c>
      <c r="F41" s="38">
        <v>270.08</v>
      </c>
      <c r="G41" s="38">
        <f t="shared" si="0"/>
        <v>2543.2350000000001</v>
      </c>
      <c r="H41" s="38">
        <v>1781.0250000000001</v>
      </c>
      <c r="I41" s="38">
        <v>27.620999999999999</v>
      </c>
      <c r="J41" s="38">
        <v>4.92</v>
      </c>
      <c r="K41" s="38">
        <v>3.1749999999999998</v>
      </c>
      <c r="L41" s="38">
        <v>0.95599999999999996</v>
      </c>
      <c r="M41" s="38">
        <v>104.146</v>
      </c>
      <c r="N41" s="38">
        <v>22.78</v>
      </c>
      <c r="O41" s="38">
        <v>55.49</v>
      </c>
      <c r="P41" s="38"/>
      <c r="Q41" s="38">
        <v>157.786</v>
      </c>
      <c r="R41" s="38"/>
      <c r="S41" s="38">
        <v>26.59</v>
      </c>
      <c r="T41" s="38">
        <f t="shared" si="1"/>
        <v>403.464</v>
      </c>
      <c r="U41" s="125">
        <f t="shared" si="2"/>
        <v>2184.489</v>
      </c>
    </row>
    <row r="42" spans="1:25" s="74" customFormat="1" ht="19.5" customHeight="1">
      <c r="A42" s="72">
        <v>36</v>
      </c>
      <c r="B42" s="120" t="s">
        <v>114</v>
      </c>
      <c r="C42" s="38">
        <v>14</v>
      </c>
      <c r="D42" s="38">
        <v>14</v>
      </c>
      <c r="E42" s="38">
        <v>1748.7349999999999</v>
      </c>
      <c r="F42" s="38">
        <v>236.32</v>
      </c>
      <c r="G42" s="38">
        <f t="shared" si="0"/>
        <v>1985.0549999999998</v>
      </c>
      <c r="H42" s="38">
        <v>1664.713</v>
      </c>
      <c r="I42" s="38"/>
      <c r="J42" s="38">
        <v>4.702</v>
      </c>
      <c r="K42" s="38">
        <v>57.823</v>
      </c>
      <c r="L42" s="38">
        <v>1.675</v>
      </c>
      <c r="M42" s="38">
        <v>91.626000000000005</v>
      </c>
      <c r="N42" s="38">
        <v>41.058</v>
      </c>
      <c r="O42" s="38">
        <v>11.82</v>
      </c>
      <c r="P42" s="38"/>
      <c r="Q42" s="38">
        <v>44.314</v>
      </c>
      <c r="R42" s="38"/>
      <c r="S42" s="38">
        <v>31.864999999999998</v>
      </c>
      <c r="T42" s="38">
        <f t="shared" si="1"/>
        <v>284.88299999999998</v>
      </c>
      <c r="U42" s="125">
        <f t="shared" si="2"/>
        <v>1949.596</v>
      </c>
    </row>
    <row r="43" spans="1:25" s="74" customFormat="1" ht="19.5" customHeight="1">
      <c r="A43" s="72">
        <v>37</v>
      </c>
      <c r="B43" s="120" t="s">
        <v>115</v>
      </c>
      <c r="C43" s="38">
        <v>10</v>
      </c>
      <c r="D43" s="38">
        <v>10</v>
      </c>
      <c r="E43" s="38">
        <v>1239.2249999999999</v>
      </c>
      <c r="F43" s="38">
        <v>168.8</v>
      </c>
      <c r="G43" s="38">
        <f t="shared" si="0"/>
        <v>1408.0249999999999</v>
      </c>
      <c r="H43" s="38">
        <v>1020.3680000000001</v>
      </c>
      <c r="I43" s="38">
        <v>45.036999999999999</v>
      </c>
      <c r="J43" s="38">
        <v>2.879</v>
      </c>
      <c r="K43" s="38">
        <v>18.219000000000001</v>
      </c>
      <c r="L43" s="38">
        <v>3.9380000000000002</v>
      </c>
      <c r="M43" s="38">
        <v>67.536000000000001</v>
      </c>
      <c r="N43" s="38">
        <v>7.83</v>
      </c>
      <c r="O43" s="38">
        <v>71.534999999999997</v>
      </c>
      <c r="P43" s="38">
        <v>16.5</v>
      </c>
      <c r="Q43" s="38">
        <v>103.907</v>
      </c>
      <c r="R43" s="38">
        <v>0</v>
      </c>
      <c r="S43" s="38">
        <v>36.460999999999999</v>
      </c>
      <c r="T43" s="38">
        <f t="shared" si="1"/>
        <v>373.84199999999998</v>
      </c>
      <c r="U43" s="125">
        <f t="shared" si="2"/>
        <v>1394.21</v>
      </c>
    </row>
    <row r="44" spans="1:25" s="74" customFormat="1" ht="19.5" customHeight="1">
      <c r="A44" s="72">
        <v>38</v>
      </c>
      <c r="B44" s="120" t="s">
        <v>116</v>
      </c>
      <c r="C44" s="38">
        <v>17</v>
      </c>
      <c r="D44" s="38">
        <v>17</v>
      </c>
      <c r="E44" s="38">
        <v>2134.6930000000002</v>
      </c>
      <c r="F44" s="38">
        <v>286.95999999999998</v>
      </c>
      <c r="G44" s="38">
        <f t="shared" si="0"/>
        <v>2421.6530000000002</v>
      </c>
      <c r="H44" s="38">
        <v>2222.1990000000001</v>
      </c>
      <c r="I44" s="38"/>
      <c r="J44" s="38">
        <v>14.962999999999999</v>
      </c>
      <c r="K44" s="38">
        <v>86.363</v>
      </c>
      <c r="L44" s="38">
        <v>1.4330000000000001</v>
      </c>
      <c r="M44" s="38">
        <v>52.402000000000001</v>
      </c>
      <c r="N44" s="38">
        <v>21.981000000000002</v>
      </c>
      <c r="O44" s="38">
        <v>34.072000000000003</v>
      </c>
      <c r="P44" s="38"/>
      <c r="Q44" s="38">
        <v>87.483999999999995</v>
      </c>
      <c r="R44" s="38"/>
      <c r="S44" s="38">
        <v>61.286000000000001</v>
      </c>
      <c r="T44" s="38">
        <f t="shared" si="1"/>
        <v>359.98399999999998</v>
      </c>
      <c r="U44" s="125">
        <f t="shared" si="2"/>
        <v>2582.183</v>
      </c>
    </row>
    <row r="45" spans="1:25" s="74" customFormat="1" ht="19.5" customHeight="1">
      <c r="A45" s="72">
        <v>39</v>
      </c>
      <c r="B45" s="120" t="s">
        <v>117</v>
      </c>
      <c r="C45" s="38">
        <v>13</v>
      </c>
      <c r="D45" s="38">
        <v>13</v>
      </c>
      <c r="E45" s="38">
        <v>2160.7280000000001</v>
      </c>
      <c r="F45" s="38">
        <v>219.44</v>
      </c>
      <c r="G45" s="38">
        <f t="shared" si="0"/>
        <v>2380.1680000000001</v>
      </c>
      <c r="H45" s="38">
        <v>2287.7080000000001</v>
      </c>
      <c r="I45" s="38"/>
      <c r="J45" s="38">
        <v>5.8849999999999998</v>
      </c>
      <c r="K45" s="38">
        <v>7.7</v>
      </c>
      <c r="L45" s="38">
        <v>1.1419999999999999</v>
      </c>
      <c r="M45" s="38">
        <v>44.588000000000001</v>
      </c>
      <c r="N45" s="38">
        <v>17.88</v>
      </c>
      <c r="O45" s="38">
        <v>8.1980000000000004</v>
      </c>
      <c r="P45" s="38"/>
      <c r="Q45" s="38">
        <v>59.643000000000001</v>
      </c>
      <c r="R45" s="38"/>
      <c r="S45" s="38">
        <v>44.680999999999997</v>
      </c>
      <c r="T45" s="38">
        <f t="shared" si="1"/>
        <v>189.71699999999998</v>
      </c>
      <c r="U45" s="125">
        <f t="shared" si="2"/>
        <v>2477.4250000000002</v>
      </c>
    </row>
    <row r="46" spans="1:25" s="74" customFormat="1" ht="19.5" customHeight="1">
      <c r="A46" s="72">
        <v>40</v>
      </c>
      <c r="B46" s="120" t="s">
        <v>118</v>
      </c>
      <c r="C46" s="38">
        <v>12</v>
      </c>
      <c r="D46" s="38">
        <v>12</v>
      </c>
      <c r="E46" s="38">
        <v>1318.059</v>
      </c>
      <c r="F46" s="38">
        <v>202.56</v>
      </c>
      <c r="G46" s="38">
        <f t="shared" si="0"/>
        <v>1520.6189999999999</v>
      </c>
      <c r="H46" s="38">
        <f>693.177+455.796+177.453</f>
        <v>1326.4259999999999</v>
      </c>
      <c r="I46" s="38">
        <v>0</v>
      </c>
      <c r="J46" s="38">
        <v>0</v>
      </c>
      <c r="K46" s="38">
        <v>31.36</v>
      </c>
      <c r="L46" s="38">
        <v>4.7</v>
      </c>
      <c r="M46" s="38">
        <v>57.341999999999999</v>
      </c>
      <c r="N46" s="38">
        <v>0.83</v>
      </c>
      <c r="O46" s="38">
        <v>47.27</v>
      </c>
      <c r="P46" s="38">
        <v>28.4</v>
      </c>
      <c r="Q46" s="38">
        <v>42.572000000000003</v>
      </c>
      <c r="R46" s="38"/>
      <c r="S46" s="38">
        <f>34.377+7.609</f>
        <v>41.986000000000004</v>
      </c>
      <c r="T46" s="38">
        <f t="shared" si="1"/>
        <v>254.46000000000004</v>
      </c>
      <c r="U46" s="125">
        <f t="shared" si="2"/>
        <v>1580.886</v>
      </c>
      <c r="V46" s="28"/>
      <c r="W46" s="28"/>
      <c r="X46" s="28"/>
      <c r="Y46" s="28"/>
    </row>
    <row r="47" spans="1:25" s="74" customFormat="1" ht="19.5" customHeight="1">
      <c r="A47" s="72">
        <v>41</v>
      </c>
      <c r="B47" s="120" t="s">
        <v>119</v>
      </c>
      <c r="C47" s="38">
        <v>17</v>
      </c>
      <c r="D47" s="38">
        <v>17</v>
      </c>
      <c r="E47" s="38">
        <v>2628.52</v>
      </c>
      <c r="F47" s="38">
        <v>286.95999999999998</v>
      </c>
      <c r="G47" s="38">
        <f t="shared" si="0"/>
        <v>2915.48</v>
      </c>
      <c r="H47" s="38">
        <v>2706.5630000000001</v>
      </c>
      <c r="I47" s="38">
        <v>32.326000000000001</v>
      </c>
      <c r="J47" s="38">
        <v>12.622999999999999</v>
      </c>
      <c r="K47" s="38">
        <v>26.658000000000001</v>
      </c>
      <c r="L47" s="38">
        <v>0.44400000000000001</v>
      </c>
      <c r="M47" s="38">
        <v>80.212000000000003</v>
      </c>
      <c r="N47" s="38">
        <v>16.934999999999999</v>
      </c>
      <c r="O47" s="38">
        <v>0</v>
      </c>
      <c r="P47" s="38">
        <v>14.481999999999999</v>
      </c>
      <c r="Q47" s="38">
        <v>66.558999999999997</v>
      </c>
      <c r="R47" s="38"/>
      <c r="S47" s="38">
        <v>28.242999999999999</v>
      </c>
      <c r="T47" s="38">
        <f t="shared" si="1"/>
        <v>278.48200000000003</v>
      </c>
      <c r="U47" s="125">
        <f t="shared" si="2"/>
        <v>2985.0450000000001</v>
      </c>
    </row>
    <row r="48" spans="1:25" s="74" customFormat="1" ht="19.5" customHeight="1">
      <c r="A48" s="72">
        <v>42</v>
      </c>
      <c r="B48" s="120" t="s">
        <v>120</v>
      </c>
      <c r="C48" s="38">
        <v>36</v>
      </c>
      <c r="D48" s="38">
        <v>36</v>
      </c>
      <c r="E48" s="38">
        <v>4364</v>
      </c>
      <c r="F48" s="38">
        <v>756</v>
      </c>
      <c r="G48" s="38">
        <f t="shared" si="0"/>
        <v>5120</v>
      </c>
      <c r="H48" s="38">
        <v>4363.5889999999999</v>
      </c>
      <c r="I48" s="38">
        <v>105.08</v>
      </c>
      <c r="J48" s="38">
        <v>12.308999999999999</v>
      </c>
      <c r="K48" s="38">
        <v>23.573</v>
      </c>
      <c r="L48" s="38">
        <v>13.976000000000001</v>
      </c>
      <c r="M48" s="38">
        <v>102.133</v>
      </c>
      <c r="N48" s="38">
        <v>34.225000000000001</v>
      </c>
      <c r="O48" s="38">
        <v>156.72999999999999</v>
      </c>
      <c r="P48" s="38">
        <v>0</v>
      </c>
      <c r="Q48" s="38">
        <v>153.67699999999999</v>
      </c>
      <c r="R48" s="38">
        <v>0</v>
      </c>
      <c r="S48" s="38">
        <v>152.00800000000001</v>
      </c>
      <c r="T48" s="38">
        <f t="shared" si="1"/>
        <v>753.71100000000001</v>
      </c>
      <c r="U48" s="125">
        <f t="shared" si="2"/>
        <v>5117.3</v>
      </c>
    </row>
    <row r="49" spans="1:21" s="74" customFormat="1" ht="19.5" customHeight="1">
      <c r="A49" s="72">
        <v>43</v>
      </c>
      <c r="B49" s="120" t="s">
        <v>121</v>
      </c>
      <c r="C49" s="38">
        <v>19</v>
      </c>
      <c r="D49" s="38">
        <v>19</v>
      </c>
      <c r="E49" s="38">
        <v>2274.2130000000002</v>
      </c>
      <c r="F49" s="38">
        <v>320.72000000000003</v>
      </c>
      <c r="G49" s="38">
        <f t="shared" si="0"/>
        <v>2594.933</v>
      </c>
      <c r="H49" s="38">
        <f>1271.732+773.374+337.902</f>
        <v>2383.0079999999998</v>
      </c>
      <c r="I49" s="38"/>
      <c r="J49" s="38">
        <v>7.1630000000000003</v>
      </c>
      <c r="K49" s="38">
        <v>25.324999999999999</v>
      </c>
      <c r="L49" s="38">
        <v>4.5670000000000002</v>
      </c>
      <c r="M49" s="38">
        <v>71.447999999999993</v>
      </c>
      <c r="N49" s="38">
        <v>17.88</v>
      </c>
      <c r="O49" s="38">
        <v>18.507000000000001</v>
      </c>
      <c r="P49" s="38">
        <v>17.899999999999999</v>
      </c>
      <c r="Q49" s="38">
        <f>81.653+9</f>
        <v>90.653000000000006</v>
      </c>
      <c r="R49" s="38"/>
      <c r="S49" s="38">
        <f>19.874+3.302</f>
        <v>23.175999999999998</v>
      </c>
      <c r="T49" s="38">
        <f t="shared" si="1"/>
        <v>276.61899999999997</v>
      </c>
      <c r="U49" s="125">
        <f t="shared" si="2"/>
        <v>2659.627</v>
      </c>
    </row>
    <row r="50" spans="1:21" s="74" customFormat="1" ht="19.5" customHeight="1">
      <c r="A50" s="72">
        <v>44</v>
      </c>
      <c r="B50" s="120" t="s">
        <v>122</v>
      </c>
      <c r="C50" s="122">
        <v>21</v>
      </c>
      <c r="D50" s="122">
        <v>21</v>
      </c>
      <c r="E50" s="38">
        <v>2914.1</v>
      </c>
      <c r="F50" s="38">
        <v>354.48</v>
      </c>
      <c r="G50" s="38">
        <f t="shared" si="0"/>
        <v>3268.58</v>
      </c>
      <c r="H50" s="122">
        <v>2750.2</v>
      </c>
      <c r="I50" s="122">
        <v>31.3</v>
      </c>
      <c r="J50" s="122">
        <v>15.9</v>
      </c>
      <c r="K50" s="38"/>
      <c r="L50" s="122">
        <v>6.3</v>
      </c>
      <c r="M50" s="122">
        <v>72.2</v>
      </c>
      <c r="N50" s="122">
        <v>27.5</v>
      </c>
      <c r="O50" s="122">
        <v>49.8</v>
      </c>
      <c r="P50" s="38"/>
      <c r="Q50" s="122">
        <v>193.2</v>
      </c>
      <c r="R50" s="38"/>
      <c r="S50" s="122">
        <v>37.799999999999997</v>
      </c>
      <c r="T50" s="38">
        <f t="shared" si="1"/>
        <v>434</v>
      </c>
      <c r="U50" s="125">
        <f t="shared" si="2"/>
        <v>3184.2</v>
      </c>
    </row>
    <row r="51" spans="1:21" s="74" customFormat="1" ht="19.5" customHeight="1">
      <c r="A51" s="72">
        <v>45</v>
      </c>
      <c r="B51" s="120" t="s">
        <v>123</v>
      </c>
      <c r="C51" s="38">
        <v>12</v>
      </c>
      <c r="D51" s="38">
        <v>12</v>
      </c>
      <c r="E51" s="38">
        <v>2093.712</v>
      </c>
      <c r="F51" s="38">
        <v>202.56</v>
      </c>
      <c r="G51" s="38">
        <f t="shared" si="0"/>
        <v>2296.2719999999999</v>
      </c>
      <c r="H51" s="38">
        <v>1997.78</v>
      </c>
      <c r="I51" s="38">
        <v>38.197000000000003</v>
      </c>
      <c r="J51" s="38">
        <v>7.2779999999999996</v>
      </c>
      <c r="K51" s="38">
        <v>10.016999999999999</v>
      </c>
      <c r="L51" s="38">
        <v>3.4319999999999999</v>
      </c>
      <c r="M51" s="38">
        <v>78.787000000000006</v>
      </c>
      <c r="N51" s="38">
        <v>27.9</v>
      </c>
      <c r="O51" s="38"/>
      <c r="P51" s="38">
        <v>21.25</v>
      </c>
      <c r="Q51" s="38">
        <v>16.858000000000001</v>
      </c>
      <c r="R51" s="38"/>
      <c r="S51" s="38">
        <v>25.12</v>
      </c>
      <c r="T51" s="38">
        <f t="shared" si="1"/>
        <v>228.83900000000003</v>
      </c>
      <c r="U51" s="125">
        <f t="shared" si="2"/>
        <v>2226.6190000000001</v>
      </c>
    </row>
    <row r="52" spans="1:21" s="28" customFormat="1" ht="19.5" customHeight="1">
      <c r="A52" s="157" t="s">
        <v>19</v>
      </c>
      <c r="B52" s="157"/>
      <c r="C52" s="52">
        <f>SUM(C7:C51)</f>
        <v>930</v>
      </c>
      <c r="D52" s="52">
        <f t="shared" ref="D52:S52" si="3">SUM(D7:D51)</f>
        <v>930</v>
      </c>
      <c r="E52" s="52">
        <f t="shared" si="3"/>
        <v>128450.96200000003</v>
      </c>
      <c r="F52" s="52">
        <f t="shared" si="3"/>
        <v>16083.039999999995</v>
      </c>
      <c r="G52" s="52">
        <f t="shared" si="3"/>
        <v>144534.00199999998</v>
      </c>
      <c r="H52" s="52">
        <f t="shared" si="3"/>
        <v>126869.735</v>
      </c>
      <c r="I52" s="52">
        <f t="shared" si="3"/>
        <v>1204.9429999999998</v>
      </c>
      <c r="J52" s="52">
        <f t="shared" si="3"/>
        <v>582.37200000000007</v>
      </c>
      <c r="K52" s="52">
        <f t="shared" si="3"/>
        <v>2678.2689999999993</v>
      </c>
      <c r="L52" s="52">
        <f t="shared" si="3"/>
        <v>323.53100000000006</v>
      </c>
      <c r="M52" s="52">
        <f t="shared" si="3"/>
        <v>2673.43</v>
      </c>
      <c r="N52" s="52">
        <f t="shared" si="3"/>
        <v>1374.2170000000001</v>
      </c>
      <c r="O52" s="52">
        <f t="shared" si="3"/>
        <v>2286.9070000000011</v>
      </c>
      <c r="P52" s="52">
        <f t="shared" si="3"/>
        <v>940.99699999999996</v>
      </c>
      <c r="Q52" s="52">
        <f t="shared" si="3"/>
        <v>5130.603000000001</v>
      </c>
      <c r="R52" s="52">
        <f t="shared" si="3"/>
        <v>0</v>
      </c>
      <c r="S52" s="52">
        <f t="shared" si="3"/>
        <v>3221.2420000000002</v>
      </c>
      <c r="T52" s="52">
        <f>SUM(T7:T51)</f>
        <v>20416.511000000002</v>
      </c>
      <c r="U52" s="124">
        <f>SUM(U7:U51)</f>
        <v>147286.24600000004</v>
      </c>
    </row>
    <row r="53" spans="1:21" s="74" customFormat="1" ht="19.5" customHeight="1">
      <c r="U53" s="28"/>
    </row>
    <row r="54" spans="1:21" s="74" customFormat="1" ht="19.5" customHeight="1">
      <c r="U54" s="28"/>
    </row>
    <row r="55" spans="1:21" s="74" customFormat="1" ht="19.5" customHeight="1">
      <c r="U55" s="28"/>
    </row>
    <row r="56" spans="1:21" s="74" customFormat="1" ht="19.5" customHeight="1">
      <c r="U56" s="28"/>
    </row>
    <row r="57" spans="1:21" s="74" customFormat="1" ht="19.5" customHeight="1">
      <c r="U57" s="28"/>
    </row>
    <row r="58" spans="1:21" s="74" customFormat="1" ht="19.5" customHeight="1">
      <c r="U58" s="28"/>
    </row>
    <row r="59" spans="1:21" s="74" customFormat="1" ht="19.5" customHeight="1">
      <c r="U59" s="28"/>
    </row>
    <row r="60" spans="1:21" s="74" customFormat="1" ht="19.5" customHeight="1">
      <c r="U60" s="28"/>
    </row>
    <row r="61" spans="1:21" s="74" customFormat="1" ht="19.5" customHeight="1">
      <c r="U61" s="28"/>
    </row>
    <row r="62" spans="1:21" s="74" customFormat="1" ht="19.5" customHeight="1">
      <c r="U62" s="28"/>
    </row>
    <row r="63" spans="1:21" s="74" customFormat="1" ht="19.5" customHeight="1">
      <c r="U63" s="28"/>
    </row>
    <row r="64" spans="1:21" s="74" customFormat="1" ht="19.5" customHeight="1">
      <c r="U64" s="28"/>
    </row>
    <row r="65" spans="21:21" s="74" customFormat="1" ht="19.5" customHeight="1">
      <c r="U65" s="28"/>
    </row>
    <row r="66" spans="21:21" s="74" customFormat="1" ht="19.5" customHeight="1">
      <c r="U66" s="28"/>
    </row>
    <row r="67" spans="21:21" s="74" customFormat="1" ht="19.5" customHeight="1">
      <c r="U67" s="28"/>
    </row>
    <row r="68" spans="21:21" s="74" customFormat="1" ht="19.5" customHeight="1">
      <c r="U68" s="28"/>
    </row>
    <row r="69" spans="21:21" s="74" customFormat="1" ht="19.5" customHeight="1">
      <c r="U69" s="28"/>
    </row>
    <row r="70" spans="21:21" s="74" customFormat="1" ht="19.5" customHeight="1">
      <c r="U70" s="28"/>
    </row>
    <row r="71" spans="21:21" s="74" customFormat="1" ht="19.5" customHeight="1">
      <c r="U71" s="28"/>
    </row>
    <row r="72" spans="21:21" s="74" customFormat="1" ht="19.5" customHeight="1">
      <c r="U72" s="28"/>
    </row>
    <row r="73" spans="21:21" s="74" customFormat="1" ht="19.5" customHeight="1">
      <c r="U73" s="28"/>
    </row>
    <row r="74" spans="21:21" s="74" customFormat="1" ht="19.5" customHeight="1">
      <c r="U74" s="28"/>
    </row>
    <row r="75" spans="21:21" s="74" customFormat="1" ht="19.5" customHeight="1">
      <c r="U75" s="28"/>
    </row>
    <row r="76" spans="21:21" s="74" customFormat="1" ht="19.5" customHeight="1">
      <c r="U76" s="28"/>
    </row>
    <row r="77" spans="21:21" s="74" customFormat="1" ht="19.5" customHeight="1">
      <c r="U77" s="28"/>
    </row>
    <row r="78" spans="21:21" s="74" customFormat="1" ht="19.5" customHeight="1">
      <c r="U78" s="28"/>
    </row>
    <row r="79" spans="21:21" s="74" customFormat="1" ht="19.5" customHeight="1">
      <c r="U79" s="28"/>
    </row>
    <row r="80" spans="21:21" s="74" customFormat="1" ht="19.5" customHeight="1">
      <c r="U80" s="28"/>
    </row>
    <row r="81" spans="21:21" s="74" customFormat="1" ht="19.5" customHeight="1">
      <c r="U81" s="28"/>
    </row>
    <row r="82" spans="21:21" s="74" customFormat="1" ht="19.5" customHeight="1">
      <c r="U82" s="28"/>
    </row>
    <row r="83" spans="21:21" s="74" customFormat="1" ht="19.5" customHeight="1">
      <c r="U83" s="28"/>
    </row>
    <row r="84" spans="21:21" s="74" customFormat="1" ht="19.5" customHeight="1">
      <c r="U84" s="28"/>
    </row>
    <row r="85" spans="21:21" s="74" customFormat="1" ht="19.5" customHeight="1">
      <c r="U85" s="28"/>
    </row>
    <row r="86" spans="21:21" s="74" customFormat="1" ht="19.5" customHeight="1">
      <c r="U86" s="28"/>
    </row>
    <row r="87" spans="21:21" s="74" customFormat="1" ht="19.5" customHeight="1">
      <c r="U87" s="28"/>
    </row>
    <row r="88" spans="21:21" s="74" customFormat="1" ht="19.5" customHeight="1">
      <c r="U88" s="28"/>
    </row>
    <row r="89" spans="21:21" s="74" customFormat="1" ht="19.5" customHeight="1">
      <c r="U89" s="28"/>
    </row>
    <row r="90" spans="21:21" s="74" customFormat="1" ht="19.5" customHeight="1">
      <c r="U90" s="28"/>
    </row>
    <row r="91" spans="21:21" s="74" customFormat="1" ht="19.5" customHeight="1">
      <c r="U91" s="28"/>
    </row>
    <row r="92" spans="21:21" s="74" customFormat="1" ht="19.5" customHeight="1">
      <c r="U92" s="28"/>
    </row>
    <row r="93" spans="21:21" s="74" customFormat="1" ht="19.5" customHeight="1">
      <c r="U93" s="28"/>
    </row>
    <row r="94" spans="21:21" s="74" customFormat="1" ht="19.5" customHeight="1">
      <c r="U94" s="28"/>
    </row>
    <row r="95" spans="21:21" s="74" customFormat="1" ht="19.5" customHeight="1">
      <c r="U95" s="28"/>
    </row>
    <row r="96" spans="21:21" s="74" customFormat="1" ht="19.5" customHeight="1">
      <c r="U96" s="28"/>
    </row>
    <row r="97" spans="21:21" s="74" customFormat="1" ht="19.5" customHeight="1">
      <c r="U97" s="28"/>
    </row>
    <row r="98" spans="21:21" s="74" customFormat="1" ht="19.5" customHeight="1">
      <c r="U98" s="28"/>
    </row>
    <row r="99" spans="21:21" s="74" customFormat="1" ht="19.5" customHeight="1">
      <c r="U99" s="28"/>
    </row>
    <row r="100" spans="21:21" s="74" customFormat="1" ht="19.5" customHeight="1">
      <c r="U100" s="28"/>
    </row>
    <row r="101" spans="21:21" s="74" customFormat="1" ht="19.5" customHeight="1">
      <c r="U101" s="28"/>
    </row>
    <row r="102" spans="21:21" s="74" customFormat="1" ht="19.5" customHeight="1">
      <c r="U102" s="28"/>
    </row>
    <row r="103" spans="21:21" s="74" customFormat="1" ht="19.5" customHeight="1">
      <c r="U103" s="28"/>
    </row>
    <row r="104" spans="21:21" s="74" customFormat="1" ht="19.5" customHeight="1">
      <c r="U104" s="28"/>
    </row>
    <row r="105" spans="21:21" s="74" customFormat="1" ht="19.5" customHeight="1">
      <c r="U105" s="28"/>
    </row>
    <row r="106" spans="21:21" s="74" customFormat="1" ht="19.5" customHeight="1">
      <c r="U106" s="28"/>
    </row>
    <row r="107" spans="21:21" s="74" customFormat="1" ht="19.5" customHeight="1">
      <c r="U107" s="28"/>
    </row>
    <row r="108" spans="21:21" s="74" customFormat="1" ht="19.5" customHeight="1">
      <c r="U108" s="28"/>
    </row>
    <row r="109" spans="21:21" s="74" customFormat="1" ht="19.5" customHeight="1">
      <c r="U109" s="28"/>
    </row>
    <row r="110" spans="21:21" s="74" customFormat="1" ht="19.5" customHeight="1">
      <c r="U110" s="28"/>
    </row>
    <row r="111" spans="21:21" s="74" customFormat="1" ht="19.5" customHeight="1">
      <c r="U111" s="28"/>
    </row>
    <row r="112" spans="21:21" s="74" customFormat="1" ht="19.5" customHeight="1">
      <c r="U112" s="28"/>
    </row>
    <row r="113" spans="21:21" s="74" customFormat="1" ht="19.5" customHeight="1">
      <c r="U113" s="28"/>
    </row>
    <row r="114" spans="21:21" s="74" customFormat="1" ht="19.5" customHeight="1">
      <c r="U114" s="28"/>
    </row>
    <row r="115" spans="21:21" s="74" customFormat="1" ht="19.5" customHeight="1">
      <c r="U115" s="28"/>
    </row>
    <row r="116" spans="21:21" s="74" customFormat="1" ht="19.5" customHeight="1">
      <c r="U116" s="28"/>
    </row>
    <row r="117" spans="21:21" s="74" customFormat="1" ht="19.5" customHeight="1">
      <c r="U117" s="28"/>
    </row>
    <row r="118" spans="21:21" s="74" customFormat="1" ht="19.5" customHeight="1">
      <c r="U118" s="28"/>
    </row>
    <row r="119" spans="21:21" s="74" customFormat="1" ht="19.5" customHeight="1">
      <c r="U119" s="28"/>
    </row>
    <row r="120" spans="21:21" s="74" customFormat="1" ht="19.5" customHeight="1">
      <c r="U120" s="28"/>
    </row>
    <row r="121" spans="21:21" s="74" customFormat="1" ht="19.5" customHeight="1">
      <c r="U121" s="28"/>
    </row>
    <row r="122" spans="21:21" s="74" customFormat="1" ht="19.5" customHeight="1">
      <c r="U122" s="28"/>
    </row>
    <row r="123" spans="21:21" s="74" customFormat="1" ht="19.5" customHeight="1">
      <c r="U123" s="28"/>
    </row>
    <row r="124" spans="21:21" s="74" customFormat="1" ht="19.5" customHeight="1">
      <c r="U124" s="28"/>
    </row>
    <row r="125" spans="21:21" s="74" customFormat="1" ht="19.5" customHeight="1">
      <c r="U125" s="28"/>
    </row>
    <row r="126" spans="21:21" s="74" customFormat="1" ht="19.5" customHeight="1">
      <c r="U126" s="28"/>
    </row>
    <row r="127" spans="21:21" s="74" customFormat="1" ht="19.5" customHeight="1">
      <c r="U127" s="28"/>
    </row>
    <row r="128" spans="21:21" s="74" customFormat="1" ht="19.5" customHeight="1">
      <c r="U128" s="28"/>
    </row>
    <row r="129" spans="21:21" s="74" customFormat="1" ht="19.5" customHeight="1">
      <c r="U129" s="28"/>
    </row>
    <row r="130" spans="21:21" s="74" customFormat="1" ht="19.5" customHeight="1">
      <c r="U130" s="28"/>
    </row>
    <row r="131" spans="21:21" s="74" customFormat="1" ht="19.5" customHeight="1">
      <c r="U131" s="28"/>
    </row>
    <row r="132" spans="21:21" s="74" customFormat="1" ht="19.5" customHeight="1">
      <c r="U132" s="28"/>
    </row>
    <row r="133" spans="21:21" s="74" customFormat="1" ht="19.5" customHeight="1">
      <c r="U133" s="28"/>
    </row>
    <row r="134" spans="21:21" s="74" customFormat="1" ht="19.5" customHeight="1">
      <c r="U134" s="28"/>
    </row>
    <row r="135" spans="21:21" s="74" customFormat="1" ht="19.5" customHeight="1">
      <c r="U135" s="28"/>
    </row>
    <row r="136" spans="21:21" s="74" customFormat="1" ht="19.5" customHeight="1">
      <c r="U136" s="28"/>
    </row>
    <row r="137" spans="21:21" s="74" customFormat="1" ht="19.5" customHeight="1">
      <c r="U137" s="28"/>
    </row>
    <row r="138" spans="21:21" s="74" customFormat="1" ht="19.5" customHeight="1">
      <c r="U138" s="28"/>
    </row>
    <row r="139" spans="21:21" s="74" customFormat="1" ht="19.5" customHeight="1">
      <c r="U139" s="28"/>
    </row>
    <row r="140" spans="21:21" s="74" customFormat="1" ht="19.5" customHeight="1">
      <c r="U140" s="28"/>
    </row>
    <row r="141" spans="21:21" s="74" customFormat="1" ht="19.5" customHeight="1">
      <c r="U141" s="28"/>
    </row>
    <row r="142" spans="21:21" s="74" customFormat="1" ht="19.5" customHeight="1">
      <c r="U142" s="28"/>
    </row>
    <row r="143" spans="21:21" s="74" customFormat="1" ht="19.5" customHeight="1">
      <c r="U143" s="28"/>
    </row>
    <row r="144" spans="21:21" s="74" customFormat="1" ht="19.5" customHeight="1">
      <c r="U144" s="28"/>
    </row>
    <row r="145" spans="21:21" s="28" customFormat="1" ht="19.5" customHeight="1"/>
    <row r="146" spans="21:21" s="74" customFormat="1" ht="19.5" customHeight="1">
      <c r="U146" s="28"/>
    </row>
    <row r="147" spans="21:21" s="74" customFormat="1" ht="19.5" customHeight="1">
      <c r="U147" s="28"/>
    </row>
    <row r="148" spans="21:21" s="74" customFormat="1" ht="19.5" customHeight="1">
      <c r="U148" s="28"/>
    </row>
    <row r="149" spans="21:21" s="74" customFormat="1" ht="19.5" customHeight="1">
      <c r="U149" s="28"/>
    </row>
    <row r="150" spans="21:21" s="74" customFormat="1" ht="19.5" customHeight="1">
      <c r="U150" s="28"/>
    </row>
    <row r="151" spans="21:21" s="74" customFormat="1" ht="19.5" customHeight="1">
      <c r="U151" s="28"/>
    </row>
    <row r="152" spans="21:21" s="74" customFormat="1" ht="19.5" customHeight="1">
      <c r="U152" s="28"/>
    </row>
    <row r="153" spans="21:21" s="74" customFormat="1" ht="19.5" customHeight="1">
      <c r="U153" s="28"/>
    </row>
    <row r="154" spans="21:21" s="74" customFormat="1" ht="19.5" customHeight="1">
      <c r="U154" s="28"/>
    </row>
    <row r="155" spans="21:21" s="74" customFormat="1" ht="19.5" customHeight="1">
      <c r="U155" s="28"/>
    </row>
    <row r="156" spans="21:21" s="74" customFormat="1" ht="19.5" customHeight="1">
      <c r="U156" s="28"/>
    </row>
    <row r="157" spans="21:21" s="74" customFormat="1" ht="19.5" customHeight="1">
      <c r="U157" s="28"/>
    </row>
    <row r="158" spans="21:21" s="74" customFormat="1" ht="19.5" customHeight="1">
      <c r="U158" s="28"/>
    </row>
    <row r="159" spans="21:21" s="74" customFormat="1" ht="19.5" customHeight="1">
      <c r="U159" s="28"/>
    </row>
    <row r="160" spans="21:21" s="74" customFormat="1" ht="19.5" customHeight="1">
      <c r="U160" s="28"/>
    </row>
    <row r="161" spans="21:21" s="74" customFormat="1" ht="19.5" customHeight="1">
      <c r="U161" s="28"/>
    </row>
    <row r="162" spans="21:21" s="74" customFormat="1" ht="19.5" customHeight="1">
      <c r="U162" s="28"/>
    </row>
    <row r="163" spans="21:21" s="74" customFormat="1" ht="19.5" customHeight="1">
      <c r="U163" s="28"/>
    </row>
    <row r="164" spans="21:21" s="74" customFormat="1" ht="19.5" customHeight="1">
      <c r="U164" s="28"/>
    </row>
    <row r="165" spans="21:21" s="74" customFormat="1" ht="19.5" customHeight="1">
      <c r="U165" s="28"/>
    </row>
    <row r="166" spans="21:21" s="74" customFormat="1" ht="19.5" customHeight="1">
      <c r="U166" s="28"/>
    </row>
    <row r="167" spans="21:21" s="74" customFormat="1" ht="19.5" customHeight="1">
      <c r="U167" s="28"/>
    </row>
    <row r="168" spans="21:21" s="74" customFormat="1" ht="19.5" customHeight="1">
      <c r="U168" s="28"/>
    </row>
    <row r="169" spans="21:21" s="74" customFormat="1" ht="19.5" customHeight="1">
      <c r="U169" s="28"/>
    </row>
    <row r="170" spans="21:21" s="74" customFormat="1" ht="19.5" customHeight="1">
      <c r="U170" s="28"/>
    </row>
    <row r="171" spans="21:21" s="74" customFormat="1" ht="19.5" customHeight="1">
      <c r="U171" s="28"/>
    </row>
    <row r="172" spans="21:21" s="74" customFormat="1" ht="19.5" customHeight="1">
      <c r="U172" s="28"/>
    </row>
    <row r="173" spans="21:21" s="74" customFormat="1" ht="19.5" customHeight="1">
      <c r="U173" s="28"/>
    </row>
    <row r="174" spans="21:21" s="74" customFormat="1" ht="19.5" customHeight="1">
      <c r="U174" s="28"/>
    </row>
    <row r="175" spans="21:21" s="74" customFormat="1" ht="19.5" customHeight="1">
      <c r="U175" s="28"/>
    </row>
    <row r="176" spans="21:21" s="74" customFormat="1" ht="19.5" customHeight="1">
      <c r="U176" s="28"/>
    </row>
    <row r="177" spans="21:21" s="74" customFormat="1" ht="19.5" customHeight="1">
      <c r="U177" s="28"/>
    </row>
    <row r="178" spans="21:21" s="74" customFormat="1" ht="19.5" customHeight="1">
      <c r="U178" s="28"/>
    </row>
    <row r="179" spans="21:21" s="74" customFormat="1" ht="19.5" customHeight="1">
      <c r="U179" s="28"/>
    </row>
    <row r="180" spans="21:21" s="74" customFormat="1" ht="19.5" customHeight="1">
      <c r="U180" s="28"/>
    </row>
    <row r="181" spans="21:21" s="74" customFormat="1" ht="19.5" customHeight="1">
      <c r="U181" s="28"/>
    </row>
    <row r="182" spans="21:21" s="74" customFormat="1" ht="19.5" customHeight="1">
      <c r="U182" s="28"/>
    </row>
    <row r="183" spans="21:21" s="74" customFormat="1" ht="19.5" customHeight="1">
      <c r="U183" s="28"/>
    </row>
    <row r="184" spans="21:21" s="74" customFormat="1" ht="19.5" customHeight="1">
      <c r="U184" s="28"/>
    </row>
    <row r="185" spans="21:21" s="74" customFormat="1" ht="19.5" customHeight="1">
      <c r="U185" s="28"/>
    </row>
    <row r="186" spans="21:21" s="74" customFormat="1" ht="19.5" customHeight="1">
      <c r="U186" s="28"/>
    </row>
    <row r="187" spans="21:21" s="74" customFormat="1" ht="19.5" customHeight="1">
      <c r="U187" s="28"/>
    </row>
    <row r="188" spans="21:21" s="74" customFormat="1" ht="19.5" customHeight="1">
      <c r="U188" s="28"/>
    </row>
    <row r="189" spans="21:21" s="74" customFormat="1" ht="19.5" customHeight="1">
      <c r="U189" s="28"/>
    </row>
    <row r="190" spans="21:21" s="74" customFormat="1" ht="19.5" customHeight="1">
      <c r="U190" s="28"/>
    </row>
    <row r="191" spans="21:21" s="74" customFormat="1" ht="19.5" customHeight="1">
      <c r="U191" s="28"/>
    </row>
    <row r="192" spans="21:21" s="74" customFormat="1" ht="19.5" customHeight="1">
      <c r="U192" s="28"/>
    </row>
    <row r="193" spans="21:21" s="74" customFormat="1" ht="19.5" customHeight="1">
      <c r="U193" s="28"/>
    </row>
    <row r="194" spans="21:21" s="74" customFormat="1" ht="19.5" customHeight="1">
      <c r="U194" s="28"/>
    </row>
    <row r="195" spans="21:21" s="74" customFormat="1" ht="19.5" customHeight="1">
      <c r="U195" s="28"/>
    </row>
    <row r="196" spans="21:21" s="74" customFormat="1" ht="19.5" customHeight="1">
      <c r="U196" s="28"/>
    </row>
    <row r="197" spans="21:21" s="74" customFormat="1" ht="19.5" customHeight="1">
      <c r="U197" s="28"/>
    </row>
    <row r="198" spans="21:21" s="74" customFormat="1" ht="19.5" customHeight="1">
      <c r="U198" s="28"/>
    </row>
    <row r="199" spans="21:21" s="74" customFormat="1" ht="19.5" customHeight="1">
      <c r="U199" s="28"/>
    </row>
    <row r="200" spans="21:21" s="74" customFormat="1" ht="19.5" customHeight="1">
      <c r="U200" s="28"/>
    </row>
    <row r="201" spans="21:21" s="74" customFormat="1" ht="19.5" customHeight="1">
      <c r="U201" s="28"/>
    </row>
    <row r="202" spans="21:21" s="74" customFormat="1" ht="19.5" customHeight="1">
      <c r="U202" s="28"/>
    </row>
    <row r="203" spans="21:21" s="74" customFormat="1" ht="19.5" customHeight="1">
      <c r="U203" s="28"/>
    </row>
    <row r="204" spans="21:21" s="74" customFormat="1" ht="19.5" customHeight="1">
      <c r="U204" s="28"/>
    </row>
    <row r="205" spans="21:21" s="74" customFormat="1" ht="19.5" customHeight="1">
      <c r="U205" s="28"/>
    </row>
    <row r="206" spans="21:21" s="74" customFormat="1" ht="19.5" customHeight="1">
      <c r="U206" s="28"/>
    </row>
    <row r="207" spans="21:21" s="74" customFormat="1" ht="19.5" customHeight="1">
      <c r="U207" s="28"/>
    </row>
    <row r="208" spans="21:21" s="74" customFormat="1" ht="19.5" customHeight="1">
      <c r="U208" s="28"/>
    </row>
    <row r="209" spans="21:21" s="74" customFormat="1" ht="19.5" customHeight="1">
      <c r="U209" s="28"/>
    </row>
    <row r="210" spans="21:21" s="74" customFormat="1" ht="19.5" customHeight="1">
      <c r="U210" s="28"/>
    </row>
    <row r="211" spans="21:21" s="74" customFormat="1" ht="19.5" customHeight="1">
      <c r="U211" s="28"/>
    </row>
    <row r="212" spans="21:21" s="74" customFormat="1" ht="19.5" customHeight="1">
      <c r="U212" s="28"/>
    </row>
    <row r="213" spans="21:21" s="74" customFormat="1" ht="19.5" customHeight="1">
      <c r="U213" s="28"/>
    </row>
    <row r="214" spans="21:21" s="74" customFormat="1" ht="19.5" customHeight="1">
      <c r="U214" s="28"/>
    </row>
    <row r="215" spans="21:21" s="74" customFormat="1" ht="19.5" customHeight="1">
      <c r="U215" s="28"/>
    </row>
    <row r="216" spans="21:21" s="74" customFormat="1" ht="19.5" customHeight="1">
      <c r="U216" s="28"/>
    </row>
    <row r="217" spans="21:21" s="74" customFormat="1" ht="19.5" customHeight="1">
      <c r="U217" s="28"/>
    </row>
    <row r="218" spans="21:21" s="74" customFormat="1" ht="19.5" customHeight="1">
      <c r="U218" s="28"/>
    </row>
    <row r="219" spans="21:21" s="74" customFormat="1" ht="19.5" customHeight="1">
      <c r="U219" s="28"/>
    </row>
    <row r="220" spans="21:21" s="74" customFormat="1" ht="19.5" customHeight="1">
      <c r="U220" s="28"/>
    </row>
    <row r="221" spans="21:21" s="74" customFormat="1" ht="19.5" customHeight="1">
      <c r="U221" s="28"/>
    </row>
    <row r="222" spans="21:21" s="74" customFormat="1" ht="19.5" customHeight="1">
      <c r="U222" s="28"/>
    </row>
    <row r="223" spans="21:21" s="74" customFormat="1" ht="19.5" customHeight="1">
      <c r="U223" s="28"/>
    </row>
    <row r="224" spans="21:21" s="74" customFormat="1" ht="19.5" customHeight="1">
      <c r="U224" s="28"/>
    </row>
    <row r="225" spans="21:21" s="74" customFormat="1" ht="19.5" customHeight="1">
      <c r="U225" s="28"/>
    </row>
    <row r="226" spans="21:21" s="74" customFormat="1" ht="19.5" customHeight="1">
      <c r="U226" s="28"/>
    </row>
    <row r="227" spans="21:21" s="74" customFormat="1" ht="19.5" customHeight="1">
      <c r="U227" s="28"/>
    </row>
    <row r="228" spans="21:21" s="74" customFormat="1" ht="19.5" customHeight="1">
      <c r="U228" s="28"/>
    </row>
    <row r="229" spans="21:21" s="74" customFormat="1" ht="19.5" customHeight="1">
      <c r="U229" s="28"/>
    </row>
    <row r="230" spans="21:21" s="74" customFormat="1" ht="19.5" customHeight="1">
      <c r="U230" s="28"/>
    </row>
    <row r="231" spans="21:21" s="74" customFormat="1" ht="19.5" customHeight="1">
      <c r="U231" s="28"/>
    </row>
    <row r="232" spans="21:21" s="74" customFormat="1" ht="19.5" customHeight="1">
      <c r="U232" s="28"/>
    </row>
    <row r="233" spans="21:21" s="74" customFormat="1" ht="19.5" customHeight="1">
      <c r="U233" s="28"/>
    </row>
    <row r="234" spans="21:21" s="74" customFormat="1" ht="19.5" customHeight="1">
      <c r="U234" s="28"/>
    </row>
    <row r="235" spans="21:21" s="74" customFormat="1" ht="19.5" customHeight="1">
      <c r="U235" s="28"/>
    </row>
    <row r="236" spans="21:21" s="74" customFormat="1" ht="19.5" customHeight="1">
      <c r="U236" s="28"/>
    </row>
    <row r="237" spans="21:21" s="74" customFormat="1" ht="19.5" customHeight="1">
      <c r="U237" s="28"/>
    </row>
    <row r="238" spans="21:21" s="74" customFormat="1" ht="19.5" customHeight="1">
      <c r="U238" s="28"/>
    </row>
    <row r="239" spans="21:21" s="74" customFormat="1" ht="19.5" customHeight="1">
      <c r="U239" s="28"/>
    </row>
    <row r="240" spans="21:21" s="74" customFormat="1" ht="19.5" customHeight="1">
      <c r="U240" s="28"/>
    </row>
    <row r="241" spans="21:21" s="74" customFormat="1" ht="19.5" customHeight="1">
      <c r="U241" s="28"/>
    </row>
    <row r="242" spans="21:21" s="74" customFormat="1" ht="19.5" customHeight="1">
      <c r="U242" s="28"/>
    </row>
    <row r="243" spans="21:21" s="74" customFormat="1" ht="19.5" customHeight="1">
      <c r="U243" s="28"/>
    </row>
    <row r="244" spans="21:21" s="74" customFormat="1" ht="19.5" customHeight="1">
      <c r="U244" s="28"/>
    </row>
    <row r="245" spans="21:21" s="74" customFormat="1" ht="19.5" customHeight="1">
      <c r="U245" s="28"/>
    </row>
    <row r="246" spans="21:21" s="74" customFormat="1" ht="19.5" customHeight="1">
      <c r="U246" s="28"/>
    </row>
    <row r="247" spans="21:21" s="74" customFormat="1" ht="19.5" customHeight="1">
      <c r="U247" s="28"/>
    </row>
    <row r="248" spans="21:21" s="74" customFormat="1" ht="19.5" customHeight="1">
      <c r="U248" s="28"/>
    </row>
    <row r="249" spans="21:21" s="74" customFormat="1" ht="19.5" customHeight="1">
      <c r="U249" s="28"/>
    </row>
    <row r="250" spans="21:21" s="74" customFormat="1" ht="19.5" customHeight="1">
      <c r="U250" s="28"/>
    </row>
    <row r="251" spans="21:21" s="74" customFormat="1" ht="19.5" customHeight="1">
      <c r="U251" s="28"/>
    </row>
    <row r="252" spans="21:21" s="74" customFormat="1" ht="19.5" customHeight="1">
      <c r="U252" s="28"/>
    </row>
    <row r="253" spans="21:21" s="74" customFormat="1" ht="19.5" customHeight="1">
      <c r="U253" s="28"/>
    </row>
    <row r="254" spans="21:21" s="74" customFormat="1" ht="19.5" customHeight="1">
      <c r="U254" s="28"/>
    </row>
    <row r="255" spans="21:21" s="74" customFormat="1" ht="19.5" customHeight="1">
      <c r="U255" s="28"/>
    </row>
    <row r="256" spans="21:21" s="74" customFormat="1" ht="19.5" customHeight="1">
      <c r="U256" s="28"/>
    </row>
    <row r="257" spans="21:21" s="74" customFormat="1" ht="19.5" customHeight="1">
      <c r="U257" s="28"/>
    </row>
    <row r="258" spans="21:21" s="74" customFormat="1" ht="19.5" customHeight="1">
      <c r="U258" s="28"/>
    </row>
    <row r="259" spans="21:21" s="74" customFormat="1" ht="19.5" customHeight="1">
      <c r="U259" s="28"/>
    </row>
    <row r="260" spans="21:21" s="74" customFormat="1" ht="19.5" customHeight="1">
      <c r="U260" s="28"/>
    </row>
    <row r="261" spans="21:21" s="74" customFormat="1" ht="19.5" customHeight="1">
      <c r="U261" s="28"/>
    </row>
    <row r="262" spans="21:21" s="74" customFormat="1" ht="19.5" customHeight="1">
      <c r="U262" s="28"/>
    </row>
    <row r="263" spans="21:21" s="74" customFormat="1" ht="19.5" customHeight="1">
      <c r="U263" s="28"/>
    </row>
    <row r="264" spans="21:21" s="74" customFormat="1" ht="19.5" customHeight="1">
      <c r="U264" s="28"/>
    </row>
    <row r="265" spans="21:21" s="74" customFormat="1" ht="19.5" customHeight="1">
      <c r="U265" s="28"/>
    </row>
    <row r="266" spans="21:21" s="74" customFormat="1" ht="19.5" customHeight="1">
      <c r="U266" s="28"/>
    </row>
    <row r="267" spans="21:21" s="74" customFormat="1" ht="19.5" customHeight="1">
      <c r="U267" s="28"/>
    </row>
    <row r="268" spans="21:21" s="74" customFormat="1" ht="19.5" customHeight="1">
      <c r="U268" s="28"/>
    </row>
    <row r="269" spans="21:21" s="74" customFormat="1" ht="19.5" customHeight="1">
      <c r="U269" s="28"/>
    </row>
    <row r="270" spans="21:21" s="74" customFormat="1" ht="19.5" customHeight="1">
      <c r="U270" s="28"/>
    </row>
    <row r="271" spans="21:21" s="74" customFormat="1" ht="19.5" customHeight="1">
      <c r="U271" s="28"/>
    </row>
    <row r="272" spans="21:21" s="74" customFormat="1" ht="19.5" customHeight="1">
      <c r="U272" s="28"/>
    </row>
    <row r="273" spans="21:21" s="74" customFormat="1" ht="19.5" customHeight="1">
      <c r="U273" s="28"/>
    </row>
    <row r="274" spans="21:21" s="74" customFormat="1" ht="19.5" customHeight="1">
      <c r="U274" s="28"/>
    </row>
    <row r="275" spans="21:21" s="74" customFormat="1" ht="19.5" customHeight="1">
      <c r="U275" s="28"/>
    </row>
    <row r="276" spans="21:21" s="74" customFormat="1" ht="19.5" customHeight="1">
      <c r="U276" s="28"/>
    </row>
    <row r="277" spans="21:21" s="74" customFormat="1" ht="19.5" customHeight="1">
      <c r="U277" s="28"/>
    </row>
    <row r="278" spans="21:21" s="28" customFormat="1" ht="19.5" customHeight="1"/>
    <row r="279" spans="21:21" s="28" customFormat="1" ht="19.5" customHeight="1"/>
    <row r="280" spans="21:21" s="74" customFormat="1" ht="19.5" customHeight="1">
      <c r="U280" s="28"/>
    </row>
    <row r="281" spans="21:21" s="74" customFormat="1" ht="19.5" customHeight="1">
      <c r="U281" s="28"/>
    </row>
    <row r="282" spans="21:21" s="74" customFormat="1" ht="19.5" customHeight="1">
      <c r="U282" s="28"/>
    </row>
    <row r="283" spans="21:21" s="74" customFormat="1" ht="19.5" customHeight="1">
      <c r="U283" s="28"/>
    </row>
    <row r="284" spans="21:21" s="74" customFormat="1" ht="19.5" customHeight="1">
      <c r="U284" s="28"/>
    </row>
    <row r="285" spans="21:21" s="74" customFormat="1" ht="19.5" customHeight="1">
      <c r="U285" s="28"/>
    </row>
    <row r="286" spans="21:21" s="74" customFormat="1" ht="19.5" customHeight="1">
      <c r="U286" s="28"/>
    </row>
    <row r="287" spans="21:21" s="74" customFormat="1" ht="19.5" customHeight="1">
      <c r="U287" s="28"/>
    </row>
    <row r="288" spans="21:21" s="74" customFormat="1" ht="19.5" customHeight="1">
      <c r="U288" s="28"/>
    </row>
    <row r="289" spans="21:21" s="74" customFormat="1" ht="19.5" customHeight="1">
      <c r="U289" s="28"/>
    </row>
    <row r="290" spans="21:21" s="74" customFormat="1" ht="19.5" customHeight="1">
      <c r="U290" s="28"/>
    </row>
    <row r="291" spans="21:21" s="74" customFormat="1" ht="19.5" customHeight="1">
      <c r="U291" s="28"/>
    </row>
    <row r="292" spans="21:21" s="74" customFormat="1" ht="19.5" customHeight="1">
      <c r="U292" s="28"/>
    </row>
    <row r="293" spans="21:21" s="74" customFormat="1" ht="19.5" customHeight="1">
      <c r="U293" s="28"/>
    </row>
    <row r="294" spans="21:21" s="74" customFormat="1" ht="19.5" customHeight="1">
      <c r="U294" s="28"/>
    </row>
    <row r="295" spans="21:21" s="74" customFormat="1" ht="19.5" customHeight="1">
      <c r="U295" s="28"/>
    </row>
    <row r="296" spans="21:21" s="74" customFormat="1" ht="19.5" customHeight="1">
      <c r="U296" s="28"/>
    </row>
    <row r="297" spans="21:21" s="74" customFormat="1" ht="19.5" customHeight="1">
      <c r="U297" s="28"/>
    </row>
    <row r="298" spans="21:21" s="74" customFormat="1" ht="19.5" customHeight="1">
      <c r="U298" s="28"/>
    </row>
    <row r="299" spans="21:21" s="74" customFormat="1" ht="19.5" customHeight="1">
      <c r="U299" s="28"/>
    </row>
    <row r="300" spans="21:21" s="74" customFormat="1" ht="19.5" customHeight="1">
      <c r="U300" s="28"/>
    </row>
    <row r="301" spans="21:21" s="74" customFormat="1" ht="19.5" customHeight="1">
      <c r="U301" s="28"/>
    </row>
    <row r="302" spans="21:21" s="74" customFormat="1" ht="19.5" customHeight="1">
      <c r="U302" s="28"/>
    </row>
    <row r="303" spans="21:21" s="74" customFormat="1" ht="19.5" customHeight="1">
      <c r="U303" s="28"/>
    </row>
    <row r="304" spans="21:21" s="74" customFormat="1" ht="19.5" customHeight="1">
      <c r="U304" s="28"/>
    </row>
    <row r="305" spans="1:21" s="74" customFormat="1" ht="19.5" customHeight="1">
      <c r="U305" s="28"/>
    </row>
    <row r="306" spans="1:21" s="74" customFormat="1" ht="19.5" customHeight="1">
      <c r="U306" s="28"/>
    </row>
    <row r="307" spans="1:21" s="74" customFormat="1" ht="19.5" customHeight="1">
      <c r="U307" s="28"/>
    </row>
    <row r="308" spans="1:21" s="74" customFormat="1" ht="19.5" customHeight="1">
      <c r="U308" s="28"/>
    </row>
    <row r="309" spans="1:21" s="74" customFormat="1" ht="19.5" customHeight="1">
      <c r="U309" s="28"/>
    </row>
    <row r="310" spans="1:21" s="32" customFormat="1" ht="21" customHeight="1">
      <c r="U310" s="126"/>
    </row>
    <row r="311" spans="1:21" s="74" customFormat="1" ht="19.5" customHeight="1">
      <c r="U311" s="28"/>
    </row>
    <row r="312" spans="1:21" s="74" customFormat="1" ht="19.5" customHeight="1">
      <c r="U312" s="28"/>
    </row>
    <row r="313" spans="1:21" s="74" customFormat="1" ht="19.5" customHeight="1">
      <c r="U313" s="28"/>
    </row>
    <row r="314" spans="1:21" s="113" customFormat="1" ht="19.5" customHeight="1">
      <c r="U314" s="127"/>
    </row>
    <row r="315" spans="1:21" s="74" customFormat="1" ht="19.5" customHeight="1">
      <c r="U315" s="28"/>
    </row>
    <row r="316" spans="1:21" ht="19.5" customHeight="1">
      <c r="A316" s="73"/>
    </row>
    <row r="317" spans="1:21">
      <c r="A317" s="73"/>
    </row>
    <row r="318" spans="1:21">
      <c r="A318" s="73"/>
    </row>
    <row r="319" spans="1:21">
      <c r="A319" s="73"/>
    </row>
    <row r="320" spans="1:21">
      <c r="A320" s="73"/>
    </row>
    <row r="321" spans="1:1">
      <c r="A321" s="73"/>
    </row>
    <row r="322" spans="1:1">
      <c r="A322" s="73"/>
    </row>
    <row r="323" spans="1:1">
      <c r="A323" s="73"/>
    </row>
    <row r="324" spans="1:1">
      <c r="A324" s="73"/>
    </row>
    <row r="325" spans="1:1">
      <c r="A325" s="73"/>
    </row>
    <row r="326" spans="1:1">
      <c r="A326" s="73"/>
    </row>
    <row r="327" spans="1:1">
      <c r="A327" s="73"/>
    </row>
    <row r="328" spans="1:1">
      <c r="A328" s="73"/>
    </row>
    <row r="329" spans="1:1">
      <c r="A329" s="73"/>
    </row>
    <row r="330" spans="1:1">
      <c r="A330" s="73"/>
    </row>
    <row r="331" spans="1:1">
      <c r="A331" s="73"/>
    </row>
    <row r="332" spans="1:1">
      <c r="A332" s="73"/>
    </row>
    <row r="333" spans="1:1">
      <c r="A333" s="73"/>
    </row>
    <row r="334" spans="1:1">
      <c r="A334" s="73"/>
    </row>
    <row r="335" spans="1:1">
      <c r="A335" s="73"/>
    </row>
    <row r="336" spans="1:1">
      <c r="A336" s="73"/>
    </row>
    <row r="337" spans="1:1">
      <c r="A337" s="73"/>
    </row>
    <row r="338" spans="1:1">
      <c r="A338" s="73"/>
    </row>
    <row r="339" spans="1:1">
      <c r="A339" s="73"/>
    </row>
    <row r="340" spans="1:1">
      <c r="A340" s="73"/>
    </row>
    <row r="341" spans="1:1">
      <c r="A341" s="73"/>
    </row>
    <row r="342" spans="1:1">
      <c r="A342" s="73"/>
    </row>
    <row r="343" spans="1:1">
      <c r="A343" s="73"/>
    </row>
    <row r="344" spans="1:1">
      <c r="A344" s="73"/>
    </row>
    <row r="345" spans="1:1">
      <c r="A345" s="73"/>
    </row>
    <row r="346" spans="1:1">
      <c r="A346" s="73"/>
    </row>
    <row r="347" spans="1:1">
      <c r="A347" s="73"/>
    </row>
    <row r="348" spans="1:1">
      <c r="A348" s="73"/>
    </row>
    <row r="349" spans="1:1">
      <c r="A349" s="73"/>
    </row>
    <row r="350" spans="1:1">
      <c r="A350" s="73"/>
    </row>
    <row r="351" spans="1:1">
      <c r="A351" s="73"/>
    </row>
    <row r="352" spans="1:1">
      <c r="A352" s="73"/>
    </row>
  </sheetData>
  <autoFilter ref="A6:Z315"/>
  <mergeCells count="11">
    <mergeCell ref="A52:B52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8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1.85546875" style="73" bestFit="1" customWidth="1"/>
    <col min="3" max="3" width="7" style="73" customWidth="1"/>
    <col min="4" max="4" width="5.5703125" style="73" customWidth="1"/>
    <col min="5" max="6" width="9.5703125" style="73" customWidth="1"/>
    <col min="7" max="7" width="7.28515625" style="73" customWidth="1"/>
    <col min="8" max="8" width="9.7109375" style="73" customWidth="1"/>
    <col min="9" max="9" width="8.42578125" style="73" customWidth="1"/>
    <col min="10" max="10" width="8.140625" style="73" customWidth="1"/>
    <col min="11" max="11" width="8.42578125" style="73" customWidth="1"/>
    <col min="12" max="12" width="8.85546875" style="73" customWidth="1"/>
    <col min="13" max="13" width="9.42578125" style="73" customWidth="1"/>
    <col min="14" max="14" width="9.7109375" style="73" customWidth="1"/>
    <col min="15" max="15" width="10.140625" style="73" customWidth="1"/>
    <col min="16" max="16" width="9.85546875" style="73" customWidth="1"/>
    <col min="17" max="17" width="9.42578125" style="73" customWidth="1"/>
    <col min="18" max="18" width="8.42578125" style="73" customWidth="1"/>
    <col min="19" max="20" width="10" style="73" customWidth="1"/>
    <col min="21" max="21" width="9" style="73" customWidth="1"/>
    <col min="22" max="16384" width="9.140625" style="73"/>
  </cols>
  <sheetData>
    <row r="1" spans="1:21" ht="21.75" customHeight="1">
      <c r="A1" s="158" t="s">
        <v>205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U3" s="20" t="s">
        <v>20</v>
      </c>
    </row>
    <row r="4" spans="1:21" ht="21" customHeight="1">
      <c r="A4" s="160" t="s">
        <v>0</v>
      </c>
      <c r="B4" s="160" t="s">
        <v>18</v>
      </c>
      <c r="C4" s="178" t="s">
        <v>1</v>
      </c>
      <c r="D4" s="178"/>
      <c r="E4" s="169" t="s">
        <v>4</v>
      </c>
      <c r="F4" s="173"/>
      <c r="G4" s="171"/>
      <c r="H4" s="160" t="s">
        <v>5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21" customHeight="1">
      <c r="A5" s="160"/>
      <c r="B5" s="160"/>
      <c r="C5" s="178"/>
      <c r="D5" s="178"/>
      <c r="E5" s="170"/>
      <c r="F5" s="179"/>
      <c r="G5" s="172"/>
      <c r="H5" s="161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 t="s">
        <v>19</v>
      </c>
    </row>
    <row r="6" spans="1:21" ht="63.75">
      <c r="A6" s="160"/>
      <c r="B6" s="160"/>
      <c r="C6" s="117" t="s">
        <v>2</v>
      </c>
      <c r="D6" s="117" t="s">
        <v>3</v>
      </c>
      <c r="E6" s="115" t="s">
        <v>184</v>
      </c>
      <c r="F6" s="115" t="s">
        <v>185</v>
      </c>
      <c r="G6" s="115" t="s">
        <v>19</v>
      </c>
      <c r="H6" s="161"/>
      <c r="I6" s="115" t="s">
        <v>7</v>
      </c>
      <c r="J6" s="115" t="s">
        <v>8</v>
      </c>
      <c r="K6" s="115" t="s">
        <v>9</v>
      </c>
      <c r="L6" s="115" t="s">
        <v>10</v>
      </c>
      <c r="M6" s="115" t="s">
        <v>11</v>
      </c>
      <c r="N6" s="115" t="s">
        <v>12</v>
      </c>
      <c r="O6" s="115" t="s">
        <v>13</v>
      </c>
      <c r="P6" s="115" t="s">
        <v>14</v>
      </c>
      <c r="Q6" s="115" t="s">
        <v>15</v>
      </c>
      <c r="R6" s="115" t="s">
        <v>17</v>
      </c>
      <c r="S6" s="115" t="s">
        <v>16</v>
      </c>
      <c r="T6" s="115" t="s">
        <v>186</v>
      </c>
      <c r="U6" s="161"/>
    </row>
    <row r="7" spans="1:21" s="74" customFormat="1" ht="19.5" customHeight="1">
      <c r="A7" s="72">
        <v>1</v>
      </c>
      <c r="B7" s="116" t="s">
        <v>219</v>
      </c>
      <c r="C7" s="133">
        <v>13</v>
      </c>
      <c r="D7" s="134">
        <v>13</v>
      </c>
      <c r="E7" s="53">
        <v>1272.064603</v>
      </c>
      <c r="F7" s="53">
        <f t="shared" ref="F7:F44" si="0">(C7*18.48)</f>
        <v>240.24</v>
      </c>
      <c r="G7" s="53">
        <f>E7+F7</f>
        <v>1512.304603</v>
      </c>
      <c r="H7" s="53">
        <v>1289</v>
      </c>
      <c r="I7" s="51"/>
      <c r="J7" s="51">
        <v>7</v>
      </c>
      <c r="K7" s="51">
        <v>60</v>
      </c>
      <c r="L7" s="51">
        <v>2</v>
      </c>
      <c r="M7" s="51">
        <v>15</v>
      </c>
      <c r="N7" s="51">
        <v>14</v>
      </c>
      <c r="O7" s="51">
        <v>101</v>
      </c>
      <c r="P7" s="51"/>
      <c r="Q7" s="51">
        <v>12</v>
      </c>
      <c r="R7" s="51"/>
      <c r="S7" s="51">
        <v>12</v>
      </c>
      <c r="T7" s="51">
        <f>SUM(I7:S7)</f>
        <v>223</v>
      </c>
      <c r="U7" s="154">
        <f>T7+H7</f>
        <v>1512</v>
      </c>
    </row>
    <row r="8" spans="1:21" s="74" customFormat="1" ht="19.5" customHeight="1">
      <c r="A8" s="72">
        <v>2</v>
      </c>
      <c r="B8" s="116" t="s">
        <v>220</v>
      </c>
      <c r="C8" s="133">
        <v>17</v>
      </c>
      <c r="D8" s="134">
        <v>17</v>
      </c>
      <c r="E8" s="53">
        <v>1922.4772569999998</v>
      </c>
      <c r="F8" s="53">
        <f t="shared" si="0"/>
        <v>314.16000000000003</v>
      </c>
      <c r="G8" s="53">
        <f t="shared" ref="G8:G54" si="1">E8+F8</f>
        <v>2236.6372569999999</v>
      </c>
      <c r="H8" s="53">
        <v>1906.4551180000001</v>
      </c>
      <c r="I8" s="51"/>
      <c r="J8" s="51">
        <v>6.4014579999999999</v>
      </c>
      <c r="K8" s="51">
        <v>25.508633</v>
      </c>
      <c r="L8" s="51">
        <v>2.4377249999999999</v>
      </c>
      <c r="M8" s="51">
        <v>7.7884000000000002</v>
      </c>
      <c r="N8" s="51">
        <v>21.75</v>
      </c>
      <c r="O8" s="51">
        <v>82.168999999999997</v>
      </c>
      <c r="P8" s="51">
        <v>105.675338</v>
      </c>
      <c r="Q8" s="51">
        <v>41.982500000000002</v>
      </c>
      <c r="R8" s="51"/>
      <c r="S8" s="51">
        <v>35.779457999999998</v>
      </c>
      <c r="T8" s="51">
        <f t="shared" ref="T8:T54" si="2">SUM(I8:S8)</f>
        <v>329.49251199999998</v>
      </c>
      <c r="U8" s="154">
        <f t="shared" ref="U8:U54" si="3">T8+H8</f>
        <v>2235.9476300000001</v>
      </c>
    </row>
    <row r="9" spans="1:21" s="74" customFormat="1" ht="19.5" customHeight="1">
      <c r="A9" s="72">
        <v>3</v>
      </c>
      <c r="B9" s="116" t="s">
        <v>221</v>
      </c>
      <c r="C9" s="133">
        <v>22</v>
      </c>
      <c r="D9" s="134">
        <v>22</v>
      </c>
      <c r="E9" s="53">
        <v>710.65821600000004</v>
      </c>
      <c r="F9" s="53">
        <f t="shared" si="0"/>
        <v>406.56</v>
      </c>
      <c r="G9" s="53">
        <f t="shared" si="1"/>
        <v>1117.218216</v>
      </c>
      <c r="H9" s="53">
        <v>892.198216</v>
      </c>
      <c r="I9" s="51"/>
      <c r="J9" s="51">
        <v>15.784143</v>
      </c>
      <c r="K9" s="51">
        <v>9.7799999999999994</v>
      </c>
      <c r="L9" s="51">
        <v>5.6</v>
      </c>
      <c r="M9" s="51">
        <v>4.5019999999999998</v>
      </c>
      <c r="N9" s="51">
        <v>13</v>
      </c>
      <c r="O9" s="51">
        <v>48.404000000000003</v>
      </c>
      <c r="P9" s="51">
        <v>15.8</v>
      </c>
      <c r="Q9" s="51">
        <v>20.5</v>
      </c>
      <c r="R9" s="51"/>
      <c r="S9" s="51">
        <v>91.649856999999997</v>
      </c>
      <c r="T9" s="51">
        <f t="shared" si="2"/>
        <v>225.01999999999998</v>
      </c>
      <c r="U9" s="154">
        <f t="shared" si="3"/>
        <v>1117.218216</v>
      </c>
    </row>
    <row r="10" spans="1:21" s="74" customFormat="1" ht="19.5" customHeight="1">
      <c r="A10" s="72">
        <v>4</v>
      </c>
      <c r="B10" s="116" t="s">
        <v>222</v>
      </c>
      <c r="C10" s="133">
        <v>12</v>
      </c>
      <c r="D10" s="134">
        <v>11</v>
      </c>
      <c r="E10" s="53">
        <v>1757.1863920000001</v>
      </c>
      <c r="F10" s="53">
        <f t="shared" si="0"/>
        <v>221.76</v>
      </c>
      <c r="G10" s="53">
        <f t="shared" si="1"/>
        <v>1978.9463920000001</v>
      </c>
      <c r="H10" s="40">
        <v>1723.5720679999999</v>
      </c>
      <c r="I10" s="130">
        <v>42.308</v>
      </c>
      <c r="J10" s="130">
        <v>6.1248269999999998</v>
      </c>
      <c r="K10" s="130">
        <v>6.5049999999999999</v>
      </c>
      <c r="L10" s="130">
        <v>3.4352450000000001</v>
      </c>
      <c r="M10" s="130">
        <v>16.658000000000001</v>
      </c>
      <c r="N10" s="130">
        <v>10.8</v>
      </c>
      <c r="O10" s="130">
        <v>82.388627999999997</v>
      </c>
      <c r="P10" s="130"/>
      <c r="Q10" s="130">
        <v>21.152190000000001</v>
      </c>
      <c r="R10" s="130"/>
      <c r="S10" s="130">
        <v>9.8339999999999996</v>
      </c>
      <c r="T10" s="51">
        <f t="shared" si="2"/>
        <v>199.20588999999998</v>
      </c>
      <c r="U10" s="154">
        <f t="shared" si="3"/>
        <v>1922.7779579999999</v>
      </c>
    </row>
    <row r="11" spans="1:21" s="74" customFormat="1" ht="19.5" customHeight="1">
      <c r="A11" s="72">
        <v>5</v>
      </c>
      <c r="B11" s="116" t="s">
        <v>223</v>
      </c>
      <c r="C11" s="133">
        <v>11</v>
      </c>
      <c r="D11" s="134">
        <v>10</v>
      </c>
      <c r="E11" s="53">
        <v>1622.3670730000001</v>
      </c>
      <c r="F11" s="53">
        <f t="shared" si="0"/>
        <v>203.28</v>
      </c>
      <c r="G11" s="53">
        <f t="shared" si="1"/>
        <v>1825.6470730000001</v>
      </c>
      <c r="H11" s="40">
        <v>1673.3430000000001</v>
      </c>
      <c r="I11" s="51"/>
      <c r="J11" s="130">
        <v>6.1794000000000002</v>
      </c>
      <c r="K11" s="130">
        <v>35.339599999999997</v>
      </c>
      <c r="L11" s="130">
        <v>2.9531999999999998</v>
      </c>
      <c r="M11" s="130">
        <v>23.533200000000001</v>
      </c>
      <c r="N11" s="130">
        <v>8.4</v>
      </c>
      <c r="O11" s="130">
        <v>23.931699999999999</v>
      </c>
      <c r="P11" s="51"/>
      <c r="Q11" s="130">
        <v>7.7480000000000002</v>
      </c>
      <c r="R11" s="51"/>
      <c r="S11" s="130">
        <v>14.218999999999999</v>
      </c>
      <c r="T11" s="51">
        <f t="shared" si="2"/>
        <v>122.30410000000002</v>
      </c>
      <c r="U11" s="154">
        <f t="shared" si="3"/>
        <v>1795.6471000000001</v>
      </c>
    </row>
    <row r="12" spans="1:21" s="74" customFormat="1" ht="19.5" customHeight="1">
      <c r="A12" s="72">
        <v>6</v>
      </c>
      <c r="B12" s="116" t="s">
        <v>224</v>
      </c>
      <c r="C12" s="133">
        <v>16</v>
      </c>
      <c r="D12" s="134">
        <v>15</v>
      </c>
      <c r="E12" s="53">
        <v>1361.8538249999999</v>
      </c>
      <c r="F12" s="53">
        <f>(C12*18.48)</f>
        <v>295.68</v>
      </c>
      <c r="G12" s="53">
        <f t="shared" si="1"/>
        <v>1657.533825</v>
      </c>
      <c r="H12" s="53">
        <v>1479.2279619999999</v>
      </c>
      <c r="I12" s="51"/>
      <c r="J12" s="51">
        <v>7.6969450000000004</v>
      </c>
      <c r="K12" s="51">
        <v>28.864999999999998</v>
      </c>
      <c r="L12" s="51">
        <v>1.5743</v>
      </c>
      <c r="M12" s="51">
        <v>22.641999999999999</v>
      </c>
      <c r="N12" s="51">
        <v>20.5</v>
      </c>
      <c r="O12" s="51">
        <v>63.090617999999999</v>
      </c>
      <c r="P12" s="51">
        <v>8.1120000000000001</v>
      </c>
      <c r="Q12" s="51">
        <v>2.7839999999999998</v>
      </c>
      <c r="R12" s="51"/>
      <c r="S12" s="51">
        <v>23.041</v>
      </c>
      <c r="T12" s="51">
        <f t="shared" si="2"/>
        <v>178.30586299999999</v>
      </c>
      <c r="U12" s="154">
        <f t="shared" si="3"/>
        <v>1657.533825</v>
      </c>
    </row>
    <row r="13" spans="1:21" s="74" customFormat="1" ht="19.5" customHeight="1">
      <c r="A13" s="72">
        <v>7</v>
      </c>
      <c r="B13" s="116" t="s">
        <v>225</v>
      </c>
      <c r="C13" s="133">
        <v>19</v>
      </c>
      <c r="D13" s="134">
        <v>19</v>
      </c>
      <c r="E13" s="53">
        <v>2086.3560280000002</v>
      </c>
      <c r="F13" s="53">
        <f t="shared" si="0"/>
        <v>351.12</v>
      </c>
      <c r="G13" s="53">
        <f t="shared" si="1"/>
        <v>2437.476028</v>
      </c>
      <c r="H13" s="53">
        <v>2183</v>
      </c>
      <c r="I13" s="51"/>
      <c r="J13" s="51">
        <v>4</v>
      </c>
      <c r="K13" s="51">
        <v>11</v>
      </c>
      <c r="L13" s="51">
        <v>4</v>
      </c>
      <c r="M13" s="51">
        <v>22.251999999999999</v>
      </c>
      <c r="N13" s="51">
        <v>6</v>
      </c>
      <c r="O13" s="51">
        <v>52</v>
      </c>
      <c r="P13" s="51">
        <v>61</v>
      </c>
      <c r="Q13" s="51">
        <v>84</v>
      </c>
      <c r="R13" s="51"/>
      <c r="S13" s="51">
        <v>9.9979999999999993</v>
      </c>
      <c r="T13" s="51">
        <f t="shared" si="2"/>
        <v>254.25</v>
      </c>
      <c r="U13" s="154">
        <f t="shared" si="3"/>
        <v>2437.25</v>
      </c>
    </row>
    <row r="14" spans="1:21" s="74" customFormat="1" ht="19.5" customHeight="1">
      <c r="A14" s="72">
        <v>8</v>
      </c>
      <c r="B14" s="116" t="s">
        <v>226</v>
      </c>
      <c r="C14" s="133">
        <v>11</v>
      </c>
      <c r="D14" s="134">
        <v>10</v>
      </c>
      <c r="E14" s="53">
        <v>1068.9404050000001</v>
      </c>
      <c r="F14" s="53">
        <f t="shared" si="0"/>
        <v>203.28</v>
      </c>
      <c r="G14" s="53">
        <f t="shared" si="1"/>
        <v>1272.220405</v>
      </c>
      <c r="H14" s="53">
        <v>1003.8945</v>
      </c>
      <c r="I14" s="51"/>
      <c r="J14" s="51">
        <v>5.1273999999999997</v>
      </c>
      <c r="K14" s="51">
        <v>13.4</v>
      </c>
      <c r="L14" s="51">
        <v>4.9846000000000004</v>
      </c>
      <c r="M14" s="51">
        <v>16.858000000000001</v>
      </c>
      <c r="N14" s="130">
        <v>11.04</v>
      </c>
      <c r="O14" s="51">
        <v>19.545000000000002</v>
      </c>
      <c r="P14" s="51">
        <v>45.1</v>
      </c>
      <c r="Q14" s="51">
        <v>19.3368</v>
      </c>
      <c r="R14" s="131"/>
      <c r="S14" s="51">
        <v>132.99250000000001</v>
      </c>
      <c r="T14" s="51">
        <f t="shared" si="2"/>
        <v>268.38430000000005</v>
      </c>
      <c r="U14" s="154">
        <f t="shared" si="3"/>
        <v>1272.2788</v>
      </c>
    </row>
    <row r="15" spans="1:21" s="74" customFormat="1" ht="19.5" customHeight="1">
      <c r="A15" s="72">
        <v>9</v>
      </c>
      <c r="B15" s="116" t="s">
        <v>227</v>
      </c>
      <c r="C15" s="133">
        <v>14</v>
      </c>
      <c r="D15" s="135">
        <v>12</v>
      </c>
      <c r="E15" s="53">
        <v>1208.7687000000001</v>
      </c>
      <c r="F15" s="53">
        <f t="shared" si="0"/>
        <v>258.72000000000003</v>
      </c>
      <c r="G15" s="53">
        <f t="shared" si="1"/>
        <v>1467.4887000000001</v>
      </c>
      <c r="H15" s="40">
        <v>1218.1500000000001</v>
      </c>
      <c r="I15" s="130"/>
      <c r="J15" s="130">
        <v>5.9728760000000003</v>
      </c>
      <c r="K15" s="130">
        <v>13.734</v>
      </c>
      <c r="L15" s="130">
        <v>5.1419930000000003</v>
      </c>
      <c r="M15" s="130">
        <v>15.196</v>
      </c>
      <c r="N15" s="130">
        <v>10.8</v>
      </c>
      <c r="O15" s="130">
        <v>97.506</v>
      </c>
      <c r="P15" s="130"/>
      <c r="Q15" s="130">
        <v>41.512</v>
      </c>
      <c r="R15" s="130"/>
      <c r="S15" s="130">
        <v>48.478000000000002</v>
      </c>
      <c r="T15" s="51">
        <f t="shared" si="2"/>
        <v>238.340869</v>
      </c>
      <c r="U15" s="154">
        <f t="shared" si="3"/>
        <v>1456.4908690000002</v>
      </c>
    </row>
    <row r="16" spans="1:21" s="74" customFormat="1" ht="19.5" customHeight="1">
      <c r="A16" s="72">
        <v>10</v>
      </c>
      <c r="B16" s="132" t="s">
        <v>228</v>
      </c>
      <c r="C16" s="133">
        <v>11</v>
      </c>
      <c r="D16" s="134">
        <v>11</v>
      </c>
      <c r="E16" s="53">
        <v>1770.2888070000001</v>
      </c>
      <c r="F16" s="53">
        <f t="shared" si="0"/>
        <v>203.28</v>
      </c>
      <c r="G16" s="53">
        <f t="shared" si="1"/>
        <v>1973.5688070000001</v>
      </c>
      <c r="H16" s="53">
        <v>1573.905321</v>
      </c>
      <c r="I16" s="51">
        <v>0</v>
      </c>
      <c r="J16" s="51">
        <v>7.7514909999999997</v>
      </c>
      <c r="K16" s="51">
        <v>20.396999999999998</v>
      </c>
      <c r="L16" s="51">
        <v>1.230548</v>
      </c>
      <c r="M16" s="51">
        <v>5.0250000000000004</v>
      </c>
      <c r="N16" s="51">
        <v>30.4</v>
      </c>
      <c r="O16" s="51">
        <v>21.645</v>
      </c>
      <c r="P16" s="51">
        <v>248.37297100000001</v>
      </c>
      <c r="Q16" s="51">
        <v>27.295000000000002</v>
      </c>
      <c r="R16" s="51"/>
      <c r="S16" s="51">
        <v>6.5</v>
      </c>
      <c r="T16" s="51">
        <f t="shared" si="2"/>
        <v>368.61700999999999</v>
      </c>
      <c r="U16" s="154">
        <f t="shared" si="3"/>
        <v>1942.5223309999999</v>
      </c>
    </row>
    <row r="17" spans="1:21" s="74" customFormat="1" ht="19.5" customHeight="1">
      <c r="A17" s="72">
        <v>11</v>
      </c>
      <c r="B17" s="116" t="s">
        <v>229</v>
      </c>
      <c r="C17" s="133">
        <v>35</v>
      </c>
      <c r="D17" s="134">
        <v>32</v>
      </c>
      <c r="E17" s="53">
        <v>3551.7584409999999</v>
      </c>
      <c r="F17" s="53">
        <f t="shared" si="0"/>
        <v>646.80000000000007</v>
      </c>
      <c r="G17" s="53">
        <f t="shared" si="1"/>
        <v>4198.5584410000001</v>
      </c>
      <c r="H17" s="53">
        <v>3508.2890000000002</v>
      </c>
      <c r="I17" s="51">
        <v>64.933999999999997</v>
      </c>
      <c r="J17" s="51">
        <v>72.984999999999999</v>
      </c>
      <c r="K17" s="51">
        <v>36.505000000000003</v>
      </c>
      <c r="L17" s="51">
        <v>13.228999999999999</v>
      </c>
      <c r="M17" s="51">
        <v>22.616</v>
      </c>
      <c r="N17" s="51">
        <v>42</v>
      </c>
      <c r="O17" s="51">
        <v>126.203</v>
      </c>
      <c r="P17" s="51">
        <v>19.925000000000001</v>
      </c>
      <c r="Q17" s="51">
        <v>94.498999999999995</v>
      </c>
      <c r="R17" s="51"/>
      <c r="S17" s="51">
        <v>197.37299999999999</v>
      </c>
      <c r="T17" s="51">
        <f t="shared" si="2"/>
        <v>690.26900000000001</v>
      </c>
      <c r="U17" s="154">
        <f t="shared" si="3"/>
        <v>4198.558</v>
      </c>
    </row>
    <row r="18" spans="1:21" s="74" customFormat="1" ht="19.5" customHeight="1">
      <c r="A18" s="72">
        <v>12</v>
      </c>
      <c r="B18" s="116" t="s">
        <v>230</v>
      </c>
      <c r="C18" s="133">
        <v>13</v>
      </c>
      <c r="D18" s="134">
        <v>13</v>
      </c>
      <c r="E18" s="53">
        <v>1484.070618</v>
      </c>
      <c r="F18" s="53">
        <f t="shared" si="0"/>
        <v>240.24</v>
      </c>
      <c r="G18" s="53">
        <f t="shared" si="1"/>
        <v>1724.310618</v>
      </c>
      <c r="H18" s="40">
        <v>1532.6085969999999</v>
      </c>
      <c r="I18" s="130"/>
      <c r="J18" s="130">
        <v>11.388593999999999</v>
      </c>
      <c r="K18" s="130">
        <v>8.5179869999999998</v>
      </c>
      <c r="L18" s="130">
        <v>5.7409400000000002</v>
      </c>
      <c r="M18" s="130">
        <v>9.891</v>
      </c>
      <c r="N18" s="130">
        <v>22.35</v>
      </c>
      <c r="O18" s="130">
        <v>38.68</v>
      </c>
      <c r="P18" s="130"/>
      <c r="Q18" s="130">
        <v>72.275000000000006</v>
      </c>
      <c r="R18" s="130"/>
      <c r="S18" s="130">
        <v>22.858499999999999</v>
      </c>
      <c r="T18" s="51">
        <f t="shared" si="2"/>
        <v>191.702021</v>
      </c>
      <c r="U18" s="154">
        <f t="shared" si="3"/>
        <v>1724.310618</v>
      </c>
    </row>
    <row r="19" spans="1:21" s="74" customFormat="1" ht="19.5" customHeight="1">
      <c r="A19" s="72">
        <v>13</v>
      </c>
      <c r="B19" s="116" t="s">
        <v>231</v>
      </c>
      <c r="C19" s="133">
        <v>12</v>
      </c>
      <c r="D19" s="134">
        <v>12</v>
      </c>
      <c r="E19" s="53">
        <v>1471.18058</v>
      </c>
      <c r="F19" s="53">
        <f t="shared" si="0"/>
        <v>221.76</v>
      </c>
      <c r="G19" s="53">
        <f t="shared" si="1"/>
        <v>1692.94058</v>
      </c>
      <c r="H19" s="53">
        <v>1484.9659999999999</v>
      </c>
      <c r="I19" s="51"/>
      <c r="J19" s="51"/>
      <c r="K19" s="51">
        <v>12.45</v>
      </c>
      <c r="L19" s="51">
        <v>1.0518000000000001</v>
      </c>
      <c r="M19" s="51">
        <v>30</v>
      </c>
      <c r="N19" s="51">
        <v>0</v>
      </c>
      <c r="O19" s="51">
        <v>19.045500000000001</v>
      </c>
      <c r="P19" s="51">
        <v>104.029</v>
      </c>
      <c r="Q19" s="51"/>
      <c r="R19" s="51"/>
      <c r="S19" s="51">
        <v>158.98609999999999</v>
      </c>
      <c r="T19" s="51">
        <f t="shared" si="2"/>
        <v>325.56240000000003</v>
      </c>
      <c r="U19" s="154">
        <f t="shared" si="3"/>
        <v>1810.5283999999999</v>
      </c>
    </row>
    <row r="20" spans="1:21" s="74" customFormat="1" ht="19.5" customHeight="1">
      <c r="A20" s="72">
        <v>14</v>
      </c>
      <c r="B20" s="116" t="s">
        <v>232</v>
      </c>
      <c r="C20" s="133">
        <v>10</v>
      </c>
      <c r="D20" s="134">
        <v>9</v>
      </c>
      <c r="E20" s="53">
        <v>1277.316122</v>
      </c>
      <c r="F20" s="53">
        <f t="shared" si="0"/>
        <v>184.8</v>
      </c>
      <c r="G20" s="53">
        <f t="shared" si="1"/>
        <v>1462.1161219999999</v>
      </c>
      <c r="H20" s="53">
        <v>1330.6774270000001</v>
      </c>
      <c r="I20" s="51">
        <v>41.905999999999999</v>
      </c>
      <c r="J20" s="51">
        <v>4.7163529999999998</v>
      </c>
      <c r="K20" s="51">
        <v>9.6</v>
      </c>
      <c r="L20" s="51">
        <v>1.8044500000000001</v>
      </c>
      <c r="M20" s="51">
        <v>18.158992000000001</v>
      </c>
      <c r="N20" s="51"/>
      <c r="O20" s="51">
        <v>21.65</v>
      </c>
      <c r="P20" s="51">
        <v>36.299999999999997</v>
      </c>
      <c r="Q20" s="51">
        <v>8.3099000000000007</v>
      </c>
      <c r="R20" s="51"/>
      <c r="S20" s="51">
        <v>13.12</v>
      </c>
      <c r="T20" s="51">
        <f t="shared" si="2"/>
        <v>155.56569499999998</v>
      </c>
      <c r="U20" s="154">
        <f t="shared" si="3"/>
        <v>1486.2431220000001</v>
      </c>
    </row>
    <row r="21" spans="1:21" s="74" customFormat="1" ht="19.5" customHeight="1">
      <c r="A21" s="72">
        <v>15</v>
      </c>
      <c r="B21" s="116" t="s">
        <v>233</v>
      </c>
      <c r="C21" s="133">
        <v>13</v>
      </c>
      <c r="D21" s="134">
        <v>13</v>
      </c>
      <c r="E21" s="53">
        <v>1288.305564</v>
      </c>
      <c r="F21" s="53">
        <f t="shared" si="0"/>
        <v>240.24</v>
      </c>
      <c r="G21" s="53">
        <f t="shared" si="1"/>
        <v>1528.545564</v>
      </c>
      <c r="H21" s="53">
        <v>1342.315791</v>
      </c>
      <c r="I21" s="51"/>
      <c r="J21" s="51">
        <v>9.5729649999999999</v>
      </c>
      <c r="K21" s="51">
        <v>10.476000000000001</v>
      </c>
      <c r="L21" s="51">
        <v>7.6734999999999998</v>
      </c>
      <c r="M21" s="51">
        <v>17.079999999999998</v>
      </c>
      <c r="N21" s="51">
        <v>24</v>
      </c>
      <c r="O21" s="51">
        <v>78.19</v>
      </c>
      <c r="P21" s="51"/>
      <c r="Q21" s="51">
        <v>19.209308</v>
      </c>
      <c r="R21" s="51"/>
      <c r="S21" s="51">
        <v>20.027999999999999</v>
      </c>
      <c r="T21" s="51">
        <f t="shared" si="2"/>
        <v>186.22977299999997</v>
      </c>
      <c r="U21" s="154">
        <f t="shared" si="3"/>
        <v>1528.545564</v>
      </c>
    </row>
    <row r="22" spans="1:21" s="74" customFormat="1" ht="19.5" customHeight="1">
      <c r="A22" s="72">
        <v>16</v>
      </c>
      <c r="B22" s="116" t="s">
        <v>234</v>
      </c>
      <c r="C22" s="133">
        <v>19</v>
      </c>
      <c r="D22" s="134">
        <v>17</v>
      </c>
      <c r="E22" s="53">
        <v>2159.331447</v>
      </c>
      <c r="F22" s="53">
        <f t="shared" si="0"/>
        <v>351.12</v>
      </c>
      <c r="G22" s="53">
        <f t="shared" si="1"/>
        <v>2510.4514469999999</v>
      </c>
      <c r="H22" s="40">
        <v>2208</v>
      </c>
      <c r="I22" s="130">
        <v>86.181799999999996</v>
      </c>
      <c r="J22" s="130">
        <v>16.621191</v>
      </c>
      <c r="K22" s="130">
        <v>14.36</v>
      </c>
      <c r="L22" s="130">
        <v>3.8889999999999998</v>
      </c>
      <c r="M22" s="130">
        <v>26.876000000000001</v>
      </c>
      <c r="N22" s="130">
        <v>18</v>
      </c>
      <c r="O22" s="130">
        <v>100.7555</v>
      </c>
      <c r="P22" s="51"/>
      <c r="Q22" s="130">
        <v>48.627000000000002</v>
      </c>
      <c r="R22" s="51"/>
      <c r="S22" s="130">
        <v>12.31</v>
      </c>
      <c r="T22" s="51">
        <f t="shared" si="2"/>
        <v>327.62049100000002</v>
      </c>
      <c r="U22" s="154">
        <f t="shared" si="3"/>
        <v>2535.6204910000001</v>
      </c>
    </row>
    <row r="23" spans="1:21" s="74" customFormat="1" ht="19.5" customHeight="1">
      <c r="A23" s="72">
        <v>17</v>
      </c>
      <c r="B23" s="116" t="s">
        <v>235</v>
      </c>
      <c r="C23" s="133">
        <v>27</v>
      </c>
      <c r="D23" s="134">
        <v>23</v>
      </c>
      <c r="E23" s="53">
        <v>3395.5129400000001</v>
      </c>
      <c r="F23" s="53">
        <f t="shared" si="0"/>
        <v>498.96000000000004</v>
      </c>
      <c r="G23" s="53">
        <f t="shared" si="1"/>
        <v>3894.4729400000001</v>
      </c>
      <c r="H23" s="53">
        <v>3395.9772640000001</v>
      </c>
      <c r="I23" s="51"/>
      <c r="J23" s="51">
        <v>8.4457380000000004</v>
      </c>
      <c r="K23" s="51">
        <v>24.925000000000001</v>
      </c>
      <c r="L23" s="51">
        <v>2.754105</v>
      </c>
      <c r="M23" s="51">
        <v>20.411999999999999</v>
      </c>
      <c r="N23" s="51">
        <v>33.15</v>
      </c>
      <c r="O23" s="51">
        <v>172.33063200000001</v>
      </c>
      <c r="P23" s="51">
        <v>137.58873</v>
      </c>
      <c r="Q23" s="51">
        <v>50.2</v>
      </c>
      <c r="R23" s="51"/>
      <c r="S23" s="51">
        <v>87.816000000000003</v>
      </c>
      <c r="T23" s="51">
        <f t="shared" si="2"/>
        <v>537.62220500000001</v>
      </c>
      <c r="U23" s="154">
        <f t="shared" si="3"/>
        <v>3933.5994690000002</v>
      </c>
    </row>
    <row r="24" spans="1:21" s="74" customFormat="1" ht="19.5" customHeight="1">
      <c r="A24" s="72">
        <v>18</v>
      </c>
      <c r="B24" s="116" t="s">
        <v>236</v>
      </c>
      <c r="C24" s="133">
        <v>8</v>
      </c>
      <c r="D24" s="134">
        <v>8</v>
      </c>
      <c r="E24" s="53">
        <v>884.15553199999988</v>
      </c>
      <c r="F24" s="53">
        <f t="shared" si="0"/>
        <v>147.84</v>
      </c>
      <c r="G24" s="53">
        <f t="shared" si="1"/>
        <v>1031.9955319999999</v>
      </c>
      <c r="H24" s="53">
        <v>936.65023599999995</v>
      </c>
      <c r="I24" s="51">
        <v>4.2</v>
      </c>
      <c r="J24" s="51">
        <v>6.1657320000000002</v>
      </c>
      <c r="K24" s="51">
        <v>9.7299509999999998</v>
      </c>
      <c r="L24" s="51">
        <v>1.6711990000000001</v>
      </c>
      <c r="M24" s="51">
        <v>10.011813999999999</v>
      </c>
      <c r="N24" s="51">
        <v>14.21</v>
      </c>
      <c r="O24" s="51">
        <v>23.460599999999999</v>
      </c>
      <c r="P24" s="51"/>
      <c r="Q24" s="51">
        <v>4.3920000000000003</v>
      </c>
      <c r="R24" s="51"/>
      <c r="S24" s="51">
        <v>21.504000000000001</v>
      </c>
      <c r="T24" s="51">
        <f t="shared" si="2"/>
        <v>95.345296000000005</v>
      </c>
      <c r="U24" s="154">
        <f t="shared" si="3"/>
        <v>1031.9955319999999</v>
      </c>
    </row>
    <row r="25" spans="1:21" s="74" customFormat="1" ht="19.5" customHeight="1">
      <c r="A25" s="72">
        <v>19</v>
      </c>
      <c r="B25" s="116" t="s">
        <v>237</v>
      </c>
      <c r="C25" s="27">
        <v>10</v>
      </c>
      <c r="D25" s="135">
        <v>10</v>
      </c>
      <c r="E25" s="53">
        <v>1235.417228</v>
      </c>
      <c r="F25" s="53">
        <f t="shared" si="0"/>
        <v>184.8</v>
      </c>
      <c r="G25" s="53">
        <f t="shared" si="1"/>
        <v>1420.217228</v>
      </c>
      <c r="H25" s="40">
        <v>1249.28</v>
      </c>
      <c r="I25" s="130"/>
      <c r="J25" s="130">
        <v>4.6052999999999997</v>
      </c>
      <c r="K25" s="130">
        <v>13.6219</v>
      </c>
      <c r="L25" s="130">
        <v>2.1661999999999999</v>
      </c>
      <c r="M25" s="130">
        <v>19.1004</v>
      </c>
      <c r="N25" s="130">
        <v>14.4</v>
      </c>
      <c r="O25" s="130">
        <v>22.055</v>
      </c>
      <c r="P25" s="130">
        <v>31.518999999999998</v>
      </c>
      <c r="Q25" s="130">
        <v>16.819400000000002</v>
      </c>
      <c r="R25" s="130"/>
      <c r="S25" s="130">
        <v>46.646999999999998</v>
      </c>
      <c r="T25" s="51">
        <f t="shared" si="2"/>
        <v>170.9342</v>
      </c>
      <c r="U25" s="154">
        <f t="shared" si="3"/>
        <v>1420.2141999999999</v>
      </c>
    </row>
    <row r="26" spans="1:21" s="74" customFormat="1" ht="19.5" customHeight="1">
      <c r="A26" s="72">
        <v>20</v>
      </c>
      <c r="B26" s="116" t="s">
        <v>238</v>
      </c>
      <c r="C26" s="133">
        <v>10</v>
      </c>
      <c r="D26" s="134">
        <v>10</v>
      </c>
      <c r="E26" s="53">
        <v>1260.3791490000001</v>
      </c>
      <c r="F26" s="53">
        <f t="shared" si="0"/>
        <v>184.8</v>
      </c>
      <c r="G26" s="53">
        <f t="shared" si="1"/>
        <v>1445.1791490000001</v>
      </c>
      <c r="H26" s="53">
        <v>1362.5315290000001</v>
      </c>
      <c r="I26" s="51">
        <v>3</v>
      </c>
      <c r="J26" s="51">
        <v>4.4864350000000002</v>
      </c>
      <c r="K26" s="51">
        <v>9.6231109999999997</v>
      </c>
      <c r="L26" s="51">
        <v>6.6674020000000001</v>
      </c>
      <c r="M26" s="51">
        <v>7.7386720000000002</v>
      </c>
      <c r="N26" s="51">
        <v>18</v>
      </c>
      <c r="O26" s="51">
        <v>12.89</v>
      </c>
      <c r="P26" s="51"/>
      <c r="Q26" s="51">
        <v>11.202</v>
      </c>
      <c r="R26" s="51"/>
      <c r="S26" s="51">
        <v>9.0399999999999991</v>
      </c>
      <c r="T26" s="51">
        <f t="shared" si="2"/>
        <v>82.647619999999989</v>
      </c>
      <c r="U26" s="154">
        <f t="shared" si="3"/>
        <v>1445.1791490000001</v>
      </c>
    </row>
    <row r="27" spans="1:21" s="74" customFormat="1" ht="19.5" customHeight="1">
      <c r="A27" s="72">
        <v>21</v>
      </c>
      <c r="B27" s="116" t="s">
        <v>206</v>
      </c>
      <c r="C27" s="133">
        <v>24</v>
      </c>
      <c r="D27" s="134">
        <v>24</v>
      </c>
      <c r="E27" s="53">
        <v>3091.0648740000001</v>
      </c>
      <c r="F27" s="53">
        <f t="shared" si="0"/>
        <v>443.52</v>
      </c>
      <c r="G27" s="53">
        <f t="shared" si="1"/>
        <v>3534.5848740000001</v>
      </c>
      <c r="H27" s="53">
        <v>3247.631703</v>
      </c>
      <c r="I27" s="51"/>
      <c r="J27" s="51">
        <v>6.364439</v>
      </c>
      <c r="K27" s="51">
        <v>29.096</v>
      </c>
      <c r="L27" s="51">
        <v>17.817651999999999</v>
      </c>
      <c r="M27" s="51">
        <v>34.360799999999998</v>
      </c>
      <c r="N27" s="51">
        <v>14.4</v>
      </c>
      <c r="O27" s="51">
        <v>124.84674099999999</v>
      </c>
      <c r="P27" s="51">
        <v>9.0259079999999994</v>
      </c>
      <c r="Q27" s="51">
        <f>16.3399</f>
        <v>16.3399</v>
      </c>
      <c r="R27" s="51"/>
      <c r="S27" s="51">
        <v>34.177692</v>
      </c>
      <c r="T27" s="51">
        <f t="shared" si="2"/>
        <v>286.42913199999998</v>
      </c>
      <c r="U27" s="154">
        <f t="shared" si="3"/>
        <v>3534.0608350000002</v>
      </c>
    </row>
    <row r="28" spans="1:21" s="74" customFormat="1" ht="19.5" customHeight="1">
      <c r="A28" s="72">
        <v>22</v>
      </c>
      <c r="B28" s="116" t="s">
        <v>207</v>
      </c>
      <c r="C28" s="133">
        <v>33</v>
      </c>
      <c r="D28" s="134">
        <v>33</v>
      </c>
      <c r="E28" s="53">
        <v>4044.6483309999994</v>
      </c>
      <c r="F28" s="53">
        <f t="shared" si="0"/>
        <v>609.84</v>
      </c>
      <c r="G28" s="53">
        <f t="shared" si="1"/>
        <v>4654.4883309999996</v>
      </c>
      <c r="H28" s="53">
        <v>3996.4578900000001</v>
      </c>
      <c r="I28" s="51"/>
      <c r="J28" s="51">
        <v>12.678000000000001</v>
      </c>
      <c r="K28" s="51">
        <v>41.384999999999998</v>
      </c>
      <c r="L28" s="51">
        <v>12.577999999999999</v>
      </c>
      <c r="M28" s="51">
        <v>112.595</v>
      </c>
      <c r="N28" s="51">
        <v>36.5</v>
      </c>
      <c r="O28" s="51">
        <v>120.5</v>
      </c>
      <c r="P28" s="51">
        <v>95.477999999999994</v>
      </c>
      <c r="Q28" s="51">
        <v>95</v>
      </c>
      <c r="R28" s="51"/>
      <c r="S28" s="51">
        <v>130.99811</v>
      </c>
      <c r="T28" s="51">
        <f t="shared" si="2"/>
        <v>657.71210999999994</v>
      </c>
      <c r="U28" s="154">
        <f t="shared" si="3"/>
        <v>4654.17</v>
      </c>
    </row>
    <row r="29" spans="1:21" s="74" customFormat="1" ht="19.5" customHeight="1">
      <c r="A29" s="72">
        <v>23</v>
      </c>
      <c r="B29" s="116" t="s">
        <v>208</v>
      </c>
      <c r="C29" s="133">
        <v>14</v>
      </c>
      <c r="D29" s="134">
        <v>13</v>
      </c>
      <c r="E29" s="53">
        <v>2530.198136</v>
      </c>
      <c r="F29" s="53">
        <f t="shared" si="0"/>
        <v>258.72000000000003</v>
      </c>
      <c r="G29" s="53">
        <f t="shared" si="1"/>
        <v>2788.9181360000002</v>
      </c>
      <c r="H29" s="53">
        <v>2474.0545959999999</v>
      </c>
      <c r="I29" s="51">
        <v>0</v>
      </c>
      <c r="J29" s="51">
        <v>14.649710000000001</v>
      </c>
      <c r="K29" s="51">
        <v>13.03</v>
      </c>
      <c r="L29" s="51">
        <v>1.089</v>
      </c>
      <c r="M29" s="51">
        <v>20.558319999999998</v>
      </c>
      <c r="N29" s="51">
        <v>38.9</v>
      </c>
      <c r="O29" s="51">
        <v>51.613999999999997</v>
      </c>
      <c r="P29" s="130">
        <v>39.161499999999997</v>
      </c>
      <c r="Q29" s="51">
        <v>39.161499999999997</v>
      </c>
      <c r="R29" s="51">
        <v>86.611116999999993</v>
      </c>
      <c r="S29" s="51">
        <v>11.6</v>
      </c>
      <c r="T29" s="51">
        <f t="shared" si="2"/>
        <v>316.37514699999997</v>
      </c>
      <c r="U29" s="154">
        <f t="shared" si="3"/>
        <v>2790.4297429999997</v>
      </c>
    </row>
    <row r="30" spans="1:21" s="74" customFormat="1" ht="19.5" customHeight="1">
      <c r="A30" s="72">
        <v>24</v>
      </c>
      <c r="B30" s="116" t="s">
        <v>209</v>
      </c>
      <c r="C30" s="133">
        <v>39</v>
      </c>
      <c r="D30" s="134">
        <v>38</v>
      </c>
      <c r="E30" s="53">
        <v>4457.8997339999996</v>
      </c>
      <c r="F30" s="53">
        <f t="shared" si="0"/>
        <v>720.72</v>
      </c>
      <c r="G30" s="53">
        <f t="shared" si="1"/>
        <v>5178.6197339999999</v>
      </c>
      <c r="H30" s="53">
        <v>4699.3999999999996</v>
      </c>
      <c r="I30" s="51"/>
      <c r="J30" s="51">
        <v>40</v>
      </c>
      <c r="K30" s="51">
        <v>21.3</v>
      </c>
      <c r="L30" s="51">
        <v>15.5</v>
      </c>
      <c r="M30" s="51">
        <v>30.9</v>
      </c>
      <c r="N30" s="51">
        <v>44.4</v>
      </c>
      <c r="O30" s="51">
        <v>124.5</v>
      </c>
      <c r="P30" s="51">
        <v>73.599999999999994</v>
      </c>
      <c r="Q30" s="51">
        <v>79.400000000000006</v>
      </c>
      <c r="R30" s="51"/>
      <c r="S30" s="51">
        <v>49.4</v>
      </c>
      <c r="T30" s="51">
        <f t="shared" si="2"/>
        <v>479</v>
      </c>
      <c r="U30" s="154">
        <f t="shared" si="3"/>
        <v>5178.3999999999996</v>
      </c>
    </row>
    <row r="31" spans="1:21" s="74" customFormat="1" ht="19.5" customHeight="1">
      <c r="A31" s="72">
        <v>25</v>
      </c>
      <c r="B31" s="116" t="s">
        <v>210</v>
      </c>
      <c r="C31" s="133">
        <v>20</v>
      </c>
      <c r="D31" s="134">
        <v>20</v>
      </c>
      <c r="E31" s="53">
        <v>2853.5548360000003</v>
      </c>
      <c r="F31" s="53">
        <f t="shared" si="0"/>
        <v>369.6</v>
      </c>
      <c r="G31" s="53">
        <f t="shared" si="1"/>
        <v>3223.1548360000002</v>
      </c>
      <c r="H31" s="53">
        <v>2885.5120710000001</v>
      </c>
      <c r="I31" s="51"/>
      <c r="J31" s="51">
        <v>10.910415</v>
      </c>
      <c r="K31" s="51">
        <v>13.135476000000001</v>
      </c>
      <c r="L31" s="51">
        <v>8.9558739999999997</v>
      </c>
      <c r="M31" s="51">
        <v>35.936999999999998</v>
      </c>
      <c r="N31" s="51">
        <v>32.200000000000003</v>
      </c>
      <c r="O31" s="51">
        <v>58.838999999999999</v>
      </c>
      <c r="P31" s="51"/>
      <c r="Q31" s="51">
        <v>121.39</v>
      </c>
      <c r="R31" s="51"/>
      <c r="S31" s="51">
        <v>15.275</v>
      </c>
      <c r="T31" s="51">
        <f t="shared" si="2"/>
        <v>296.64276499999994</v>
      </c>
      <c r="U31" s="154">
        <f t="shared" si="3"/>
        <v>3182.1548360000002</v>
      </c>
    </row>
    <row r="32" spans="1:21" s="74" customFormat="1" ht="19.5" customHeight="1">
      <c r="A32" s="72">
        <v>26</v>
      </c>
      <c r="B32" s="116" t="s">
        <v>211</v>
      </c>
      <c r="C32" s="133">
        <v>16</v>
      </c>
      <c r="D32" s="134">
        <v>15</v>
      </c>
      <c r="E32" s="53">
        <v>1982.825732</v>
      </c>
      <c r="F32" s="53">
        <f t="shared" si="0"/>
        <v>295.68</v>
      </c>
      <c r="G32" s="53">
        <f t="shared" si="1"/>
        <v>2278.5057320000001</v>
      </c>
      <c r="H32" s="53">
        <v>1982.7717319999999</v>
      </c>
      <c r="I32" s="51"/>
      <c r="J32" s="51">
        <v>7.56</v>
      </c>
      <c r="K32" s="51">
        <v>17.891999999999999</v>
      </c>
      <c r="L32" s="51">
        <v>2.6</v>
      </c>
      <c r="M32" s="51">
        <v>70.325999999999993</v>
      </c>
      <c r="N32" s="51">
        <v>12</v>
      </c>
      <c r="O32" s="51">
        <v>70.36</v>
      </c>
      <c r="P32" s="51">
        <v>40.130000000000003</v>
      </c>
      <c r="Q32" s="51">
        <v>5</v>
      </c>
      <c r="R32" s="51"/>
      <c r="S32" s="51">
        <v>69.811999999999998</v>
      </c>
      <c r="T32" s="51">
        <f t="shared" si="2"/>
        <v>295.68</v>
      </c>
      <c r="U32" s="154">
        <f t="shared" si="3"/>
        <v>2278.451732</v>
      </c>
    </row>
    <row r="33" spans="1:21" s="74" customFormat="1" ht="19.5" customHeight="1">
      <c r="A33" s="72">
        <v>27</v>
      </c>
      <c r="B33" s="116" t="s">
        <v>212</v>
      </c>
      <c r="C33" s="133">
        <v>16</v>
      </c>
      <c r="D33" s="134">
        <v>15</v>
      </c>
      <c r="E33" s="53">
        <v>2616.7493060000002</v>
      </c>
      <c r="F33" s="53">
        <f t="shared" si="0"/>
        <v>295.68</v>
      </c>
      <c r="G33" s="53">
        <f t="shared" si="1"/>
        <v>2912.429306</v>
      </c>
      <c r="H33" s="53">
        <v>2708.3069869999999</v>
      </c>
      <c r="I33" s="51">
        <v>22.434999999999999</v>
      </c>
      <c r="J33" s="51">
        <v>9.4560779999999998</v>
      </c>
      <c r="K33" s="51">
        <v>24.545000000000002</v>
      </c>
      <c r="L33" s="51">
        <v>8.6945329999999998</v>
      </c>
      <c r="M33" s="51">
        <v>63.291528</v>
      </c>
      <c r="N33" s="51"/>
      <c r="O33" s="51">
        <v>23.594999999999999</v>
      </c>
      <c r="P33" s="51">
        <v>38.799999999999997</v>
      </c>
      <c r="Q33" s="51">
        <v>27.804200000000002</v>
      </c>
      <c r="R33" s="51"/>
      <c r="S33" s="51">
        <v>12.518000000000001</v>
      </c>
      <c r="T33" s="51">
        <f t="shared" si="2"/>
        <v>231.13933900000001</v>
      </c>
      <c r="U33" s="154">
        <f t="shared" si="3"/>
        <v>2939.4463259999998</v>
      </c>
    </row>
    <row r="34" spans="1:21" s="74" customFormat="1" ht="19.5" customHeight="1">
      <c r="A34" s="72">
        <v>28</v>
      </c>
      <c r="B34" s="116" t="s">
        <v>213</v>
      </c>
      <c r="C34" s="133">
        <v>16</v>
      </c>
      <c r="D34" s="134">
        <v>16</v>
      </c>
      <c r="E34" s="53">
        <v>2340.0493060000003</v>
      </c>
      <c r="F34" s="53">
        <f t="shared" si="0"/>
        <v>295.68</v>
      </c>
      <c r="G34" s="53">
        <f t="shared" si="1"/>
        <v>2635.7293060000002</v>
      </c>
      <c r="H34" s="53">
        <v>2396.0584829999998</v>
      </c>
      <c r="I34" s="51"/>
      <c r="J34" s="51">
        <v>5.2929870000000001</v>
      </c>
      <c r="K34" s="51">
        <v>8.8550000000000004</v>
      </c>
      <c r="L34" s="51">
        <v>8.7389829999999993</v>
      </c>
      <c r="M34" s="51">
        <v>45.472999999999999</v>
      </c>
      <c r="N34" s="51">
        <v>18</v>
      </c>
      <c r="O34" s="51">
        <v>93.269852999999998</v>
      </c>
      <c r="P34" s="51"/>
      <c r="Q34" s="51">
        <v>17.52</v>
      </c>
      <c r="R34" s="51"/>
      <c r="S34" s="51">
        <v>42.521000000000001</v>
      </c>
      <c r="T34" s="51">
        <f t="shared" si="2"/>
        <v>239.67082299999998</v>
      </c>
      <c r="U34" s="154">
        <f t="shared" si="3"/>
        <v>2635.7293059999997</v>
      </c>
    </row>
    <row r="35" spans="1:21" s="74" customFormat="1" ht="19.5" customHeight="1">
      <c r="A35" s="72">
        <v>29</v>
      </c>
      <c r="B35" s="116" t="s">
        <v>214</v>
      </c>
      <c r="C35" s="133">
        <v>33</v>
      </c>
      <c r="D35" s="134">
        <v>30</v>
      </c>
      <c r="E35" s="53">
        <v>3595.4316909999998</v>
      </c>
      <c r="F35" s="53">
        <f t="shared" si="0"/>
        <v>609.84</v>
      </c>
      <c r="G35" s="53">
        <f t="shared" si="1"/>
        <v>4205.2716909999999</v>
      </c>
      <c r="H35" s="40">
        <v>3791</v>
      </c>
      <c r="I35" s="130">
        <v>22.355</v>
      </c>
      <c r="J35" s="130">
        <v>9.4677659999999992</v>
      </c>
      <c r="K35" s="130">
        <v>23.86</v>
      </c>
      <c r="L35" s="130">
        <v>5.4549500000000002</v>
      </c>
      <c r="M35" s="130">
        <v>46.7483</v>
      </c>
      <c r="N35" s="130">
        <v>18</v>
      </c>
      <c r="O35" s="130">
        <v>284.57445999999999</v>
      </c>
      <c r="P35" s="130">
        <v>19.899999999999999</v>
      </c>
      <c r="Q35" s="130">
        <v>56.152799999999999</v>
      </c>
      <c r="R35" s="51"/>
      <c r="S35" s="130">
        <v>17.419</v>
      </c>
      <c r="T35" s="51">
        <f t="shared" si="2"/>
        <v>503.93227599999994</v>
      </c>
      <c r="U35" s="154">
        <f t="shared" si="3"/>
        <v>4294.9322759999995</v>
      </c>
    </row>
    <row r="36" spans="1:21" s="74" customFormat="1" ht="19.5" customHeight="1">
      <c r="A36" s="72">
        <v>30</v>
      </c>
      <c r="B36" s="116" t="s">
        <v>215</v>
      </c>
      <c r="C36" s="133">
        <v>49</v>
      </c>
      <c r="D36" s="134">
        <v>43</v>
      </c>
      <c r="E36" s="53">
        <v>5778.7117010000002</v>
      </c>
      <c r="F36" s="53">
        <f t="shared" si="0"/>
        <v>905.52</v>
      </c>
      <c r="G36" s="53">
        <f t="shared" si="1"/>
        <v>6684.2317010000006</v>
      </c>
      <c r="H36" s="53">
        <v>5721.6436359999998</v>
      </c>
      <c r="I36" s="51"/>
      <c r="J36" s="51">
        <v>13.729542</v>
      </c>
      <c r="K36" s="51">
        <v>37.49</v>
      </c>
      <c r="L36" s="51">
        <v>2.4673500000000002</v>
      </c>
      <c r="M36" s="51">
        <v>125.092</v>
      </c>
      <c r="N36" s="51">
        <v>44.788600000000002</v>
      </c>
      <c r="O36" s="51">
        <v>379.57574099999999</v>
      </c>
      <c r="P36" s="51">
        <v>124.631</v>
      </c>
      <c r="Q36" s="51">
        <v>180.25960000000001</v>
      </c>
      <c r="R36" s="51"/>
      <c r="S36" s="51">
        <v>133.69</v>
      </c>
      <c r="T36" s="51">
        <f t="shared" si="2"/>
        <v>1041.723833</v>
      </c>
      <c r="U36" s="154">
        <f t="shared" si="3"/>
        <v>6763.3674689999998</v>
      </c>
    </row>
    <row r="37" spans="1:21" s="74" customFormat="1" ht="19.5" customHeight="1">
      <c r="A37" s="72">
        <v>31</v>
      </c>
      <c r="B37" s="116" t="s">
        <v>216</v>
      </c>
      <c r="C37" s="133">
        <v>13</v>
      </c>
      <c r="D37" s="135">
        <v>12</v>
      </c>
      <c r="E37" s="53">
        <v>1694.2265640000001</v>
      </c>
      <c r="F37" s="53">
        <f t="shared" si="0"/>
        <v>240.24</v>
      </c>
      <c r="G37" s="53">
        <f t="shared" si="1"/>
        <v>1934.4665640000001</v>
      </c>
      <c r="H37" s="40">
        <v>1798.230718</v>
      </c>
      <c r="I37" s="130">
        <v>18</v>
      </c>
      <c r="J37" s="130">
        <v>6.631335</v>
      </c>
      <c r="K37" s="130">
        <v>9.7133230000000008</v>
      </c>
      <c r="L37" s="130">
        <v>1.914849</v>
      </c>
      <c r="M37" s="130">
        <v>24.614339000000001</v>
      </c>
      <c r="N37" s="130">
        <v>14.52</v>
      </c>
      <c r="O37" s="130">
        <v>31.925000000000001</v>
      </c>
      <c r="P37" s="130"/>
      <c r="Q37" s="130">
        <v>14.266400000000001</v>
      </c>
      <c r="R37" s="130"/>
      <c r="S37" s="130">
        <v>14.650600000000001</v>
      </c>
      <c r="T37" s="51">
        <f t="shared" si="2"/>
        <v>136.23584600000001</v>
      </c>
      <c r="U37" s="154">
        <f t="shared" si="3"/>
        <v>1934.4665640000001</v>
      </c>
    </row>
    <row r="38" spans="1:21" s="74" customFormat="1" ht="19.5" customHeight="1">
      <c r="A38" s="72">
        <v>32</v>
      </c>
      <c r="B38" s="116" t="s">
        <v>217</v>
      </c>
      <c r="C38" s="133">
        <v>15</v>
      </c>
      <c r="D38" s="135">
        <v>14</v>
      </c>
      <c r="E38" s="53">
        <v>2124.1715770000001</v>
      </c>
      <c r="F38" s="53">
        <f t="shared" si="0"/>
        <v>277.2</v>
      </c>
      <c r="G38" s="53">
        <f t="shared" si="1"/>
        <v>2401.3715769999999</v>
      </c>
      <c r="H38" s="40">
        <v>2147.846505</v>
      </c>
      <c r="I38" s="130"/>
      <c r="J38" s="130">
        <v>13.599686999999999</v>
      </c>
      <c r="K38" s="130">
        <v>17.361135000000001</v>
      </c>
      <c r="L38" s="130">
        <v>4.0237499999999997</v>
      </c>
      <c r="M38" s="130">
        <v>49.055900000000001</v>
      </c>
      <c r="N38" s="130">
        <v>32.549999999999997</v>
      </c>
      <c r="O38" s="130">
        <v>30.635000000000002</v>
      </c>
      <c r="P38" s="130">
        <v>37.222999999999999</v>
      </c>
      <c r="Q38" s="130">
        <v>31.6966</v>
      </c>
      <c r="R38" s="130"/>
      <c r="S38" s="130">
        <v>37.380000000000003</v>
      </c>
      <c r="T38" s="51">
        <f t="shared" si="2"/>
        <v>253.52507199999997</v>
      </c>
      <c r="U38" s="154">
        <f t="shared" si="3"/>
        <v>2401.3715769999999</v>
      </c>
    </row>
    <row r="39" spans="1:21" s="74" customFormat="1" ht="19.5" customHeight="1">
      <c r="A39" s="72">
        <v>33</v>
      </c>
      <c r="B39" s="116" t="s">
        <v>218</v>
      </c>
      <c r="C39" s="133">
        <v>20</v>
      </c>
      <c r="D39" s="135">
        <v>20</v>
      </c>
      <c r="E39" s="53">
        <v>3040.5814180000002</v>
      </c>
      <c r="F39" s="53">
        <f t="shared" si="0"/>
        <v>369.6</v>
      </c>
      <c r="G39" s="53">
        <f t="shared" si="1"/>
        <v>3410.1814180000001</v>
      </c>
      <c r="H39" s="40">
        <v>2926.9773049999999</v>
      </c>
      <c r="I39" s="130"/>
      <c r="J39" s="130">
        <v>6.5534109999999997</v>
      </c>
      <c r="K39" s="130">
        <v>23.335733999999999</v>
      </c>
      <c r="L39" s="130">
        <v>6.1611000000000002</v>
      </c>
      <c r="M39" s="130">
        <v>70.518100000000004</v>
      </c>
      <c r="N39" s="130">
        <v>37.748435000000001</v>
      </c>
      <c r="O39" s="130">
        <v>224.45308299999999</v>
      </c>
      <c r="P39" s="130"/>
      <c r="Q39" s="130">
        <v>201.48599999999999</v>
      </c>
      <c r="R39" s="130"/>
      <c r="S39" s="130">
        <v>72.650000000000006</v>
      </c>
      <c r="T39" s="51">
        <f t="shared" si="2"/>
        <v>642.90586299999995</v>
      </c>
      <c r="U39" s="154">
        <f t="shared" si="3"/>
        <v>3569.8831679999998</v>
      </c>
    </row>
    <row r="40" spans="1:21" s="74" customFormat="1" ht="19.5" customHeight="1">
      <c r="A40" s="72">
        <v>34</v>
      </c>
      <c r="B40" s="132" t="s">
        <v>21</v>
      </c>
      <c r="C40" s="27">
        <v>16</v>
      </c>
      <c r="D40" s="135">
        <v>16</v>
      </c>
      <c r="E40" s="53">
        <v>2073.3210570000001</v>
      </c>
      <c r="F40" s="53">
        <f t="shared" si="0"/>
        <v>295.68</v>
      </c>
      <c r="G40" s="53">
        <f t="shared" si="1"/>
        <v>2369.0010569999999</v>
      </c>
      <c r="H40" s="40">
        <v>2144.418185</v>
      </c>
      <c r="I40" s="130"/>
      <c r="J40" s="130">
        <v>5.9007949999999996</v>
      </c>
      <c r="K40" s="130">
        <v>33.610999999999997</v>
      </c>
      <c r="L40" s="130">
        <v>10.411099999999999</v>
      </c>
      <c r="M40" s="130">
        <v>24.786000000000001</v>
      </c>
      <c r="N40" s="130">
        <v>30</v>
      </c>
      <c r="O40" s="130">
        <v>15.598000000000001</v>
      </c>
      <c r="P40" s="130">
        <v>41.895000000000003</v>
      </c>
      <c r="Q40" s="130">
        <v>39.207329000000001</v>
      </c>
      <c r="R40" s="130"/>
      <c r="S40" s="130">
        <v>22.71</v>
      </c>
      <c r="T40" s="51">
        <f t="shared" si="2"/>
        <v>224.119224</v>
      </c>
      <c r="U40" s="154">
        <f t="shared" si="3"/>
        <v>2368.537409</v>
      </c>
    </row>
    <row r="41" spans="1:21" s="74" customFormat="1" ht="19.5" customHeight="1">
      <c r="A41" s="72">
        <v>35</v>
      </c>
      <c r="B41" s="132" t="s">
        <v>22</v>
      </c>
      <c r="C41" s="27">
        <v>30</v>
      </c>
      <c r="D41" s="135">
        <v>28</v>
      </c>
      <c r="E41" s="53">
        <v>3500.4158339999999</v>
      </c>
      <c r="F41" s="53">
        <f t="shared" si="0"/>
        <v>554.4</v>
      </c>
      <c r="G41" s="53">
        <f t="shared" si="1"/>
        <v>4054.815834</v>
      </c>
      <c r="H41" s="40">
        <v>3658</v>
      </c>
      <c r="I41" s="130"/>
      <c r="J41" s="130">
        <v>33</v>
      </c>
      <c r="K41" s="130">
        <v>22</v>
      </c>
      <c r="L41" s="130">
        <v>7</v>
      </c>
      <c r="M41" s="130">
        <v>43</v>
      </c>
      <c r="N41" s="130">
        <v>41</v>
      </c>
      <c r="O41" s="130">
        <v>80</v>
      </c>
      <c r="P41" s="130">
        <v>150</v>
      </c>
      <c r="Q41" s="130">
        <v>79</v>
      </c>
      <c r="R41" s="130"/>
      <c r="S41" s="130">
        <v>63</v>
      </c>
      <c r="T41" s="51">
        <f t="shared" si="2"/>
        <v>518</v>
      </c>
      <c r="U41" s="154">
        <f t="shared" si="3"/>
        <v>4176</v>
      </c>
    </row>
    <row r="42" spans="1:21" s="74" customFormat="1" ht="19.5" customHeight="1">
      <c r="A42" s="72">
        <v>36</v>
      </c>
      <c r="B42" s="132" t="s">
        <v>23</v>
      </c>
      <c r="C42" s="27">
        <v>21</v>
      </c>
      <c r="D42" s="135">
        <v>21</v>
      </c>
      <c r="E42" s="53">
        <v>2885.6455470000001</v>
      </c>
      <c r="F42" s="53">
        <f t="shared" si="0"/>
        <v>388.08</v>
      </c>
      <c r="G42" s="53">
        <f t="shared" si="1"/>
        <v>3273.725547</v>
      </c>
      <c r="H42" s="40">
        <v>2927.7739999999999</v>
      </c>
      <c r="I42" s="130">
        <v>7.65</v>
      </c>
      <c r="J42" s="130">
        <v>24.167999999999999</v>
      </c>
      <c r="K42" s="130">
        <v>15.315</v>
      </c>
      <c r="L42" s="130">
        <v>22.286999999999999</v>
      </c>
      <c r="M42" s="130">
        <v>39.884999999999998</v>
      </c>
      <c r="N42" s="130">
        <v>36</v>
      </c>
      <c r="O42" s="130">
        <v>42.359000000000002</v>
      </c>
      <c r="P42" s="130">
        <v>19.925000000000001</v>
      </c>
      <c r="Q42" s="130">
        <v>58.874000000000002</v>
      </c>
      <c r="R42" s="130"/>
      <c r="S42" s="130">
        <v>43.488999999999997</v>
      </c>
      <c r="T42" s="51">
        <f t="shared" si="2"/>
        <v>309.952</v>
      </c>
      <c r="U42" s="154">
        <f t="shared" si="3"/>
        <v>3237.7259999999997</v>
      </c>
    </row>
    <row r="43" spans="1:21" s="74" customFormat="1" ht="19.5" customHeight="1">
      <c r="A43" s="72">
        <v>37</v>
      </c>
      <c r="B43" s="132" t="s">
        <v>24</v>
      </c>
      <c r="C43" s="27">
        <v>19</v>
      </c>
      <c r="D43" s="135">
        <v>19</v>
      </c>
      <c r="E43" s="53">
        <v>1772.9466350000002</v>
      </c>
      <c r="F43" s="53">
        <f t="shared" si="0"/>
        <v>351.12</v>
      </c>
      <c r="G43" s="53">
        <f t="shared" si="1"/>
        <v>2124.0666350000001</v>
      </c>
      <c r="H43" s="40">
        <v>1820.1120450000001</v>
      </c>
      <c r="I43" s="130"/>
      <c r="J43" s="130">
        <v>6.1910639999999999</v>
      </c>
      <c r="K43" s="130">
        <v>18.306000000000001</v>
      </c>
      <c r="L43" s="130">
        <v>4.9229459999999996</v>
      </c>
      <c r="M43" s="130">
        <v>55.765847999999998</v>
      </c>
      <c r="N43" s="130">
        <v>30</v>
      </c>
      <c r="O43" s="130">
        <v>109.526031</v>
      </c>
      <c r="P43" s="130"/>
      <c r="Q43" s="130">
        <v>53.235010000000003</v>
      </c>
      <c r="R43" s="130"/>
      <c r="S43" s="130">
        <v>57.076000999999998</v>
      </c>
      <c r="T43" s="51">
        <f t="shared" si="2"/>
        <v>335.02289999999999</v>
      </c>
      <c r="U43" s="154">
        <f t="shared" si="3"/>
        <v>2155.1349450000002</v>
      </c>
    </row>
    <row r="44" spans="1:21" s="74" customFormat="1" ht="19.5" customHeight="1">
      <c r="A44" s="72">
        <v>38</v>
      </c>
      <c r="B44" s="132" t="s">
        <v>25</v>
      </c>
      <c r="C44" s="27">
        <v>18</v>
      </c>
      <c r="D44" s="135">
        <v>14</v>
      </c>
      <c r="E44" s="53">
        <v>1692.900009</v>
      </c>
      <c r="F44" s="53">
        <f t="shared" si="0"/>
        <v>332.64</v>
      </c>
      <c r="G44" s="53">
        <f t="shared" si="1"/>
        <v>2025.5400089999998</v>
      </c>
      <c r="H44" s="40">
        <v>1845</v>
      </c>
      <c r="I44" s="130">
        <v>19.686</v>
      </c>
      <c r="J44" s="130">
        <v>5.9163819999999996</v>
      </c>
      <c r="K44" s="130">
        <v>21.32206</v>
      </c>
      <c r="L44" s="130">
        <v>3.852455</v>
      </c>
      <c r="M44" s="130">
        <v>57.0428</v>
      </c>
      <c r="N44" s="130">
        <v>20.88</v>
      </c>
      <c r="O44" s="130">
        <v>29.74</v>
      </c>
      <c r="P44" s="130"/>
      <c r="Q44" s="130">
        <v>21.559000000000001</v>
      </c>
      <c r="R44" s="130"/>
      <c r="S44" s="130">
        <v>21.223703</v>
      </c>
      <c r="T44" s="51">
        <f t="shared" si="2"/>
        <v>201.22239999999999</v>
      </c>
      <c r="U44" s="154">
        <f t="shared" si="3"/>
        <v>2046.2224000000001</v>
      </c>
    </row>
    <row r="45" spans="1:21" s="74" customFormat="1" ht="19.5" customHeight="1">
      <c r="A45" s="72">
        <v>39</v>
      </c>
      <c r="B45" s="132" t="s">
        <v>26</v>
      </c>
      <c r="C45" s="27">
        <v>26</v>
      </c>
      <c r="D45" s="135">
        <v>20</v>
      </c>
      <c r="E45" s="53">
        <v>3217.979327</v>
      </c>
      <c r="F45" s="53">
        <v>431.2</v>
      </c>
      <c r="G45" s="53">
        <f t="shared" si="1"/>
        <v>3649.1793269999998</v>
      </c>
      <c r="H45" s="40">
        <v>3296.186964</v>
      </c>
      <c r="I45" s="130"/>
      <c r="J45" s="130">
        <v>16.671841000000001</v>
      </c>
      <c r="K45" s="130">
        <v>24.385999999999999</v>
      </c>
      <c r="L45" s="130">
        <v>1.5017240000000001</v>
      </c>
      <c r="M45" s="130">
        <v>58.723999999999997</v>
      </c>
      <c r="N45" s="130">
        <v>37.411299999999997</v>
      </c>
      <c r="O45" s="130">
        <v>57.493000000000002</v>
      </c>
      <c r="P45" s="130">
        <v>73.861999999999995</v>
      </c>
      <c r="Q45" s="130">
        <v>36.822000000000003</v>
      </c>
      <c r="R45" s="130"/>
      <c r="S45" s="130">
        <v>32.956000000000003</v>
      </c>
      <c r="T45" s="51">
        <f t="shared" si="2"/>
        <v>339.82786499999997</v>
      </c>
      <c r="U45" s="154">
        <f t="shared" si="3"/>
        <v>3636.0148289999997</v>
      </c>
    </row>
    <row r="46" spans="1:21" s="74" customFormat="1" ht="19.5" customHeight="1">
      <c r="A46" s="72">
        <v>40</v>
      </c>
      <c r="B46" s="132" t="s">
        <v>27</v>
      </c>
      <c r="C46" s="27">
        <v>17</v>
      </c>
      <c r="D46" s="135">
        <v>15</v>
      </c>
      <c r="E46" s="53">
        <v>1864.4851839999999</v>
      </c>
      <c r="F46" s="53">
        <f>(C46*18.48)</f>
        <v>314.16000000000003</v>
      </c>
      <c r="G46" s="53">
        <f t="shared" si="1"/>
        <v>2178.645184</v>
      </c>
      <c r="H46" s="40">
        <v>2029.4644470000001</v>
      </c>
      <c r="I46" s="130"/>
      <c r="J46" s="130">
        <v>8.1703320000000001</v>
      </c>
      <c r="K46" s="130">
        <v>16.954999999999998</v>
      </c>
      <c r="L46" s="130">
        <v>1.8730979999999999</v>
      </c>
      <c r="M46" s="130">
        <v>60.483699999999999</v>
      </c>
      <c r="N46" s="130">
        <v>30.01</v>
      </c>
      <c r="O46" s="130">
        <v>34.487000000000002</v>
      </c>
      <c r="P46" s="130">
        <v>24.984203999999998</v>
      </c>
      <c r="Q46" s="130">
        <v>45.231400000000001</v>
      </c>
      <c r="R46" s="130"/>
      <c r="S46" s="130">
        <v>26.986003</v>
      </c>
      <c r="T46" s="51">
        <f t="shared" si="2"/>
        <v>249.18073700000002</v>
      </c>
      <c r="U46" s="154">
        <f t="shared" si="3"/>
        <v>2278.645184</v>
      </c>
    </row>
    <row r="47" spans="1:21" s="74" customFormat="1" ht="19.5" customHeight="1">
      <c r="A47" s="72">
        <v>41</v>
      </c>
      <c r="B47" s="132" t="s">
        <v>28</v>
      </c>
      <c r="C47" s="133">
        <f>29+8</f>
        <v>37</v>
      </c>
      <c r="D47" s="135">
        <v>37</v>
      </c>
      <c r="E47" s="53">
        <v>4422</v>
      </c>
      <c r="F47" s="53">
        <v>585.20000000000005</v>
      </c>
      <c r="G47" s="53">
        <f t="shared" si="1"/>
        <v>5007.2</v>
      </c>
      <c r="H47" s="40">
        <f>1569.7+79.9+1282.1+423.3+436.4+119.2+446.7+148.8</f>
        <v>4506.1000000000004</v>
      </c>
      <c r="I47" s="130">
        <v>147</v>
      </c>
      <c r="J47" s="130">
        <f>3.3+0.8</f>
        <v>4.0999999999999996</v>
      </c>
      <c r="K47" s="130">
        <f>11.3+0.8</f>
        <v>12.100000000000001</v>
      </c>
      <c r="L47" s="130">
        <f>4.6+13.2</f>
        <v>17.799999999999997</v>
      </c>
      <c r="M47" s="130">
        <f>32.1+3+48</f>
        <v>83.1</v>
      </c>
      <c r="N47" s="130">
        <v>7.5</v>
      </c>
      <c r="O47" s="130">
        <f>81.7+2.7</f>
        <v>84.4</v>
      </c>
      <c r="P47" s="130">
        <f>64.7</f>
        <v>64.7</v>
      </c>
      <c r="Q47" s="130">
        <f>48.1+51.4+0.8</f>
        <v>100.3</v>
      </c>
      <c r="R47" s="130"/>
      <c r="S47" s="130">
        <f>64.7</f>
        <v>64.7</v>
      </c>
      <c r="T47" s="51">
        <f t="shared" si="2"/>
        <v>585.70000000000005</v>
      </c>
      <c r="U47" s="154">
        <f t="shared" si="3"/>
        <v>5091.8</v>
      </c>
    </row>
    <row r="48" spans="1:21" s="74" customFormat="1" ht="19.5" customHeight="1">
      <c r="A48" s="72">
        <v>42</v>
      </c>
      <c r="B48" s="132" t="s">
        <v>29</v>
      </c>
      <c r="C48" s="133">
        <v>27</v>
      </c>
      <c r="D48" s="135">
        <v>27</v>
      </c>
      <c r="E48" s="53">
        <v>3896.3784189999997</v>
      </c>
      <c r="F48" s="53">
        <f t="shared" ref="F48:F54" si="4">(C48*18.48)</f>
        <v>498.96000000000004</v>
      </c>
      <c r="G48" s="53">
        <f t="shared" si="1"/>
        <v>4395.3384189999997</v>
      </c>
      <c r="H48" s="40">
        <v>3906</v>
      </c>
      <c r="I48" s="130"/>
      <c r="J48" s="130">
        <v>8</v>
      </c>
      <c r="K48" s="130">
        <v>88</v>
      </c>
      <c r="L48" s="130">
        <v>5</v>
      </c>
      <c r="M48" s="130">
        <v>90</v>
      </c>
      <c r="N48" s="130">
        <v>25</v>
      </c>
      <c r="O48" s="130">
        <v>109</v>
      </c>
      <c r="P48" s="130">
        <v>50</v>
      </c>
      <c r="Q48" s="130">
        <v>71</v>
      </c>
      <c r="R48" s="130"/>
      <c r="S48" s="130">
        <v>43</v>
      </c>
      <c r="T48" s="51">
        <f t="shared" si="2"/>
        <v>489</v>
      </c>
      <c r="U48" s="154">
        <f t="shared" si="3"/>
        <v>4395</v>
      </c>
    </row>
    <row r="49" spans="1:21" s="74" customFormat="1" ht="19.5" customHeight="1">
      <c r="A49" s="72">
        <v>43</v>
      </c>
      <c r="B49" s="132" t="s">
        <v>30</v>
      </c>
      <c r="C49" s="133">
        <v>32</v>
      </c>
      <c r="D49" s="135">
        <v>29</v>
      </c>
      <c r="E49" s="53">
        <v>1409.7367250000002</v>
      </c>
      <c r="F49" s="53">
        <f t="shared" si="4"/>
        <v>591.36</v>
      </c>
      <c r="G49" s="53">
        <f t="shared" si="1"/>
        <v>2001.0967250000003</v>
      </c>
      <c r="H49" s="40">
        <v>1807.089745</v>
      </c>
      <c r="I49" s="130"/>
      <c r="J49" s="130">
        <v>8.5500000000000007</v>
      </c>
      <c r="K49" s="130">
        <v>11.25</v>
      </c>
      <c r="L49" s="130">
        <v>7.8</v>
      </c>
      <c r="M49" s="130">
        <v>30.45</v>
      </c>
      <c r="N49" s="130">
        <v>27</v>
      </c>
      <c r="O49" s="130">
        <v>20.87</v>
      </c>
      <c r="P49" s="130">
        <v>17.8</v>
      </c>
      <c r="Q49" s="130">
        <v>25.706872000000001</v>
      </c>
      <c r="R49" s="130"/>
      <c r="S49" s="130">
        <v>44.580108000000003</v>
      </c>
      <c r="T49" s="51">
        <f t="shared" si="2"/>
        <v>194.00698</v>
      </c>
      <c r="U49" s="154">
        <f t="shared" si="3"/>
        <v>2001.0967249999999</v>
      </c>
    </row>
    <row r="50" spans="1:21" s="74" customFormat="1" ht="19.5" customHeight="1">
      <c r="A50" s="72">
        <v>44</v>
      </c>
      <c r="B50" s="132" t="s">
        <v>31</v>
      </c>
      <c r="C50" s="133">
        <v>24</v>
      </c>
      <c r="D50" s="135">
        <v>24</v>
      </c>
      <c r="E50" s="53">
        <v>4495.0845709999994</v>
      </c>
      <c r="F50" s="53">
        <f t="shared" si="4"/>
        <v>443.52</v>
      </c>
      <c r="G50" s="53">
        <f t="shared" si="1"/>
        <v>4938.6045709999999</v>
      </c>
      <c r="H50" s="40">
        <v>4219.7158920000002</v>
      </c>
      <c r="I50" s="130">
        <v>35.485999999999997</v>
      </c>
      <c r="J50" s="130">
        <v>11.22885</v>
      </c>
      <c r="K50" s="130">
        <v>49.036000000000001</v>
      </c>
      <c r="L50" s="130">
        <v>10.840503</v>
      </c>
      <c r="M50" s="130">
        <v>110.95399999999999</v>
      </c>
      <c r="N50" s="130">
        <v>38.412199999999999</v>
      </c>
      <c r="O50" s="130">
        <v>42.073</v>
      </c>
      <c r="P50" s="130">
        <v>17.649999999999999</v>
      </c>
      <c r="Q50" s="130">
        <v>68.048699999999997</v>
      </c>
      <c r="R50" s="130"/>
      <c r="S50" s="130">
        <v>18.675000000000001</v>
      </c>
      <c r="T50" s="51">
        <f t="shared" si="2"/>
        <v>402.40425299999993</v>
      </c>
      <c r="U50" s="154">
        <f t="shared" si="3"/>
        <v>4622.1201449999999</v>
      </c>
    </row>
    <row r="51" spans="1:21" s="74" customFormat="1" ht="19.5" customHeight="1">
      <c r="A51" s="72">
        <v>45</v>
      </c>
      <c r="B51" s="132" t="s">
        <v>32</v>
      </c>
      <c r="C51" s="133">
        <v>23</v>
      </c>
      <c r="D51" s="135">
        <v>23</v>
      </c>
      <c r="E51" s="53">
        <v>4153.2438339999999</v>
      </c>
      <c r="F51" s="53">
        <f t="shared" si="4"/>
        <v>425.04</v>
      </c>
      <c r="G51" s="53">
        <f t="shared" si="1"/>
        <v>4578.2838339999998</v>
      </c>
      <c r="H51" s="40">
        <v>4188.1229999999996</v>
      </c>
      <c r="I51" s="130"/>
      <c r="J51" s="130">
        <v>12.005000000000001</v>
      </c>
      <c r="K51" s="130">
        <v>64.861000000000004</v>
      </c>
      <c r="L51" s="130">
        <v>8.718</v>
      </c>
      <c r="M51" s="130">
        <v>82.19</v>
      </c>
      <c r="N51" s="130">
        <v>26.46</v>
      </c>
      <c r="O51" s="130">
        <v>120.8</v>
      </c>
      <c r="P51" s="130">
        <v>32.997</v>
      </c>
      <c r="Q51" s="130">
        <v>19.52</v>
      </c>
      <c r="R51" s="130"/>
      <c r="S51" s="130">
        <v>41.134</v>
      </c>
      <c r="T51" s="51">
        <f t="shared" si="2"/>
        <v>408.685</v>
      </c>
      <c r="U51" s="154">
        <f t="shared" si="3"/>
        <v>4596.808</v>
      </c>
    </row>
    <row r="52" spans="1:21" s="74" customFormat="1" ht="19.5" customHeight="1">
      <c r="A52" s="72">
        <v>46</v>
      </c>
      <c r="B52" s="132" t="s">
        <v>33</v>
      </c>
      <c r="C52" s="133">
        <v>26</v>
      </c>
      <c r="D52" s="135">
        <v>25</v>
      </c>
      <c r="E52" s="53">
        <v>2735.0705899999998</v>
      </c>
      <c r="F52" s="53">
        <f t="shared" si="4"/>
        <v>480.48</v>
      </c>
      <c r="G52" s="53">
        <f t="shared" si="1"/>
        <v>3215.5505899999998</v>
      </c>
      <c r="H52" s="40">
        <v>3119.7596450000001</v>
      </c>
      <c r="I52" s="130"/>
      <c r="J52" s="130">
        <v>9.8067329999999995</v>
      </c>
      <c r="K52" s="130">
        <v>33.085000000000001</v>
      </c>
      <c r="L52" s="130">
        <v>2.26335</v>
      </c>
      <c r="M52" s="130">
        <v>80.627923999999993</v>
      </c>
      <c r="N52" s="130">
        <v>33.5</v>
      </c>
      <c r="O52" s="130">
        <v>44.938600000000001</v>
      </c>
      <c r="P52" s="130"/>
      <c r="Q52" s="130">
        <v>39.2988</v>
      </c>
      <c r="R52" s="130"/>
      <c r="S52" s="130">
        <v>34.340000000000003</v>
      </c>
      <c r="T52" s="51">
        <f t="shared" si="2"/>
        <v>277.86040700000001</v>
      </c>
      <c r="U52" s="154">
        <f t="shared" si="3"/>
        <v>3397.6200520000002</v>
      </c>
    </row>
    <row r="53" spans="1:21" s="74" customFormat="1" ht="19.5" customHeight="1">
      <c r="A53" s="72">
        <v>47</v>
      </c>
      <c r="B53" s="116" t="s">
        <v>34</v>
      </c>
      <c r="C53" s="133">
        <v>24</v>
      </c>
      <c r="D53" s="135">
        <v>22</v>
      </c>
      <c r="E53" s="53">
        <v>3284.379942</v>
      </c>
      <c r="F53" s="53">
        <f t="shared" si="4"/>
        <v>443.52</v>
      </c>
      <c r="G53" s="53">
        <f t="shared" si="1"/>
        <v>3727.899942</v>
      </c>
      <c r="H53" s="40">
        <v>3321.7615433999999</v>
      </c>
      <c r="I53" s="130"/>
      <c r="J53" s="130">
        <v>7.6713199999999997</v>
      </c>
      <c r="K53" s="130">
        <v>22.99</v>
      </c>
      <c r="L53" s="130">
        <v>2.2722853999999999</v>
      </c>
      <c r="M53" s="130">
        <v>80.17</v>
      </c>
      <c r="N53" s="130">
        <v>53.8</v>
      </c>
      <c r="O53" s="130">
        <v>72.248500000000007</v>
      </c>
      <c r="P53" s="130"/>
      <c r="Q53" s="130">
        <v>36.220399999999998</v>
      </c>
      <c r="R53" s="130"/>
      <c r="S53" s="130">
        <v>83.107996999999997</v>
      </c>
      <c r="T53" s="51">
        <f t="shared" si="2"/>
        <v>358.48050240000003</v>
      </c>
      <c r="U53" s="154">
        <f t="shared" si="3"/>
        <v>3680.2420458000001</v>
      </c>
    </row>
    <row r="54" spans="1:21" s="74" customFormat="1" ht="19.5" customHeight="1">
      <c r="A54" s="72">
        <v>48</v>
      </c>
      <c r="B54" s="132" t="s">
        <v>35</v>
      </c>
      <c r="C54" s="133">
        <v>24</v>
      </c>
      <c r="D54" s="135">
        <v>19</v>
      </c>
      <c r="E54" s="53">
        <v>2722.3558210000001</v>
      </c>
      <c r="F54" s="53">
        <f t="shared" si="4"/>
        <v>443.52</v>
      </c>
      <c r="G54" s="53">
        <f t="shared" si="1"/>
        <v>3165.8758210000001</v>
      </c>
      <c r="H54" s="40">
        <v>2802.17</v>
      </c>
      <c r="I54" s="130"/>
      <c r="J54" s="130">
        <v>8.6768389999999993</v>
      </c>
      <c r="K54" s="130">
        <v>36.450000000000003</v>
      </c>
      <c r="L54" s="130">
        <v>6.5266000000000005E-2</v>
      </c>
      <c r="M54" s="130">
        <v>63.241999999999997</v>
      </c>
      <c r="N54" s="130">
        <v>44.113500000000002</v>
      </c>
      <c r="O54" s="130">
        <v>47.475000000000001</v>
      </c>
      <c r="P54" s="130">
        <v>37.799999999999997</v>
      </c>
      <c r="Q54" s="130">
        <v>32.1068</v>
      </c>
      <c r="R54" s="130"/>
      <c r="S54" s="130">
        <v>93.774000000000001</v>
      </c>
      <c r="T54" s="51">
        <f t="shared" si="2"/>
        <v>363.70340500000003</v>
      </c>
      <c r="U54" s="154">
        <f t="shared" si="3"/>
        <v>3165.8734050000003</v>
      </c>
    </row>
    <row r="55" spans="1:21" s="74" customFormat="1" ht="19.5" customHeight="1">
      <c r="A55" s="157" t="s">
        <v>19</v>
      </c>
      <c r="B55" s="177"/>
      <c r="C55" s="31">
        <f t="shared" ref="C55:E55" si="5">SUM(C7:C54)</f>
        <v>975</v>
      </c>
      <c r="D55" s="31">
        <f t="shared" si="5"/>
        <v>919</v>
      </c>
      <c r="E55" s="31">
        <f t="shared" si="5"/>
        <v>117064.445628</v>
      </c>
      <c r="F55" s="31">
        <f t="shared" ref="F55:U55" si="6">SUM(F7:F54)</f>
        <v>17870.160000000007</v>
      </c>
      <c r="G55" s="31">
        <f t="shared" si="6"/>
        <v>134934.60562799999</v>
      </c>
      <c r="H55" s="31">
        <f t="shared" si="6"/>
        <v>119661.60912139999</v>
      </c>
      <c r="I55" s="31">
        <f t="shared" si="6"/>
        <v>515.14179999999999</v>
      </c>
      <c r="J55" s="31">
        <f t="shared" si="6"/>
        <v>537.97637399999996</v>
      </c>
      <c r="K55" s="31">
        <f t="shared" si="6"/>
        <v>1125.0039100000004</v>
      </c>
      <c r="L55" s="31">
        <f t="shared" si="6"/>
        <v>282.60897540000002</v>
      </c>
      <c r="M55" s="31">
        <f t="shared" si="6"/>
        <v>2021.2310369999996</v>
      </c>
      <c r="N55" s="31">
        <f t="shared" si="6"/>
        <v>1157.8940349999996</v>
      </c>
      <c r="O55" s="31">
        <f t="shared" si="6"/>
        <v>3736.6361869999996</v>
      </c>
      <c r="P55" s="31">
        <f t="shared" si="6"/>
        <v>1822.9846510000002</v>
      </c>
      <c r="Q55" s="31">
        <f t="shared" si="6"/>
        <v>2215.4514090000002</v>
      </c>
      <c r="R55" s="31">
        <f t="shared" si="6"/>
        <v>86.611116999999993</v>
      </c>
      <c r="S55" s="31">
        <f t="shared" si="6"/>
        <v>2307.0176290000009</v>
      </c>
      <c r="T55" s="31">
        <f t="shared" si="6"/>
        <v>15808.5571244</v>
      </c>
      <c r="U55" s="31">
        <f t="shared" si="6"/>
        <v>135470.16624579998</v>
      </c>
    </row>
    <row r="56" spans="1:21" s="74" customFormat="1" ht="19.5" customHeight="1"/>
    <row r="57" spans="1:21" s="74" customFormat="1" ht="19.5" customHeight="1"/>
    <row r="58" spans="1:21" s="74" customFormat="1" ht="19.5" customHeight="1"/>
    <row r="59" spans="1:21" s="74" customFormat="1" ht="19.5" customHeight="1"/>
    <row r="60" spans="1:21" s="74" customFormat="1" ht="19.5" customHeight="1"/>
    <row r="61" spans="1:21" s="74" customFormat="1" ht="19.5" customHeight="1"/>
    <row r="62" spans="1:21" s="74" customFormat="1" ht="19.5" customHeight="1"/>
    <row r="63" spans="1:21" s="74" customFormat="1" ht="19.5" customHeight="1"/>
    <row r="64" spans="1:21" s="74" customFormat="1" ht="19.5" customHeight="1"/>
    <row r="65" s="74" customFormat="1" ht="19.5" customHeight="1"/>
    <row r="66" s="74" customFormat="1" ht="19.5" customHeight="1"/>
    <row r="67" s="74" customFormat="1" ht="19.5" customHeight="1"/>
    <row r="68" s="74" customFormat="1" ht="19.5" customHeight="1"/>
    <row r="69" s="74" customFormat="1" ht="19.5" customHeight="1"/>
    <row r="70" s="74" customFormat="1" ht="19.5" customHeight="1"/>
    <row r="71" s="74" customFormat="1" ht="19.5" customHeight="1"/>
    <row r="72" s="74" customFormat="1" ht="19.5" customHeight="1"/>
    <row r="73" s="74" customFormat="1" ht="19.5" customHeight="1"/>
    <row r="74" s="74" customFormat="1" ht="19.5" customHeight="1"/>
    <row r="75" s="74" customFormat="1" ht="19.5" customHeight="1"/>
    <row r="76" s="74" customFormat="1" ht="19.5" customHeight="1"/>
    <row r="77" s="74" customFormat="1" ht="19.5" customHeight="1"/>
    <row r="78" s="74" customFormat="1" ht="19.5" customHeight="1"/>
    <row r="79" s="74" customFormat="1" ht="19.5" customHeight="1"/>
    <row r="80" s="74" customFormat="1" ht="19.5" customHeight="1"/>
    <row r="81" s="74" customFormat="1" ht="19.5" customHeight="1"/>
    <row r="82" s="74" customFormat="1" ht="19.5" customHeight="1"/>
    <row r="83" s="74" customFormat="1" ht="19.5" customHeight="1"/>
    <row r="84" s="74" customFormat="1" ht="19.5" customHeight="1"/>
    <row r="85" s="28" customFormat="1" ht="19.5" customHeight="1"/>
    <row r="86" s="74" customFormat="1" ht="19.5" customHeight="1"/>
    <row r="87" s="74" customFormat="1" ht="19.5" customHeight="1"/>
    <row r="88" s="74" customFormat="1" ht="19.5" customHeight="1"/>
    <row r="89" s="74" customFormat="1" ht="19.5" customHeight="1"/>
    <row r="90" s="74" customFormat="1" ht="19.5" customHeight="1"/>
    <row r="91" s="74" customFormat="1" ht="19.5" customHeight="1"/>
    <row r="92" s="74" customFormat="1" ht="19.5" customHeight="1"/>
    <row r="93" s="74" customFormat="1" ht="19.5" customHeight="1"/>
    <row r="94" s="74" customFormat="1" ht="19.5" customHeight="1"/>
    <row r="95" s="74" customFormat="1" ht="19.5" customHeight="1"/>
    <row r="96" s="74" customFormat="1" ht="19.5" customHeight="1"/>
    <row r="97" s="74" customFormat="1" ht="19.5" customHeight="1"/>
    <row r="98" s="74" customFormat="1" ht="19.5" customHeight="1"/>
    <row r="99" s="74" customFormat="1" ht="19.5" customHeight="1"/>
    <row r="100" s="74" customFormat="1" ht="19.5" customHeight="1"/>
    <row r="101" s="74" customFormat="1" ht="19.5" customHeight="1"/>
    <row r="102" s="74" customFormat="1" ht="19.5" customHeight="1"/>
    <row r="103" s="74" customFormat="1" ht="19.5" customHeight="1"/>
    <row r="104" s="74" customFormat="1" ht="19.5" customHeight="1"/>
    <row r="105" s="74" customFormat="1" ht="19.5" customHeight="1"/>
    <row r="106" s="74" customFormat="1" ht="19.5" customHeight="1"/>
    <row r="107" s="74" customFormat="1" ht="19.5" customHeight="1"/>
    <row r="108" s="74" customFormat="1" ht="19.5" customHeight="1"/>
    <row r="109" s="74" customFormat="1" ht="19.5" customHeight="1"/>
    <row r="110" s="74" customFormat="1" ht="19.5" customHeight="1"/>
    <row r="111" s="74" customFormat="1" ht="19.5" customHeight="1"/>
    <row r="112" s="74" customFormat="1" ht="19.5" customHeight="1"/>
    <row r="113" s="74" customFormat="1" ht="19.5" customHeight="1"/>
    <row r="114" s="74" customFormat="1" ht="19.5" customHeight="1"/>
    <row r="115" s="74" customFormat="1" ht="19.5" customHeight="1"/>
    <row r="116" s="74" customFormat="1" ht="19.5" customHeight="1"/>
    <row r="117" s="74" customFormat="1" ht="19.5" customHeight="1"/>
    <row r="118" s="74" customFormat="1" ht="19.5" customHeight="1"/>
    <row r="119" s="74" customFormat="1" ht="19.5" customHeight="1"/>
    <row r="120" s="74" customFormat="1" ht="19.5" customHeight="1"/>
    <row r="121" s="74" customFormat="1" ht="19.5" customHeight="1"/>
    <row r="122" s="74" customFormat="1" ht="19.5" customHeight="1"/>
    <row r="123" s="74" customFormat="1" ht="19.5" customHeight="1"/>
    <row r="124" s="74" customFormat="1" ht="19.5" customHeight="1"/>
    <row r="125" s="74" customFormat="1" ht="19.5" customHeight="1"/>
    <row r="126" s="74" customFormat="1" ht="19.5" customHeight="1"/>
    <row r="127" s="74" customFormat="1" ht="19.5" customHeight="1"/>
    <row r="128" s="74" customFormat="1" ht="19.5" customHeight="1"/>
    <row r="129" s="74" customFormat="1" ht="19.5" customHeight="1"/>
    <row r="130" s="74" customFormat="1" ht="19.5" customHeight="1"/>
    <row r="131" s="74" customFormat="1" ht="19.5" customHeight="1"/>
    <row r="132" s="74" customFormat="1" ht="19.5" customHeight="1"/>
    <row r="133" s="74" customFormat="1" ht="19.5" customHeight="1"/>
    <row r="134" s="74" customFormat="1" ht="19.5" customHeight="1"/>
    <row r="135" s="74" customFormat="1" ht="19.5" customHeight="1"/>
    <row r="136" s="74" customFormat="1" ht="19.5" customHeight="1"/>
    <row r="137" s="74" customFormat="1" ht="19.5" customHeight="1"/>
    <row r="138" s="74" customFormat="1" ht="19.5" customHeight="1"/>
    <row r="139" s="74" customFormat="1" ht="19.5" customHeight="1"/>
    <row r="140" s="74" customFormat="1" ht="19.5" customHeight="1"/>
    <row r="141" s="74" customFormat="1" ht="19.5" customHeight="1"/>
    <row r="142" s="74" customFormat="1" ht="19.5" customHeight="1"/>
    <row r="143" s="74" customFormat="1" ht="19.5" customHeight="1"/>
    <row r="144" s="74" customFormat="1" ht="19.5" customHeight="1"/>
    <row r="145" s="74" customFormat="1" ht="19.5" customHeight="1"/>
    <row r="146" s="74" customFormat="1" ht="19.5" customHeight="1"/>
    <row r="147" s="74" customFormat="1" ht="19.5" customHeight="1"/>
    <row r="148" s="74" customFormat="1" ht="19.5" customHeight="1"/>
    <row r="149" s="74" customFormat="1" ht="19.5" customHeight="1"/>
    <row r="150" s="74" customFormat="1" ht="19.5" customHeight="1"/>
    <row r="151" s="74" customFormat="1" ht="19.5" customHeight="1"/>
    <row r="152" s="74" customFormat="1" ht="19.5" customHeight="1"/>
    <row r="153" s="74" customFormat="1" ht="19.5" customHeight="1"/>
    <row r="154" s="74" customFormat="1" ht="19.5" customHeight="1"/>
    <row r="155" s="74" customFormat="1" ht="19.5" customHeight="1"/>
    <row r="156" s="74" customFormat="1" ht="19.5" customHeight="1"/>
    <row r="157" s="74" customFormat="1" ht="19.5" customHeight="1"/>
    <row r="158" s="74" customFormat="1" ht="19.5" customHeight="1"/>
    <row r="159" s="74" customFormat="1" ht="19.5" customHeight="1"/>
    <row r="160" s="74" customFormat="1" ht="19.5" customHeight="1"/>
    <row r="161" s="74" customFormat="1" ht="19.5" customHeight="1"/>
    <row r="162" s="74" customFormat="1" ht="19.5" customHeight="1"/>
    <row r="163" s="74" customFormat="1" ht="19.5" customHeight="1"/>
    <row r="164" s="74" customFormat="1" ht="19.5" customHeight="1"/>
    <row r="165" s="74" customFormat="1" ht="19.5" customHeight="1"/>
    <row r="166" s="74" customFormat="1" ht="19.5" customHeight="1"/>
    <row r="167" s="74" customFormat="1" ht="19.5" customHeight="1"/>
    <row r="168" s="74" customFormat="1" ht="19.5" customHeight="1"/>
    <row r="169" s="74" customFormat="1" ht="19.5" customHeight="1"/>
    <row r="170" s="74" customFormat="1" ht="19.5" customHeight="1"/>
    <row r="171" s="74" customFormat="1" ht="19.5" customHeight="1"/>
    <row r="172" s="74" customFormat="1" ht="19.5" customHeight="1"/>
    <row r="173" s="74" customFormat="1" ht="19.5" customHeight="1"/>
    <row r="174" s="74" customFormat="1" ht="19.5" customHeight="1"/>
    <row r="175" s="74" customFormat="1" ht="19.5" customHeight="1"/>
    <row r="176" s="74" customFormat="1" ht="19.5" customHeight="1"/>
    <row r="177" s="74" customFormat="1" ht="19.5" customHeight="1"/>
    <row r="178" s="74" customFormat="1" ht="19.5" customHeight="1"/>
    <row r="179" s="74" customFormat="1" ht="19.5" customHeight="1"/>
    <row r="180" s="74" customFormat="1" ht="19.5" customHeight="1"/>
    <row r="181" s="74" customFormat="1" ht="19.5" customHeight="1"/>
    <row r="182" s="74" customFormat="1" ht="19.5" customHeight="1"/>
    <row r="183" s="74" customFormat="1" ht="19.5" customHeight="1"/>
    <row r="184" s="74" customFormat="1" ht="19.5" customHeight="1"/>
    <row r="185" s="74" customFormat="1" ht="19.5" customHeight="1"/>
    <row r="186" s="74" customFormat="1" ht="19.5" customHeight="1"/>
    <row r="187" s="74" customFormat="1" ht="19.5" customHeight="1"/>
    <row r="188" s="74" customFormat="1" ht="19.5" customHeight="1"/>
    <row r="189" s="74" customFormat="1" ht="19.5" customHeight="1"/>
    <row r="190" s="74" customFormat="1" ht="19.5" customHeight="1"/>
    <row r="191" s="74" customFormat="1" ht="19.5" customHeight="1"/>
    <row r="192" s="74" customFormat="1" ht="19.5" customHeight="1"/>
    <row r="193" s="74" customFormat="1" ht="19.5" customHeight="1"/>
    <row r="194" s="74" customFormat="1" ht="19.5" customHeight="1"/>
    <row r="195" s="74" customFormat="1" ht="19.5" customHeight="1"/>
    <row r="196" s="74" customFormat="1" ht="19.5" customHeight="1"/>
    <row r="197" s="74" customFormat="1" ht="19.5" customHeight="1"/>
    <row r="198" s="74" customFormat="1" ht="19.5" customHeight="1"/>
    <row r="199" s="74" customFormat="1" ht="19.5" customHeight="1"/>
    <row r="200" s="74" customFormat="1" ht="19.5" customHeight="1"/>
    <row r="201" s="74" customFormat="1" ht="19.5" customHeight="1"/>
    <row r="202" s="74" customFormat="1" ht="19.5" customHeight="1"/>
    <row r="203" s="74" customFormat="1" ht="19.5" customHeight="1"/>
    <row r="204" s="74" customFormat="1" ht="19.5" customHeight="1"/>
    <row r="205" s="74" customFormat="1" ht="19.5" customHeight="1"/>
    <row r="206" s="74" customFormat="1" ht="19.5" customHeight="1"/>
    <row r="207" s="74" customFormat="1" ht="19.5" customHeight="1"/>
    <row r="208" s="74" customFormat="1" ht="19.5" customHeight="1"/>
    <row r="209" s="74" customFormat="1" ht="19.5" customHeight="1"/>
    <row r="210" s="74" customFormat="1" ht="19.5" customHeight="1"/>
    <row r="211" s="74" customFormat="1" ht="19.5" customHeight="1"/>
    <row r="212" s="74" customFormat="1" ht="19.5" customHeight="1"/>
    <row r="213" s="74" customFormat="1" ht="19.5" customHeight="1"/>
    <row r="214" s="74" customFormat="1" ht="19.5" customHeight="1"/>
    <row r="215" s="74" customFormat="1" ht="19.5" customHeight="1"/>
    <row r="216" s="74" customFormat="1" ht="19.5" customHeight="1"/>
    <row r="217" s="74" customFormat="1" ht="19.5" customHeight="1"/>
    <row r="218" s="28" customFormat="1" ht="19.5" customHeight="1"/>
    <row r="219" s="28" customFormat="1" ht="19.5" customHeight="1"/>
    <row r="220" s="74" customFormat="1" ht="19.5" customHeight="1"/>
    <row r="221" s="74" customFormat="1" ht="19.5" customHeight="1"/>
    <row r="222" s="74" customFormat="1" ht="19.5" customHeight="1"/>
    <row r="223" s="74" customFormat="1" ht="19.5" customHeight="1"/>
    <row r="224" s="74" customFormat="1" ht="19.5" customHeight="1"/>
    <row r="225" s="74" customFormat="1" ht="19.5" customHeight="1"/>
    <row r="226" s="74" customFormat="1" ht="19.5" customHeight="1"/>
    <row r="227" s="74" customFormat="1" ht="19.5" customHeight="1"/>
    <row r="228" s="74" customFormat="1" ht="19.5" customHeight="1"/>
    <row r="229" s="74" customFormat="1" ht="19.5" customHeight="1"/>
    <row r="230" s="74" customFormat="1" ht="19.5" customHeight="1"/>
    <row r="231" s="74" customFormat="1" ht="19.5" customHeight="1"/>
    <row r="232" s="74" customFormat="1" ht="19.5" customHeight="1"/>
    <row r="233" s="74" customFormat="1" ht="19.5" customHeight="1"/>
    <row r="234" s="74" customFormat="1" ht="19.5" customHeight="1"/>
    <row r="235" s="74" customFormat="1" ht="19.5" customHeight="1"/>
    <row r="236" s="74" customFormat="1" ht="19.5" customHeight="1"/>
    <row r="237" s="74" customFormat="1" ht="19.5" customHeight="1"/>
    <row r="238" s="74" customFormat="1" ht="19.5" customHeight="1"/>
    <row r="239" s="74" customFormat="1" ht="19.5" customHeight="1"/>
    <row r="240" s="74" customFormat="1" ht="19.5" customHeight="1"/>
    <row r="241" spans="1:1" s="74" customFormat="1" ht="19.5" customHeight="1"/>
    <row r="242" spans="1:1" s="74" customFormat="1" ht="19.5" customHeight="1"/>
    <row r="243" spans="1:1" s="74" customFormat="1" ht="19.5" customHeight="1"/>
    <row r="244" spans="1:1" s="74" customFormat="1" ht="19.5" customHeight="1"/>
    <row r="245" spans="1:1" s="74" customFormat="1" ht="19.5" customHeight="1"/>
    <row r="246" spans="1:1" s="74" customFormat="1" ht="19.5" customHeight="1"/>
    <row r="247" spans="1:1" s="74" customFormat="1" ht="19.5" customHeight="1"/>
    <row r="248" spans="1:1" s="74" customFormat="1" ht="19.5" customHeight="1"/>
    <row r="249" spans="1:1" s="74" customFormat="1" ht="19.5" customHeight="1"/>
    <row r="250" spans="1:1" s="32" customFormat="1" ht="21" customHeight="1"/>
    <row r="251" spans="1:1" s="74" customFormat="1" ht="19.5" customHeight="1"/>
    <row r="252" spans="1:1" s="74" customFormat="1" ht="19.5" customHeight="1"/>
    <row r="253" spans="1:1" s="74" customFormat="1" ht="19.5" customHeight="1"/>
    <row r="254" spans="1:1" s="113" customFormat="1" ht="19.5" customHeight="1"/>
    <row r="255" spans="1:1" s="74" customFormat="1" ht="19.5" customHeight="1"/>
    <row r="256" spans="1:1" ht="19.5" customHeight="1">
      <c r="A256" s="73"/>
    </row>
    <row r="257" spans="1:1">
      <c r="A257" s="73"/>
    </row>
    <row r="258" spans="1:1">
      <c r="A258" s="73"/>
    </row>
    <row r="259" spans="1:1">
      <c r="A259" s="73"/>
    </row>
    <row r="260" spans="1:1">
      <c r="A260" s="73"/>
    </row>
    <row r="261" spans="1:1">
      <c r="A261" s="73"/>
    </row>
    <row r="262" spans="1:1">
      <c r="A262" s="73"/>
    </row>
    <row r="263" spans="1:1">
      <c r="A263" s="73"/>
    </row>
    <row r="264" spans="1:1">
      <c r="A264" s="73"/>
    </row>
    <row r="265" spans="1:1">
      <c r="A265" s="73"/>
    </row>
    <row r="266" spans="1:1">
      <c r="A266" s="73"/>
    </row>
    <row r="267" spans="1:1">
      <c r="A267" s="73"/>
    </row>
    <row r="268" spans="1:1">
      <c r="A268" s="73"/>
    </row>
    <row r="269" spans="1:1">
      <c r="A269" s="73"/>
    </row>
    <row r="270" spans="1:1">
      <c r="A270" s="73"/>
    </row>
    <row r="271" spans="1:1">
      <c r="A271" s="73"/>
    </row>
    <row r="272" spans="1:1">
      <c r="A272" s="73"/>
    </row>
    <row r="273" spans="1:1">
      <c r="A273" s="73"/>
    </row>
    <row r="274" spans="1:1">
      <c r="A274" s="73"/>
    </row>
    <row r="275" spans="1:1">
      <c r="A275" s="73"/>
    </row>
    <row r="276" spans="1:1">
      <c r="A276" s="73"/>
    </row>
    <row r="277" spans="1:1">
      <c r="A277" s="73"/>
    </row>
    <row r="278" spans="1:1">
      <c r="A278" s="73"/>
    </row>
    <row r="279" spans="1:1">
      <c r="A279" s="73"/>
    </row>
    <row r="280" spans="1:1">
      <c r="A280" s="73"/>
    </row>
    <row r="281" spans="1:1">
      <c r="A281" s="73"/>
    </row>
    <row r="282" spans="1:1">
      <c r="A282" s="73"/>
    </row>
    <row r="283" spans="1:1">
      <c r="A283" s="73"/>
    </row>
    <row r="284" spans="1:1">
      <c r="A284" s="73"/>
    </row>
    <row r="285" spans="1:1">
      <c r="A285" s="73"/>
    </row>
    <row r="286" spans="1:1">
      <c r="A286" s="73"/>
    </row>
    <row r="287" spans="1:1">
      <c r="A287" s="73"/>
    </row>
    <row r="288" spans="1:1">
      <c r="A288" s="73"/>
    </row>
    <row r="289" spans="1:1">
      <c r="A289" s="73"/>
    </row>
    <row r="290" spans="1:1">
      <c r="A290" s="73"/>
    </row>
    <row r="291" spans="1:1">
      <c r="A291" s="73"/>
    </row>
    <row r="292" spans="1:1">
      <c r="A292" s="73"/>
    </row>
    <row r="293" spans="1:1">
      <c r="A293" s="73"/>
    </row>
    <row r="294" spans="1:1">
      <c r="A294" s="73"/>
    </row>
    <row r="295" spans="1:1">
      <c r="A295" s="73"/>
    </row>
    <row r="296" spans="1:1">
      <c r="A296" s="73"/>
    </row>
    <row r="297" spans="1:1">
      <c r="A297" s="73"/>
    </row>
    <row r="298" spans="1:1">
      <c r="A298" s="73"/>
    </row>
    <row r="299" spans="1:1">
      <c r="A299" s="73"/>
    </row>
    <row r="300" spans="1:1">
      <c r="A300" s="73"/>
    </row>
    <row r="301" spans="1:1">
      <c r="A301" s="73"/>
    </row>
    <row r="302" spans="1:1">
      <c r="A302" s="73"/>
    </row>
    <row r="303" spans="1:1">
      <c r="A303" s="73"/>
    </row>
    <row r="304" spans="1:1">
      <c r="A304" s="73"/>
    </row>
    <row r="305" spans="1:1">
      <c r="A305" s="73"/>
    </row>
    <row r="306" spans="1:1">
      <c r="A306" s="73"/>
    </row>
    <row r="307" spans="1:1">
      <c r="A307" s="73"/>
    </row>
    <row r="308" spans="1:1">
      <c r="A308" s="73"/>
    </row>
    <row r="309" spans="1:1">
      <c r="A309" s="73"/>
    </row>
    <row r="310" spans="1:1">
      <c r="A310" s="73"/>
    </row>
    <row r="311" spans="1:1">
      <c r="A311" s="73"/>
    </row>
    <row r="312" spans="1:1">
      <c r="A312" s="73"/>
    </row>
    <row r="313" spans="1:1">
      <c r="A313" s="73"/>
    </row>
    <row r="314" spans="1:1">
      <c r="A314" s="73"/>
    </row>
    <row r="315" spans="1:1">
      <c r="A315" s="73"/>
    </row>
    <row r="316" spans="1:1">
      <c r="A316" s="73"/>
    </row>
    <row r="317" spans="1:1">
      <c r="A317" s="73"/>
    </row>
    <row r="318" spans="1:1">
      <c r="A318" s="73"/>
    </row>
    <row r="319" spans="1:1">
      <c r="A319" s="73"/>
    </row>
    <row r="320" spans="1:1">
      <c r="A320" s="73"/>
    </row>
    <row r="321" spans="1:1">
      <c r="A321" s="73"/>
    </row>
    <row r="322" spans="1:1">
      <c r="A322" s="73"/>
    </row>
    <row r="323" spans="1:1">
      <c r="A323" s="73"/>
    </row>
    <row r="324" spans="1:1">
      <c r="A324" s="73"/>
    </row>
    <row r="325" spans="1:1">
      <c r="A325" s="73"/>
    </row>
    <row r="326" spans="1:1">
      <c r="A326" s="73"/>
    </row>
    <row r="327" spans="1:1">
      <c r="A327" s="73"/>
    </row>
    <row r="328" spans="1:1">
      <c r="A328" s="73"/>
    </row>
    <row r="329" spans="1:1">
      <c r="A329" s="73"/>
    </row>
    <row r="330" spans="1:1">
      <c r="A330" s="73"/>
    </row>
    <row r="331" spans="1:1">
      <c r="A331" s="73"/>
    </row>
    <row r="332" spans="1:1">
      <c r="A332" s="73"/>
    </row>
    <row r="333" spans="1:1">
      <c r="A333" s="73"/>
    </row>
    <row r="334" spans="1:1">
      <c r="A334" s="73"/>
    </row>
    <row r="335" spans="1:1">
      <c r="A335" s="73"/>
    </row>
    <row r="336" spans="1:1">
      <c r="A336" s="73"/>
    </row>
    <row r="337" spans="1:1">
      <c r="A337" s="73"/>
    </row>
    <row r="338" spans="1:1">
      <c r="A338" s="73"/>
    </row>
  </sheetData>
  <autoFilter ref="A6:V269"/>
  <mergeCells count="11">
    <mergeCell ref="A55:B55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1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6.28515625" style="18" customWidth="1"/>
    <col min="3" max="3" width="7" style="18" customWidth="1"/>
    <col min="4" max="4" width="5.5703125" style="18" customWidth="1"/>
    <col min="5" max="5" width="9.5703125" style="18" customWidth="1"/>
    <col min="6" max="6" width="8.140625" style="18" customWidth="1"/>
    <col min="7" max="7" width="8.140625" style="73" customWidth="1"/>
    <col min="8" max="8" width="9.85546875" style="18" customWidth="1"/>
    <col min="9" max="10" width="6.85546875" style="18" customWidth="1"/>
    <col min="11" max="11" width="8.42578125" style="18" customWidth="1"/>
    <col min="12" max="12" width="7.85546875" style="18" customWidth="1"/>
    <col min="13" max="13" width="7" style="18" customWidth="1"/>
    <col min="14" max="14" width="6.5703125" style="18" customWidth="1"/>
    <col min="15" max="15" width="10.140625" style="18" customWidth="1"/>
    <col min="16" max="16" width="9.85546875" style="18" customWidth="1"/>
    <col min="17" max="17" width="9.42578125" style="18" customWidth="1"/>
    <col min="18" max="18" width="8.42578125" style="18" customWidth="1"/>
    <col min="19" max="20" width="10" style="18" customWidth="1"/>
    <col min="21" max="21" width="9" style="18" customWidth="1"/>
    <col min="22" max="16384" width="9.140625" style="18"/>
  </cols>
  <sheetData>
    <row r="1" spans="1:21" ht="21.75" customHeight="1">
      <c r="A1" s="158" t="s">
        <v>239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U3" s="20" t="s">
        <v>20</v>
      </c>
    </row>
    <row r="4" spans="1:21" ht="18" customHeight="1">
      <c r="A4" s="160" t="s">
        <v>0</v>
      </c>
      <c r="B4" s="160" t="s">
        <v>18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18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84" customHeight="1">
      <c r="A6" s="160"/>
      <c r="B6" s="160"/>
      <c r="C6" s="59" t="s">
        <v>2</v>
      </c>
      <c r="D6" s="59" t="s">
        <v>3</v>
      </c>
      <c r="E6" s="57" t="s">
        <v>184</v>
      </c>
      <c r="F6" s="57" t="s">
        <v>185</v>
      </c>
      <c r="G6" s="115" t="s">
        <v>19</v>
      </c>
      <c r="H6" s="170"/>
      <c r="I6" s="57" t="s">
        <v>7</v>
      </c>
      <c r="J6" s="57" t="s">
        <v>8</v>
      </c>
      <c r="K6" s="57" t="s">
        <v>9</v>
      </c>
      <c r="L6" s="57" t="s">
        <v>10</v>
      </c>
      <c r="M6" s="57" t="s">
        <v>11</v>
      </c>
      <c r="N6" s="57" t="s">
        <v>12</v>
      </c>
      <c r="O6" s="57" t="s">
        <v>13</v>
      </c>
      <c r="P6" s="57" t="s">
        <v>14</v>
      </c>
      <c r="Q6" s="57" t="s">
        <v>15</v>
      </c>
      <c r="R6" s="57" t="s">
        <v>17</v>
      </c>
      <c r="S6" s="57" t="s">
        <v>16</v>
      </c>
      <c r="T6" s="57" t="s">
        <v>186</v>
      </c>
      <c r="U6" s="172"/>
    </row>
    <row r="7" spans="1:21" s="23" customFormat="1" ht="19.5" customHeight="1">
      <c r="A7" s="29">
        <v>1</v>
      </c>
      <c r="B7" s="49" t="s">
        <v>240</v>
      </c>
      <c r="C7" s="71">
        <v>11</v>
      </c>
      <c r="D7" s="71">
        <v>11</v>
      </c>
      <c r="E7" s="17">
        <v>1496.74</v>
      </c>
      <c r="F7" s="17">
        <v>167.47499999999999</v>
      </c>
      <c r="G7" s="17">
        <f>E7+F7</f>
        <v>1664.2149999999999</v>
      </c>
      <c r="H7" s="17">
        <v>1450</v>
      </c>
      <c r="I7" s="17"/>
      <c r="J7" s="25">
        <v>7.4429999999999996</v>
      </c>
      <c r="K7" s="25">
        <v>8.8539999999999992</v>
      </c>
      <c r="L7" s="17">
        <v>1.8149999999999999</v>
      </c>
      <c r="M7" s="25">
        <v>13.548999999999999</v>
      </c>
      <c r="N7" s="17">
        <v>18</v>
      </c>
      <c r="O7" s="17">
        <v>24.75</v>
      </c>
      <c r="P7" s="25">
        <f>5.909+26.608</f>
        <v>32.517000000000003</v>
      </c>
      <c r="Q7" s="17">
        <v>26</v>
      </c>
      <c r="R7" s="17"/>
      <c r="S7" s="17">
        <f>20.466+2.05+11.494</f>
        <v>34.010000000000005</v>
      </c>
      <c r="T7" s="17">
        <f>SUM(I7:S7)</f>
        <v>166.93799999999999</v>
      </c>
      <c r="U7" s="31">
        <f>T7+H7</f>
        <v>1616.9380000000001</v>
      </c>
    </row>
    <row r="8" spans="1:21" s="23" customFormat="1" ht="19.5" customHeight="1">
      <c r="A8" s="29">
        <v>2</v>
      </c>
      <c r="B8" s="49" t="s">
        <v>241</v>
      </c>
      <c r="C8" s="71">
        <v>18</v>
      </c>
      <c r="D8" s="71">
        <v>18</v>
      </c>
      <c r="E8" s="17">
        <v>2291.4589999999998</v>
      </c>
      <c r="F8" s="17">
        <v>274.05</v>
      </c>
      <c r="G8" s="17">
        <f t="shared" ref="G8:G48" si="0">E8+F8</f>
        <v>2565.509</v>
      </c>
      <c r="H8" s="17">
        <v>2170.9360000000001</v>
      </c>
      <c r="I8" s="17">
        <v>65</v>
      </c>
      <c r="J8" s="17">
        <v>15.941000000000001</v>
      </c>
      <c r="K8" s="17">
        <v>8.1170000000000009</v>
      </c>
      <c r="L8" s="17">
        <v>11.798999999999999</v>
      </c>
      <c r="M8" s="17">
        <v>13.813000000000001</v>
      </c>
      <c r="N8" s="17">
        <v>37</v>
      </c>
      <c r="O8" s="17">
        <v>24.033999999999999</v>
      </c>
      <c r="P8" s="17"/>
      <c r="Q8" s="17">
        <v>62.137999999999998</v>
      </c>
      <c r="R8" s="17"/>
      <c r="S8" s="17">
        <v>35.585999999999999</v>
      </c>
      <c r="T8" s="17">
        <f t="shared" ref="T8:T48" si="1">SUM(I8:S8)</f>
        <v>273.428</v>
      </c>
      <c r="U8" s="31">
        <f t="shared" ref="U8:U48" si="2">T8+H8</f>
        <v>2444.364</v>
      </c>
    </row>
    <row r="9" spans="1:21" s="23" customFormat="1" ht="19.5" customHeight="1">
      <c r="A9" s="29">
        <v>3</v>
      </c>
      <c r="B9" s="49" t="s">
        <v>242</v>
      </c>
      <c r="C9" s="71">
        <v>13</v>
      </c>
      <c r="D9" s="71">
        <v>12</v>
      </c>
      <c r="E9" s="17">
        <v>1618.1786</v>
      </c>
      <c r="F9" s="17">
        <v>197.92500000000001</v>
      </c>
      <c r="G9" s="17">
        <f t="shared" si="0"/>
        <v>1816.1035999999999</v>
      </c>
      <c r="H9" s="17">
        <v>1616</v>
      </c>
      <c r="I9" s="17"/>
      <c r="J9" s="17">
        <v>10</v>
      </c>
      <c r="K9" s="17">
        <v>11</v>
      </c>
      <c r="L9" s="17">
        <v>4</v>
      </c>
      <c r="M9" s="17">
        <v>12</v>
      </c>
      <c r="N9" s="17">
        <v>24</v>
      </c>
      <c r="O9" s="17">
        <v>8</v>
      </c>
      <c r="P9" s="17">
        <v>40</v>
      </c>
      <c r="Q9" s="17">
        <v>60</v>
      </c>
      <c r="R9" s="17"/>
      <c r="S9" s="17">
        <v>28</v>
      </c>
      <c r="T9" s="17">
        <f t="shared" si="1"/>
        <v>197</v>
      </c>
      <c r="U9" s="31">
        <f t="shared" si="2"/>
        <v>1813</v>
      </c>
    </row>
    <row r="10" spans="1:21" s="23" customFormat="1" ht="19.5" customHeight="1">
      <c r="A10" s="29">
        <v>4</v>
      </c>
      <c r="B10" s="49" t="s">
        <v>243</v>
      </c>
      <c r="C10" s="71">
        <v>11</v>
      </c>
      <c r="D10" s="71">
        <v>11</v>
      </c>
      <c r="E10" s="17">
        <v>1540.759</v>
      </c>
      <c r="F10" s="17">
        <v>167.47499999999999</v>
      </c>
      <c r="G10" s="17">
        <f t="shared" si="0"/>
        <v>1708.2339999999999</v>
      </c>
      <c r="H10" s="17">
        <v>1534.2080550000001</v>
      </c>
      <c r="I10" s="17"/>
      <c r="J10" s="17">
        <v>8.9826920000000001</v>
      </c>
      <c r="K10" s="17">
        <v>35</v>
      </c>
      <c r="L10" s="17">
        <v>1.58195</v>
      </c>
      <c r="M10" s="17">
        <v>16.477499999999999</v>
      </c>
      <c r="N10" s="17">
        <v>16.68</v>
      </c>
      <c r="O10" s="17">
        <v>33</v>
      </c>
      <c r="P10" s="17">
        <v>6</v>
      </c>
      <c r="Q10" s="17">
        <v>25</v>
      </c>
      <c r="R10" s="17"/>
      <c r="S10" s="17">
        <v>24</v>
      </c>
      <c r="T10" s="17">
        <f t="shared" si="1"/>
        <v>166.72214199999999</v>
      </c>
      <c r="U10" s="31">
        <f t="shared" si="2"/>
        <v>1700.9301970000001</v>
      </c>
    </row>
    <row r="11" spans="1:21" s="23" customFormat="1" ht="19.5" customHeight="1">
      <c r="A11" s="29">
        <v>5</v>
      </c>
      <c r="B11" s="49" t="s">
        <v>244</v>
      </c>
      <c r="C11" s="71">
        <v>17</v>
      </c>
      <c r="D11" s="71">
        <v>17</v>
      </c>
      <c r="E11" s="17">
        <v>2171.2049999999999</v>
      </c>
      <c r="F11" s="17">
        <v>258.82499999999999</v>
      </c>
      <c r="G11" s="17">
        <f t="shared" si="0"/>
        <v>2430.0299999999997</v>
      </c>
      <c r="H11" s="17">
        <v>2170.4934669999998</v>
      </c>
      <c r="I11" s="17"/>
      <c r="J11" s="17">
        <v>6.539752</v>
      </c>
      <c r="K11" s="17">
        <v>77</v>
      </c>
      <c r="L11" s="17">
        <v>1.787032</v>
      </c>
      <c r="M11" s="17">
        <v>14.746</v>
      </c>
      <c r="N11" s="17">
        <v>30</v>
      </c>
      <c r="O11" s="17">
        <v>17.568000000000001</v>
      </c>
      <c r="P11" s="17">
        <v>14</v>
      </c>
      <c r="Q11" s="17">
        <v>52.044159999999998</v>
      </c>
      <c r="R11" s="17"/>
      <c r="S11" s="17">
        <v>44.664250000000003</v>
      </c>
      <c r="T11" s="17">
        <f t="shared" si="1"/>
        <v>258.34919400000001</v>
      </c>
      <c r="U11" s="31">
        <f t="shared" si="2"/>
        <v>2428.8426609999997</v>
      </c>
    </row>
    <row r="12" spans="1:21" s="23" customFormat="1" ht="19.5" customHeight="1">
      <c r="A12" s="29">
        <v>6</v>
      </c>
      <c r="B12" s="49" t="s">
        <v>245</v>
      </c>
      <c r="C12" s="71">
        <v>13</v>
      </c>
      <c r="D12" s="71">
        <v>13</v>
      </c>
      <c r="E12" s="17">
        <v>1644.1690000000001</v>
      </c>
      <c r="F12" s="17">
        <v>197.92500000000001</v>
      </c>
      <c r="G12" s="17">
        <f t="shared" si="0"/>
        <v>1842.0940000000001</v>
      </c>
      <c r="H12" s="17">
        <v>1643.5294249999999</v>
      </c>
      <c r="I12" s="17">
        <v>2.88</v>
      </c>
      <c r="J12" s="17">
        <v>12.265237000000001</v>
      </c>
      <c r="K12" s="17">
        <v>33.174999999999997</v>
      </c>
      <c r="L12" s="17">
        <v>2.7810000000000001</v>
      </c>
      <c r="M12" s="17">
        <v>4.2300000000000004</v>
      </c>
      <c r="N12" s="17">
        <v>21.6</v>
      </c>
      <c r="O12" s="17">
        <v>19.420000000000002</v>
      </c>
      <c r="P12" s="17">
        <v>23</v>
      </c>
      <c r="Q12" s="17">
        <v>45</v>
      </c>
      <c r="R12" s="17"/>
      <c r="S12" s="17">
        <v>33</v>
      </c>
      <c r="T12" s="17">
        <f t="shared" si="1"/>
        <v>197.35123700000003</v>
      </c>
      <c r="U12" s="31">
        <f t="shared" si="2"/>
        <v>1840.880662</v>
      </c>
    </row>
    <row r="13" spans="1:21" s="23" customFormat="1" ht="19.5" customHeight="1">
      <c r="A13" s="29">
        <v>7</v>
      </c>
      <c r="B13" s="49" t="s">
        <v>246</v>
      </c>
      <c r="C13" s="71">
        <v>23</v>
      </c>
      <c r="D13" s="71">
        <v>22</v>
      </c>
      <c r="E13" s="17">
        <v>2452.297</v>
      </c>
      <c r="F13" s="17">
        <v>350.17500000000001</v>
      </c>
      <c r="G13" s="17">
        <f t="shared" si="0"/>
        <v>2802.4720000000002</v>
      </c>
      <c r="H13" s="17">
        <v>2423.516873</v>
      </c>
      <c r="I13" s="17"/>
      <c r="J13" s="17">
        <v>8.7946000000000009</v>
      </c>
      <c r="K13" s="17">
        <v>104.21250000000001</v>
      </c>
      <c r="L13" s="17">
        <v>9.0997000000000003</v>
      </c>
      <c r="M13" s="17">
        <v>28.297999999999998</v>
      </c>
      <c r="N13" s="17">
        <v>35.799999999999997</v>
      </c>
      <c r="O13" s="17">
        <v>28</v>
      </c>
      <c r="P13" s="17">
        <v>22.015999999999998</v>
      </c>
      <c r="Q13" s="17">
        <v>68</v>
      </c>
      <c r="R13" s="17"/>
      <c r="S13" s="17">
        <v>45</v>
      </c>
      <c r="T13" s="17">
        <f t="shared" si="1"/>
        <v>349.22079999999994</v>
      </c>
      <c r="U13" s="31">
        <f t="shared" si="2"/>
        <v>2772.7376730000001</v>
      </c>
    </row>
    <row r="14" spans="1:21" s="23" customFormat="1" ht="19.5" customHeight="1">
      <c r="A14" s="29">
        <v>8</v>
      </c>
      <c r="B14" s="49" t="s">
        <v>247</v>
      </c>
      <c r="C14" s="71">
        <v>13</v>
      </c>
      <c r="D14" s="71">
        <v>13</v>
      </c>
      <c r="E14" s="17">
        <v>1833.864</v>
      </c>
      <c r="F14" s="17">
        <v>197.92500000000001</v>
      </c>
      <c r="G14" s="17">
        <f t="shared" si="0"/>
        <v>2031.789</v>
      </c>
      <c r="H14" s="17">
        <v>1767.9891</v>
      </c>
      <c r="I14" s="17"/>
      <c r="J14" s="17">
        <v>19.9239</v>
      </c>
      <c r="K14" s="17">
        <v>4.9249999999999998</v>
      </c>
      <c r="L14" s="17">
        <v>2.0358999999999998</v>
      </c>
      <c r="M14" s="17">
        <v>8.9290000000000003</v>
      </c>
      <c r="N14" s="17">
        <v>43.345999999999997</v>
      </c>
      <c r="O14" s="17">
        <v>8.24</v>
      </c>
      <c r="P14" s="17">
        <v>14.6</v>
      </c>
      <c r="Q14" s="17">
        <v>49</v>
      </c>
      <c r="R14" s="17"/>
      <c r="S14" s="17">
        <v>45.927599999999998</v>
      </c>
      <c r="T14" s="17">
        <f t="shared" si="1"/>
        <v>196.92739999999998</v>
      </c>
      <c r="U14" s="31">
        <f t="shared" si="2"/>
        <v>1964.9165</v>
      </c>
    </row>
    <row r="15" spans="1:21" s="23" customFormat="1" ht="19.5" customHeight="1">
      <c r="A15" s="29">
        <v>9</v>
      </c>
      <c r="B15" s="49" t="s">
        <v>248</v>
      </c>
      <c r="C15" s="71">
        <v>35</v>
      </c>
      <c r="D15" s="71">
        <v>34</v>
      </c>
      <c r="E15" s="17">
        <v>3739.1316000000002</v>
      </c>
      <c r="F15" s="17">
        <v>532.85599999999999</v>
      </c>
      <c r="G15" s="17">
        <f t="shared" si="0"/>
        <v>4271.9876000000004</v>
      </c>
      <c r="H15" s="17">
        <v>3532.4744430000001</v>
      </c>
      <c r="I15" s="17"/>
      <c r="J15" s="17">
        <v>62.424180999999997</v>
      </c>
      <c r="K15" s="17">
        <v>135.32</v>
      </c>
      <c r="L15" s="17">
        <v>11.729177999999999</v>
      </c>
      <c r="M15" s="17">
        <v>27.251818</v>
      </c>
      <c r="N15" s="17">
        <v>83.944999999999993</v>
      </c>
      <c r="O15" s="17">
        <v>76.521015000000006</v>
      </c>
      <c r="P15" s="17">
        <v>24.03</v>
      </c>
      <c r="Q15" s="17">
        <v>36.628</v>
      </c>
      <c r="R15" s="17"/>
      <c r="S15" s="17">
        <v>74</v>
      </c>
      <c r="T15" s="17">
        <f t="shared" si="1"/>
        <v>531.8491919999999</v>
      </c>
      <c r="U15" s="31">
        <f t="shared" si="2"/>
        <v>4064.3236349999997</v>
      </c>
    </row>
    <row r="16" spans="1:21" s="23" customFormat="1" ht="19.5" customHeight="1">
      <c r="A16" s="29">
        <v>10</v>
      </c>
      <c r="B16" s="49" t="s">
        <v>249</v>
      </c>
      <c r="C16" s="71">
        <v>21</v>
      </c>
      <c r="D16" s="71">
        <v>21</v>
      </c>
      <c r="E16" s="17">
        <v>3341.462</v>
      </c>
      <c r="F16" s="17">
        <v>319.72500000000002</v>
      </c>
      <c r="G16" s="17">
        <f t="shared" si="0"/>
        <v>3661.1869999999999</v>
      </c>
      <c r="H16" s="17">
        <v>3013.848</v>
      </c>
      <c r="I16" s="17">
        <v>57.15</v>
      </c>
      <c r="J16" s="17">
        <v>14.675000000000001</v>
      </c>
      <c r="K16" s="17">
        <v>4.6689999999999996</v>
      </c>
      <c r="L16" s="17">
        <v>4.9290000000000003</v>
      </c>
      <c r="M16" s="17">
        <v>16.22</v>
      </c>
      <c r="N16" s="17">
        <v>35.5</v>
      </c>
      <c r="O16" s="17">
        <v>23</v>
      </c>
      <c r="P16" s="17">
        <v>30</v>
      </c>
      <c r="Q16" s="17">
        <v>77</v>
      </c>
      <c r="R16" s="17"/>
      <c r="S16" s="17">
        <v>56</v>
      </c>
      <c r="T16" s="17">
        <f t="shared" si="1"/>
        <v>319.14300000000003</v>
      </c>
      <c r="U16" s="31">
        <f t="shared" si="2"/>
        <v>3332.991</v>
      </c>
    </row>
    <row r="17" spans="1:21" s="23" customFormat="1" ht="19.5" customHeight="1">
      <c r="A17" s="29">
        <v>11</v>
      </c>
      <c r="B17" s="49" t="s">
        <v>250</v>
      </c>
      <c r="C17" s="71">
        <v>14</v>
      </c>
      <c r="D17" s="71">
        <v>14</v>
      </c>
      <c r="E17" s="17">
        <v>1671.5940000000001</v>
      </c>
      <c r="F17" s="17">
        <v>213.15</v>
      </c>
      <c r="G17" s="17">
        <f t="shared" si="0"/>
        <v>1884.7440000000001</v>
      </c>
      <c r="H17" s="17">
        <v>1581</v>
      </c>
      <c r="I17" s="17"/>
      <c r="J17" s="17">
        <v>8</v>
      </c>
      <c r="K17" s="17">
        <v>12</v>
      </c>
      <c r="L17" s="17">
        <v>1.8</v>
      </c>
      <c r="M17" s="17">
        <v>18</v>
      </c>
      <c r="N17" s="17">
        <v>38</v>
      </c>
      <c r="O17" s="17">
        <v>34</v>
      </c>
      <c r="P17" s="17">
        <v>39</v>
      </c>
      <c r="Q17" s="17">
        <v>44</v>
      </c>
      <c r="R17" s="17"/>
      <c r="S17" s="17">
        <v>15</v>
      </c>
      <c r="T17" s="17">
        <f t="shared" si="1"/>
        <v>209.8</v>
      </c>
      <c r="U17" s="31">
        <f t="shared" si="2"/>
        <v>1790.8</v>
      </c>
    </row>
    <row r="18" spans="1:21" s="23" customFormat="1" ht="19.5" customHeight="1">
      <c r="A18" s="29">
        <v>12</v>
      </c>
      <c r="B18" s="49" t="s">
        <v>251</v>
      </c>
      <c r="C18" s="71">
        <v>12</v>
      </c>
      <c r="D18" s="71">
        <v>12</v>
      </c>
      <c r="E18" s="17">
        <v>1704.595</v>
      </c>
      <c r="F18" s="17">
        <v>182.7</v>
      </c>
      <c r="G18" s="17">
        <f t="shared" si="0"/>
        <v>1887.2950000000001</v>
      </c>
      <c r="H18" s="17">
        <v>1688</v>
      </c>
      <c r="I18" s="17"/>
      <c r="J18" s="17">
        <v>9</v>
      </c>
      <c r="K18" s="17">
        <v>13</v>
      </c>
      <c r="L18" s="17">
        <v>6</v>
      </c>
      <c r="M18" s="17">
        <v>17</v>
      </c>
      <c r="N18" s="17">
        <v>18</v>
      </c>
      <c r="O18" s="17">
        <v>16</v>
      </c>
      <c r="P18" s="17">
        <v>25</v>
      </c>
      <c r="Q18" s="17">
        <v>42</v>
      </c>
      <c r="R18" s="17"/>
      <c r="S18" s="17">
        <v>36</v>
      </c>
      <c r="T18" s="17">
        <f t="shared" si="1"/>
        <v>182</v>
      </c>
      <c r="U18" s="31">
        <f t="shared" si="2"/>
        <v>1870</v>
      </c>
    </row>
    <row r="19" spans="1:21" s="23" customFormat="1" ht="19.5" customHeight="1">
      <c r="A19" s="29">
        <v>13</v>
      </c>
      <c r="B19" s="49" t="s">
        <v>252</v>
      </c>
      <c r="C19" s="71">
        <v>13</v>
      </c>
      <c r="D19" s="71">
        <v>13</v>
      </c>
      <c r="E19" s="17">
        <v>1973.614</v>
      </c>
      <c r="F19" s="17">
        <v>197.92500000000001</v>
      </c>
      <c r="G19" s="17">
        <f t="shared" si="0"/>
        <v>2171.5390000000002</v>
      </c>
      <c r="H19" s="17">
        <v>1582</v>
      </c>
      <c r="I19" s="17"/>
      <c r="J19" s="17">
        <v>8</v>
      </c>
      <c r="K19" s="17">
        <v>19</v>
      </c>
      <c r="L19" s="17">
        <v>5</v>
      </c>
      <c r="M19" s="17">
        <v>21</v>
      </c>
      <c r="N19" s="17">
        <v>24</v>
      </c>
      <c r="O19" s="17">
        <v>20</v>
      </c>
      <c r="P19" s="17">
        <v>23</v>
      </c>
      <c r="Q19" s="17">
        <v>53</v>
      </c>
      <c r="R19" s="17"/>
      <c r="S19" s="17">
        <v>24</v>
      </c>
      <c r="T19" s="17">
        <f t="shared" si="1"/>
        <v>197</v>
      </c>
      <c r="U19" s="31">
        <f t="shared" si="2"/>
        <v>1779</v>
      </c>
    </row>
    <row r="20" spans="1:21" s="23" customFormat="1" ht="19.5" customHeight="1">
      <c r="A20" s="29">
        <v>14</v>
      </c>
      <c r="B20" s="49" t="s">
        <v>253</v>
      </c>
      <c r="C20" s="71">
        <v>11</v>
      </c>
      <c r="D20" s="71">
        <v>11</v>
      </c>
      <c r="E20" s="17">
        <v>1439.703</v>
      </c>
      <c r="F20" s="17">
        <v>167.47499999999999</v>
      </c>
      <c r="G20" s="17">
        <f t="shared" si="0"/>
        <v>1607.1779999999999</v>
      </c>
      <c r="H20" s="17">
        <v>1438.4580000000001</v>
      </c>
      <c r="I20" s="17">
        <v>34.020000000000003</v>
      </c>
      <c r="J20" s="17">
        <v>8.17</v>
      </c>
      <c r="K20" s="17">
        <v>4.2089999999999996</v>
      </c>
      <c r="L20" s="17">
        <v>3.57</v>
      </c>
      <c r="M20" s="17">
        <v>11.170999999999999</v>
      </c>
      <c r="N20" s="17">
        <v>22</v>
      </c>
      <c r="O20" s="17">
        <v>3.52</v>
      </c>
      <c r="P20" s="17">
        <v>3</v>
      </c>
      <c r="Q20" s="17">
        <v>36.159999999999997</v>
      </c>
      <c r="R20" s="17"/>
      <c r="S20" s="17">
        <v>35</v>
      </c>
      <c r="T20" s="17">
        <f t="shared" si="1"/>
        <v>160.82</v>
      </c>
      <c r="U20" s="31">
        <f t="shared" si="2"/>
        <v>1599.278</v>
      </c>
    </row>
    <row r="21" spans="1:21" s="23" customFormat="1" ht="19.5" customHeight="1">
      <c r="A21" s="29">
        <v>15</v>
      </c>
      <c r="B21" s="49" t="s">
        <v>254</v>
      </c>
      <c r="C21" s="71">
        <v>25</v>
      </c>
      <c r="D21" s="71">
        <v>25</v>
      </c>
      <c r="E21" s="17">
        <v>3429.2179999999998</v>
      </c>
      <c r="F21" s="17">
        <v>380.625</v>
      </c>
      <c r="G21" s="17">
        <f t="shared" si="0"/>
        <v>3809.8429999999998</v>
      </c>
      <c r="H21" s="17">
        <v>3256.31</v>
      </c>
      <c r="I21" s="17">
        <v>6.67</v>
      </c>
      <c r="J21" s="17">
        <v>15.427004999999999</v>
      </c>
      <c r="K21" s="17">
        <v>138</v>
      </c>
      <c r="L21" s="17">
        <v>10.294530999999999</v>
      </c>
      <c r="M21" s="17">
        <v>22.003679999999999</v>
      </c>
      <c r="N21" s="17">
        <v>49.219000000000001</v>
      </c>
      <c r="O21" s="17">
        <v>22.93</v>
      </c>
      <c r="P21" s="17">
        <v>27.087</v>
      </c>
      <c r="Q21" s="17">
        <v>66.641999999999996</v>
      </c>
      <c r="R21" s="17"/>
      <c r="S21" s="17">
        <v>19.779</v>
      </c>
      <c r="T21" s="17">
        <f t="shared" si="1"/>
        <v>378.05221599999999</v>
      </c>
      <c r="U21" s="31">
        <f t="shared" si="2"/>
        <v>3634.362216</v>
      </c>
    </row>
    <row r="22" spans="1:21" s="23" customFormat="1" ht="19.5" customHeight="1">
      <c r="A22" s="29">
        <v>16</v>
      </c>
      <c r="B22" s="49" t="s">
        <v>255</v>
      </c>
      <c r="C22" s="71">
        <v>25</v>
      </c>
      <c r="D22" s="71">
        <v>25</v>
      </c>
      <c r="E22" s="17">
        <v>2860.681</v>
      </c>
      <c r="F22" s="17">
        <v>380.625</v>
      </c>
      <c r="G22" s="17">
        <f t="shared" si="0"/>
        <v>3241.306</v>
      </c>
      <c r="H22" s="17">
        <v>2651.7109999999998</v>
      </c>
      <c r="I22" s="17">
        <v>41.039000000000001</v>
      </c>
      <c r="J22" s="17">
        <v>9.5709999999999997</v>
      </c>
      <c r="K22" s="17">
        <v>10.435</v>
      </c>
      <c r="L22" s="17">
        <v>13.247999999999999</v>
      </c>
      <c r="M22" s="17">
        <v>15.519</v>
      </c>
      <c r="N22" s="17">
        <v>96.159000000000006</v>
      </c>
      <c r="O22" s="17">
        <v>24.431000000000001</v>
      </c>
      <c r="P22" s="17">
        <v>5.9089999999999998</v>
      </c>
      <c r="Q22" s="17">
        <v>98</v>
      </c>
      <c r="R22" s="17"/>
      <c r="S22" s="17">
        <v>59.314</v>
      </c>
      <c r="T22" s="17">
        <f t="shared" si="1"/>
        <v>373.62500000000006</v>
      </c>
      <c r="U22" s="31">
        <f t="shared" si="2"/>
        <v>3025.3359999999998</v>
      </c>
    </row>
    <row r="23" spans="1:21" s="23" customFormat="1" ht="19.5" customHeight="1">
      <c r="A23" s="29">
        <v>17</v>
      </c>
      <c r="B23" s="49" t="s">
        <v>256</v>
      </c>
      <c r="C23" s="71">
        <v>15</v>
      </c>
      <c r="D23" s="71">
        <v>15</v>
      </c>
      <c r="E23" s="17">
        <v>2059.154</v>
      </c>
      <c r="F23" s="17">
        <v>228.375</v>
      </c>
      <c r="G23" s="17">
        <f t="shared" si="0"/>
        <v>2287.529</v>
      </c>
      <c r="H23" s="17">
        <v>2001.912</v>
      </c>
      <c r="I23" s="17"/>
      <c r="J23" s="17">
        <v>14.731999999999999</v>
      </c>
      <c r="K23" s="17">
        <v>22.36</v>
      </c>
      <c r="L23" s="17">
        <v>1.6759999999999999</v>
      </c>
      <c r="M23" s="17">
        <v>21.698</v>
      </c>
      <c r="N23" s="17">
        <v>42.93</v>
      </c>
      <c r="O23" s="17">
        <v>15.96</v>
      </c>
      <c r="P23" s="17">
        <v>3</v>
      </c>
      <c r="Q23" s="17">
        <v>75.325999999999993</v>
      </c>
      <c r="R23" s="17"/>
      <c r="S23" s="17">
        <v>22.797999999999998</v>
      </c>
      <c r="T23" s="17">
        <f t="shared" si="1"/>
        <v>220.48</v>
      </c>
      <c r="U23" s="31">
        <f t="shared" si="2"/>
        <v>2222.3919999999998</v>
      </c>
    </row>
    <row r="24" spans="1:21" s="23" customFormat="1" ht="19.5" customHeight="1">
      <c r="A24" s="29">
        <v>18</v>
      </c>
      <c r="B24" s="49" t="s">
        <v>257</v>
      </c>
      <c r="C24" s="71">
        <v>13</v>
      </c>
      <c r="D24" s="71">
        <v>13</v>
      </c>
      <c r="E24" s="17">
        <v>1656.5029999999999</v>
      </c>
      <c r="F24" s="17">
        <v>197.92500000000001</v>
      </c>
      <c r="G24" s="17">
        <f t="shared" si="0"/>
        <v>1854.4279999999999</v>
      </c>
      <c r="H24" s="17">
        <v>1654.722</v>
      </c>
      <c r="I24" s="17">
        <v>56.215000000000003</v>
      </c>
      <c r="J24" s="17">
        <v>8.2989999999999995</v>
      </c>
      <c r="K24" s="17">
        <v>10.395</v>
      </c>
      <c r="L24" s="17">
        <v>8.2520000000000007</v>
      </c>
      <c r="M24" s="17">
        <v>11.14</v>
      </c>
      <c r="N24" s="17">
        <v>28</v>
      </c>
      <c r="O24" s="17">
        <v>24</v>
      </c>
      <c r="P24" s="17">
        <v>17.96</v>
      </c>
      <c r="Q24" s="17">
        <v>7.1280000000000001</v>
      </c>
      <c r="R24" s="17"/>
      <c r="S24" s="17">
        <v>26.513000000000002</v>
      </c>
      <c r="T24" s="17">
        <f t="shared" si="1"/>
        <v>197.90200000000002</v>
      </c>
      <c r="U24" s="31">
        <f t="shared" si="2"/>
        <v>1852.624</v>
      </c>
    </row>
    <row r="25" spans="1:21" s="23" customFormat="1" ht="19.5" customHeight="1">
      <c r="A25" s="29">
        <v>19</v>
      </c>
      <c r="B25" s="49" t="s">
        <v>124</v>
      </c>
      <c r="C25" s="71">
        <v>24</v>
      </c>
      <c r="D25" s="71">
        <v>21</v>
      </c>
      <c r="E25" s="17">
        <v>3722.7289999999998</v>
      </c>
      <c r="F25" s="17">
        <v>365.4</v>
      </c>
      <c r="G25" s="17">
        <f t="shared" si="0"/>
        <v>4088.1289999999999</v>
      </c>
      <c r="H25" s="17">
        <v>3450.1060000000002</v>
      </c>
      <c r="I25" s="17">
        <v>64</v>
      </c>
      <c r="J25" s="17">
        <v>6.5309999999999997</v>
      </c>
      <c r="K25" s="17">
        <v>16.484999999999999</v>
      </c>
      <c r="L25" s="17">
        <v>10.349</v>
      </c>
      <c r="M25" s="17">
        <v>44.691000000000003</v>
      </c>
      <c r="N25" s="17">
        <v>74</v>
      </c>
      <c r="O25" s="17">
        <v>54.423000000000002</v>
      </c>
      <c r="P25" s="17"/>
      <c r="Q25" s="17">
        <v>75</v>
      </c>
      <c r="R25" s="17"/>
      <c r="S25" s="17">
        <v>19.661999999999999</v>
      </c>
      <c r="T25" s="17">
        <f t="shared" si="1"/>
        <v>365.14100000000002</v>
      </c>
      <c r="U25" s="31">
        <f t="shared" si="2"/>
        <v>3815.2470000000003</v>
      </c>
    </row>
    <row r="26" spans="1:21" s="23" customFormat="1" ht="19.5" customHeight="1">
      <c r="A26" s="29">
        <v>20</v>
      </c>
      <c r="B26" s="49" t="s">
        <v>125</v>
      </c>
      <c r="C26" s="71">
        <v>18</v>
      </c>
      <c r="D26" s="71">
        <v>18</v>
      </c>
      <c r="E26" s="17">
        <v>2619.8319999999999</v>
      </c>
      <c r="F26" s="17">
        <v>274.05</v>
      </c>
      <c r="G26" s="17">
        <f t="shared" si="0"/>
        <v>2893.8820000000001</v>
      </c>
      <c r="H26" s="17">
        <v>2616.9877000000001</v>
      </c>
      <c r="I26" s="17"/>
      <c r="J26" s="17">
        <v>8.8439999999999994</v>
      </c>
      <c r="K26" s="17">
        <v>58</v>
      </c>
      <c r="L26" s="17"/>
      <c r="M26" s="17">
        <v>38.875</v>
      </c>
      <c r="N26" s="17">
        <v>30</v>
      </c>
      <c r="O26" s="17">
        <v>44</v>
      </c>
      <c r="P26" s="17">
        <v>23.5</v>
      </c>
      <c r="Q26" s="17">
        <v>54</v>
      </c>
      <c r="R26" s="17"/>
      <c r="S26" s="17">
        <v>16</v>
      </c>
      <c r="T26" s="17">
        <f t="shared" si="1"/>
        <v>273.21899999999999</v>
      </c>
      <c r="U26" s="31">
        <f t="shared" si="2"/>
        <v>2890.2067000000002</v>
      </c>
    </row>
    <row r="27" spans="1:21" s="23" customFormat="1" ht="19.5" customHeight="1">
      <c r="A27" s="29">
        <v>21</v>
      </c>
      <c r="B27" s="49" t="s">
        <v>126</v>
      </c>
      <c r="C27" s="71">
        <v>31</v>
      </c>
      <c r="D27" s="71">
        <v>30</v>
      </c>
      <c r="E27" s="17">
        <v>4007.1745999999998</v>
      </c>
      <c r="F27" s="17">
        <v>471.95600000000002</v>
      </c>
      <c r="G27" s="17">
        <f t="shared" si="0"/>
        <v>4479.1305999999995</v>
      </c>
      <c r="H27" s="17">
        <v>3954.7035850000002</v>
      </c>
      <c r="I27" s="17"/>
      <c r="J27" s="17">
        <v>41.352798999999997</v>
      </c>
      <c r="K27" s="17">
        <v>102.181</v>
      </c>
      <c r="L27" s="17">
        <v>7.2335000000000003</v>
      </c>
      <c r="M27" s="17">
        <v>56.111232000000001</v>
      </c>
      <c r="N27" s="17">
        <v>77</v>
      </c>
      <c r="O27" s="17">
        <v>75</v>
      </c>
      <c r="P27" s="17">
        <v>7.2750000000000004</v>
      </c>
      <c r="Q27" s="17">
        <v>80</v>
      </c>
      <c r="R27" s="17"/>
      <c r="S27" s="17">
        <v>25.295999999999999</v>
      </c>
      <c r="T27" s="17">
        <f t="shared" si="1"/>
        <v>471.44953099999992</v>
      </c>
      <c r="U27" s="31">
        <f t="shared" si="2"/>
        <v>4426.1531160000004</v>
      </c>
    </row>
    <row r="28" spans="1:21" s="23" customFormat="1" ht="19.5" customHeight="1">
      <c r="A28" s="29">
        <v>22</v>
      </c>
      <c r="B28" s="49" t="s">
        <v>127</v>
      </c>
      <c r="C28" s="71">
        <v>26</v>
      </c>
      <c r="D28" s="71">
        <v>26</v>
      </c>
      <c r="E28" s="17">
        <v>4778.402</v>
      </c>
      <c r="F28" s="17">
        <v>386.92500000000001</v>
      </c>
      <c r="G28" s="17">
        <f t="shared" si="0"/>
        <v>5165.3270000000002</v>
      </c>
      <c r="H28" s="17">
        <v>4769.497961</v>
      </c>
      <c r="I28" s="17"/>
      <c r="J28" s="17">
        <v>5</v>
      </c>
      <c r="K28" s="17">
        <v>9</v>
      </c>
      <c r="L28" s="17">
        <v>4</v>
      </c>
      <c r="M28" s="17">
        <v>33</v>
      </c>
      <c r="N28" s="17">
        <v>24</v>
      </c>
      <c r="O28" s="17">
        <v>85</v>
      </c>
      <c r="P28" s="17">
        <v>63</v>
      </c>
      <c r="Q28" s="17">
        <v>95</v>
      </c>
      <c r="R28" s="17"/>
      <c r="S28" s="17">
        <v>60</v>
      </c>
      <c r="T28" s="17">
        <f t="shared" si="1"/>
        <v>378</v>
      </c>
      <c r="U28" s="31">
        <f t="shared" si="2"/>
        <v>5147.497961</v>
      </c>
    </row>
    <row r="29" spans="1:21" s="23" customFormat="1" ht="19.5" customHeight="1">
      <c r="A29" s="29">
        <v>23</v>
      </c>
      <c r="B29" s="49" t="s">
        <v>128</v>
      </c>
      <c r="C29" s="71">
        <v>16</v>
      </c>
      <c r="D29" s="71">
        <v>15</v>
      </c>
      <c r="E29" s="17">
        <v>2404.0475999999999</v>
      </c>
      <c r="F29" s="17">
        <v>243.6</v>
      </c>
      <c r="G29" s="17">
        <f t="shared" si="0"/>
        <v>2647.6475999999998</v>
      </c>
      <c r="H29" s="17">
        <v>2399.0929999999998</v>
      </c>
      <c r="I29" s="17">
        <v>26.326000000000001</v>
      </c>
      <c r="J29" s="17">
        <v>10.731</v>
      </c>
      <c r="K29" s="17">
        <v>2.7549999999999999</v>
      </c>
      <c r="L29" s="17">
        <v>3.43</v>
      </c>
      <c r="M29" s="17">
        <v>18.509</v>
      </c>
      <c r="N29" s="17">
        <v>32.671999999999997</v>
      </c>
      <c r="O29" s="17">
        <v>19.899999999999999</v>
      </c>
      <c r="P29" s="17"/>
      <c r="Q29" s="17">
        <v>66.378</v>
      </c>
      <c r="R29" s="17"/>
      <c r="S29" s="17">
        <v>58</v>
      </c>
      <c r="T29" s="17">
        <f t="shared" si="1"/>
        <v>238.70100000000002</v>
      </c>
      <c r="U29" s="31">
        <f t="shared" si="2"/>
        <v>2637.7939999999999</v>
      </c>
    </row>
    <row r="30" spans="1:21" s="23" customFormat="1" ht="19.5" customHeight="1">
      <c r="A30" s="29">
        <v>24</v>
      </c>
      <c r="B30" s="49" t="s">
        <v>129</v>
      </c>
      <c r="C30" s="71">
        <v>22</v>
      </c>
      <c r="D30" s="71">
        <v>20</v>
      </c>
      <c r="E30" s="17">
        <v>2548.9821999999999</v>
      </c>
      <c r="F30" s="17">
        <v>334.95</v>
      </c>
      <c r="G30" s="17">
        <f t="shared" si="0"/>
        <v>2883.9321999999997</v>
      </c>
      <c r="H30" s="17">
        <v>2188.3113840000001</v>
      </c>
      <c r="I30" s="17"/>
      <c r="J30" s="17">
        <v>6.7770000000000001</v>
      </c>
      <c r="K30" s="17">
        <v>83.855000000000004</v>
      </c>
      <c r="L30" s="17">
        <v>2.5579999999999998</v>
      </c>
      <c r="M30" s="17">
        <v>46.052999999999997</v>
      </c>
      <c r="N30" s="17">
        <v>24.9</v>
      </c>
      <c r="O30" s="17">
        <v>20.286999999999999</v>
      </c>
      <c r="P30" s="17">
        <v>52.856000000000002</v>
      </c>
      <c r="Q30" s="17">
        <v>66.765000000000001</v>
      </c>
      <c r="R30" s="17"/>
      <c r="S30" s="17">
        <v>30</v>
      </c>
      <c r="T30" s="17">
        <f t="shared" si="1"/>
        <v>334.05099999999999</v>
      </c>
      <c r="U30" s="31">
        <f t="shared" si="2"/>
        <v>2522.362384</v>
      </c>
    </row>
    <row r="31" spans="1:21" s="23" customFormat="1" ht="19.5" customHeight="1">
      <c r="A31" s="29">
        <v>25</v>
      </c>
      <c r="B31" s="49" t="s">
        <v>130</v>
      </c>
      <c r="C31" s="71">
        <v>34</v>
      </c>
      <c r="D31" s="71">
        <v>31</v>
      </c>
      <c r="E31" s="17">
        <v>3861.5828000000001</v>
      </c>
      <c r="F31" s="17">
        <v>511.35</v>
      </c>
      <c r="G31" s="17">
        <f t="shared" si="0"/>
        <v>4372.9328000000005</v>
      </c>
      <c r="H31" s="17">
        <v>3610.6017230000002</v>
      </c>
      <c r="I31" s="17"/>
      <c r="J31" s="17">
        <v>31.995405000000002</v>
      </c>
      <c r="K31" s="17">
        <v>91.61</v>
      </c>
      <c r="L31" s="17">
        <v>7.9266030000000001</v>
      </c>
      <c r="M31" s="17">
        <v>53.145598</v>
      </c>
      <c r="N31" s="17">
        <v>44.32</v>
      </c>
      <c r="O31" s="17">
        <v>45</v>
      </c>
      <c r="P31" s="17">
        <v>43</v>
      </c>
      <c r="Q31" s="17">
        <v>98</v>
      </c>
      <c r="R31" s="17"/>
      <c r="S31" s="17">
        <v>95</v>
      </c>
      <c r="T31" s="17">
        <f t="shared" si="1"/>
        <v>509.99760600000002</v>
      </c>
      <c r="U31" s="31">
        <f t="shared" si="2"/>
        <v>4120.5993290000006</v>
      </c>
    </row>
    <row r="32" spans="1:21" s="23" customFormat="1" ht="19.5" customHeight="1">
      <c r="A32" s="29">
        <v>26</v>
      </c>
      <c r="B32" s="49" t="s">
        <v>131</v>
      </c>
      <c r="C32" s="71">
        <v>30</v>
      </c>
      <c r="D32" s="71">
        <v>30</v>
      </c>
      <c r="E32" s="17">
        <v>4952.9070000000002</v>
      </c>
      <c r="F32" s="17">
        <v>447.82499999999999</v>
      </c>
      <c r="G32" s="17">
        <f t="shared" si="0"/>
        <v>5400.732</v>
      </c>
      <c r="H32" s="17">
        <v>4074.9662910000002</v>
      </c>
      <c r="I32" s="17"/>
      <c r="J32" s="17">
        <v>8</v>
      </c>
      <c r="K32" s="17">
        <v>10</v>
      </c>
      <c r="L32" s="17">
        <v>6</v>
      </c>
      <c r="M32" s="17">
        <v>78</v>
      </c>
      <c r="N32" s="17">
        <v>40</v>
      </c>
      <c r="O32" s="17">
        <v>60</v>
      </c>
      <c r="P32" s="17">
        <v>84</v>
      </c>
      <c r="Q32" s="17">
        <v>94</v>
      </c>
      <c r="R32" s="17"/>
      <c r="S32" s="17">
        <v>67</v>
      </c>
      <c r="T32" s="17">
        <f t="shared" si="1"/>
        <v>447</v>
      </c>
      <c r="U32" s="31">
        <f t="shared" si="2"/>
        <v>4521.9662910000006</v>
      </c>
    </row>
    <row r="33" spans="1:21" s="23" customFormat="1" ht="19.5" customHeight="1">
      <c r="A33" s="29">
        <v>27</v>
      </c>
      <c r="B33" s="49" t="s">
        <v>132</v>
      </c>
      <c r="C33" s="71">
        <v>35</v>
      </c>
      <c r="D33" s="71">
        <v>35</v>
      </c>
      <c r="E33" s="17">
        <v>1096.396495</v>
      </c>
      <c r="F33" s="17">
        <v>220.23</v>
      </c>
      <c r="G33" s="17">
        <f t="shared" si="0"/>
        <v>1316.626495</v>
      </c>
      <c r="H33" s="17">
        <v>1016.902253</v>
      </c>
      <c r="I33" s="17"/>
      <c r="J33" s="17">
        <v>0.67800000000000005</v>
      </c>
      <c r="K33" s="17">
        <v>24.402000000000001</v>
      </c>
      <c r="L33" s="17">
        <v>3.1778590000000002</v>
      </c>
      <c r="M33" s="17">
        <v>73.326633000000001</v>
      </c>
      <c r="N33" s="17">
        <v>15.1044</v>
      </c>
      <c r="O33" s="17">
        <v>22.97</v>
      </c>
      <c r="P33" s="17">
        <v>3</v>
      </c>
      <c r="Q33" s="17">
        <v>51.684421999999998</v>
      </c>
      <c r="R33" s="17"/>
      <c r="S33" s="17">
        <v>16.151700000000002</v>
      </c>
      <c r="T33" s="17">
        <f t="shared" si="1"/>
        <v>210.49501400000003</v>
      </c>
      <c r="U33" s="31">
        <f t="shared" si="2"/>
        <v>1227.3972670000001</v>
      </c>
    </row>
    <row r="34" spans="1:21" s="23" customFormat="1" ht="19.5" customHeight="1">
      <c r="A34" s="29">
        <v>28</v>
      </c>
      <c r="B34" s="49" t="s">
        <v>133</v>
      </c>
      <c r="C34" s="71">
        <v>24</v>
      </c>
      <c r="D34" s="71">
        <v>22</v>
      </c>
      <c r="E34" s="17">
        <v>3663.2392</v>
      </c>
      <c r="F34" s="17">
        <v>365.4</v>
      </c>
      <c r="G34" s="17">
        <f t="shared" si="0"/>
        <v>4028.6392000000001</v>
      </c>
      <c r="H34" s="17">
        <v>3659</v>
      </c>
      <c r="I34" s="17"/>
      <c r="J34" s="17">
        <v>14.875</v>
      </c>
      <c r="K34" s="17">
        <v>8.5890000000000004</v>
      </c>
      <c r="L34" s="17">
        <v>5.8150000000000004</v>
      </c>
      <c r="M34" s="17">
        <v>50.073</v>
      </c>
      <c r="N34" s="17">
        <v>30.48</v>
      </c>
      <c r="O34" s="17">
        <v>60.27</v>
      </c>
      <c r="P34" s="17">
        <v>49.8</v>
      </c>
      <c r="Q34" s="17">
        <v>95.433000000000007</v>
      </c>
      <c r="R34" s="17"/>
      <c r="S34" s="17">
        <v>50</v>
      </c>
      <c r="T34" s="17">
        <f t="shared" si="1"/>
        <v>365.33499999999998</v>
      </c>
      <c r="U34" s="31">
        <f t="shared" si="2"/>
        <v>4024.335</v>
      </c>
    </row>
    <row r="35" spans="1:21" s="23" customFormat="1" ht="19.5" customHeight="1">
      <c r="A35" s="29">
        <v>29</v>
      </c>
      <c r="B35" s="49" t="s">
        <v>134</v>
      </c>
      <c r="C35" s="71">
        <v>27</v>
      </c>
      <c r="D35" s="71">
        <v>27</v>
      </c>
      <c r="E35" s="17">
        <v>4831.0950000000003</v>
      </c>
      <c r="F35" s="17">
        <v>411.07499999999999</v>
      </c>
      <c r="G35" s="17">
        <f t="shared" si="0"/>
        <v>5242.17</v>
      </c>
      <c r="H35" s="17">
        <v>4666</v>
      </c>
      <c r="I35" s="17"/>
      <c r="J35" s="17">
        <v>15</v>
      </c>
      <c r="K35" s="17">
        <v>18</v>
      </c>
      <c r="L35" s="17">
        <v>2</v>
      </c>
      <c r="M35" s="17">
        <v>80</v>
      </c>
      <c r="N35" s="17">
        <v>75</v>
      </c>
      <c r="O35" s="17">
        <v>69</v>
      </c>
      <c r="P35" s="17">
        <v>46</v>
      </c>
      <c r="Q35" s="17">
        <v>70</v>
      </c>
      <c r="R35" s="17"/>
      <c r="S35" s="17">
        <v>36</v>
      </c>
      <c r="T35" s="17">
        <f t="shared" si="1"/>
        <v>411</v>
      </c>
      <c r="U35" s="31">
        <f t="shared" si="2"/>
        <v>5077</v>
      </c>
    </row>
    <row r="36" spans="1:21" s="23" customFormat="1" ht="19.5" customHeight="1">
      <c r="A36" s="29">
        <v>30</v>
      </c>
      <c r="B36" s="49" t="s">
        <v>135</v>
      </c>
      <c r="C36" s="71">
        <v>26</v>
      </c>
      <c r="D36" s="71">
        <v>26</v>
      </c>
      <c r="E36" s="17">
        <v>4799.915</v>
      </c>
      <c r="F36" s="17">
        <v>395.85</v>
      </c>
      <c r="G36" s="17">
        <f t="shared" si="0"/>
        <v>5195.7650000000003</v>
      </c>
      <c r="H36" s="17">
        <v>4448.616293</v>
      </c>
      <c r="I36" s="17"/>
      <c r="J36" s="17">
        <v>12.427270999999999</v>
      </c>
      <c r="K36" s="17">
        <v>66.103999999999999</v>
      </c>
      <c r="L36" s="17">
        <v>4.7749709999999999</v>
      </c>
      <c r="M36" s="17">
        <v>78.577749999999995</v>
      </c>
      <c r="N36" s="17">
        <v>55</v>
      </c>
      <c r="O36" s="17">
        <v>21.844999999999999</v>
      </c>
      <c r="P36" s="17">
        <v>38.46</v>
      </c>
      <c r="Q36" s="17">
        <v>80</v>
      </c>
      <c r="R36" s="17"/>
      <c r="S36" s="17">
        <v>38.408999999999999</v>
      </c>
      <c r="T36" s="17">
        <f t="shared" si="1"/>
        <v>395.59799199999998</v>
      </c>
      <c r="U36" s="31">
        <f t="shared" si="2"/>
        <v>4844.214285</v>
      </c>
    </row>
    <row r="37" spans="1:21" s="23" customFormat="1" ht="19.5" customHeight="1">
      <c r="A37" s="29">
        <v>31</v>
      </c>
      <c r="B37" s="49" t="s">
        <v>136</v>
      </c>
      <c r="C37" s="71">
        <v>36</v>
      </c>
      <c r="D37" s="71">
        <v>36</v>
      </c>
      <c r="E37" s="17">
        <v>6226.7730000000001</v>
      </c>
      <c r="F37" s="17">
        <v>548.1</v>
      </c>
      <c r="G37" s="17">
        <f t="shared" si="0"/>
        <v>6774.8730000000005</v>
      </c>
      <c r="H37" s="17">
        <v>5859.4532230000004</v>
      </c>
      <c r="I37" s="17"/>
      <c r="J37" s="17">
        <v>16.440823999999999</v>
      </c>
      <c r="K37" s="17">
        <v>42</v>
      </c>
      <c r="L37" s="17">
        <v>15.960571</v>
      </c>
      <c r="M37" s="17">
        <v>91.742000000000004</v>
      </c>
      <c r="N37" s="17">
        <v>88.317999999999998</v>
      </c>
      <c r="O37" s="17">
        <v>46</v>
      </c>
      <c r="P37" s="17"/>
      <c r="Q37" s="17">
        <v>143.93885</v>
      </c>
      <c r="R37" s="17"/>
      <c r="S37" s="17">
        <v>78</v>
      </c>
      <c r="T37" s="17">
        <f t="shared" si="1"/>
        <v>522.40024500000004</v>
      </c>
      <c r="U37" s="31">
        <f t="shared" si="2"/>
        <v>6381.8534680000002</v>
      </c>
    </row>
    <row r="38" spans="1:21" s="23" customFormat="1" ht="19.5" customHeight="1">
      <c r="A38" s="29">
        <v>32</v>
      </c>
      <c r="B38" s="49" t="s">
        <v>137</v>
      </c>
      <c r="C38" s="71">
        <v>22</v>
      </c>
      <c r="D38" s="71">
        <v>21</v>
      </c>
      <c r="E38" s="17">
        <v>3490.3946000000001</v>
      </c>
      <c r="F38" s="17">
        <v>334.95</v>
      </c>
      <c r="G38" s="17">
        <f t="shared" si="0"/>
        <v>3825.3445999999999</v>
      </c>
      <c r="H38" s="17">
        <v>3248.2814790000002</v>
      </c>
      <c r="I38" s="17">
        <v>3.42</v>
      </c>
      <c r="J38" s="17">
        <v>11.265864000000001</v>
      </c>
      <c r="K38" s="17">
        <v>34.366</v>
      </c>
      <c r="L38" s="17">
        <v>5.4964529999999998</v>
      </c>
      <c r="M38" s="17">
        <v>51.204999999999998</v>
      </c>
      <c r="N38" s="17">
        <v>31.2</v>
      </c>
      <c r="O38" s="17">
        <v>62.661000000000001</v>
      </c>
      <c r="P38" s="17">
        <v>20</v>
      </c>
      <c r="Q38" s="17">
        <v>63.897447999999997</v>
      </c>
      <c r="R38" s="17"/>
      <c r="S38" s="17">
        <v>45</v>
      </c>
      <c r="T38" s="17">
        <f t="shared" si="1"/>
        <v>328.51176499999997</v>
      </c>
      <c r="U38" s="31">
        <f t="shared" si="2"/>
        <v>3576.7932440000004</v>
      </c>
    </row>
    <row r="39" spans="1:21" s="23" customFormat="1" ht="19.5" customHeight="1">
      <c r="A39" s="29">
        <v>33</v>
      </c>
      <c r="B39" s="49" t="s">
        <v>138</v>
      </c>
      <c r="C39" s="71">
        <v>38</v>
      </c>
      <c r="D39" s="71">
        <v>38</v>
      </c>
      <c r="E39" s="17">
        <v>6380.95</v>
      </c>
      <c r="F39" s="17">
        <v>563.32500000000005</v>
      </c>
      <c r="G39" s="17">
        <f t="shared" si="0"/>
        <v>6944.2749999999996</v>
      </c>
      <c r="H39" s="17">
        <v>6279.2084999999997</v>
      </c>
      <c r="I39" s="17">
        <v>3.92</v>
      </c>
      <c r="J39" s="17">
        <v>14.922499999999999</v>
      </c>
      <c r="K39" s="17">
        <v>12.1258</v>
      </c>
      <c r="L39" s="17">
        <v>1.9836</v>
      </c>
      <c r="M39" s="17">
        <v>75</v>
      </c>
      <c r="N39" s="17">
        <v>64.959000000000003</v>
      </c>
      <c r="O39" s="17">
        <v>120.63</v>
      </c>
      <c r="P39" s="17">
        <v>38</v>
      </c>
      <c r="Q39" s="17">
        <v>123</v>
      </c>
      <c r="R39" s="17"/>
      <c r="S39" s="17">
        <v>90</v>
      </c>
      <c r="T39" s="17">
        <f t="shared" si="1"/>
        <v>544.54089999999997</v>
      </c>
      <c r="U39" s="31">
        <f t="shared" si="2"/>
        <v>6823.7493999999997</v>
      </c>
    </row>
    <row r="40" spans="1:21" s="23" customFormat="1" ht="19.5" customHeight="1">
      <c r="A40" s="29">
        <v>34</v>
      </c>
      <c r="B40" s="49" t="s">
        <v>139</v>
      </c>
      <c r="C40" s="71">
        <v>27</v>
      </c>
      <c r="D40" s="71">
        <v>27</v>
      </c>
      <c r="E40" s="17">
        <v>5128.1490000000003</v>
      </c>
      <c r="F40" s="17">
        <v>411.07499999999999</v>
      </c>
      <c r="G40" s="17">
        <f t="shared" si="0"/>
        <v>5539.2240000000002</v>
      </c>
      <c r="H40" s="17">
        <v>4961.6930000000002</v>
      </c>
      <c r="I40" s="17">
        <v>5.4</v>
      </c>
      <c r="J40" s="17">
        <v>18.166</v>
      </c>
      <c r="K40" s="17">
        <v>52</v>
      </c>
      <c r="L40" s="17">
        <v>7.4370000000000003</v>
      </c>
      <c r="M40" s="17">
        <v>45</v>
      </c>
      <c r="N40" s="17">
        <v>33.5</v>
      </c>
      <c r="O40" s="17">
        <v>62</v>
      </c>
      <c r="P40" s="17">
        <v>8.6839999999999993</v>
      </c>
      <c r="Q40" s="17">
        <v>80</v>
      </c>
      <c r="R40" s="17"/>
      <c r="S40" s="17">
        <v>98</v>
      </c>
      <c r="T40" s="17">
        <f t="shared" si="1"/>
        <v>410.18700000000001</v>
      </c>
      <c r="U40" s="31">
        <f t="shared" si="2"/>
        <v>5371.88</v>
      </c>
    </row>
    <row r="41" spans="1:21" s="23" customFormat="1" ht="19.5" customHeight="1">
      <c r="A41" s="29">
        <v>35</v>
      </c>
      <c r="B41" s="49" t="s">
        <v>140</v>
      </c>
      <c r="C41" s="71">
        <v>29</v>
      </c>
      <c r="D41" s="71">
        <v>31</v>
      </c>
      <c r="E41" s="17">
        <f>5073.0216+168.25</f>
        <v>5241.2716</v>
      </c>
      <c r="F41" s="17">
        <v>441.52499999999998</v>
      </c>
      <c r="G41" s="17">
        <f t="shared" si="0"/>
        <v>5682.7965999999997</v>
      </c>
      <c r="H41" s="17">
        <v>5225.3190000000004</v>
      </c>
      <c r="I41" s="17">
        <v>73.978999999999999</v>
      </c>
      <c r="J41" s="17">
        <v>20.771000000000001</v>
      </c>
      <c r="K41" s="17">
        <v>16.312999999999999</v>
      </c>
      <c r="L41" s="17">
        <v>5</v>
      </c>
      <c r="M41" s="17">
        <v>55.192</v>
      </c>
      <c r="N41" s="17">
        <v>60.6</v>
      </c>
      <c r="O41" s="17">
        <v>32.831000000000003</v>
      </c>
      <c r="P41" s="17">
        <v>22.8</v>
      </c>
      <c r="Q41" s="17">
        <v>91.632000000000005</v>
      </c>
      <c r="R41" s="17"/>
      <c r="S41" s="17">
        <v>60</v>
      </c>
      <c r="T41" s="17">
        <f t="shared" si="1"/>
        <v>439.11799999999999</v>
      </c>
      <c r="U41" s="31">
        <f t="shared" si="2"/>
        <v>5664.4370000000008</v>
      </c>
    </row>
    <row r="42" spans="1:21" s="23" customFormat="1" ht="19.5" customHeight="1">
      <c r="A42" s="29">
        <v>36</v>
      </c>
      <c r="B42" s="49" t="s">
        <v>141</v>
      </c>
      <c r="C42" s="71">
        <v>24</v>
      </c>
      <c r="D42" s="71">
        <v>24</v>
      </c>
      <c r="E42" s="17">
        <v>3090.1390000000001</v>
      </c>
      <c r="F42" s="17">
        <v>365.4</v>
      </c>
      <c r="G42" s="17">
        <f t="shared" si="0"/>
        <v>3455.5390000000002</v>
      </c>
      <c r="H42" s="17">
        <v>3086</v>
      </c>
      <c r="I42" s="17"/>
      <c r="J42" s="17">
        <v>11</v>
      </c>
      <c r="K42" s="17">
        <v>27</v>
      </c>
      <c r="L42" s="17">
        <v>2.5</v>
      </c>
      <c r="M42" s="17">
        <v>57</v>
      </c>
      <c r="N42" s="17">
        <v>56</v>
      </c>
      <c r="O42" s="17">
        <v>65</v>
      </c>
      <c r="P42" s="17">
        <v>48</v>
      </c>
      <c r="Q42" s="17">
        <v>80</v>
      </c>
      <c r="R42" s="17"/>
      <c r="S42" s="17">
        <v>18</v>
      </c>
      <c r="T42" s="17">
        <f t="shared" si="1"/>
        <v>364.5</v>
      </c>
      <c r="U42" s="31">
        <f t="shared" si="2"/>
        <v>3450.5</v>
      </c>
    </row>
    <row r="43" spans="1:21" s="23" customFormat="1" ht="19.5" customHeight="1">
      <c r="A43" s="29">
        <v>37</v>
      </c>
      <c r="B43" s="49" t="s">
        <v>142</v>
      </c>
      <c r="C43" s="71">
        <v>23</v>
      </c>
      <c r="D43" s="71">
        <v>23</v>
      </c>
      <c r="E43" s="17">
        <v>3789.163</v>
      </c>
      <c r="F43" s="17">
        <v>350.17500000000001</v>
      </c>
      <c r="G43" s="17">
        <f t="shared" si="0"/>
        <v>4139.3379999999997</v>
      </c>
      <c r="H43" s="17">
        <v>3660.1664179999998</v>
      </c>
      <c r="I43" s="17">
        <v>26.8675</v>
      </c>
      <c r="J43" s="17">
        <v>6.9955340000000001</v>
      </c>
      <c r="K43" s="17">
        <v>6.44</v>
      </c>
      <c r="L43" s="17">
        <v>4.3769999999999998</v>
      </c>
      <c r="M43" s="17">
        <v>55.765999999999998</v>
      </c>
      <c r="N43" s="17">
        <v>27.84</v>
      </c>
      <c r="O43" s="17">
        <v>20.23</v>
      </c>
      <c r="P43" s="17">
        <v>40</v>
      </c>
      <c r="Q43" s="17">
        <v>77.984734000000003</v>
      </c>
      <c r="R43" s="17"/>
      <c r="S43" s="17">
        <v>70</v>
      </c>
      <c r="T43" s="17">
        <f t="shared" si="1"/>
        <v>336.50076799999999</v>
      </c>
      <c r="U43" s="31">
        <f t="shared" si="2"/>
        <v>3996.6671859999997</v>
      </c>
    </row>
    <row r="44" spans="1:21" s="23" customFormat="1" ht="19.5" customHeight="1">
      <c r="A44" s="29">
        <v>38</v>
      </c>
      <c r="B44" s="49" t="s">
        <v>143</v>
      </c>
      <c r="C44" s="71">
        <v>22</v>
      </c>
      <c r="D44" s="71">
        <v>22</v>
      </c>
      <c r="E44" s="17">
        <v>3523.61</v>
      </c>
      <c r="F44" s="17">
        <v>334.95</v>
      </c>
      <c r="G44" s="17">
        <f t="shared" si="0"/>
        <v>3858.56</v>
      </c>
      <c r="H44" s="17">
        <v>3347.7820000000002</v>
      </c>
      <c r="I44" s="17">
        <v>6</v>
      </c>
      <c r="J44" s="17">
        <v>7.335</v>
      </c>
      <c r="K44" s="17">
        <v>40</v>
      </c>
      <c r="L44" s="17">
        <v>6</v>
      </c>
      <c r="M44" s="17">
        <v>39</v>
      </c>
      <c r="N44" s="17">
        <v>26</v>
      </c>
      <c r="O44" s="17">
        <v>24</v>
      </c>
      <c r="P44" s="17">
        <v>38</v>
      </c>
      <c r="Q44" s="17">
        <v>80</v>
      </c>
      <c r="R44" s="17"/>
      <c r="S44" s="17">
        <v>65</v>
      </c>
      <c r="T44" s="17">
        <f t="shared" si="1"/>
        <v>331.33500000000004</v>
      </c>
      <c r="U44" s="31">
        <f t="shared" si="2"/>
        <v>3679.1170000000002</v>
      </c>
    </row>
    <row r="45" spans="1:21" s="23" customFormat="1" ht="19.5" customHeight="1">
      <c r="A45" s="29">
        <v>39</v>
      </c>
      <c r="B45" s="49" t="s">
        <v>144</v>
      </c>
      <c r="C45" s="71">
        <v>26</v>
      </c>
      <c r="D45" s="71">
        <v>25</v>
      </c>
      <c r="E45" s="17">
        <f>3724.0576+73.606+25.838289</f>
        <v>3823.5018889999997</v>
      </c>
      <c r="F45" s="17">
        <v>395.85</v>
      </c>
      <c r="G45" s="17">
        <f t="shared" si="0"/>
        <v>4219.3518889999996</v>
      </c>
      <c r="H45" s="17">
        <v>3769.5859999999998</v>
      </c>
      <c r="I45" s="17">
        <v>87.34</v>
      </c>
      <c r="J45" s="17">
        <v>20.657</v>
      </c>
      <c r="K45" s="17">
        <v>13.257</v>
      </c>
      <c r="L45" s="17">
        <v>5.66</v>
      </c>
      <c r="M45" s="17">
        <v>40</v>
      </c>
      <c r="N45" s="17">
        <v>52.2</v>
      </c>
      <c r="O45" s="17">
        <v>30</v>
      </c>
      <c r="P45" s="17"/>
      <c r="Q45" s="17">
        <v>75</v>
      </c>
      <c r="R45" s="17"/>
      <c r="S45" s="17">
        <v>70</v>
      </c>
      <c r="T45" s="17">
        <f t="shared" si="1"/>
        <v>394.11399999999998</v>
      </c>
      <c r="U45" s="31">
        <f t="shared" si="2"/>
        <v>4163.7</v>
      </c>
    </row>
    <row r="46" spans="1:21" s="23" customFormat="1" ht="19.5" customHeight="1">
      <c r="A46" s="29">
        <v>40</v>
      </c>
      <c r="B46" s="49" t="s">
        <v>145</v>
      </c>
      <c r="C46" s="71">
        <v>29</v>
      </c>
      <c r="D46" s="71">
        <v>29</v>
      </c>
      <c r="E46" s="17">
        <v>4660.1080000000002</v>
      </c>
      <c r="F46" s="17">
        <v>432.6</v>
      </c>
      <c r="G46" s="17">
        <f t="shared" si="0"/>
        <v>5092.7080000000005</v>
      </c>
      <c r="H46" s="17">
        <v>4659.4030000000002</v>
      </c>
      <c r="I46" s="17"/>
      <c r="J46" s="17">
        <v>18.109000000000002</v>
      </c>
      <c r="K46" s="17">
        <v>27.46</v>
      </c>
      <c r="L46" s="17">
        <v>16.523</v>
      </c>
      <c r="M46" s="17">
        <v>50.43</v>
      </c>
      <c r="N46" s="17">
        <v>67.117000000000004</v>
      </c>
      <c r="O46" s="17">
        <v>132.93</v>
      </c>
      <c r="P46" s="17">
        <v>4.2750000000000004</v>
      </c>
      <c r="Q46" s="17">
        <v>79.712999999999994</v>
      </c>
      <c r="R46" s="17"/>
      <c r="S46" s="17">
        <v>35.798999999999999</v>
      </c>
      <c r="T46" s="17">
        <f t="shared" si="1"/>
        <v>432.35599999999999</v>
      </c>
      <c r="U46" s="31">
        <f t="shared" si="2"/>
        <v>5091.759</v>
      </c>
    </row>
    <row r="47" spans="1:21" s="23" customFormat="1" ht="19.5" customHeight="1">
      <c r="A47" s="29">
        <v>41</v>
      </c>
      <c r="B47" s="49" t="s">
        <v>146</v>
      </c>
      <c r="C47" s="71">
        <v>31</v>
      </c>
      <c r="D47" s="71">
        <v>29</v>
      </c>
      <c r="E47" s="17">
        <v>4708.8141999999998</v>
      </c>
      <c r="F47" s="17">
        <v>471.97500000000002</v>
      </c>
      <c r="G47" s="17">
        <f t="shared" si="0"/>
        <v>5180.7892000000002</v>
      </c>
      <c r="H47" s="17">
        <v>4572.7489999999998</v>
      </c>
      <c r="I47" s="17">
        <v>90</v>
      </c>
      <c r="J47" s="17">
        <v>12.750999999999999</v>
      </c>
      <c r="K47" s="17">
        <v>22</v>
      </c>
      <c r="L47" s="17">
        <v>21.349</v>
      </c>
      <c r="M47" s="17">
        <v>70</v>
      </c>
      <c r="N47" s="17">
        <v>64.271000000000001</v>
      </c>
      <c r="O47" s="17">
        <v>25.704999999999998</v>
      </c>
      <c r="P47" s="17">
        <v>25</v>
      </c>
      <c r="Q47" s="17">
        <v>79</v>
      </c>
      <c r="R47" s="17"/>
      <c r="S47" s="17">
        <v>61.267000000000003</v>
      </c>
      <c r="T47" s="17">
        <f t="shared" si="1"/>
        <v>471.34299999999996</v>
      </c>
      <c r="U47" s="31">
        <f t="shared" si="2"/>
        <v>5044.0919999999996</v>
      </c>
    </row>
    <row r="48" spans="1:21" s="23" customFormat="1" ht="19.5" customHeight="1">
      <c r="A48" s="29">
        <v>42</v>
      </c>
      <c r="B48" s="49" t="s">
        <v>147</v>
      </c>
      <c r="C48" s="71">
        <v>21</v>
      </c>
      <c r="D48" s="71">
        <v>21</v>
      </c>
      <c r="E48" s="17">
        <v>3175.7919999999999</v>
      </c>
      <c r="F48" s="17">
        <v>319.72500000000002</v>
      </c>
      <c r="G48" s="17">
        <f t="shared" si="0"/>
        <v>3495.5169999999998</v>
      </c>
      <c r="H48" s="17">
        <v>3175.4540000000002</v>
      </c>
      <c r="I48" s="17">
        <v>45.82</v>
      </c>
      <c r="J48" s="17">
        <v>10.285</v>
      </c>
      <c r="K48" s="17">
        <v>10</v>
      </c>
      <c r="L48" s="17">
        <v>10.923999999999999</v>
      </c>
      <c r="M48" s="17">
        <v>30</v>
      </c>
      <c r="N48" s="17">
        <v>47.433</v>
      </c>
      <c r="O48" s="17">
        <v>25.895</v>
      </c>
      <c r="P48" s="17">
        <v>15</v>
      </c>
      <c r="Q48" s="17">
        <v>80</v>
      </c>
      <c r="R48" s="17"/>
      <c r="S48" s="17">
        <v>40</v>
      </c>
      <c r="T48" s="17">
        <f t="shared" si="1"/>
        <v>315.35699999999997</v>
      </c>
      <c r="U48" s="31">
        <f t="shared" si="2"/>
        <v>3490.8110000000001</v>
      </c>
    </row>
    <row r="49" spans="1:21" s="28" customFormat="1" ht="19.5" customHeight="1">
      <c r="A49" s="157" t="s">
        <v>19</v>
      </c>
      <c r="B49" s="157"/>
      <c r="C49" s="50">
        <f>SUM(C7:C48)</f>
        <v>944</v>
      </c>
      <c r="D49" s="50">
        <f t="shared" ref="D49:U49" si="3">SUM(D7:D48)</f>
        <v>927</v>
      </c>
      <c r="E49" s="50">
        <f t="shared" si="3"/>
        <v>135449.29638399996</v>
      </c>
      <c r="F49" s="50">
        <f t="shared" si="3"/>
        <v>14011.417000000005</v>
      </c>
      <c r="G49" s="50">
        <f t="shared" si="3"/>
        <v>149460.71338400003</v>
      </c>
      <c r="H49" s="50">
        <f t="shared" si="3"/>
        <v>129876.99017299998</v>
      </c>
      <c r="I49" s="50">
        <f t="shared" si="3"/>
        <v>696.04650000000015</v>
      </c>
      <c r="J49" s="50">
        <f t="shared" si="3"/>
        <v>579.09856400000012</v>
      </c>
      <c r="K49" s="50">
        <f t="shared" si="3"/>
        <v>1445.6143000000004</v>
      </c>
      <c r="L49" s="50">
        <f t="shared" si="3"/>
        <v>261.87384800000001</v>
      </c>
      <c r="M49" s="50">
        <f t="shared" si="3"/>
        <v>1603.743211</v>
      </c>
      <c r="N49" s="50">
        <f t="shared" si="3"/>
        <v>1806.0934</v>
      </c>
      <c r="O49" s="50">
        <f t="shared" si="3"/>
        <v>1648.9510150000001</v>
      </c>
      <c r="P49" s="50">
        <f t="shared" si="3"/>
        <v>1020.7689999999999</v>
      </c>
      <c r="Q49" s="50">
        <f t="shared" si="3"/>
        <v>2903.4926140000002</v>
      </c>
      <c r="R49" s="50">
        <f t="shared" si="3"/>
        <v>0</v>
      </c>
      <c r="S49" s="50">
        <f t="shared" si="3"/>
        <v>1901.1765500000001</v>
      </c>
      <c r="T49" s="50">
        <f t="shared" si="3"/>
        <v>13866.859002000003</v>
      </c>
      <c r="U49" s="50">
        <f t="shared" si="3"/>
        <v>143743.84917500001</v>
      </c>
    </row>
    <row r="50" spans="1:21" s="23" customFormat="1" ht="19.5" customHeight="1">
      <c r="G50" s="74"/>
    </row>
    <row r="51" spans="1:21" s="23" customFormat="1" ht="19.5" customHeight="1">
      <c r="G51" s="74"/>
    </row>
    <row r="52" spans="1:21" s="23" customFormat="1" ht="19.5" customHeight="1">
      <c r="G52" s="74"/>
    </row>
    <row r="53" spans="1:21" s="23" customFormat="1" ht="19.5" customHeight="1">
      <c r="G53" s="74"/>
    </row>
    <row r="54" spans="1:21" s="23" customFormat="1" ht="19.5" customHeight="1">
      <c r="G54" s="74"/>
    </row>
    <row r="55" spans="1:21" s="23" customFormat="1" ht="19.5" customHeight="1">
      <c r="G55" s="74"/>
    </row>
    <row r="56" spans="1:21" s="23" customFormat="1" ht="19.5" customHeight="1">
      <c r="G56" s="74"/>
    </row>
    <row r="57" spans="1:21" s="23" customFormat="1" ht="19.5" customHeight="1">
      <c r="G57" s="74"/>
    </row>
    <row r="58" spans="1:21" s="23" customFormat="1" ht="19.5" customHeight="1">
      <c r="G58" s="74"/>
    </row>
    <row r="59" spans="1:21" s="23" customFormat="1" ht="19.5" customHeight="1">
      <c r="G59" s="74"/>
    </row>
    <row r="60" spans="1:21" s="23" customFormat="1" ht="19.5" customHeight="1">
      <c r="G60" s="74"/>
    </row>
    <row r="61" spans="1:21" s="23" customFormat="1" ht="19.5" customHeight="1">
      <c r="G61" s="74"/>
    </row>
    <row r="62" spans="1:21" s="23" customFormat="1" ht="19.5" customHeight="1">
      <c r="G62" s="74"/>
    </row>
    <row r="63" spans="1:21" s="23" customFormat="1" ht="19.5" customHeight="1">
      <c r="G63" s="74"/>
    </row>
    <row r="64" spans="1:21" s="23" customFormat="1" ht="19.5" customHeight="1">
      <c r="G64" s="74"/>
    </row>
    <row r="65" spans="7:7" s="23" customFormat="1" ht="19.5" customHeight="1">
      <c r="G65" s="74"/>
    </row>
    <row r="66" spans="7:7" s="23" customFormat="1" ht="19.5" customHeight="1">
      <c r="G66" s="74"/>
    </row>
    <row r="67" spans="7:7" s="23" customFormat="1" ht="19.5" customHeight="1">
      <c r="G67" s="74"/>
    </row>
    <row r="68" spans="7:7" s="23" customFormat="1" ht="19.5" customHeight="1">
      <c r="G68" s="74"/>
    </row>
    <row r="69" spans="7:7" s="23" customFormat="1" ht="19.5" customHeight="1">
      <c r="G69" s="74"/>
    </row>
    <row r="70" spans="7:7" s="23" customFormat="1" ht="19.5" customHeight="1">
      <c r="G70" s="74"/>
    </row>
    <row r="71" spans="7:7" s="23" customFormat="1" ht="19.5" customHeight="1">
      <c r="G71" s="74"/>
    </row>
    <row r="72" spans="7:7" s="23" customFormat="1" ht="19.5" customHeight="1">
      <c r="G72" s="74"/>
    </row>
    <row r="73" spans="7:7" s="23" customFormat="1" ht="19.5" customHeight="1">
      <c r="G73" s="74"/>
    </row>
    <row r="74" spans="7:7" s="23" customFormat="1" ht="19.5" customHeight="1">
      <c r="G74" s="74"/>
    </row>
    <row r="75" spans="7:7" s="23" customFormat="1" ht="19.5" customHeight="1">
      <c r="G75" s="74"/>
    </row>
    <row r="76" spans="7:7" s="23" customFormat="1" ht="19.5" customHeight="1">
      <c r="G76" s="74"/>
    </row>
    <row r="77" spans="7:7" s="23" customFormat="1" ht="19.5" customHeight="1">
      <c r="G77" s="74"/>
    </row>
    <row r="78" spans="7:7" s="23" customFormat="1" ht="19.5" customHeight="1">
      <c r="G78" s="74"/>
    </row>
    <row r="79" spans="7:7" s="23" customFormat="1" ht="19.5" customHeight="1">
      <c r="G79" s="74"/>
    </row>
    <row r="80" spans="7:7" s="23" customFormat="1" ht="19.5" customHeight="1">
      <c r="G80" s="74"/>
    </row>
    <row r="81" spans="7:7" s="23" customFormat="1" ht="19.5" customHeight="1">
      <c r="G81" s="74"/>
    </row>
    <row r="82" spans="7:7" s="23" customFormat="1" ht="19.5" customHeight="1">
      <c r="G82" s="74"/>
    </row>
    <row r="83" spans="7:7" s="23" customFormat="1" ht="19.5" customHeight="1">
      <c r="G83" s="74"/>
    </row>
    <row r="84" spans="7:7" s="23" customFormat="1" ht="19.5" customHeight="1">
      <c r="G84" s="74"/>
    </row>
    <row r="85" spans="7:7" s="23" customFormat="1" ht="19.5" customHeight="1">
      <c r="G85" s="74"/>
    </row>
    <row r="86" spans="7:7" s="23" customFormat="1" ht="19.5" customHeight="1">
      <c r="G86" s="74"/>
    </row>
    <row r="87" spans="7:7" s="23" customFormat="1" ht="19.5" customHeight="1">
      <c r="G87" s="74"/>
    </row>
    <row r="88" spans="7:7" s="23" customFormat="1" ht="19.5" customHeight="1">
      <c r="G88" s="74"/>
    </row>
    <row r="89" spans="7:7" s="23" customFormat="1" ht="19.5" customHeight="1">
      <c r="G89" s="74"/>
    </row>
    <row r="90" spans="7:7" s="23" customFormat="1" ht="19.5" customHeight="1">
      <c r="G90" s="74"/>
    </row>
    <row r="91" spans="7:7" s="23" customFormat="1" ht="19.5" customHeight="1">
      <c r="G91" s="74"/>
    </row>
    <row r="92" spans="7:7" s="23" customFormat="1" ht="19.5" customHeight="1">
      <c r="G92" s="74"/>
    </row>
    <row r="93" spans="7:7" s="23" customFormat="1" ht="19.5" customHeight="1">
      <c r="G93" s="74"/>
    </row>
    <row r="94" spans="7:7" s="23" customFormat="1" ht="19.5" customHeight="1">
      <c r="G94" s="74"/>
    </row>
    <row r="95" spans="7:7" s="23" customFormat="1" ht="19.5" customHeight="1">
      <c r="G95" s="74"/>
    </row>
    <row r="96" spans="7:7" s="23" customFormat="1" ht="19.5" customHeight="1">
      <c r="G96" s="74"/>
    </row>
    <row r="97" spans="7:7" s="23" customFormat="1" ht="19.5" customHeight="1">
      <c r="G97" s="74"/>
    </row>
    <row r="98" spans="7:7" s="23" customFormat="1" ht="19.5" customHeight="1">
      <c r="G98" s="74"/>
    </row>
    <row r="99" spans="7:7" s="23" customFormat="1" ht="19.5" customHeight="1">
      <c r="G99" s="74"/>
    </row>
    <row r="100" spans="7:7" s="23" customFormat="1" ht="19.5" customHeight="1">
      <c r="G100" s="74"/>
    </row>
    <row r="101" spans="7:7" s="23" customFormat="1" ht="19.5" customHeight="1">
      <c r="G101" s="74"/>
    </row>
    <row r="102" spans="7:7" s="23" customFormat="1" ht="19.5" customHeight="1">
      <c r="G102" s="74"/>
    </row>
    <row r="103" spans="7:7" s="23" customFormat="1" ht="19.5" customHeight="1">
      <c r="G103" s="74"/>
    </row>
    <row r="104" spans="7:7" s="23" customFormat="1" ht="19.5" customHeight="1">
      <c r="G104" s="74"/>
    </row>
    <row r="105" spans="7:7" s="23" customFormat="1" ht="19.5" customHeight="1">
      <c r="G105" s="74"/>
    </row>
    <row r="106" spans="7:7" s="23" customFormat="1" ht="19.5" customHeight="1">
      <c r="G106" s="74"/>
    </row>
    <row r="107" spans="7:7" s="23" customFormat="1" ht="19.5" customHeight="1">
      <c r="G107" s="74"/>
    </row>
    <row r="108" spans="7:7" s="23" customFormat="1" ht="19.5" customHeight="1">
      <c r="G108" s="74"/>
    </row>
    <row r="109" spans="7:7" s="23" customFormat="1" ht="19.5" customHeight="1">
      <c r="G109" s="74"/>
    </row>
    <row r="110" spans="7:7" s="23" customFormat="1" ht="19.5" customHeight="1">
      <c r="G110" s="74"/>
    </row>
    <row r="111" spans="7:7" s="23" customFormat="1" ht="19.5" customHeight="1">
      <c r="G111" s="74"/>
    </row>
    <row r="112" spans="7:7" s="23" customFormat="1" ht="19.5" customHeight="1">
      <c r="G112" s="74"/>
    </row>
    <row r="113" spans="7:7" s="23" customFormat="1" ht="19.5" customHeight="1">
      <c r="G113" s="74"/>
    </row>
    <row r="114" spans="7:7" s="23" customFormat="1" ht="19.5" customHeight="1">
      <c r="G114" s="74"/>
    </row>
    <row r="115" spans="7:7" s="23" customFormat="1" ht="19.5" customHeight="1">
      <c r="G115" s="74"/>
    </row>
    <row r="116" spans="7:7" s="23" customFormat="1" ht="19.5" customHeight="1">
      <c r="G116" s="74"/>
    </row>
    <row r="117" spans="7:7" s="23" customFormat="1" ht="19.5" customHeight="1">
      <c r="G117" s="74"/>
    </row>
    <row r="118" spans="7:7" s="23" customFormat="1" ht="19.5" customHeight="1">
      <c r="G118" s="74"/>
    </row>
    <row r="119" spans="7:7" s="23" customFormat="1" ht="19.5" customHeight="1">
      <c r="G119" s="74"/>
    </row>
    <row r="120" spans="7:7" s="23" customFormat="1" ht="19.5" customHeight="1">
      <c r="G120" s="74"/>
    </row>
    <row r="121" spans="7:7" s="23" customFormat="1" ht="19.5" customHeight="1">
      <c r="G121" s="74"/>
    </row>
    <row r="122" spans="7:7" s="23" customFormat="1" ht="19.5" customHeight="1">
      <c r="G122" s="74"/>
    </row>
    <row r="123" spans="7:7" s="23" customFormat="1" ht="19.5" customHeight="1">
      <c r="G123" s="74"/>
    </row>
    <row r="124" spans="7:7" s="23" customFormat="1" ht="19.5" customHeight="1">
      <c r="G124" s="74"/>
    </row>
    <row r="125" spans="7:7" s="23" customFormat="1" ht="19.5" customHeight="1">
      <c r="G125" s="74"/>
    </row>
    <row r="126" spans="7:7" s="23" customFormat="1" ht="19.5" customHeight="1">
      <c r="G126" s="74"/>
    </row>
    <row r="127" spans="7:7" s="23" customFormat="1" ht="19.5" customHeight="1">
      <c r="G127" s="74"/>
    </row>
    <row r="128" spans="7:7" s="23" customFormat="1" ht="19.5" customHeight="1">
      <c r="G128" s="74"/>
    </row>
    <row r="129" spans="7:7" s="23" customFormat="1" ht="19.5" customHeight="1">
      <c r="G129" s="74"/>
    </row>
    <row r="130" spans="7:7" s="23" customFormat="1" ht="19.5" customHeight="1">
      <c r="G130" s="74"/>
    </row>
    <row r="131" spans="7:7" s="23" customFormat="1" ht="19.5" customHeight="1">
      <c r="G131" s="74"/>
    </row>
    <row r="132" spans="7:7" s="23" customFormat="1" ht="19.5" customHeight="1">
      <c r="G132" s="74"/>
    </row>
    <row r="133" spans="7:7" s="23" customFormat="1" ht="19.5" customHeight="1">
      <c r="G133" s="74"/>
    </row>
    <row r="134" spans="7:7" s="23" customFormat="1" ht="19.5" customHeight="1">
      <c r="G134" s="74"/>
    </row>
    <row r="135" spans="7:7" s="23" customFormat="1" ht="19.5" customHeight="1">
      <c r="G135" s="74"/>
    </row>
    <row r="136" spans="7:7" s="23" customFormat="1" ht="19.5" customHeight="1">
      <c r="G136" s="74"/>
    </row>
    <row r="137" spans="7:7" s="23" customFormat="1" ht="19.5" customHeight="1">
      <c r="G137" s="74"/>
    </row>
    <row r="138" spans="7:7" s="23" customFormat="1" ht="19.5" customHeight="1">
      <c r="G138" s="74"/>
    </row>
    <row r="139" spans="7:7" s="23" customFormat="1" ht="19.5" customHeight="1">
      <c r="G139" s="74"/>
    </row>
    <row r="140" spans="7:7" s="23" customFormat="1" ht="19.5" customHeight="1">
      <c r="G140" s="74"/>
    </row>
    <row r="141" spans="7:7" s="23" customFormat="1" ht="19.5" customHeight="1">
      <c r="G141" s="74"/>
    </row>
    <row r="142" spans="7:7" s="23" customFormat="1" ht="19.5" customHeight="1">
      <c r="G142" s="74"/>
    </row>
    <row r="143" spans="7:7" s="23" customFormat="1" ht="19.5" customHeight="1">
      <c r="G143" s="74"/>
    </row>
    <row r="144" spans="7:7" s="23" customFormat="1" ht="19.5" customHeight="1">
      <c r="G144" s="74"/>
    </row>
    <row r="145" spans="7:7" s="23" customFormat="1" ht="19.5" customHeight="1">
      <c r="G145" s="74"/>
    </row>
    <row r="146" spans="7:7" s="23" customFormat="1" ht="19.5" customHeight="1">
      <c r="G146" s="74"/>
    </row>
    <row r="147" spans="7:7" s="23" customFormat="1" ht="19.5" customHeight="1">
      <c r="G147" s="74"/>
    </row>
    <row r="148" spans="7:7" s="23" customFormat="1" ht="19.5" customHeight="1">
      <c r="G148" s="74"/>
    </row>
    <row r="149" spans="7:7" s="23" customFormat="1" ht="19.5" customHeight="1">
      <c r="G149" s="74"/>
    </row>
    <row r="150" spans="7:7" s="23" customFormat="1" ht="19.5" customHeight="1">
      <c r="G150" s="74"/>
    </row>
    <row r="151" spans="7:7" s="23" customFormat="1" ht="19.5" customHeight="1">
      <c r="G151" s="74"/>
    </row>
    <row r="152" spans="7:7" s="23" customFormat="1" ht="19.5" customHeight="1">
      <c r="G152" s="74"/>
    </row>
    <row r="153" spans="7:7" s="23" customFormat="1" ht="19.5" customHeight="1">
      <c r="G153" s="74"/>
    </row>
    <row r="154" spans="7:7" s="23" customFormat="1" ht="19.5" customHeight="1">
      <c r="G154" s="74"/>
    </row>
    <row r="155" spans="7:7" s="23" customFormat="1" ht="19.5" customHeight="1">
      <c r="G155" s="74"/>
    </row>
    <row r="156" spans="7:7" s="23" customFormat="1" ht="19.5" customHeight="1">
      <c r="G156" s="74"/>
    </row>
    <row r="157" spans="7:7" s="23" customFormat="1" ht="19.5" customHeight="1">
      <c r="G157" s="74"/>
    </row>
    <row r="158" spans="7:7" s="23" customFormat="1" ht="19.5" customHeight="1">
      <c r="G158" s="74"/>
    </row>
    <row r="159" spans="7:7" s="23" customFormat="1" ht="19.5" customHeight="1">
      <c r="G159" s="74"/>
    </row>
    <row r="160" spans="7:7" s="23" customFormat="1" ht="19.5" customHeight="1">
      <c r="G160" s="74"/>
    </row>
    <row r="161" spans="7:7" s="23" customFormat="1" ht="19.5" customHeight="1">
      <c r="G161" s="74"/>
    </row>
    <row r="162" spans="7:7" s="23" customFormat="1" ht="19.5" customHeight="1">
      <c r="G162" s="74"/>
    </row>
    <row r="163" spans="7:7" s="23" customFormat="1" ht="19.5" customHeight="1">
      <c r="G163" s="74"/>
    </row>
    <row r="164" spans="7:7" s="23" customFormat="1" ht="19.5" customHeight="1">
      <c r="G164" s="74"/>
    </row>
    <row r="165" spans="7:7" s="23" customFormat="1" ht="19.5" customHeight="1">
      <c r="G165" s="74"/>
    </row>
    <row r="166" spans="7:7" s="23" customFormat="1" ht="19.5" customHeight="1">
      <c r="G166" s="74"/>
    </row>
    <row r="167" spans="7:7" s="23" customFormat="1" ht="19.5" customHeight="1">
      <c r="G167" s="74"/>
    </row>
    <row r="168" spans="7:7" s="23" customFormat="1" ht="19.5" customHeight="1">
      <c r="G168" s="74"/>
    </row>
    <row r="169" spans="7:7" s="23" customFormat="1" ht="19.5" customHeight="1">
      <c r="G169" s="74"/>
    </row>
    <row r="170" spans="7:7" s="23" customFormat="1" ht="19.5" customHeight="1">
      <c r="G170" s="74"/>
    </row>
    <row r="171" spans="7:7" s="23" customFormat="1" ht="19.5" customHeight="1">
      <c r="G171" s="74"/>
    </row>
    <row r="172" spans="7:7" s="23" customFormat="1" ht="19.5" customHeight="1">
      <c r="G172" s="74"/>
    </row>
    <row r="173" spans="7:7" s="23" customFormat="1" ht="19.5" customHeight="1">
      <c r="G173" s="74"/>
    </row>
    <row r="174" spans="7:7" s="23" customFormat="1" ht="19.5" customHeight="1">
      <c r="G174" s="74"/>
    </row>
    <row r="175" spans="7:7" s="23" customFormat="1" ht="19.5" customHeight="1">
      <c r="G175" s="74"/>
    </row>
    <row r="176" spans="7:7" s="23" customFormat="1" ht="19.5" customHeight="1">
      <c r="G176" s="74"/>
    </row>
    <row r="177" spans="7:7" s="23" customFormat="1" ht="19.5" customHeight="1">
      <c r="G177" s="74"/>
    </row>
    <row r="178" spans="7:7" s="23" customFormat="1" ht="19.5" customHeight="1">
      <c r="G178" s="74"/>
    </row>
    <row r="179" spans="7:7" s="23" customFormat="1" ht="19.5" customHeight="1">
      <c r="G179" s="74"/>
    </row>
    <row r="180" spans="7:7" s="23" customFormat="1" ht="19.5" customHeight="1">
      <c r="G180" s="74"/>
    </row>
    <row r="181" spans="7:7" s="28" customFormat="1" ht="19.5" customHeight="1"/>
    <row r="182" spans="7:7" s="28" customFormat="1" ht="19.5" customHeight="1"/>
    <row r="183" spans="7:7" s="23" customFormat="1" ht="19.5" customHeight="1">
      <c r="G183" s="74"/>
    </row>
    <row r="184" spans="7:7" s="23" customFormat="1" ht="19.5" customHeight="1">
      <c r="G184" s="74"/>
    </row>
    <row r="185" spans="7:7" s="23" customFormat="1" ht="19.5" customHeight="1">
      <c r="G185" s="74"/>
    </row>
    <row r="186" spans="7:7" s="23" customFormat="1" ht="19.5" customHeight="1">
      <c r="G186" s="74"/>
    </row>
    <row r="187" spans="7:7" s="23" customFormat="1" ht="19.5" customHeight="1">
      <c r="G187" s="74"/>
    </row>
    <row r="188" spans="7:7" s="23" customFormat="1" ht="19.5" customHeight="1">
      <c r="G188" s="74"/>
    </row>
    <row r="189" spans="7:7" s="23" customFormat="1" ht="19.5" customHeight="1">
      <c r="G189" s="74"/>
    </row>
    <row r="190" spans="7:7" s="23" customFormat="1" ht="19.5" customHeight="1">
      <c r="G190" s="74"/>
    </row>
    <row r="191" spans="7:7" s="23" customFormat="1" ht="19.5" customHeight="1">
      <c r="G191" s="74"/>
    </row>
    <row r="192" spans="7:7" s="23" customFormat="1" ht="19.5" customHeight="1">
      <c r="G192" s="74"/>
    </row>
    <row r="193" spans="7:7" s="23" customFormat="1" ht="19.5" customHeight="1">
      <c r="G193" s="74"/>
    </row>
    <row r="194" spans="7:7" s="23" customFormat="1" ht="19.5" customHeight="1">
      <c r="G194" s="74"/>
    </row>
    <row r="195" spans="7:7" s="23" customFormat="1" ht="19.5" customHeight="1">
      <c r="G195" s="74"/>
    </row>
    <row r="196" spans="7:7" s="23" customFormat="1" ht="19.5" customHeight="1">
      <c r="G196" s="74"/>
    </row>
    <row r="197" spans="7:7" s="23" customFormat="1" ht="19.5" customHeight="1">
      <c r="G197" s="74"/>
    </row>
    <row r="198" spans="7:7" s="23" customFormat="1" ht="19.5" customHeight="1">
      <c r="G198" s="74"/>
    </row>
    <row r="199" spans="7:7" s="23" customFormat="1" ht="19.5" customHeight="1">
      <c r="G199" s="74"/>
    </row>
    <row r="200" spans="7:7" s="23" customFormat="1" ht="19.5" customHeight="1">
      <c r="G200" s="74"/>
    </row>
    <row r="201" spans="7:7" s="23" customFormat="1" ht="19.5" customHeight="1">
      <c r="G201" s="74"/>
    </row>
    <row r="202" spans="7:7" s="23" customFormat="1" ht="19.5" customHeight="1">
      <c r="G202" s="74"/>
    </row>
    <row r="203" spans="7:7" s="23" customFormat="1" ht="19.5" customHeight="1">
      <c r="G203" s="74"/>
    </row>
    <row r="204" spans="7:7" s="23" customFormat="1" ht="19.5" customHeight="1">
      <c r="G204" s="74"/>
    </row>
    <row r="205" spans="7:7" s="23" customFormat="1" ht="19.5" customHeight="1">
      <c r="G205" s="74"/>
    </row>
    <row r="206" spans="7:7" s="23" customFormat="1" ht="19.5" customHeight="1">
      <c r="G206" s="74"/>
    </row>
    <row r="207" spans="7:7" s="23" customFormat="1" ht="19.5" customHeight="1">
      <c r="G207" s="74"/>
    </row>
    <row r="208" spans="7:7" s="23" customFormat="1" ht="19.5" customHeight="1">
      <c r="G208" s="74"/>
    </row>
    <row r="209" spans="1:7" s="23" customFormat="1" ht="19.5" customHeight="1">
      <c r="G209" s="74"/>
    </row>
    <row r="210" spans="1:7" s="23" customFormat="1" ht="19.5" customHeight="1">
      <c r="G210" s="74"/>
    </row>
    <row r="211" spans="1:7" s="23" customFormat="1" ht="19.5" customHeight="1">
      <c r="G211" s="74"/>
    </row>
    <row r="212" spans="1:7" s="23" customFormat="1" ht="19.5" customHeight="1">
      <c r="G212" s="74"/>
    </row>
    <row r="213" spans="1:7" s="32" customFormat="1" ht="21" customHeight="1"/>
    <row r="214" spans="1:7" s="23" customFormat="1" ht="19.5" customHeight="1">
      <c r="G214" s="74"/>
    </row>
    <row r="215" spans="1:7" s="23" customFormat="1" ht="19.5" customHeight="1">
      <c r="G215" s="74"/>
    </row>
    <row r="216" spans="1:7" s="23" customFormat="1" ht="19.5" customHeight="1">
      <c r="G216" s="74"/>
    </row>
    <row r="217" spans="1:7" s="56" customFormat="1" ht="19.5" customHeight="1">
      <c r="G217" s="113"/>
    </row>
    <row r="218" spans="1:7" s="23" customFormat="1" ht="19.5" customHeight="1">
      <c r="G218" s="74"/>
    </row>
    <row r="219" spans="1:7" ht="19.5" customHeight="1">
      <c r="A219" s="18"/>
    </row>
    <row r="220" spans="1:7">
      <c r="A220" s="18"/>
    </row>
    <row r="221" spans="1:7">
      <c r="A221" s="18"/>
    </row>
    <row r="222" spans="1:7">
      <c r="A222" s="18"/>
    </row>
    <row r="223" spans="1:7">
      <c r="A223" s="18"/>
    </row>
    <row r="224" spans="1:7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</sheetData>
  <autoFilter ref="A6:U218"/>
  <mergeCells count="11">
    <mergeCell ref="A49:B49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2"/>
  <sheetViews>
    <sheetView zoomScale="98" zoomScaleNormal="98" workbookViewId="0">
      <selection activeCell="A2" sqref="A2:U2"/>
    </sheetView>
  </sheetViews>
  <sheetFormatPr defaultColWidth="9.140625" defaultRowHeight="15"/>
  <cols>
    <col min="1" max="1" width="5.140625" style="9" customWidth="1"/>
    <col min="2" max="2" width="24.5703125" style="8" bestFit="1" customWidth="1"/>
    <col min="3" max="3" width="7" style="8" customWidth="1"/>
    <col min="4" max="4" width="5.5703125" style="8" customWidth="1"/>
    <col min="5" max="7" width="9.5703125" style="8" customWidth="1"/>
    <col min="8" max="8" width="10.28515625" style="8" customWidth="1"/>
    <col min="9" max="10" width="6.85546875" style="8" customWidth="1"/>
    <col min="11" max="11" width="8.42578125" style="8" customWidth="1"/>
    <col min="12" max="12" width="8.85546875" style="8" customWidth="1"/>
    <col min="13" max="13" width="7" style="8" customWidth="1"/>
    <col min="14" max="14" width="6" style="8" customWidth="1"/>
    <col min="15" max="15" width="10.140625" style="8" customWidth="1"/>
    <col min="16" max="16" width="9.85546875" style="8" customWidth="1"/>
    <col min="17" max="17" width="9.42578125" style="8" customWidth="1"/>
    <col min="18" max="18" width="8.42578125" style="8" customWidth="1"/>
    <col min="19" max="19" width="7.5703125" style="8" customWidth="1"/>
    <col min="20" max="20" width="10" style="8" customWidth="1"/>
    <col min="21" max="21" width="9" style="8" customWidth="1"/>
    <col min="22" max="16384" width="9.140625" style="8"/>
  </cols>
  <sheetData>
    <row r="1" spans="1:21" ht="21.75" customHeight="1">
      <c r="A1" s="181" t="s">
        <v>258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7.25" customHeight="1">
      <c r="A2" s="182" t="s">
        <v>358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8" customHeight="1">
      <c r="U3" s="10" t="s">
        <v>20</v>
      </c>
    </row>
    <row r="4" spans="1:21" ht="20.25" customHeight="1">
      <c r="A4" s="183" t="s">
        <v>0</v>
      </c>
      <c r="B4" s="183" t="s">
        <v>18</v>
      </c>
      <c r="C4" s="187" t="s">
        <v>1</v>
      </c>
      <c r="D4" s="188"/>
      <c r="E4" s="191" t="s">
        <v>4</v>
      </c>
      <c r="F4" s="195"/>
      <c r="G4" s="193"/>
      <c r="H4" s="184" t="s">
        <v>5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</row>
    <row r="5" spans="1:21" ht="20.25" customHeight="1">
      <c r="A5" s="183"/>
      <c r="B5" s="183"/>
      <c r="C5" s="189"/>
      <c r="D5" s="190"/>
      <c r="E5" s="196"/>
      <c r="F5" s="197"/>
      <c r="G5" s="198"/>
      <c r="H5" s="191" t="s">
        <v>6</v>
      </c>
      <c r="I5" s="183" t="s">
        <v>183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93" t="s">
        <v>19</v>
      </c>
    </row>
    <row r="6" spans="1:21" ht="91.5" customHeight="1">
      <c r="A6" s="183"/>
      <c r="B6" s="183"/>
      <c r="C6" s="11" t="s">
        <v>2</v>
      </c>
      <c r="D6" s="11" t="s">
        <v>3</v>
      </c>
      <c r="E6" s="62" t="s">
        <v>184</v>
      </c>
      <c r="F6" s="62" t="s">
        <v>185</v>
      </c>
      <c r="G6" s="119" t="s">
        <v>19</v>
      </c>
      <c r="H6" s="192"/>
      <c r="I6" s="62" t="s">
        <v>7</v>
      </c>
      <c r="J6" s="62" t="s">
        <v>8</v>
      </c>
      <c r="K6" s="62" t="s">
        <v>9</v>
      </c>
      <c r="L6" s="62" t="s">
        <v>10</v>
      </c>
      <c r="M6" s="62" t="s">
        <v>11</v>
      </c>
      <c r="N6" s="62" t="s">
        <v>12</v>
      </c>
      <c r="O6" s="62" t="s">
        <v>13</v>
      </c>
      <c r="P6" s="62" t="s">
        <v>14</v>
      </c>
      <c r="Q6" s="62" t="s">
        <v>15</v>
      </c>
      <c r="R6" s="62" t="s">
        <v>17</v>
      </c>
      <c r="S6" s="62" t="s">
        <v>16</v>
      </c>
      <c r="T6" s="62" t="s">
        <v>186</v>
      </c>
      <c r="U6" s="194"/>
    </row>
    <row r="7" spans="1:21" s="35" customFormat="1" ht="19.5" customHeight="1">
      <c r="A7" s="1">
        <v>1</v>
      </c>
      <c r="B7" s="7" t="s">
        <v>259</v>
      </c>
      <c r="C7" s="1">
        <v>11</v>
      </c>
      <c r="D7" s="1">
        <v>11</v>
      </c>
      <c r="E7" s="64">
        <v>1519</v>
      </c>
      <c r="F7" s="64">
        <f>C7*19.2</f>
        <v>211.2</v>
      </c>
      <c r="G7" s="64">
        <f>F7+E7</f>
        <v>1730.2</v>
      </c>
      <c r="H7" s="34">
        <v>1488.845356</v>
      </c>
      <c r="I7" s="34">
        <v>11.67</v>
      </c>
      <c r="J7" s="34">
        <v>7.4821</v>
      </c>
      <c r="K7" s="34">
        <v>11.519844000000001</v>
      </c>
      <c r="L7" s="34">
        <v>5.3754</v>
      </c>
      <c r="M7" s="34">
        <v>27.518000000000001</v>
      </c>
      <c r="N7" s="34"/>
      <c r="O7" s="34">
        <v>8</v>
      </c>
      <c r="P7" s="34"/>
      <c r="Q7" s="34">
        <v>82.962000000000003</v>
      </c>
      <c r="R7" s="34"/>
      <c r="S7" s="34">
        <v>86.689490000000006</v>
      </c>
      <c r="T7" s="34">
        <f>SUM(I7:S7)</f>
        <v>241.21683400000003</v>
      </c>
      <c r="U7" s="155">
        <f>T7+H7</f>
        <v>1730.0621900000001</v>
      </c>
    </row>
    <row r="8" spans="1:21" s="35" customFormat="1" ht="19.5" customHeight="1">
      <c r="A8" s="1">
        <v>2</v>
      </c>
      <c r="B8" s="2" t="s">
        <v>260</v>
      </c>
      <c r="C8" s="1">
        <v>14</v>
      </c>
      <c r="D8" s="1">
        <v>14</v>
      </c>
      <c r="E8" s="63">
        <v>1356</v>
      </c>
      <c r="F8" s="64">
        <f t="shared" ref="F8:F47" si="0">C8*19.2</f>
        <v>268.8</v>
      </c>
      <c r="G8" s="64">
        <f t="shared" ref="G8:G49" si="1">F8+E8</f>
        <v>1624.8</v>
      </c>
      <c r="H8" s="34">
        <v>1352</v>
      </c>
      <c r="I8" s="34">
        <v>20</v>
      </c>
      <c r="J8" s="34">
        <v>17</v>
      </c>
      <c r="K8" s="34">
        <v>21</v>
      </c>
      <c r="L8" s="34">
        <v>4</v>
      </c>
      <c r="M8" s="34">
        <v>16</v>
      </c>
      <c r="N8" s="34">
        <v>21.6</v>
      </c>
      <c r="O8" s="34">
        <v>65</v>
      </c>
      <c r="P8" s="34">
        <v>0</v>
      </c>
      <c r="Q8" s="34">
        <v>40</v>
      </c>
      <c r="R8" s="34" t="s">
        <v>36</v>
      </c>
      <c r="S8" s="34">
        <v>68</v>
      </c>
      <c r="T8" s="34">
        <f t="shared" ref="T8:T49" si="2">SUM(I8:S8)</f>
        <v>272.60000000000002</v>
      </c>
      <c r="U8" s="155">
        <f t="shared" ref="U8:U49" si="3">T8+H8</f>
        <v>1624.6</v>
      </c>
    </row>
    <row r="9" spans="1:21" s="35" customFormat="1" ht="19.5" customHeight="1">
      <c r="A9" s="1">
        <v>3</v>
      </c>
      <c r="B9" s="7" t="s">
        <v>261</v>
      </c>
      <c r="C9" s="1">
        <v>13</v>
      </c>
      <c r="D9" s="1">
        <v>10</v>
      </c>
      <c r="E9" s="63">
        <v>1226</v>
      </c>
      <c r="F9" s="64">
        <f t="shared" si="0"/>
        <v>249.6</v>
      </c>
      <c r="G9" s="64">
        <f t="shared" si="1"/>
        <v>1475.6</v>
      </c>
      <c r="H9" s="65">
        <v>1132.3</v>
      </c>
      <c r="I9" s="65">
        <v>52.85</v>
      </c>
      <c r="J9" s="65">
        <v>5.66</v>
      </c>
      <c r="K9" s="65">
        <v>76.75</v>
      </c>
      <c r="L9" s="65">
        <v>3.89</v>
      </c>
      <c r="M9" s="65">
        <v>20.72</v>
      </c>
      <c r="N9" s="65">
        <v>36.5</v>
      </c>
      <c r="O9" s="65">
        <v>31.86</v>
      </c>
      <c r="P9" s="65">
        <v>17</v>
      </c>
      <c r="Q9" s="65">
        <v>29.58</v>
      </c>
      <c r="R9" s="65" t="s">
        <v>36</v>
      </c>
      <c r="S9" s="65">
        <v>68.5</v>
      </c>
      <c r="T9" s="34">
        <f t="shared" si="2"/>
        <v>343.30999999999995</v>
      </c>
      <c r="U9" s="155">
        <f t="shared" si="3"/>
        <v>1475.61</v>
      </c>
    </row>
    <row r="10" spans="1:21" s="35" customFormat="1" ht="19.5" customHeight="1">
      <c r="A10" s="1">
        <v>4</v>
      </c>
      <c r="B10" s="7" t="s">
        <v>262</v>
      </c>
      <c r="C10" s="1">
        <v>11</v>
      </c>
      <c r="D10" s="1">
        <v>11</v>
      </c>
      <c r="E10" s="63">
        <v>900</v>
      </c>
      <c r="F10" s="64">
        <f t="shared" si="0"/>
        <v>211.2</v>
      </c>
      <c r="G10" s="64">
        <f t="shared" si="1"/>
        <v>1111.2</v>
      </c>
      <c r="H10" s="34">
        <v>901.3</v>
      </c>
      <c r="I10" s="34">
        <v>16.5</v>
      </c>
      <c r="J10" s="34">
        <v>8</v>
      </c>
      <c r="K10" s="34">
        <v>9.5</v>
      </c>
      <c r="L10" s="34">
        <v>2.8</v>
      </c>
      <c r="M10" s="34">
        <v>15.4</v>
      </c>
      <c r="N10" s="34">
        <v>12</v>
      </c>
      <c r="O10" s="34">
        <v>9</v>
      </c>
      <c r="P10" s="34"/>
      <c r="Q10" s="34">
        <v>50.5</v>
      </c>
      <c r="R10" s="34"/>
      <c r="S10" s="34">
        <v>86.3</v>
      </c>
      <c r="T10" s="34">
        <f t="shared" si="2"/>
        <v>210</v>
      </c>
      <c r="U10" s="155">
        <f t="shared" si="3"/>
        <v>1111.3</v>
      </c>
    </row>
    <row r="11" spans="1:21" s="35" customFormat="1" ht="19.5" customHeight="1">
      <c r="A11" s="1">
        <v>5</v>
      </c>
      <c r="B11" s="7" t="s">
        <v>263</v>
      </c>
      <c r="C11" s="1">
        <v>19</v>
      </c>
      <c r="D11" s="1">
        <v>18</v>
      </c>
      <c r="E11" s="63">
        <v>1886</v>
      </c>
      <c r="F11" s="64">
        <f t="shared" si="0"/>
        <v>364.8</v>
      </c>
      <c r="G11" s="64">
        <f t="shared" si="1"/>
        <v>2250.8000000000002</v>
      </c>
      <c r="H11" s="34">
        <v>1843</v>
      </c>
      <c r="I11" s="34">
        <v>11</v>
      </c>
      <c r="J11" s="34">
        <v>36</v>
      </c>
      <c r="K11" s="34">
        <v>20</v>
      </c>
      <c r="L11" s="34">
        <v>4</v>
      </c>
      <c r="M11" s="34">
        <v>24</v>
      </c>
      <c r="N11" s="34">
        <v>42</v>
      </c>
      <c r="O11" s="34">
        <v>190</v>
      </c>
      <c r="P11" s="34">
        <v>16</v>
      </c>
      <c r="Q11" s="34">
        <v>54</v>
      </c>
      <c r="R11" s="34" t="s">
        <v>36</v>
      </c>
      <c r="S11" s="34">
        <v>11</v>
      </c>
      <c r="T11" s="34">
        <f t="shared" si="2"/>
        <v>408</v>
      </c>
      <c r="U11" s="155">
        <f t="shared" si="3"/>
        <v>2251</v>
      </c>
    </row>
    <row r="12" spans="1:21" s="35" customFormat="1" ht="19.5" customHeight="1">
      <c r="A12" s="1">
        <v>6</v>
      </c>
      <c r="B12" s="2" t="s">
        <v>264</v>
      </c>
      <c r="C12" s="1">
        <v>21</v>
      </c>
      <c r="D12" s="1">
        <v>18</v>
      </c>
      <c r="E12" s="63">
        <v>2382</v>
      </c>
      <c r="F12" s="64">
        <f t="shared" si="0"/>
        <v>403.2</v>
      </c>
      <c r="G12" s="64">
        <f t="shared" si="1"/>
        <v>2785.2</v>
      </c>
      <c r="H12" s="34">
        <v>2291.89</v>
      </c>
      <c r="I12" s="34">
        <v>199</v>
      </c>
      <c r="J12" s="34">
        <v>14.08</v>
      </c>
      <c r="K12" s="34">
        <v>90.77</v>
      </c>
      <c r="L12" s="34">
        <v>5.15</v>
      </c>
      <c r="M12" s="34">
        <v>10.89</v>
      </c>
      <c r="N12" s="34">
        <v>18</v>
      </c>
      <c r="O12" s="34">
        <v>64.290000000000006</v>
      </c>
      <c r="P12" s="34"/>
      <c r="Q12" s="34">
        <v>72.98</v>
      </c>
      <c r="R12" s="34"/>
      <c r="S12" s="34">
        <v>17.98</v>
      </c>
      <c r="T12" s="34">
        <f t="shared" si="2"/>
        <v>493.14000000000004</v>
      </c>
      <c r="U12" s="155">
        <f t="shared" si="3"/>
        <v>2785.0299999999997</v>
      </c>
    </row>
    <row r="13" spans="1:21" s="35" customFormat="1" ht="19.5" customHeight="1">
      <c r="A13" s="1">
        <v>7</v>
      </c>
      <c r="B13" s="3" t="s">
        <v>265</v>
      </c>
      <c r="C13" s="66">
        <v>12</v>
      </c>
      <c r="D13" s="66">
        <v>11</v>
      </c>
      <c r="E13" s="63">
        <v>1537</v>
      </c>
      <c r="F13" s="64">
        <f t="shared" si="0"/>
        <v>230.39999999999998</v>
      </c>
      <c r="G13" s="64">
        <f t="shared" si="1"/>
        <v>1767.4</v>
      </c>
      <c r="H13" s="34">
        <v>1549</v>
      </c>
      <c r="I13" s="34">
        <v>23</v>
      </c>
      <c r="J13" s="34">
        <v>17</v>
      </c>
      <c r="K13" s="34">
        <v>16</v>
      </c>
      <c r="L13" s="34">
        <v>4</v>
      </c>
      <c r="M13" s="34">
        <v>5</v>
      </c>
      <c r="N13" s="34">
        <v>18</v>
      </c>
      <c r="O13" s="34">
        <v>45</v>
      </c>
      <c r="P13" s="34">
        <v>0</v>
      </c>
      <c r="Q13" s="34">
        <v>35</v>
      </c>
      <c r="R13" s="34"/>
      <c r="S13" s="34">
        <v>55</v>
      </c>
      <c r="T13" s="34">
        <f t="shared" si="2"/>
        <v>218</v>
      </c>
      <c r="U13" s="155">
        <f t="shared" si="3"/>
        <v>1767</v>
      </c>
    </row>
    <row r="14" spans="1:21" s="35" customFormat="1" ht="19.5" customHeight="1">
      <c r="A14" s="1">
        <v>8</v>
      </c>
      <c r="B14" s="7" t="s">
        <v>266</v>
      </c>
      <c r="C14" s="1">
        <v>13</v>
      </c>
      <c r="D14" s="1">
        <v>12</v>
      </c>
      <c r="E14" s="63">
        <v>1262</v>
      </c>
      <c r="F14" s="64">
        <f t="shared" si="0"/>
        <v>249.6</v>
      </c>
      <c r="G14" s="64">
        <f t="shared" si="1"/>
        <v>1511.6</v>
      </c>
      <c r="H14" s="64">
        <v>1268</v>
      </c>
      <c r="I14" s="64"/>
      <c r="J14" s="64">
        <v>8</v>
      </c>
      <c r="K14" s="64">
        <v>47</v>
      </c>
      <c r="L14" s="64">
        <v>6</v>
      </c>
      <c r="M14" s="64">
        <v>21</v>
      </c>
      <c r="N14" s="64">
        <v>20</v>
      </c>
      <c r="O14" s="64">
        <v>17</v>
      </c>
      <c r="P14" s="64"/>
      <c r="Q14" s="64">
        <v>115</v>
      </c>
      <c r="R14" s="64"/>
      <c r="S14" s="64">
        <v>10</v>
      </c>
      <c r="T14" s="34">
        <f t="shared" si="2"/>
        <v>244</v>
      </c>
      <c r="U14" s="155">
        <f t="shared" si="3"/>
        <v>1512</v>
      </c>
    </row>
    <row r="15" spans="1:21" s="35" customFormat="1" ht="19.5" customHeight="1">
      <c r="A15" s="1">
        <v>9</v>
      </c>
      <c r="B15" s="7" t="s">
        <v>267</v>
      </c>
      <c r="C15" s="1">
        <v>13</v>
      </c>
      <c r="D15" s="1">
        <v>13</v>
      </c>
      <c r="E15" s="63">
        <v>916</v>
      </c>
      <c r="F15" s="64">
        <f t="shared" si="0"/>
        <v>249.6</v>
      </c>
      <c r="G15" s="64">
        <f t="shared" si="1"/>
        <v>1165.5999999999999</v>
      </c>
      <c r="H15" s="34">
        <v>916</v>
      </c>
      <c r="I15" s="34">
        <v>14</v>
      </c>
      <c r="J15" s="34">
        <v>18.677</v>
      </c>
      <c r="K15" s="34">
        <v>59.375</v>
      </c>
      <c r="L15" s="34">
        <v>2.726</v>
      </c>
      <c r="M15" s="34">
        <v>2.5</v>
      </c>
      <c r="N15" s="34">
        <v>14.4</v>
      </c>
      <c r="O15" s="34">
        <v>6.95</v>
      </c>
      <c r="P15" s="34"/>
      <c r="Q15" s="34">
        <v>105.17400000000001</v>
      </c>
      <c r="R15" s="34"/>
      <c r="S15" s="34">
        <v>26</v>
      </c>
      <c r="T15" s="34">
        <f t="shared" si="2"/>
        <v>249.80200000000002</v>
      </c>
      <c r="U15" s="155">
        <f t="shared" si="3"/>
        <v>1165.8020000000001</v>
      </c>
    </row>
    <row r="16" spans="1:21" s="35" customFormat="1" ht="19.5" customHeight="1">
      <c r="A16" s="1">
        <v>10</v>
      </c>
      <c r="B16" s="7" t="s">
        <v>268</v>
      </c>
      <c r="C16" s="1">
        <v>11</v>
      </c>
      <c r="D16" s="1">
        <v>11</v>
      </c>
      <c r="E16" s="63">
        <v>790</v>
      </c>
      <c r="F16" s="64">
        <f t="shared" si="0"/>
        <v>211.2</v>
      </c>
      <c r="G16" s="64">
        <f t="shared" si="1"/>
        <v>1001.2</v>
      </c>
      <c r="H16" s="34">
        <v>795.73800000000006</v>
      </c>
      <c r="I16" s="34"/>
      <c r="J16" s="34">
        <v>3.4580000000000002</v>
      </c>
      <c r="K16" s="34">
        <v>89.929000000000002</v>
      </c>
      <c r="L16" s="34">
        <v>0.72899999999999998</v>
      </c>
      <c r="M16" s="34">
        <v>3.3130000000000002</v>
      </c>
      <c r="N16" s="34">
        <v>12</v>
      </c>
      <c r="O16" s="34">
        <v>42.598999999999997</v>
      </c>
      <c r="P16" s="34"/>
      <c r="Q16" s="34">
        <v>36.665999999999997</v>
      </c>
      <c r="R16" s="34"/>
      <c r="S16" s="34">
        <v>16.5</v>
      </c>
      <c r="T16" s="34">
        <f t="shared" si="2"/>
        <v>205.19399999999999</v>
      </c>
      <c r="U16" s="155">
        <f t="shared" si="3"/>
        <v>1000.932</v>
      </c>
    </row>
    <row r="17" spans="1:21" s="35" customFormat="1" ht="19.5" customHeight="1">
      <c r="A17" s="1">
        <v>11</v>
      </c>
      <c r="B17" s="7" t="s">
        <v>287</v>
      </c>
      <c r="C17" s="1"/>
      <c r="D17" s="1"/>
      <c r="E17" s="63">
        <v>803</v>
      </c>
      <c r="F17" s="64">
        <v>7</v>
      </c>
      <c r="G17" s="64">
        <f t="shared" si="1"/>
        <v>810</v>
      </c>
      <c r="H17" s="34">
        <v>803.31399999999996</v>
      </c>
      <c r="I17" s="34"/>
      <c r="J17" s="34"/>
      <c r="K17" s="34"/>
      <c r="L17" s="34"/>
      <c r="M17" s="34"/>
      <c r="N17" s="34">
        <v>6.6</v>
      </c>
      <c r="O17" s="34"/>
      <c r="P17" s="34"/>
      <c r="Q17" s="34"/>
      <c r="R17" s="34"/>
      <c r="S17" s="34"/>
      <c r="T17" s="34">
        <f t="shared" si="2"/>
        <v>6.6</v>
      </c>
      <c r="U17" s="155">
        <f t="shared" si="3"/>
        <v>809.91399999999999</v>
      </c>
    </row>
    <row r="18" spans="1:21" s="35" customFormat="1" ht="19.5" customHeight="1">
      <c r="A18" s="1">
        <v>12</v>
      </c>
      <c r="B18" s="2" t="s">
        <v>269</v>
      </c>
      <c r="C18" s="1">
        <v>13</v>
      </c>
      <c r="D18" s="1">
        <v>13</v>
      </c>
      <c r="E18" s="63">
        <v>1519</v>
      </c>
      <c r="F18" s="64">
        <f t="shared" si="0"/>
        <v>249.6</v>
      </c>
      <c r="G18" s="64">
        <f t="shared" si="1"/>
        <v>1768.6</v>
      </c>
      <c r="H18" s="34">
        <v>1519</v>
      </c>
      <c r="I18" s="34">
        <v>67</v>
      </c>
      <c r="J18" s="34">
        <v>13</v>
      </c>
      <c r="K18" s="34">
        <v>23</v>
      </c>
      <c r="L18" s="34">
        <v>4.8</v>
      </c>
      <c r="M18" s="34">
        <v>11.566000000000001</v>
      </c>
      <c r="N18" s="34">
        <v>24</v>
      </c>
      <c r="O18" s="34">
        <v>21</v>
      </c>
      <c r="P18" s="34">
        <v>17</v>
      </c>
      <c r="Q18" s="34">
        <v>32</v>
      </c>
      <c r="R18" s="34" t="s">
        <v>36</v>
      </c>
      <c r="S18" s="34">
        <v>36.4</v>
      </c>
      <c r="T18" s="34">
        <f t="shared" si="2"/>
        <v>249.76599999999999</v>
      </c>
      <c r="U18" s="155">
        <f t="shared" si="3"/>
        <v>1768.7660000000001</v>
      </c>
    </row>
    <row r="19" spans="1:21" s="35" customFormat="1" ht="19.5" customHeight="1">
      <c r="A19" s="1">
        <v>13</v>
      </c>
      <c r="B19" s="7" t="s">
        <v>270</v>
      </c>
      <c r="C19" s="1">
        <v>13</v>
      </c>
      <c r="D19" s="1">
        <v>13</v>
      </c>
      <c r="E19" s="63">
        <v>1173</v>
      </c>
      <c r="F19" s="64">
        <f t="shared" si="0"/>
        <v>249.6</v>
      </c>
      <c r="G19" s="64">
        <f t="shared" si="1"/>
        <v>1422.6</v>
      </c>
      <c r="H19" s="34">
        <v>1174</v>
      </c>
      <c r="I19" s="34">
        <v>19</v>
      </c>
      <c r="J19" s="34">
        <v>20</v>
      </c>
      <c r="K19" s="34">
        <v>34</v>
      </c>
      <c r="L19" s="34">
        <v>4</v>
      </c>
      <c r="M19" s="34">
        <v>31</v>
      </c>
      <c r="N19" s="34">
        <v>24</v>
      </c>
      <c r="O19" s="34">
        <v>26</v>
      </c>
      <c r="P19" s="34">
        <v>13</v>
      </c>
      <c r="Q19" s="34">
        <v>45</v>
      </c>
      <c r="R19" s="34" t="s">
        <v>36</v>
      </c>
      <c r="S19" s="34">
        <v>33</v>
      </c>
      <c r="T19" s="34">
        <f t="shared" si="2"/>
        <v>249</v>
      </c>
      <c r="U19" s="155">
        <f t="shared" si="3"/>
        <v>1423</v>
      </c>
    </row>
    <row r="20" spans="1:21" s="35" customFormat="1" ht="19.5" customHeight="1">
      <c r="A20" s="1">
        <v>14</v>
      </c>
      <c r="B20" s="7" t="s">
        <v>271</v>
      </c>
      <c r="C20" s="1">
        <v>16</v>
      </c>
      <c r="D20" s="1">
        <v>16</v>
      </c>
      <c r="E20" s="63">
        <v>1798</v>
      </c>
      <c r="F20" s="64">
        <f t="shared" si="0"/>
        <v>307.2</v>
      </c>
      <c r="G20" s="64">
        <f t="shared" si="1"/>
        <v>2105.1999999999998</v>
      </c>
      <c r="H20" s="34">
        <v>1796.814801</v>
      </c>
      <c r="I20" s="34">
        <v>47.49</v>
      </c>
      <c r="J20" s="34">
        <v>20.778659000000001</v>
      </c>
      <c r="K20" s="34">
        <v>20.439</v>
      </c>
      <c r="L20" s="34">
        <v>2.2440000000000002</v>
      </c>
      <c r="M20" s="34">
        <v>7.6580000000000004</v>
      </c>
      <c r="N20" s="34">
        <v>18</v>
      </c>
      <c r="O20" s="34">
        <v>29.908999999999999</v>
      </c>
      <c r="P20" s="34"/>
      <c r="Q20" s="34">
        <v>83.686999999999998</v>
      </c>
      <c r="R20" s="34"/>
      <c r="S20" s="34">
        <v>78.64949</v>
      </c>
      <c r="T20" s="34">
        <f t="shared" si="2"/>
        <v>308.85514900000004</v>
      </c>
      <c r="U20" s="155">
        <f t="shared" si="3"/>
        <v>2105.66995</v>
      </c>
    </row>
    <row r="21" spans="1:21" s="35" customFormat="1" ht="19.5" customHeight="1">
      <c r="A21" s="1">
        <v>15</v>
      </c>
      <c r="B21" s="7" t="s">
        <v>272</v>
      </c>
      <c r="C21" s="1">
        <v>15</v>
      </c>
      <c r="D21" s="1">
        <v>14</v>
      </c>
      <c r="E21" s="63">
        <v>1887</v>
      </c>
      <c r="F21" s="64">
        <f t="shared" si="0"/>
        <v>288</v>
      </c>
      <c r="G21" s="64">
        <f t="shared" si="1"/>
        <v>2175</v>
      </c>
      <c r="H21" s="34">
        <v>1892</v>
      </c>
      <c r="I21" s="34">
        <v>26</v>
      </c>
      <c r="J21" s="34">
        <v>10</v>
      </c>
      <c r="K21" s="34">
        <v>21</v>
      </c>
      <c r="L21" s="34">
        <v>5</v>
      </c>
      <c r="M21" s="34">
        <v>7</v>
      </c>
      <c r="N21" s="34"/>
      <c r="O21" s="34">
        <v>77</v>
      </c>
      <c r="P21" s="34">
        <v>47</v>
      </c>
      <c r="Q21" s="34">
        <v>57</v>
      </c>
      <c r="R21" s="34"/>
      <c r="S21" s="34">
        <v>33</v>
      </c>
      <c r="T21" s="34">
        <f t="shared" si="2"/>
        <v>283</v>
      </c>
      <c r="U21" s="155">
        <f t="shared" si="3"/>
        <v>2175</v>
      </c>
    </row>
    <row r="22" spans="1:21" s="35" customFormat="1" ht="19.5" customHeight="1">
      <c r="A22" s="1">
        <v>16</v>
      </c>
      <c r="B22" s="7" t="s">
        <v>273</v>
      </c>
      <c r="C22" s="1">
        <v>16</v>
      </c>
      <c r="D22" s="1">
        <v>16</v>
      </c>
      <c r="E22" s="63">
        <v>1771</v>
      </c>
      <c r="F22" s="64">
        <f t="shared" si="0"/>
        <v>307.2</v>
      </c>
      <c r="G22" s="64">
        <f t="shared" si="1"/>
        <v>2078.1999999999998</v>
      </c>
      <c r="H22" s="34">
        <v>1773</v>
      </c>
      <c r="I22" s="34">
        <v>24.5</v>
      </c>
      <c r="J22" s="34">
        <v>74</v>
      </c>
      <c r="K22" s="34">
        <v>21.4</v>
      </c>
      <c r="L22" s="34">
        <v>2.7</v>
      </c>
      <c r="M22" s="34">
        <v>10.1</v>
      </c>
      <c r="N22" s="34">
        <v>27.6</v>
      </c>
      <c r="O22" s="34">
        <v>28.4</v>
      </c>
      <c r="P22" s="34"/>
      <c r="Q22" s="34">
        <v>102</v>
      </c>
      <c r="R22" s="34"/>
      <c r="S22" s="34">
        <v>14.294</v>
      </c>
      <c r="T22" s="34">
        <f t="shared" si="2"/>
        <v>304.99400000000003</v>
      </c>
      <c r="U22" s="155">
        <f t="shared" si="3"/>
        <v>2077.9940000000001</v>
      </c>
    </row>
    <row r="23" spans="1:21" s="35" customFormat="1" ht="19.5" customHeight="1">
      <c r="A23" s="1">
        <v>17</v>
      </c>
      <c r="B23" s="7" t="s">
        <v>274</v>
      </c>
      <c r="C23" s="1">
        <v>18</v>
      </c>
      <c r="D23" s="1">
        <v>17</v>
      </c>
      <c r="E23" s="63">
        <v>1768</v>
      </c>
      <c r="F23" s="64">
        <f t="shared" si="0"/>
        <v>345.59999999999997</v>
      </c>
      <c r="G23" s="64">
        <f t="shared" si="1"/>
        <v>2113.6</v>
      </c>
      <c r="H23" s="34">
        <v>1740</v>
      </c>
      <c r="I23" s="34">
        <v>34</v>
      </c>
      <c r="J23" s="34">
        <v>61</v>
      </c>
      <c r="K23" s="34">
        <v>69.5</v>
      </c>
      <c r="L23" s="34">
        <v>6.93</v>
      </c>
      <c r="M23" s="34">
        <v>10.448</v>
      </c>
      <c r="N23" s="34">
        <v>27.6</v>
      </c>
      <c r="O23" s="34">
        <v>26.1</v>
      </c>
      <c r="P23" s="34">
        <v>10.199999999999999</v>
      </c>
      <c r="Q23" s="34">
        <v>106</v>
      </c>
      <c r="R23" s="34"/>
      <c r="S23" s="34">
        <v>22</v>
      </c>
      <c r="T23" s="34">
        <f t="shared" si="2"/>
        <v>373.77800000000002</v>
      </c>
      <c r="U23" s="155">
        <f t="shared" si="3"/>
        <v>2113.7780000000002</v>
      </c>
    </row>
    <row r="24" spans="1:21" s="35" customFormat="1" ht="19.5" customHeight="1">
      <c r="A24" s="1">
        <v>18</v>
      </c>
      <c r="B24" s="7" t="s">
        <v>275</v>
      </c>
      <c r="C24" s="1">
        <v>13</v>
      </c>
      <c r="D24" s="1">
        <v>12</v>
      </c>
      <c r="E24" s="63">
        <v>2079</v>
      </c>
      <c r="F24" s="64">
        <f t="shared" si="0"/>
        <v>249.6</v>
      </c>
      <c r="G24" s="64">
        <f t="shared" si="1"/>
        <v>2328.6</v>
      </c>
      <c r="H24" s="34">
        <v>2057.4455130000001</v>
      </c>
      <c r="I24" s="34">
        <f>3.924935+9.49</f>
        <v>13.414935</v>
      </c>
      <c r="J24" s="34">
        <v>5.6977000000000002</v>
      </c>
      <c r="K24" s="34">
        <v>9.6790000000000003</v>
      </c>
      <c r="L24" s="34">
        <v>4.9984000000000002</v>
      </c>
      <c r="M24" s="34">
        <v>51.534999999999997</v>
      </c>
      <c r="N24" s="34"/>
      <c r="O24" s="34">
        <v>8.4499999999999993</v>
      </c>
      <c r="P24" s="34">
        <v>89</v>
      </c>
      <c r="Q24" s="34">
        <v>52.134452000000003</v>
      </c>
      <c r="R24" s="34"/>
      <c r="S24" s="34">
        <v>36.357500000000002</v>
      </c>
      <c r="T24" s="34">
        <f t="shared" si="2"/>
        <v>271.26698700000003</v>
      </c>
      <c r="U24" s="155">
        <f t="shared" si="3"/>
        <v>2328.7125000000001</v>
      </c>
    </row>
    <row r="25" spans="1:21" s="35" customFormat="1" ht="19.5" customHeight="1">
      <c r="A25" s="1">
        <v>19</v>
      </c>
      <c r="B25" s="2" t="s">
        <v>276</v>
      </c>
      <c r="C25" s="1">
        <v>22</v>
      </c>
      <c r="D25" s="1">
        <v>21</v>
      </c>
      <c r="E25" s="63">
        <v>2498</v>
      </c>
      <c r="F25" s="64">
        <f t="shared" si="0"/>
        <v>422.4</v>
      </c>
      <c r="G25" s="64">
        <f t="shared" si="1"/>
        <v>2920.4</v>
      </c>
      <c r="H25" s="34">
        <v>2539</v>
      </c>
      <c r="I25" s="34">
        <v>82</v>
      </c>
      <c r="J25" s="34">
        <v>16.899999999999999</v>
      </c>
      <c r="K25" s="34">
        <v>99.3</v>
      </c>
      <c r="L25" s="34">
        <v>12.9</v>
      </c>
      <c r="M25" s="34">
        <v>30.4</v>
      </c>
      <c r="N25" s="34" t="s">
        <v>37</v>
      </c>
      <c r="O25" s="34">
        <v>36.1</v>
      </c>
      <c r="P25" s="34" t="s">
        <v>37</v>
      </c>
      <c r="Q25" s="34">
        <v>21.5</v>
      </c>
      <c r="R25" s="34" t="s">
        <v>36</v>
      </c>
      <c r="S25" s="34">
        <v>82.4</v>
      </c>
      <c r="T25" s="34">
        <f t="shared" si="2"/>
        <v>381.5</v>
      </c>
      <c r="U25" s="155">
        <f t="shared" si="3"/>
        <v>2920.5</v>
      </c>
    </row>
    <row r="26" spans="1:21" s="35" customFormat="1" ht="19.5" customHeight="1">
      <c r="A26" s="1">
        <v>20</v>
      </c>
      <c r="B26" s="7" t="s">
        <v>277</v>
      </c>
      <c r="C26" s="1">
        <v>22</v>
      </c>
      <c r="D26" s="1">
        <v>21</v>
      </c>
      <c r="E26" s="63">
        <v>2536</v>
      </c>
      <c r="F26" s="64">
        <f t="shared" si="0"/>
        <v>422.4</v>
      </c>
      <c r="G26" s="64">
        <f t="shared" si="1"/>
        <v>2958.4</v>
      </c>
      <c r="H26" s="34">
        <v>2531</v>
      </c>
      <c r="I26" s="34">
        <v>77</v>
      </c>
      <c r="J26" s="34">
        <v>16</v>
      </c>
      <c r="K26" s="34">
        <v>110</v>
      </c>
      <c r="L26" s="34">
        <v>4.2</v>
      </c>
      <c r="M26" s="34">
        <v>37.4</v>
      </c>
      <c r="N26" s="34"/>
      <c r="O26" s="34">
        <v>41</v>
      </c>
      <c r="P26" s="34">
        <v>20</v>
      </c>
      <c r="Q26" s="34">
        <v>90</v>
      </c>
      <c r="R26" s="34"/>
      <c r="S26" s="34">
        <v>31.417000000000002</v>
      </c>
      <c r="T26" s="34">
        <f t="shared" si="2"/>
        <v>427.01700000000005</v>
      </c>
      <c r="U26" s="155">
        <f t="shared" si="3"/>
        <v>2958.0169999999998</v>
      </c>
    </row>
    <row r="27" spans="1:21" s="35" customFormat="1" ht="19.5" customHeight="1">
      <c r="A27" s="1">
        <v>21</v>
      </c>
      <c r="B27" s="7" t="s">
        <v>278</v>
      </c>
      <c r="C27" s="1">
        <v>26</v>
      </c>
      <c r="D27" s="1">
        <v>19</v>
      </c>
      <c r="E27" s="63">
        <v>2990</v>
      </c>
      <c r="F27" s="64">
        <f t="shared" si="0"/>
        <v>499.2</v>
      </c>
      <c r="G27" s="64">
        <f t="shared" si="1"/>
        <v>3489.2</v>
      </c>
      <c r="H27" s="34">
        <v>2931</v>
      </c>
      <c r="I27" s="34">
        <v>129</v>
      </c>
      <c r="J27" s="34">
        <v>13</v>
      </c>
      <c r="K27" s="34">
        <v>63.63</v>
      </c>
      <c r="L27" s="34">
        <v>12</v>
      </c>
      <c r="M27" s="34">
        <v>25.021999999999998</v>
      </c>
      <c r="N27" s="34">
        <v>27.6</v>
      </c>
      <c r="O27" s="34">
        <v>140.74299999999999</v>
      </c>
      <c r="P27" s="34">
        <v>50</v>
      </c>
      <c r="Q27" s="34">
        <v>87.424999999999997</v>
      </c>
      <c r="R27" s="34"/>
      <c r="S27" s="34">
        <v>9.4429999999999996</v>
      </c>
      <c r="T27" s="34">
        <f t="shared" si="2"/>
        <v>557.86299999999994</v>
      </c>
      <c r="U27" s="155">
        <f t="shared" si="3"/>
        <v>3488.8629999999998</v>
      </c>
    </row>
    <row r="28" spans="1:21" s="35" customFormat="1" ht="19.5" customHeight="1">
      <c r="A28" s="1">
        <v>22</v>
      </c>
      <c r="B28" s="7" t="s">
        <v>279</v>
      </c>
      <c r="C28" s="1">
        <v>17</v>
      </c>
      <c r="D28" s="1">
        <v>16</v>
      </c>
      <c r="E28" s="63">
        <v>1983</v>
      </c>
      <c r="F28" s="64">
        <f t="shared" si="0"/>
        <v>326.39999999999998</v>
      </c>
      <c r="G28" s="64">
        <f t="shared" si="1"/>
        <v>2309.4</v>
      </c>
      <c r="H28" s="34">
        <v>1903.595</v>
      </c>
      <c r="I28" s="34">
        <v>57.853999999999999</v>
      </c>
      <c r="J28" s="34">
        <v>14</v>
      </c>
      <c r="K28" s="34">
        <v>64.58</v>
      </c>
      <c r="L28" s="34">
        <v>2.5499999999999998</v>
      </c>
      <c r="M28" s="34">
        <v>55</v>
      </c>
      <c r="N28" s="34">
        <v>34.549999999999997</v>
      </c>
      <c r="O28" s="34">
        <v>53</v>
      </c>
      <c r="P28" s="34">
        <v>17.5</v>
      </c>
      <c r="Q28" s="34">
        <v>30.562000000000001</v>
      </c>
      <c r="R28" s="34" t="s">
        <v>36</v>
      </c>
      <c r="S28" s="34">
        <f>14.67+61.9</f>
        <v>76.569999999999993</v>
      </c>
      <c r="T28" s="34">
        <f t="shared" si="2"/>
        <v>406.166</v>
      </c>
      <c r="U28" s="155">
        <f t="shared" si="3"/>
        <v>2309.761</v>
      </c>
    </row>
    <row r="29" spans="1:21" s="35" customFormat="1" ht="19.5" customHeight="1">
      <c r="A29" s="1">
        <v>23</v>
      </c>
      <c r="B29" s="7" t="s">
        <v>280</v>
      </c>
      <c r="C29" s="1">
        <v>25</v>
      </c>
      <c r="D29" s="1">
        <v>22</v>
      </c>
      <c r="E29" s="63">
        <v>2697</v>
      </c>
      <c r="F29" s="64">
        <f t="shared" si="0"/>
        <v>480</v>
      </c>
      <c r="G29" s="64">
        <f t="shared" si="1"/>
        <v>3177</v>
      </c>
      <c r="H29" s="34">
        <v>2704</v>
      </c>
      <c r="I29" s="34">
        <v>58</v>
      </c>
      <c r="J29" s="34">
        <v>20.826495999999999</v>
      </c>
      <c r="K29" s="34">
        <v>13.663</v>
      </c>
      <c r="L29" s="34">
        <v>4.0339999999999998</v>
      </c>
      <c r="M29" s="34">
        <v>37.569000000000003</v>
      </c>
      <c r="N29" s="34">
        <v>48</v>
      </c>
      <c r="O29" s="34">
        <v>56.301000000000002</v>
      </c>
      <c r="P29" s="34">
        <v>108.459</v>
      </c>
      <c r="Q29" s="34">
        <v>73.130343999999994</v>
      </c>
      <c r="R29" s="34"/>
      <c r="S29" s="34">
        <v>52.805999999999997</v>
      </c>
      <c r="T29" s="34">
        <f t="shared" si="2"/>
        <v>472.78883999999994</v>
      </c>
      <c r="U29" s="155">
        <f t="shared" si="3"/>
        <v>3176.7888400000002</v>
      </c>
    </row>
    <row r="30" spans="1:21" s="35" customFormat="1" ht="19.5" customHeight="1">
      <c r="A30" s="1">
        <v>24</v>
      </c>
      <c r="B30" s="7" t="s">
        <v>281</v>
      </c>
      <c r="C30" s="1">
        <v>27</v>
      </c>
      <c r="D30" s="1">
        <v>25</v>
      </c>
      <c r="E30" s="63">
        <v>3230</v>
      </c>
      <c r="F30" s="64">
        <f t="shared" si="0"/>
        <v>518.4</v>
      </c>
      <c r="G30" s="64">
        <f t="shared" si="1"/>
        <v>3748.4</v>
      </c>
      <c r="H30" s="34">
        <v>3272</v>
      </c>
      <c r="I30" s="34">
        <v>140</v>
      </c>
      <c r="J30" s="34">
        <v>15</v>
      </c>
      <c r="K30" s="34">
        <v>58</v>
      </c>
      <c r="L30" s="34">
        <v>9</v>
      </c>
      <c r="M30" s="34">
        <v>59</v>
      </c>
      <c r="N30" s="34">
        <v>18</v>
      </c>
      <c r="O30" s="34">
        <v>35</v>
      </c>
      <c r="P30" s="34">
        <v>20</v>
      </c>
      <c r="Q30" s="34">
        <v>77</v>
      </c>
      <c r="R30" s="34" t="s">
        <v>36</v>
      </c>
      <c r="S30" s="34">
        <v>45</v>
      </c>
      <c r="T30" s="34">
        <f t="shared" si="2"/>
        <v>476</v>
      </c>
      <c r="U30" s="155">
        <f t="shared" si="3"/>
        <v>3748</v>
      </c>
    </row>
    <row r="31" spans="1:21" s="35" customFormat="1" ht="19.5" customHeight="1">
      <c r="A31" s="1">
        <v>25</v>
      </c>
      <c r="B31" s="2" t="s">
        <v>282</v>
      </c>
      <c r="C31" s="1">
        <v>30</v>
      </c>
      <c r="D31" s="1">
        <v>19</v>
      </c>
      <c r="E31" s="63">
        <v>3811</v>
      </c>
      <c r="F31" s="64">
        <f t="shared" si="0"/>
        <v>576</v>
      </c>
      <c r="G31" s="64">
        <f t="shared" si="1"/>
        <v>4387</v>
      </c>
      <c r="H31" s="34">
        <v>3752</v>
      </c>
      <c r="I31" s="34">
        <v>120</v>
      </c>
      <c r="J31" s="34">
        <v>12.07</v>
      </c>
      <c r="K31" s="34">
        <v>122.84</v>
      </c>
      <c r="L31" s="34">
        <v>4.87</v>
      </c>
      <c r="M31" s="34">
        <v>41.14</v>
      </c>
      <c r="N31" s="34">
        <v>35.659999999999997</v>
      </c>
      <c r="O31" s="34">
        <v>161.88999999999999</v>
      </c>
      <c r="P31" s="34"/>
      <c r="Q31" s="34">
        <v>111.74</v>
      </c>
      <c r="R31" s="34"/>
      <c r="S31" s="34">
        <v>24.32</v>
      </c>
      <c r="T31" s="34">
        <f t="shared" si="2"/>
        <v>634.53</v>
      </c>
      <c r="U31" s="155">
        <f t="shared" si="3"/>
        <v>4386.53</v>
      </c>
    </row>
    <row r="32" spans="1:21" s="35" customFormat="1" ht="19.5" customHeight="1">
      <c r="A32" s="1">
        <v>26</v>
      </c>
      <c r="B32" s="4" t="s">
        <v>283</v>
      </c>
      <c r="C32" s="1">
        <v>16</v>
      </c>
      <c r="D32" s="1">
        <v>16</v>
      </c>
      <c r="E32" s="63">
        <v>1931</v>
      </c>
      <c r="F32" s="64">
        <f t="shared" si="0"/>
        <v>307.2</v>
      </c>
      <c r="G32" s="64">
        <f t="shared" si="1"/>
        <v>2238.1999999999998</v>
      </c>
      <c r="H32" s="34">
        <v>1925</v>
      </c>
      <c r="I32" s="34">
        <v>46</v>
      </c>
      <c r="J32" s="34">
        <v>8</v>
      </c>
      <c r="K32" s="34">
        <v>69</v>
      </c>
      <c r="L32" s="34">
        <v>5</v>
      </c>
      <c r="M32" s="34">
        <v>26</v>
      </c>
      <c r="N32" s="34">
        <v>24</v>
      </c>
      <c r="O32" s="34">
        <v>90</v>
      </c>
      <c r="P32" s="34"/>
      <c r="Q32" s="34">
        <v>35</v>
      </c>
      <c r="R32" s="34"/>
      <c r="S32" s="34">
        <v>10</v>
      </c>
      <c r="T32" s="34">
        <f t="shared" si="2"/>
        <v>313</v>
      </c>
      <c r="U32" s="155">
        <f t="shared" si="3"/>
        <v>2238</v>
      </c>
    </row>
    <row r="33" spans="1:21" s="35" customFormat="1" ht="19.5" customHeight="1">
      <c r="A33" s="1">
        <v>27</v>
      </c>
      <c r="B33" s="2" t="s">
        <v>284</v>
      </c>
      <c r="C33" s="67">
        <v>15</v>
      </c>
      <c r="D33" s="1">
        <v>12</v>
      </c>
      <c r="E33" s="63">
        <v>1878</v>
      </c>
      <c r="F33" s="64">
        <f t="shared" si="0"/>
        <v>288</v>
      </c>
      <c r="G33" s="64">
        <f t="shared" si="1"/>
        <v>2166</v>
      </c>
      <c r="H33" s="34">
        <v>1869</v>
      </c>
      <c r="I33" s="34">
        <v>57</v>
      </c>
      <c r="J33" s="34">
        <v>6</v>
      </c>
      <c r="K33" s="34">
        <v>37</v>
      </c>
      <c r="L33" s="34">
        <v>1.86</v>
      </c>
      <c r="M33" s="34">
        <v>31</v>
      </c>
      <c r="N33" s="34">
        <v>27</v>
      </c>
      <c r="O33" s="34">
        <v>13</v>
      </c>
      <c r="P33" s="34">
        <v>15</v>
      </c>
      <c r="Q33" s="34">
        <v>53</v>
      </c>
      <c r="R33" s="34"/>
      <c r="S33" s="34">
        <f>12+44.6</f>
        <v>56.6</v>
      </c>
      <c r="T33" s="34">
        <f t="shared" si="2"/>
        <v>297.46000000000004</v>
      </c>
      <c r="U33" s="155">
        <f t="shared" si="3"/>
        <v>2166.46</v>
      </c>
    </row>
    <row r="34" spans="1:21" s="35" customFormat="1" ht="19.5" customHeight="1">
      <c r="A34" s="1">
        <v>28</v>
      </c>
      <c r="B34" s="7" t="s">
        <v>285</v>
      </c>
      <c r="C34" s="1">
        <v>15</v>
      </c>
      <c r="D34" s="1">
        <v>13</v>
      </c>
      <c r="E34" s="63">
        <v>1762</v>
      </c>
      <c r="F34" s="64">
        <f t="shared" si="0"/>
        <v>288</v>
      </c>
      <c r="G34" s="64">
        <f t="shared" si="1"/>
        <v>2050</v>
      </c>
      <c r="H34" s="34">
        <v>1762.739</v>
      </c>
      <c r="I34" s="34">
        <v>30</v>
      </c>
      <c r="J34" s="34">
        <v>11.021000000000001</v>
      </c>
      <c r="K34" s="34">
        <v>54.811999999999998</v>
      </c>
      <c r="L34" s="34">
        <v>4.34</v>
      </c>
      <c r="M34" s="34">
        <v>25.19</v>
      </c>
      <c r="N34" s="34">
        <v>17.88</v>
      </c>
      <c r="O34" s="34">
        <v>15.2</v>
      </c>
      <c r="P34" s="34"/>
      <c r="Q34" s="34">
        <v>69</v>
      </c>
      <c r="R34" s="34"/>
      <c r="S34" s="34">
        <v>59.594999999999999</v>
      </c>
      <c r="T34" s="34">
        <f t="shared" si="2"/>
        <v>287.03800000000001</v>
      </c>
      <c r="U34" s="155">
        <f t="shared" si="3"/>
        <v>2049.777</v>
      </c>
    </row>
    <row r="35" spans="1:21" s="35" customFormat="1" ht="19.5" customHeight="1">
      <c r="A35" s="1">
        <v>29</v>
      </c>
      <c r="B35" s="7" t="s">
        <v>286</v>
      </c>
      <c r="C35" s="1">
        <v>29</v>
      </c>
      <c r="D35" s="1">
        <v>28</v>
      </c>
      <c r="E35" s="63">
        <v>4394</v>
      </c>
      <c r="F35" s="64">
        <f t="shared" si="0"/>
        <v>556.79999999999995</v>
      </c>
      <c r="G35" s="64">
        <f t="shared" si="1"/>
        <v>4950.8</v>
      </c>
      <c r="H35" s="34">
        <f>1630+82+2207+475</f>
        <v>4394</v>
      </c>
      <c r="I35" s="34"/>
      <c r="J35" s="34">
        <v>19</v>
      </c>
      <c r="K35" s="34">
        <v>24</v>
      </c>
      <c r="L35" s="34">
        <v>7</v>
      </c>
      <c r="M35" s="34">
        <v>76</v>
      </c>
      <c r="N35" s="34"/>
      <c r="O35" s="34">
        <v>68</v>
      </c>
      <c r="P35" s="34">
        <f>63+40</f>
        <v>103</v>
      </c>
      <c r="Q35" s="34">
        <v>77</v>
      </c>
      <c r="R35" s="34"/>
      <c r="S35" s="34">
        <v>112</v>
      </c>
      <c r="T35" s="34">
        <f t="shared" si="2"/>
        <v>486</v>
      </c>
      <c r="U35" s="155">
        <f t="shared" si="3"/>
        <v>4880</v>
      </c>
    </row>
    <row r="36" spans="1:21" s="35" customFormat="1" ht="19.5" customHeight="1">
      <c r="A36" s="1">
        <v>30</v>
      </c>
      <c r="B36" s="7" t="s">
        <v>148</v>
      </c>
      <c r="C36" s="1">
        <v>10</v>
      </c>
      <c r="D36" s="1">
        <v>10</v>
      </c>
      <c r="E36" s="63">
        <v>1283</v>
      </c>
      <c r="F36" s="64">
        <f t="shared" si="0"/>
        <v>192</v>
      </c>
      <c r="G36" s="64">
        <f t="shared" si="1"/>
        <v>1475</v>
      </c>
      <c r="H36" s="34">
        <v>1314.9490000000001</v>
      </c>
      <c r="I36" s="34"/>
      <c r="J36" s="34">
        <v>3.4140000000000001</v>
      </c>
      <c r="K36" s="34">
        <v>9.375</v>
      </c>
      <c r="L36" s="34"/>
      <c r="M36" s="34">
        <v>23.05</v>
      </c>
      <c r="N36" s="34"/>
      <c r="O36" s="34">
        <v>8.76</v>
      </c>
      <c r="P36" s="34">
        <v>14.96</v>
      </c>
      <c r="Q36" s="34">
        <v>61.183999999999997</v>
      </c>
      <c r="R36" s="34"/>
      <c r="S36" s="34">
        <v>39.21</v>
      </c>
      <c r="T36" s="34">
        <f t="shared" si="2"/>
        <v>159.953</v>
      </c>
      <c r="U36" s="155">
        <f t="shared" si="3"/>
        <v>1474.902</v>
      </c>
    </row>
    <row r="37" spans="1:21" s="35" customFormat="1" ht="19.5" customHeight="1">
      <c r="A37" s="1">
        <v>31</v>
      </c>
      <c r="B37" s="7" t="s">
        <v>149</v>
      </c>
      <c r="C37" s="1">
        <v>18</v>
      </c>
      <c r="D37" s="1">
        <v>17</v>
      </c>
      <c r="E37" s="63">
        <v>2732</v>
      </c>
      <c r="F37" s="64">
        <f t="shared" si="0"/>
        <v>345.59999999999997</v>
      </c>
      <c r="G37" s="64">
        <f t="shared" si="1"/>
        <v>3077.6</v>
      </c>
      <c r="H37" s="34">
        <v>2725</v>
      </c>
      <c r="I37" s="34"/>
      <c r="J37" s="34">
        <v>25</v>
      </c>
      <c r="K37" s="34">
        <v>19</v>
      </c>
      <c r="L37" s="34">
        <v>0.2</v>
      </c>
      <c r="M37" s="34">
        <v>63</v>
      </c>
      <c r="N37" s="34">
        <v>45</v>
      </c>
      <c r="O37" s="34">
        <v>122</v>
      </c>
      <c r="P37" s="34"/>
      <c r="Q37" s="34">
        <v>57</v>
      </c>
      <c r="R37" s="34" t="s">
        <v>36</v>
      </c>
      <c r="S37" s="34">
        <v>21</v>
      </c>
      <c r="T37" s="34">
        <f t="shared" si="2"/>
        <v>352.2</v>
      </c>
      <c r="U37" s="155">
        <f t="shared" si="3"/>
        <v>3077.2</v>
      </c>
    </row>
    <row r="38" spans="1:21" s="35" customFormat="1" ht="19.5" customHeight="1">
      <c r="A38" s="1">
        <v>32</v>
      </c>
      <c r="B38" s="7" t="s">
        <v>150</v>
      </c>
      <c r="C38" s="1">
        <v>18</v>
      </c>
      <c r="D38" s="1">
        <v>15</v>
      </c>
      <c r="E38" s="63">
        <v>3451</v>
      </c>
      <c r="F38" s="64">
        <f t="shared" si="0"/>
        <v>345.59999999999997</v>
      </c>
      <c r="G38" s="64">
        <f t="shared" si="1"/>
        <v>3796.6</v>
      </c>
      <c r="H38" s="34">
        <v>3181</v>
      </c>
      <c r="I38" s="34">
        <v>70</v>
      </c>
      <c r="J38" s="34">
        <v>0</v>
      </c>
      <c r="K38" s="34">
        <v>19</v>
      </c>
      <c r="L38" s="34">
        <v>0</v>
      </c>
      <c r="M38" s="34">
        <v>44</v>
      </c>
      <c r="N38" s="34">
        <v>5</v>
      </c>
      <c r="O38" s="34">
        <v>216</v>
      </c>
      <c r="P38" s="34">
        <v>12</v>
      </c>
      <c r="Q38" s="34">
        <v>82</v>
      </c>
      <c r="R38" s="34" t="s">
        <v>36</v>
      </c>
      <c r="S38" s="34">
        <v>168</v>
      </c>
      <c r="T38" s="34">
        <f t="shared" si="2"/>
        <v>616</v>
      </c>
      <c r="U38" s="155">
        <f t="shared" si="3"/>
        <v>3797</v>
      </c>
    </row>
    <row r="39" spans="1:21" s="35" customFormat="1" ht="19.5" customHeight="1">
      <c r="A39" s="1">
        <v>33</v>
      </c>
      <c r="B39" s="7" t="s">
        <v>151</v>
      </c>
      <c r="C39" s="1">
        <v>10</v>
      </c>
      <c r="D39" s="1">
        <v>10</v>
      </c>
      <c r="E39" s="63">
        <v>1238</v>
      </c>
      <c r="F39" s="64">
        <f t="shared" si="0"/>
        <v>192</v>
      </c>
      <c r="G39" s="64">
        <f t="shared" si="1"/>
        <v>1430</v>
      </c>
      <c r="H39" s="34">
        <v>1232.2</v>
      </c>
      <c r="I39" s="34">
        <v>9</v>
      </c>
      <c r="J39" s="34">
        <v>4.5</v>
      </c>
      <c r="K39" s="34">
        <v>14.6</v>
      </c>
      <c r="L39" s="34">
        <v>7.8</v>
      </c>
      <c r="M39" s="34">
        <v>23.3</v>
      </c>
      <c r="N39" s="34">
        <v>17.100000000000001</v>
      </c>
      <c r="O39" s="34">
        <v>1.2</v>
      </c>
      <c r="P39" s="34">
        <v>46.5</v>
      </c>
      <c r="Q39" s="34">
        <v>31.6</v>
      </c>
      <c r="R39" s="34"/>
      <c r="S39" s="34">
        <v>42</v>
      </c>
      <c r="T39" s="34">
        <f t="shared" si="2"/>
        <v>197.60000000000002</v>
      </c>
      <c r="U39" s="155">
        <f t="shared" si="3"/>
        <v>1429.8000000000002</v>
      </c>
    </row>
    <row r="40" spans="1:21" s="35" customFormat="1" ht="19.5" customHeight="1">
      <c r="A40" s="1">
        <v>34</v>
      </c>
      <c r="B40" s="2" t="s">
        <v>152</v>
      </c>
      <c r="C40" s="1">
        <v>35</v>
      </c>
      <c r="D40" s="1">
        <v>34</v>
      </c>
      <c r="E40" s="63">
        <v>3693</v>
      </c>
      <c r="F40" s="64">
        <v>651</v>
      </c>
      <c r="G40" s="64">
        <f t="shared" si="1"/>
        <v>4344</v>
      </c>
      <c r="H40" s="34">
        <v>3716</v>
      </c>
      <c r="I40" s="34"/>
      <c r="J40" s="34">
        <v>29</v>
      </c>
      <c r="K40" s="34">
        <v>71</v>
      </c>
      <c r="L40" s="34">
        <v>11</v>
      </c>
      <c r="M40" s="34">
        <v>111</v>
      </c>
      <c r="N40" s="34">
        <v>2</v>
      </c>
      <c r="O40" s="34">
        <v>81</v>
      </c>
      <c r="P40" s="34">
        <v>57</v>
      </c>
      <c r="Q40" s="34">
        <v>95</v>
      </c>
      <c r="R40" s="34">
        <v>16</v>
      </c>
      <c r="S40" s="34">
        <v>155</v>
      </c>
      <c r="T40" s="34">
        <f t="shared" si="2"/>
        <v>628</v>
      </c>
      <c r="U40" s="155">
        <f t="shared" si="3"/>
        <v>4344</v>
      </c>
    </row>
    <row r="41" spans="1:21" s="35" customFormat="1" ht="19.5" customHeight="1">
      <c r="A41" s="1">
        <v>35</v>
      </c>
      <c r="B41" s="7" t="s">
        <v>153</v>
      </c>
      <c r="C41" s="1">
        <v>22</v>
      </c>
      <c r="D41" s="1">
        <v>21</v>
      </c>
      <c r="E41" s="63">
        <v>2434</v>
      </c>
      <c r="F41" s="64">
        <f t="shared" si="0"/>
        <v>422.4</v>
      </c>
      <c r="G41" s="64">
        <f t="shared" si="1"/>
        <v>2856.4</v>
      </c>
      <c r="H41" s="34">
        <v>2440</v>
      </c>
      <c r="I41" s="34">
        <v>28</v>
      </c>
      <c r="J41" s="34">
        <v>0</v>
      </c>
      <c r="K41" s="34">
        <v>31</v>
      </c>
      <c r="L41" s="34">
        <v>0</v>
      </c>
      <c r="M41" s="34">
        <v>35</v>
      </c>
      <c r="N41" s="34">
        <v>60</v>
      </c>
      <c r="O41" s="34">
        <v>18</v>
      </c>
      <c r="P41" s="34">
        <v>37</v>
      </c>
      <c r="Q41" s="34">
        <v>135</v>
      </c>
      <c r="R41" s="34" t="s">
        <v>36</v>
      </c>
      <c r="S41" s="34">
        <v>72</v>
      </c>
      <c r="T41" s="34">
        <f t="shared" si="2"/>
        <v>416</v>
      </c>
      <c r="U41" s="155">
        <f t="shared" si="3"/>
        <v>2856</v>
      </c>
    </row>
    <row r="42" spans="1:21" s="35" customFormat="1" ht="19.5" customHeight="1">
      <c r="A42" s="1">
        <v>36</v>
      </c>
      <c r="B42" s="2" t="s">
        <v>154</v>
      </c>
      <c r="C42" s="1">
        <v>20</v>
      </c>
      <c r="D42" s="1">
        <v>20</v>
      </c>
      <c r="E42" s="63">
        <v>2434</v>
      </c>
      <c r="F42" s="64">
        <f t="shared" si="0"/>
        <v>384</v>
      </c>
      <c r="G42" s="64">
        <f t="shared" si="1"/>
        <v>2818</v>
      </c>
      <c r="H42" s="34">
        <v>2405</v>
      </c>
      <c r="I42" s="34">
        <v>32</v>
      </c>
      <c r="J42" s="34">
        <v>11</v>
      </c>
      <c r="K42" s="34">
        <v>49</v>
      </c>
      <c r="L42" s="34">
        <v>1</v>
      </c>
      <c r="M42" s="34">
        <v>46</v>
      </c>
      <c r="N42" s="34">
        <v>25</v>
      </c>
      <c r="O42" s="34">
        <v>117</v>
      </c>
      <c r="P42" s="34"/>
      <c r="Q42" s="34">
        <v>70</v>
      </c>
      <c r="R42" s="34" t="s">
        <v>36</v>
      </c>
      <c r="S42" s="34">
        <v>62</v>
      </c>
      <c r="T42" s="34">
        <f t="shared" si="2"/>
        <v>413</v>
      </c>
      <c r="U42" s="155">
        <f t="shared" si="3"/>
        <v>2818</v>
      </c>
    </row>
    <row r="43" spans="1:21" s="35" customFormat="1" ht="19.5" customHeight="1">
      <c r="A43" s="1">
        <v>37</v>
      </c>
      <c r="B43" s="7" t="s">
        <v>155</v>
      </c>
      <c r="C43" s="1">
        <v>21</v>
      </c>
      <c r="D43" s="1">
        <v>21</v>
      </c>
      <c r="E43" s="63">
        <v>2449</v>
      </c>
      <c r="F43" s="64">
        <f t="shared" si="0"/>
        <v>403.2</v>
      </c>
      <c r="G43" s="64">
        <f t="shared" si="1"/>
        <v>2852.2</v>
      </c>
      <c r="H43" s="34">
        <v>2405</v>
      </c>
      <c r="I43" s="34">
        <v>49</v>
      </c>
      <c r="J43" s="34">
        <v>14</v>
      </c>
      <c r="K43" s="34">
        <v>50</v>
      </c>
      <c r="L43" s="34">
        <v>7.3</v>
      </c>
      <c r="M43" s="34">
        <v>31.4</v>
      </c>
      <c r="N43" s="34">
        <v>52</v>
      </c>
      <c r="O43" s="34">
        <v>40</v>
      </c>
      <c r="P43" s="34">
        <v>19.73</v>
      </c>
      <c r="Q43" s="34">
        <v>89</v>
      </c>
      <c r="R43" s="34"/>
      <c r="S43" s="34">
        <v>95</v>
      </c>
      <c r="T43" s="34">
        <f t="shared" si="2"/>
        <v>447.43</v>
      </c>
      <c r="U43" s="155">
        <f t="shared" si="3"/>
        <v>2852.43</v>
      </c>
    </row>
    <row r="44" spans="1:21" s="35" customFormat="1" ht="19.5" customHeight="1">
      <c r="A44" s="1">
        <v>38</v>
      </c>
      <c r="B44" s="7" t="s">
        <v>156</v>
      </c>
      <c r="C44" s="1">
        <v>14</v>
      </c>
      <c r="D44" s="1">
        <v>14</v>
      </c>
      <c r="E44" s="63">
        <v>1844</v>
      </c>
      <c r="F44" s="64">
        <f t="shared" si="0"/>
        <v>268.8</v>
      </c>
      <c r="G44" s="64">
        <f t="shared" si="1"/>
        <v>2112.8000000000002</v>
      </c>
      <c r="H44" s="34">
        <v>1823.6532199999999</v>
      </c>
      <c r="I44" s="34">
        <v>61.83</v>
      </c>
      <c r="J44" s="34">
        <v>15.467779999999999</v>
      </c>
      <c r="K44" s="34">
        <v>50</v>
      </c>
      <c r="L44" s="34">
        <v>6.7926469999999997</v>
      </c>
      <c r="M44" s="34">
        <v>16.108000000000001</v>
      </c>
      <c r="N44" s="34">
        <v>2.5</v>
      </c>
      <c r="O44" s="34">
        <v>49.35</v>
      </c>
      <c r="P44" s="34">
        <v>14.6</v>
      </c>
      <c r="Q44" s="34">
        <v>31.679200000000002</v>
      </c>
      <c r="R44" s="34"/>
      <c r="S44" s="34">
        <v>40.441580000000002</v>
      </c>
      <c r="T44" s="34">
        <f t="shared" si="2"/>
        <v>288.76920699999999</v>
      </c>
      <c r="U44" s="155">
        <f t="shared" si="3"/>
        <v>2112.422427</v>
      </c>
    </row>
    <row r="45" spans="1:21" s="35" customFormat="1" ht="19.5" customHeight="1">
      <c r="A45" s="1">
        <v>39</v>
      </c>
      <c r="B45" s="2" t="s">
        <v>157</v>
      </c>
      <c r="C45" s="1">
        <v>21</v>
      </c>
      <c r="D45" s="1">
        <v>19</v>
      </c>
      <c r="E45" s="63">
        <v>2422</v>
      </c>
      <c r="F45" s="64">
        <f t="shared" si="0"/>
        <v>403.2</v>
      </c>
      <c r="G45" s="64">
        <f t="shared" si="1"/>
        <v>2825.2</v>
      </c>
      <c r="H45" s="34">
        <v>2459.5100000000002</v>
      </c>
      <c r="I45" s="34">
        <v>13</v>
      </c>
      <c r="J45" s="34">
        <v>10.52</v>
      </c>
      <c r="K45" s="34">
        <v>74.27</v>
      </c>
      <c r="L45" s="34">
        <v>14.52</v>
      </c>
      <c r="M45" s="34">
        <v>29.28</v>
      </c>
      <c r="N45" s="34">
        <v>17.88</v>
      </c>
      <c r="O45" s="34">
        <v>48.84</v>
      </c>
      <c r="P45" s="34">
        <v>17.5</v>
      </c>
      <c r="Q45" s="34">
        <v>106.25</v>
      </c>
      <c r="R45" s="34"/>
      <c r="S45" s="34">
        <v>33.130000000000003</v>
      </c>
      <c r="T45" s="34">
        <f t="shared" si="2"/>
        <v>365.18999999999994</v>
      </c>
      <c r="U45" s="155">
        <f t="shared" si="3"/>
        <v>2824.7000000000003</v>
      </c>
    </row>
    <row r="46" spans="1:21" s="35" customFormat="1" ht="19.5" customHeight="1">
      <c r="A46" s="1">
        <v>40</v>
      </c>
      <c r="B46" s="7" t="s">
        <v>158</v>
      </c>
      <c r="C46" s="1">
        <v>13</v>
      </c>
      <c r="D46" s="1">
        <v>12</v>
      </c>
      <c r="E46" s="63">
        <v>1492</v>
      </c>
      <c r="F46" s="64">
        <f>12*19.2</f>
        <v>230.39999999999998</v>
      </c>
      <c r="G46" s="64">
        <f t="shared" si="1"/>
        <v>1722.4</v>
      </c>
      <c r="H46" s="34">
        <v>1479.4159999999999</v>
      </c>
      <c r="I46" s="34"/>
      <c r="J46" s="34">
        <v>16.023</v>
      </c>
      <c r="K46" s="34">
        <v>64</v>
      </c>
      <c r="L46" s="34">
        <v>6.0570000000000004</v>
      </c>
      <c r="M46" s="34">
        <v>26.06</v>
      </c>
      <c r="N46" s="34"/>
      <c r="O46" s="34">
        <v>10.565</v>
      </c>
      <c r="P46" s="34">
        <v>34.630000000000003</v>
      </c>
      <c r="Q46" s="34">
        <v>36.207000000000001</v>
      </c>
      <c r="R46" s="34"/>
      <c r="S46" s="34">
        <v>49.265999999999998</v>
      </c>
      <c r="T46" s="34">
        <f t="shared" si="2"/>
        <v>242.80799999999999</v>
      </c>
      <c r="U46" s="155">
        <f t="shared" si="3"/>
        <v>1722.2239999999999</v>
      </c>
    </row>
    <row r="47" spans="1:21" s="35" customFormat="1" ht="19.5" customHeight="1">
      <c r="A47" s="1">
        <v>41</v>
      </c>
      <c r="B47" s="7" t="s">
        <v>159</v>
      </c>
      <c r="C47" s="1">
        <v>20</v>
      </c>
      <c r="D47" s="1">
        <v>20</v>
      </c>
      <c r="E47" s="63">
        <v>2777</v>
      </c>
      <c r="F47" s="64">
        <f t="shared" si="0"/>
        <v>384</v>
      </c>
      <c r="G47" s="64">
        <f t="shared" si="1"/>
        <v>3161</v>
      </c>
      <c r="H47" s="34">
        <v>2593</v>
      </c>
      <c r="I47" s="34">
        <v>11</v>
      </c>
      <c r="J47" s="34">
        <v>16</v>
      </c>
      <c r="K47" s="34">
        <v>57</v>
      </c>
      <c r="L47" s="34">
        <v>5</v>
      </c>
      <c r="M47" s="34">
        <v>58</v>
      </c>
      <c r="N47" s="34">
        <v>42</v>
      </c>
      <c r="O47" s="34">
        <v>179</v>
      </c>
      <c r="P47" s="34">
        <v>66</v>
      </c>
      <c r="Q47" s="34">
        <v>110</v>
      </c>
      <c r="R47" s="34" t="s">
        <v>36</v>
      </c>
      <c r="S47" s="34">
        <v>24</v>
      </c>
      <c r="T47" s="34">
        <f t="shared" si="2"/>
        <v>568</v>
      </c>
      <c r="U47" s="155">
        <f t="shared" si="3"/>
        <v>3161</v>
      </c>
    </row>
    <row r="48" spans="1:21" s="35" customFormat="1" ht="19.5" customHeight="1">
      <c r="A48" s="1">
        <v>42</v>
      </c>
      <c r="B48" s="7" t="s">
        <v>160</v>
      </c>
      <c r="C48" s="1">
        <v>13</v>
      </c>
      <c r="D48" s="1">
        <v>11</v>
      </c>
      <c r="E48" s="63">
        <v>1642</v>
      </c>
      <c r="F48" s="64">
        <f>(C48-1)*19.2</f>
        <v>230.39999999999998</v>
      </c>
      <c r="G48" s="64">
        <f t="shared" si="1"/>
        <v>1872.4</v>
      </c>
      <c r="H48" s="34">
        <v>1497</v>
      </c>
      <c r="I48" s="34">
        <v>51</v>
      </c>
      <c r="J48" s="34">
        <v>13</v>
      </c>
      <c r="K48" s="34">
        <v>32</v>
      </c>
      <c r="L48" s="34">
        <v>5</v>
      </c>
      <c r="M48" s="34">
        <v>65</v>
      </c>
      <c r="N48" s="34">
        <v>18</v>
      </c>
      <c r="O48" s="34">
        <v>16</v>
      </c>
      <c r="P48" s="34">
        <v>0</v>
      </c>
      <c r="Q48" s="34">
        <v>63</v>
      </c>
      <c r="R48" s="34" t="s">
        <v>36</v>
      </c>
      <c r="S48" s="34">
        <v>112</v>
      </c>
      <c r="T48" s="34">
        <f t="shared" si="2"/>
        <v>375</v>
      </c>
      <c r="U48" s="155">
        <f t="shared" si="3"/>
        <v>1872</v>
      </c>
    </row>
    <row r="49" spans="1:21" s="35" customFormat="1" ht="19.5" customHeight="1">
      <c r="A49" s="1">
        <v>43</v>
      </c>
      <c r="B49" s="7" t="s">
        <v>161</v>
      </c>
      <c r="C49" s="1">
        <v>13</v>
      </c>
      <c r="D49" s="1">
        <v>10</v>
      </c>
      <c r="E49" s="63">
        <v>1060</v>
      </c>
      <c r="F49" s="64">
        <f>(C49-1)*19.2</f>
        <v>230.39999999999998</v>
      </c>
      <c r="G49" s="64">
        <f t="shared" si="1"/>
        <v>1290.4000000000001</v>
      </c>
      <c r="H49" s="34">
        <v>1030.4000000000001</v>
      </c>
      <c r="I49" s="34">
        <v>40</v>
      </c>
      <c r="J49" s="34">
        <v>8.8000000000000007</v>
      </c>
      <c r="K49" s="34">
        <v>5.9</v>
      </c>
      <c r="L49" s="34">
        <v>0.08</v>
      </c>
      <c r="M49" s="34">
        <v>36.299999999999997</v>
      </c>
      <c r="N49" s="34">
        <v>2.1</v>
      </c>
      <c r="O49" s="34">
        <v>24.1</v>
      </c>
      <c r="P49" s="34">
        <v>31</v>
      </c>
      <c r="Q49" s="34">
        <v>58.2</v>
      </c>
      <c r="R49" s="34"/>
      <c r="S49" s="34">
        <v>52.9</v>
      </c>
      <c r="T49" s="34">
        <f t="shared" si="2"/>
        <v>259.37999999999994</v>
      </c>
      <c r="U49" s="155">
        <f t="shared" si="3"/>
        <v>1289.78</v>
      </c>
    </row>
    <row r="50" spans="1:21" s="35" customFormat="1" ht="19.5" customHeight="1">
      <c r="A50" s="180" t="s">
        <v>19</v>
      </c>
      <c r="B50" s="177"/>
      <c r="C50" s="61">
        <f>SUM(C7:C49)</f>
        <v>734</v>
      </c>
      <c r="D50" s="61">
        <f t="shared" ref="D50:U50" si="4">SUM(D7:D49)</f>
        <v>676</v>
      </c>
      <c r="E50" s="14">
        <f>SUM(E7:E49)</f>
        <v>87233</v>
      </c>
      <c r="F50" s="14">
        <f t="shared" ref="F50:H50" si="5">SUM(F7:F49)</f>
        <v>14021.199999999997</v>
      </c>
      <c r="G50" s="14">
        <f t="shared" si="5"/>
        <v>101254.19999999998</v>
      </c>
      <c r="H50" s="5">
        <f t="shared" si="5"/>
        <v>86179.109889999978</v>
      </c>
      <c r="I50" s="6">
        <f t="shared" si="4"/>
        <v>1741.108935</v>
      </c>
      <c r="J50" s="6">
        <f t="shared" si="4"/>
        <v>658.37573499999996</v>
      </c>
      <c r="K50" s="6">
        <f t="shared" si="4"/>
        <v>1903.8318439999996</v>
      </c>
      <c r="L50" s="6">
        <f t="shared" si="4"/>
        <v>201.84644700000004</v>
      </c>
      <c r="M50" s="6">
        <f t="shared" si="4"/>
        <v>1326.867</v>
      </c>
      <c r="N50" s="6">
        <f t="shared" si="4"/>
        <v>843.57000000000016</v>
      </c>
      <c r="O50" s="6">
        <f t="shared" si="4"/>
        <v>2338.6070000000004</v>
      </c>
      <c r="P50" s="6">
        <f t="shared" si="4"/>
        <v>894.07900000000006</v>
      </c>
      <c r="Q50" s="6">
        <f t="shared" si="4"/>
        <v>2851.1609959999996</v>
      </c>
      <c r="R50" s="6">
        <f t="shared" si="4"/>
        <v>16</v>
      </c>
      <c r="S50" s="6">
        <f t="shared" si="4"/>
        <v>2225.7690600000001</v>
      </c>
      <c r="T50" s="6">
        <f t="shared" si="4"/>
        <v>15001.216017000001</v>
      </c>
      <c r="U50" s="6">
        <f t="shared" si="4"/>
        <v>101180.32590699998</v>
      </c>
    </row>
    <row r="51" spans="1:21" s="35" customFormat="1" ht="19.5" customHeight="1"/>
    <row r="52" spans="1:21" s="35" customFormat="1" ht="19.5" customHeight="1"/>
    <row r="53" spans="1:21" s="35" customFormat="1" ht="19.5" customHeight="1"/>
    <row r="54" spans="1:21" s="35" customFormat="1" ht="19.5" customHeight="1"/>
    <row r="55" spans="1:21" s="35" customFormat="1" ht="19.5" customHeight="1"/>
    <row r="56" spans="1:21" s="35" customFormat="1" ht="19.5" customHeight="1"/>
    <row r="57" spans="1:21" s="35" customFormat="1" ht="19.5" customHeight="1"/>
    <row r="58" spans="1:21" s="35" customFormat="1" ht="19.5" customHeight="1"/>
    <row r="59" spans="1:21" s="35" customFormat="1" ht="19.5" customHeight="1"/>
    <row r="60" spans="1:21" s="35" customFormat="1" ht="19.5" customHeight="1"/>
    <row r="61" spans="1:21" s="35" customFormat="1" ht="19.5" customHeight="1"/>
    <row r="62" spans="1:21" s="35" customFormat="1" ht="19.5" customHeight="1"/>
    <row r="63" spans="1:21" s="35" customFormat="1" ht="19.5" customHeight="1"/>
    <row r="64" spans="1:21" s="35" customFormat="1" ht="19.5" customHeight="1"/>
    <row r="65" s="35" customFormat="1" ht="19.5" customHeight="1"/>
    <row r="66" s="35" customFormat="1" ht="19.5" customHeight="1"/>
    <row r="67" s="35" customFormat="1" ht="19.5" customHeight="1"/>
    <row r="68" s="35" customFormat="1" ht="19.5" customHeight="1"/>
    <row r="69" s="35" customFormat="1" ht="19.5" customHeight="1"/>
    <row r="70" s="35" customFormat="1" ht="19.5" customHeight="1"/>
    <row r="71" s="35" customFormat="1" ht="19.5" customHeight="1"/>
    <row r="72" s="35" customFormat="1" ht="19.5" customHeight="1"/>
    <row r="73" s="35" customFormat="1" ht="19.5" customHeight="1"/>
    <row r="74" s="35" customFormat="1" ht="19.5" customHeight="1"/>
    <row r="75" s="35" customFormat="1" ht="19.5" customHeight="1"/>
    <row r="76" s="35" customFormat="1" ht="19.5" customHeight="1"/>
    <row r="77" s="35" customFormat="1" ht="19.5" customHeight="1"/>
    <row r="78" s="35" customFormat="1" ht="19.5" customHeight="1"/>
    <row r="79" s="35" customFormat="1" ht="19.5" customHeight="1"/>
    <row r="80" s="35" customFormat="1" ht="19.5" customHeight="1"/>
    <row r="81" s="35" customFormat="1" ht="19.5" customHeight="1"/>
    <row r="82" s="35" customFormat="1" ht="19.5" customHeight="1"/>
    <row r="83" s="35" customFormat="1" ht="19.5" customHeight="1"/>
    <row r="84" s="35" customFormat="1" ht="19.5" customHeight="1"/>
    <row r="85" s="35" customFormat="1" ht="19.5" customHeight="1"/>
    <row r="86" s="35" customFormat="1" ht="19.5" customHeight="1"/>
    <row r="87" s="35" customFormat="1" ht="19.5" customHeight="1"/>
    <row r="88" s="35" customFormat="1" ht="19.5" customHeight="1"/>
    <row r="89" s="35" customFormat="1" ht="19.5" customHeight="1"/>
    <row r="90" s="35" customFormat="1" ht="19.5" customHeight="1"/>
    <row r="91" s="35" customFormat="1" ht="19.5" customHeight="1"/>
    <row r="92" s="35" customFormat="1" ht="19.5" customHeight="1"/>
    <row r="93" s="35" customFormat="1" ht="19.5" customHeight="1"/>
    <row r="94" s="35" customFormat="1" ht="19.5" customHeight="1"/>
    <row r="95" s="35" customFormat="1" ht="19.5" customHeight="1"/>
    <row r="96" s="35" customFormat="1" ht="19.5" customHeight="1"/>
    <row r="97" s="35" customFormat="1" ht="19.5" customHeight="1"/>
    <row r="98" s="35" customFormat="1" ht="19.5" customHeight="1"/>
    <row r="99" s="35" customFormat="1" ht="19.5" customHeight="1"/>
    <row r="100" s="35" customFormat="1" ht="19.5" customHeight="1"/>
    <row r="101" s="35" customFormat="1" ht="19.5" customHeight="1"/>
    <row r="102" s="35" customFormat="1" ht="19.5" customHeight="1"/>
    <row r="103" s="35" customFormat="1" ht="19.5" customHeight="1"/>
    <row r="104" s="35" customFormat="1" ht="19.5" customHeight="1"/>
    <row r="105" s="35" customFormat="1" ht="19.5" customHeight="1"/>
    <row r="106" s="35" customFormat="1" ht="19.5" customHeight="1"/>
    <row r="107" s="35" customFormat="1" ht="19.5" customHeight="1"/>
    <row r="108" s="35" customFormat="1" ht="19.5" customHeight="1"/>
    <row r="109" s="35" customFormat="1" ht="19.5" customHeight="1"/>
    <row r="110" s="35" customFormat="1" ht="19.5" customHeight="1"/>
    <row r="111" s="35" customFormat="1" ht="19.5" customHeight="1"/>
    <row r="112" s="35" customFormat="1" ht="19.5" customHeight="1"/>
    <row r="113" s="35" customFormat="1" ht="19.5" customHeight="1"/>
    <row r="114" s="35" customFormat="1" ht="19.5" customHeight="1"/>
    <row r="115" s="35" customFormat="1" ht="19.5" customHeight="1"/>
    <row r="116" s="35" customFormat="1" ht="19.5" customHeight="1"/>
    <row r="117" s="35" customFormat="1" ht="19.5" customHeight="1"/>
    <row r="118" s="35" customFormat="1" ht="19.5" customHeight="1"/>
    <row r="119" s="35" customFormat="1" ht="19.5" customHeight="1"/>
    <row r="120" s="35" customFormat="1" ht="19.5" customHeight="1"/>
    <row r="121" s="35" customFormat="1" ht="19.5" customHeight="1"/>
    <row r="122" s="35" customFormat="1" ht="19.5" customHeight="1"/>
    <row r="123" s="35" customFormat="1" ht="19.5" customHeight="1"/>
    <row r="124" s="35" customFormat="1" ht="19.5" customHeight="1"/>
    <row r="125" s="35" customFormat="1" ht="19.5" customHeight="1"/>
    <row r="126" s="35" customFormat="1" ht="19.5" customHeight="1"/>
    <row r="127" s="35" customFormat="1" ht="19.5" customHeight="1"/>
    <row r="128" s="35" customFormat="1" ht="19.5" customHeight="1"/>
    <row r="129" s="35" customFormat="1" ht="19.5" customHeight="1"/>
    <row r="130" s="35" customFormat="1" ht="19.5" customHeight="1"/>
    <row r="131" s="35" customFormat="1" ht="19.5" customHeight="1"/>
    <row r="132" s="35" customFormat="1" ht="19.5" customHeight="1"/>
    <row r="133" s="35" customFormat="1" ht="19.5" customHeight="1"/>
    <row r="134" s="35" customFormat="1" ht="19.5" customHeight="1"/>
    <row r="135" s="35" customFormat="1" ht="19.5" customHeight="1"/>
    <row r="136" s="35" customFormat="1" ht="19.5" customHeight="1"/>
    <row r="137" s="35" customFormat="1" ht="19.5" customHeight="1"/>
    <row r="138" s="12" customFormat="1" ht="19.5" customHeight="1"/>
    <row r="139" s="12" customFormat="1" ht="19.5" customHeight="1"/>
    <row r="140" s="35" customFormat="1" ht="19.5" customHeight="1"/>
    <row r="141" s="35" customFormat="1" ht="19.5" customHeight="1"/>
    <row r="142" s="35" customFormat="1" ht="19.5" customHeight="1"/>
    <row r="143" s="35" customFormat="1" ht="19.5" customHeight="1"/>
    <row r="144" s="35" customFormat="1" ht="19.5" customHeight="1"/>
    <row r="145" s="35" customFormat="1" ht="19.5" customHeight="1"/>
    <row r="146" s="35" customFormat="1" ht="19.5" customHeight="1"/>
    <row r="147" s="35" customFormat="1" ht="19.5" customHeight="1"/>
    <row r="148" s="35" customFormat="1" ht="19.5" customHeight="1"/>
    <row r="149" s="35" customFormat="1" ht="19.5" customHeight="1"/>
    <row r="150" s="35" customFormat="1" ht="19.5" customHeight="1"/>
    <row r="151" s="35" customFormat="1" ht="19.5" customHeight="1"/>
    <row r="152" s="35" customFormat="1" ht="19.5" customHeight="1"/>
    <row r="153" s="35" customFormat="1" ht="19.5" customHeight="1"/>
    <row r="154" s="35" customFormat="1" ht="19.5" customHeight="1"/>
    <row r="155" s="35" customFormat="1" ht="19.5" customHeight="1"/>
    <row r="156" s="35" customFormat="1" ht="19.5" customHeight="1"/>
    <row r="157" s="35" customFormat="1" ht="19.5" customHeight="1"/>
    <row r="158" s="35" customFormat="1" ht="19.5" customHeight="1"/>
    <row r="159" s="35" customFormat="1" ht="19.5" customHeight="1"/>
    <row r="160" s="35" customFormat="1" ht="19.5" customHeight="1"/>
    <row r="161" spans="1:7" s="35" customFormat="1" ht="19.5" customHeight="1"/>
    <row r="162" spans="1:7" s="35" customFormat="1" ht="19.5" customHeight="1"/>
    <row r="163" spans="1:7" s="35" customFormat="1" ht="19.5" customHeight="1"/>
    <row r="164" spans="1:7" s="35" customFormat="1" ht="19.5" customHeight="1"/>
    <row r="165" spans="1:7" s="35" customFormat="1" ht="19.5" customHeight="1"/>
    <row r="166" spans="1:7" s="35" customFormat="1" ht="19.5" customHeight="1"/>
    <row r="167" spans="1:7" s="35" customFormat="1" ht="19.5" customHeight="1"/>
    <row r="168" spans="1:7" s="35" customFormat="1" ht="19.5" customHeight="1"/>
    <row r="169" spans="1:7" s="35" customFormat="1" ht="19.5" customHeight="1"/>
    <row r="170" spans="1:7" s="13" customFormat="1" ht="21" customHeight="1"/>
    <row r="171" spans="1:7" s="35" customFormat="1" ht="19.5" customHeight="1"/>
    <row r="172" spans="1:7" s="35" customFormat="1" ht="19.5" customHeight="1"/>
    <row r="173" spans="1:7" s="35" customFormat="1" ht="19.5" customHeight="1"/>
    <row r="174" spans="1:7" s="60" customFormat="1" ht="19.5" customHeight="1">
      <c r="G174" s="118"/>
    </row>
    <row r="175" spans="1:7" s="35" customFormat="1" ht="19.5" customHeight="1"/>
    <row r="176" spans="1:7" ht="19.5" customHeight="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</sheetData>
  <autoFilter ref="A6:U175"/>
  <mergeCells count="11">
    <mergeCell ref="A50:B50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8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6.28515625" style="18" customWidth="1"/>
    <col min="3" max="3" width="7" style="18" customWidth="1"/>
    <col min="4" max="4" width="5.5703125" style="18" customWidth="1"/>
    <col min="5" max="5" width="9.5703125" style="18" customWidth="1"/>
    <col min="6" max="6" width="8.7109375" style="18" customWidth="1"/>
    <col min="7" max="7" width="7.28515625" style="73" customWidth="1"/>
    <col min="8" max="8" width="10.28515625" style="18" customWidth="1"/>
    <col min="9" max="10" width="6.85546875" style="18" customWidth="1"/>
    <col min="11" max="11" width="8.42578125" style="18" customWidth="1"/>
    <col min="12" max="12" width="8.85546875" style="18" customWidth="1"/>
    <col min="13" max="13" width="7" style="18" customWidth="1"/>
    <col min="14" max="14" width="7.28515625" style="18" customWidth="1"/>
    <col min="15" max="15" width="10.140625" style="18" customWidth="1"/>
    <col min="16" max="16" width="9.85546875" style="18" customWidth="1"/>
    <col min="17" max="17" width="9.42578125" style="18" customWidth="1"/>
    <col min="18" max="18" width="8.42578125" style="18" customWidth="1"/>
    <col min="19" max="19" width="7.28515625" style="18" customWidth="1"/>
    <col min="20" max="20" width="10" style="18" customWidth="1"/>
    <col min="21" max="21" width="9" style="18" customWidth="1"/>
    <col min="22" max="16384" width="9.140625" style="18"/>
  </cols>
  <sheetData>
    <row r="1" spans="1:21" ht="21.75" customHeight="1">
      <c r="A1" s="158" t="s">
        <v>288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0" t="s">
        <v>20</v>
      </c>
    </row>
    <row r="4" spans="1:21" ht="19.5" customHeight="1">
      <c r="A4" s="160" t="s">
        <v>0</v>
      </c>
      <c r="B4" s="160" t="s">
        <v>18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19.5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93.75" customHeight="1">
      <c r="A6" s="160"/>
      <c r="B6" s="160"/>
      <c r="C6" s="21" t="s">
        <v>2</v>
      </c>
      <c r="D6" s="21" t="s">
        <v>3</v>
      </c>
      <c r="E6" s="22" t="s">
        <v>184</v>
      </c>
      <c r="F6" s="22" t="s">
        <v>185</v>
      </c>
      <c r="G6" s="115" t="s">
        <v>19</v>
      </c>
      <c r="H6" s="170"/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14</v>
      </c>
      <c r="Q6" s="22" t="s">
        <v>15</v>
      </c>
      <c r="R6" s="22" t="s">
        <v>17</v>
      </c>
      <c r="S6" s="22" t="s">
        <v>16</v>
      </c>
      <c r="T6" s="22" t="s">
        <v>186</v>
      </c>
      <c r="U6" s="172"/>
    </row>
    <row r="7" spans="1:21" s="23" customFormat="1" ht="19.5" customHeight="1">
      <c r="A7" s="15">
        <v>1</v>
      </c>
      <c r="B7" s="16" t="s">
        <v>301</v>
      </c>
      <c r="C7" s="17">
        <v>16</v>
      </c>
      <c r="D7" s="17">
        <v>15</v>
      </c>
      <c r="E7" s="17">
        <v>1809.5832800000001</v>
      </c>
      <c r="F7" s="17">
        <v>446.81287099999997</v>
      </c>
      <c r="G7" s="17">
        <f>E7+F7</f>
        <v>2256.3961509999999</v>
      </c>
      <c r="H7" s="17">
        <v>1809.5832800000001</v>
      </c>
      <c r="I7" s="17"/>
      <c r="J7" s="17">
        <v>7.6169950000000002</v>
      </c>
      <c r="K7" s="17">
        <v>20.643999999999998</v>
      </c>
      <c r="L7" s="17">
        <v>5.088533</v>
      </c>
      <c r="M7" s="17">
        <v>42.554000000000002</v>
      </c>
      <c r="N7" s="17">
        <v>55.737000000000002</v>
      </c>
      <c r="O7" s="17">
        <v>78.688436999999993</v>
      </c>
      <c r="P7" s="17"/>
      <c r="Q7" s="17">
        <v>63.13</v>
      </c>
      <c r="R7" s="17"/>
      <c r="S7" s="17">
        <v>173.35390599999999</v>
      </c>
      <c r="T7" s="17">
        <f>SUM(I7:S7)</f>
        <v>446.81287099999997</v>
      </c>
      <c r="U7" s="17">
        <f>H7+T7</f>
        <v>2256.3961509999999</v>
      </c>
    </row>
    <row r="8" spans="1:21" s="23" customFormat="1" ht="19.5" customHeight="1">
      <c r="A8" s="15">
        <v>2</v>
      </c>
      <c r="B8" s="16" t="s">
        <v>302</v>
      </c>
      <c r="C8" s="17">
        <v>14</v>
      </c>
      <c r="D8" s="17">
        <v>14</v>
      </c>
      <c r="E8" s="24">
        <v>1921</v>
      </c>
      <c r="F8" s="24">
        <v>270</v>
      </c>
      <c r="G8" s="17">
        <f t="shared" ref="G8:G41" si="0">E8+F8</f>
        <v>2191</v>
      </c>
      <c r="H8" s="24">
        <v>1920.5419999999999</v>
      </c>
      <c r="I8" s="24">
        <v>12.788</v>
      </c>
      <c r="J8" s="24">
        <v>10.593</v>
      </c>
      <c r="K8" s="24">
        <v>10.221</v>
      </c>
      <c r="L8" s="24">
        <v>1.81</v>
      </c>
      <c r="M8" s="24">
        <v>32.417999999999999</v>
      </c>
      <c r="N8" s="24">
        <v>20.38</v>
      </c>
      <c r="O8" s="24">
        <v>94.356999999999999</v>
      </c>
      <c r="P8" s="24"/>
      <c r="Q8" s="24">
        <v>55.027000000000001</v>
      </c>
      <c r="R8" s="24"/>
      <c r="S8" s="24">
        <v>32.332999999999998</v>
      </c>
      <c r="T8" s="17">
        <f t="shared" ref="T8:T41" si="1">SUM(I8:S8)</f>
        <v>269.92700000000002</v>
      </c>
      <c r="U8" s="17">
        <f t="shared" ref="U8:U41" si="2">H8+T8</f>
        <v>2190.4690000000001</v>
      </c>
    </row>
    <row r="9" spans="1:21" s="23" customFormat="1" ht="19.5" customHeight="1">
      <c r="A9" s="15">
        <v>3</v>
      </c>
      <c r="B9" s="16" t="s">
        <v>303</v>
      </c>
      <c r="C9" s="17">
        <v>21</v>
      </c>
      <c r="D9" s="17">
        <v>21</v>
      </c>
      <c r="E9" s="25">
        <v>2522.81</v>
      </c>
      <c r="F9" s="25">
        <v>386.685</v>
      </c>
      <c r="G9" s="17">
        <f t="shared" si="0"/>
        <v>2909.4949999999999</v>
      </c>
      <c r="H9" s="25">
        <v>2522.81</v>
      </c>
      <c r="I9" s="17"/>
      <c r="J9" s="25">
        <v>21.446999999999999</v>
      </c>
      <c r="K9" s="25">
        <v>22.404</v>
      </c>
      <c r="L9" s="25">
        <v>1.1200000000000001</v>
      </c>
      <c r="M9" s="25">
        <v>45.095999999999997</v>
      </c>
      <c r="N9" s="25">
        <v>44.826999999999998</v>
      </c>
      <c r="O9" s="25">
        <v>32.051000000000002</v>
      </c>
      <c r="P9" s="17"/>
      <c r="Q9" s="25">
        <v>72.338999999999999</v>
      </c>
      <c r="R9" s="17"/>
      <c r="S9" s="25">
        <v>147.40199999999999</v>
      </c>
      <c r="T9" s="17">
        <f t="shared" si="1"/>
        <v>386.68599999999998</v>
      </c>
      <c r="U9" s="17">
        <f t="shared" si="2"/>
        <v>2909.4960000000001</v>
      </c>
    </row>
    <row r="10" spans="1:21" s="23" customFormat="1" ht="19.5" customHeight="1">
      <c r="A10" s="15">
        <v>4</v>
      </c>
      <c r="B10" s="16" t="s">
        <v>304</v>
      </c>
      <c r="C10" s="26">
        <v>10</v>
      </c>
      <c r="D10" s="26">
        <v>10</v>
      </c>
      <c r="E10" s="26">
        <v>1441</v>
      </c>
      <c r="F10" s="26">
        <v>338</v>
      </c>
      <c r="G10" s="17">
        <f t="shared" si="0"/>
        <v>1779</v>
      </c>
      <c r="H10" s="26">
        <v>1440.624</v>
      </c>
      <c r="I10" s="26">
        <v>5.952</v>
      </c>
      <c r="J10" s="26">
        <v>5.4249999999999998</v>
      </c>
      <c r="K10" s="26">
        <v>15.484999999999999</v>
      </c>
      <c r="L10" s="26">
        <v>0.55900000000000005</v>
      </c>
      <c r="M10" s="26">
        <v>11.266</v>
      </c>
      <c r="N10" s="26">
        <v>37.113999999999997</v>
      </c>
      <c r="O10" s="26">
        <v>106.086</v>
      </c>
      <c r="P10" s="26">
        <v>70.378</v>
      </c>
      <c r="Q10" s="26">
        <v>49.645000000000003</v>
      </c>
      <c r="R10" s="26">
        <v>0</v>
      </c>
      <c r="S10" s="26">
        <v>36.308999999999997</v>
      </c>
      <c r="T10" s="17">
        <f t="shared" si="1"/>
        <v>338.21899999999994</v>
      </c>
      <c r="U10" s="17">
        <f t="shared" si="2"/>
        <v>1778.8429999999998</v>
      </c>
    </row>
    <row r="11" spans="1:21" s="23" customFormat="1" ht="19.5" customHeight="1">
      <c r="A11" s="15">
        <v>5</v>
      </c>
      <c r="B11" s="16" t="s">
        <v>305</v>
      </c>
      <c r="C11" s="17">
        <v>23</v>
      </c>
      <c r="D11" s="17">
        <v>23</v>
      </c>
      <c r="E11" s="25">
        <v>2699</v>
      </c>
      <c r="F11" s="25">
        <v>367</v>
      </c>
      <c r="G11" s="17">
        <f t="shared" si="0"/>
        <v>3066</v>
      </c>
      <c r="H11" s="25">
        <v>2699.3989999999999</v>
      </c>
      <c r="I11" s="25">
        <v>97.844999999999999</v>
      </c>
      <c r="J11" s="25">
        <v>10.199999999999999</v>
      </c>
      <c r="K11" s="25">
        <v>11.766</v>
      </c>
      <c r="L11" s="25">
        <v>1.637</v>
      </c>
      <c r="M11" s="25">
        <v>16.62</v>
      </c>
      <c r="N11" s="25">
        <v>37.229999999999997</v>
      </c>
      <c r="O11" s="25">
        <v>7.3</v>
      </c>
      <c r="P11" s="25"/>
      <c r="Q11" s="25">
        <v>103.74</v>
      </c>
      <c r="R11" s="25"/>
      <c r="S11" s="25">
        <v>80.31</v>
      </c>
      <c r="T11" s="17">
        <f t="shared" si="1"/>
        <v>366.64800000000002</v>
      </c>
      <c r="U11" s="17">
        <f t="shared" si="2"/>
        <v>3066.047</v>
      </c>
    </row>
    <row r="12" spans="1:21" s="23" customFormat="1" ht="19.5" customHeight="1">
      <c r="A12" s="15">
        <v>6</v>
      </c>
      <c r="B12" s="16" t="s">
        <v>306</v>
      </c>
      <c r="C12" s="17">
        <v>17</v>
      </c>
      <c r="D12" s="17">
        <v>17</v>
      </c>
      <c r="E12" s="17">
        <v>2439</v>
      </c>
      <c r="F12" s="17">
        <v>260</v>
      </c>
      <c r="G12" s="17">
        <f t="shared" si="0"/>
        <v>2699</v>
      </c>
      <c r="H12" s="17">
        <v>2439.319</v>
      </c>
      <c r="I12" s="17">
        <v>1.18</v>
      </c>
      <c r="J12" s="17">
        <v>13.066000000000001</v>
      </c>
      <c r="K12" s="17">
        <v>138.489</v>
      </c>
      <c r="L12" s="17">
        <v>3.847</v>
      </c>
      <c r="M12" s="17">
        <v>40.01</v>
      </c>
      <c r="N12" s="17">
        <v>13.77</v>
      </c>
      <c r="O12" s="17">
        <v>9.35</v>
      </c>
      <c r="P12" s="17"/>
      <c r="Q12" s="17">
        <v>12.241</v>
      </c>
      <c r="R12" s="17"/>
      <c r="S12" s="17">
        <v>27.925000000000001</v>
      </c>
      <c r="T12" s="17">
        <f t="shared" si="1"/>
        <v>259.87800000000004</v>
      </c>
      <c r="U12" s="17">
        <f t="shared" si="2"/>
        <v>2699.1970000000001</v>
      </c>
    </row>
    <row r="13" spans="1:21" s="23" customFormat="1" ht="19.5" customHeight="1">
      <c r="A13" s="15">
        <v>7</v>
      </c>
      <c r="B13" s="16" t="s">
        <v>307</v>
      </c>
      <c r="C13" s="17">
        <v>19</v>
      </c>
      <c r="D13" s="17">
        <v>19</v>
      </c>
      <c r="E13" s="24">
        <v>2347</v>
      </c>
      <c r="F13" s="24">
        <v>353</v>
      </c>
      <c r="G13" s="17">
        <f t="shared" si="0"/>
        <v>2700</v>
      </c>
      <c r="H13" s="24">
        <v>2347.0970000000002</v>
      </c>
      <c r="I13" s="24"/>
      <c r="J13" s="24">
        <v>9.218</v>
      </c>
      <c r="K13" s="24">
        <v>15.188000000000001</v>
      </c>
      <c r="L13" s="24">
        <v>1.7330000000000001</v>
      </c>
      <c r="M13" s="24">
        <v>29</v>
      </c>
      <c r="N13" s="24">
        <v>55.076999999999998</v>
      </c>
      <c r="O13" s="24">
        <v>27.826000000000001</v>
      </c>
      <c r="P13" s="24"/>
      <c r="Q13" s="24">
        <v>183</v>
      </c>
      <c r="R13" s="24"/>
      <c r="S13" s="24">
        <v>32</v>
      </c>
      <c r="T13" s="17">
        <f t="shared" si="1"/>
        <v>353.04200000000003</v>
      </c>
      <c r="U13" s="17">
        <f t="shared" si="2"/>
        <v>2700.1390000000001</v>
      </c>
    </row>
    <row r="14" spans="1:21" s="23" customFormat="1" ht="19.5" customHeight="1">
      <c r="A14" s="15">
        <v>8</v>
      </c>
      <c r="B14" s="37" t="s">
        <v>308</v>
      </c>
      <c r="C14" s="17">
        <v>19</v>
      </c>
      <c r="D14" s="17"/>
      <c r="E14" s="17">
        <v>1481.4702259999999</v>
      </c>
      <c r="F14" s="17">
        <v>229.08355499999999</v>
      </c>
      <c r="G14" s="17">
        <f t="shared" si="0"/>
        <v>1710.5537809999998</v>
      </c>
      <c r="H14" s="27">
        <v>1481.4702259999999</v>
      </c>
      <c r="I14" s="17">
        <v>44.436999999999998</v>
      </c>
      <c r="J14" s="17">
        <v>3.019555</v>
      </c>
      <c r="K14" s="17">
        <v>14.076000000000001</v>
      </c>
      <c r="L14" s="17">
        <v>1.722</v>
      </c>
      <c r="M14" s="17">
        <v>15.154999999999999</v>
      </c>
      <c r="N14" s="17">
        <v>29.981999999999999</v>
      </c>
      <c r="O14" s="17">
        <v>52.142000000000003</v>
      </c>
      <c r="P14" s="17"/>
      <c r="Q14" s="17">
        <v>49.926000000000002</v>
      </c>
      <c r="R14" s="17"/>
      <c r="S14" s="17">
        <v>18.623999999999999</v>
      </c>
      <c r="T14" s="17">
        <f t="shared" si="1"/>
        <v>229.08355500000002</v>
      </c>
      <c r="U14" s="17">
        <f t="shared" si="2"/>
        <v>1710.5537809999998</v>
      </c>
    </row>
    <row r="15" spans="1:21" s="23" customFormat="1" ht="19.5" customHeight="1">
      <c r="A15" s="15">
        <v>9</v>
      </c>
      <c r="B15" s="37" t="s">
        <v>309</v>
      </c>
      <c r="C15" s="17">
        <v>9</v>
      </c>
      <c r="D15" s="17"/>
      <c r="E15" s="17">
        <v>672.59074199999998</v>
      </c>
      <c r="F15" s="17">
        <v>76.518687</v>
      </c>
      <c r="G15" s="17">
        <f t="shared" si="0"/>
        <v>749.10942899999998</v>
      </c>
      <c r="H15" s="17">
        <v>672.59074199999998</v>
      </c>
      <c r="I15" s="17">
        <v>0.67500000000000004</v>
      </c>
      <c r="J15" s="17">
        <v>1.9072610000000001</v>
      </c>
      <c r="K15" s="17"/>
      <c r="L15" s="17">
        <v>0.273426</v>
      </c>
      <c r="M15" s="17">
        <v>10.776</v>
      </c>
      <c r="N15" s="17">
        <v>9.1999999999999993</v>
      </c>
      <c r="O15" s="17">
        <v>15.62</v>
      </c>
      <c r="P15" s="17"/>
      <c r="Q15" s="17">
        <v>26.224</v>
      </c>
      <c r="R15" s="17"/>
      <c r="S15" s="17">
        <v>11.843</v>
      </c>
      <c r="T15" s="17">
        <f t="shared" si="1"/>
        <v>76.518687</v>
      </c>
      <c r="U15" s="17">
        <f t="shared" si="2"/>
        <v>749.10942899999998</v>
      </c>
    </row>
    <row r="16" spans="1:21" s="23" customFormat="1" ht="19.5" customHeight="1">
      <c r="A16" s="15">
        <v>10</v>
      </c>
      <c r="B16" s="37" t="s">
        <v>310</v>
      </c>
      <c r="C16" s="17">
        <v>25</v>
      </c>
      <c r="D16" s="17">
        <v>25</v>
      </c>
      <c r="E16" s="17">
        <v>329.34276799999998</v>
      </c>
      <c r="F16" s="17">
        <v>361.50035400000002</v>
      </c>
      <c r="G16" s="17">
        <f t="shared" si="0"/>
        <v>690.84312199999999</v>
      </c>
      <c r="H16" s="17">
        <v>329.34276799999998</v>
      </c>
      <c r="I16" s="17">
        <v>104.3355</v>
      </c>
      <c r="J16" s="17">
        <v>0.65261400000000003</v>
      </c>
      <c r="K16" s="17">
        <v>9.5289999999999999</v>
      </c>
      <c r="L16" s="17">
        <v>0.55190399999999995</v>
      </c>
      <c r="M16" s="17">
        <v>12.252000000000001</v>
      </c>
      <c r="N16" s="17">
        <v>11.8</v>
      </c>
      <c r="O16" s="17">
        <v>158.73683600000001</v>
      </c>
      <c r="P16" s="17">
        <v>22.5045</v>
      </c>
      <c r="Q16" s="17">
        <v>25.068000000000001</v>
      </c>
      <c r="R16" s="17"/>
      <c r="S16" s="17">
        <v>16.07</v>
      </c>
      <c r="T16" s="17">
        <f t="shared" si="1"/>
        <v>361.50035399999996</v>
      </c>
      <c r="U16" s="17">
        <f t="shared" si="2"/>
        <v>690.84312199999999</v>
      </c>
    </row>
    <row r="17" spans="1:21" s="23" customFormat="1" ht="19.5" customHeight="1">
      <c r="A17" s="15">
        <v>11</v>
      </c>
      <c r="B17" s="16" t="s">
        <v>311</v>
      </c>
      <c r="C17" s="17">
        <v>12</v>
      </c>
      <c r="D17" s="17">
        <v>12</v>
      </c>
      <c r="E17" s="24">
        <v>1696</v>
      </c>
      <c r="F17" s="24">
        <v>274</v>
      </c>
      <c r="G17" s="17">
        <f t="shared" si="0"/>
        <v>1970</v>
      </c>
      <c r="H17" s="24">
        <v>1696.143</v>
      </c>
      <c r="I17" s="24"/>
      <c r="J17" s="24">
        <v>7.1420000000000003</v>
      </c>
      <c r="K17" s="24">
        <v>12.68</v>
      </c>
      <c r="L17" s="24">
        <v>4.5579999999999998</v>
      </c>
      <c r="M17" s="24">
        <v>33.268000000000001</v>
      </c>
      <c r="N17" s="24">
        <v>21.46</v>
      </c>
      <c r="O17" s="24">
        <v>32.909999999999997</v>
      </c>
      <c r="P17" s="24">
        <v>68.180000000000007</v>
      </c>
      <c r="Q17" s="24">
        <v>61.328000000000003</v>
      </c>
      <c r="R17" s="24"/>
      <c r="S17" s="24">
        <v>33</v>
      </c>
      <c r="T17" s="17">
        <f t="shared" si="1"/>
        <v>274.52600000000001</v>
      </c>
      <c r="U17" s="17">
        <f t="shared" si="2"/>
        <v>1970.6690000000001</v>
      </c>
    </row>
    <row r="18" spans="1:21" s="23" customFormat="1" ht="19.5" customHeight="1">
      <c r="A18" s="15">
        <v>12</v>
      </c>
      <c r="B18" s="16" t="s">
        <v>312</v>
      </c>
      <c r="C18" s="17">
        <v>28</v>
      </c>
      <c r="D18" s="17">
        <v>28</v>
      </c>
      <c r="E18" s="24">
        <v>3950</v>
      </c>
      <c r="F18" s="24">
        <v>541</v>
      </c>
      <c r="G18" s="17">
        <f t="shared" si="0"/>
        <v>4491</v>
      </c>
      <c r="H18" s="24">
        <v>3950.46</v>
      </c>
      <c r="I18" s="24"/>
      <c r="J18" s="24">
        <v>21.7</v>
      </c>
      <c r="K18" s="24">
        <v>24.507000000000001</v>
      </c>
      <c r="L18" s="24">
        <v>1.4379999999999999</v>
      </c>
      <c r="M18" s="24">
        <v>57.9</v>
      </c>
      <c r="N18" s="24">
        <v>100.101</v>
      </c>
      <c r="O18" s="24">
        <v>122.83</v>
      </c>
      <c r="P18" s="24">
        <v>73.358999999999995</v>
      </c>
      <c r="Q18" s="24">
        <v>110.226</v>
      </c>
      <c r="R18" s="24"/>
      <c r="S18" s="24">
        <v>28</v>
      </c>
      <c r="T18" s="17">
        <f t="shared" si="1"/>
        <v>540.06099999999992</v>
      </c>
      <c r="U18" s="17">
        <f t="shared" si="2"/>
        <v>4490.5209999999997</v>
      </c>
    </row>
    <row r="19" spans="1:21" s="23" customFormat="1" ht="19.5" customHeight="1">
      <c r="A19" s="15">
        <v>13</v>
      </c>
      <c r="B19" s="16" t="s">
        <v>313</v>
      </c>
      <c r="C19" s="17">
        <v>21</v>
      </c>
      <c r="D19" s="17">
        <v>20</v>
      </c>
      <c r="E19" s="25">
        <v>2958</v>
      </c>
      <c r="F19" s="25">
        <v>380</v>
      </c>
      <c r="G19" s="17">
        <f t="shared" si="0"/>
        <v>3338</v>
      </c>
      <c r="H19" s="25">
        <v>2957.7749999999996</v>
      </c>
      <c r="I19" s="17"/>
      <c r="J19" s="17">
        <v>10.337999999999999</v>
      </c>
      <c r="K19" s="17">
        <v>114.536</v>
      </c>
      <c r="L19" s="17">
        <v>1.4419999999999999</v>
      </c>
      <c r="M19" s="17">
        <v>39.097999999999999</v>
      </c>
      <c r="N19" s="17">
        <v>17.5</v>
      </c>
      <c r="O19" s="17">
        <v>71.295000000000002</v>
      </c>
      <c r="P19" s="17">
        <v>0</v>
      </c>
      <c r="Q19" s="17">
        <v>77.811000000000007</v>
      </c>
      <c r="R19" s="17">
        <v>0</v>
      </c>
      <c r="S19" s="17">
        <v>48.363999999999997</v>
      </c>
      <c r="T19" s="17">
        <f t="shared" si="1"/>
        <v>380.38399999999996</v>
      </c>
      <c r="U19" s="17">
        <f t="shared" si="2"/>
        <v>3338.1589999999997</v>
      </c>
    </row>
    <row r="20" spans="1:21" s="23" customFormat="1" ht="19.5" customHeight="1">
      <c r="A20" s="15">
        <v>14</v>
      </c>
      <c r="B20" s="16" t="s">
        <v>289</v>
      </c>
      <c r="C20" s="17">
        <v>26</v>
      </c>
      <c r="D20" s="17">
        <v>26</v>
      </c>
      <c r="E20" s="17">
        <v>2950.2716099999998</v>
      </c>
      <c r="F20" s="17">
        <v>864.99533399999996</v>
      </c>
      <c r="G20" s="17">
        <f t="shared" si="0"/>
        <v>3815.266944</v>
      </c>
      <c r="H20" s="17">
        <v>2950.2716099999998</v>
      </c>
      <c r="I20" s="17"/>
      <c r="J20" s="17">
        <v>2.908954</v>
      </c>
      <c r="K20" s="17">
        <v>22.966000000000001</v>
      </c>
      <c r="L20" s="17">
        <v>4.5028259999999998</v>
      </c>
      <c r="M20" s="17">
        <v>74.225999999999999</v>
      </c>
      <c r="N20" s="17">
        <v>136.57350099999999</v>
      </c>
      <c r="O20" s="17">
        <v>189.31073900000001</v>
      </c>
      <c r="P20" s="17">
        <v>13</v>
      </c>
      <c r="Q20" s="17">
        <v>131.29920000000001</v>
      </c>
      <c r="R20" s="17"/>
      <c r="S20" s="17">
        <v>290.20811400000002</v>
      </c>
      <c r="T20" s="17">
        <f t="shared" si="1"/>
        <v>864.99533400000007</v>
      </c>
      <c r="U20" s="17">
        <f t="shared" si="2"/>
        <v>3815.266944</v>
      </c>
    </row>
    <row r="21" spans="1:21" s="23" customFormat="1" ht="19.5" customHeight="1">
      <c r="A21" s="15">
        <v>15</v>
      </c>
      <c r="B21" s="16" t="s">
        <v>290</v>
      </c>
      <c r="C21" s="17">
        <v>15</v>
      </c>
      <c r="D21" s="17">
        <v>15</v>
      </c>
      <c r="E21" s="24">
        <v>2726</v>
      </c>
      <c r="F21" s="24">
        <v>496</v>
      </c>
      <c r="G21" s="17">
        <f t="shared" si="0"/>
        <v>3222</v>
      </c>
      <c r="H21" s="24">
        <v>2725.817</v>
      </c>
      <c r="I21" s="24">
        <v>34.093000000000004</v>
      </c>
      <c r="J21" s="24">
        <v>13.85</v>
      </c>
      <c r="K21" s="24">
        <v>22.736999999999998</v>
      </c>
      <c r="L21" s="24">
        <v>0.18099999999999999</v>
      </c>
      <c r="M21" s="24">
        <v>56.21</v>
      </c>
      <c r="N21" s="24">
        <v>155.715</v>
      </c>
      <c r="O21" s="24">
        <v>58.344000000000001</v>
      </c>
      <c r="P21" s="24"/>
      <c r="Q21" s="24">
        <v>61.688000000000002</v>
      </c>
      <c r="R21" s="24"/>
      <c r="S21" s="24">
        <v>93.204000000000008</v>
      </c>
      <c r="T21" s="17">
        <f t="shared" si="1"/>
        <v>496.02199999999999</v>
      </c>
      <c r="U21" s="17">
        <f t="shared" si="2"/>
        <v>3221.8389999999999</v>
      </c>
    </row>
    <row r="22" spans="1:21" s="23" customFormat="1" ht="19.5" customHeight="1">
      <c r="A22" s="15">
        <v>16</v>
      </c>
      <c r="B22" s="16" t="s">
        <v>291</v>
      </c>
      <c r="C22" s="17">
        <v>26</v>
      </c>
      <c r="D22" s="17">
        <v>26</v>
      </c>
      <c r="E22" s="25">
        <v>3819.7939999999999</v>
      </c>
      <c r="F22" s="25">
        <v>493.11900000000003</v>
      </c>
      <c r="G22" s="17">
        <f t="shared" si="0"/>
        <v>4312.9129999999996</v>
      </c>
      <c r="H22" s="25">
        <v>3819.7939999999999</v>
      </c>
      <c r="I22" s="17"/>
      <c r="J22" s="25">
        <v>20.074999999999999</v>
      </c>
      <c r="K22" s="25">
        <v>62.119</v>
      </c>
      <c r="L22" s="25">
        <v>1.448</v>
      </c>
      <c r="M22" s="25">
        <v>62.374000000000002</v>
      </c>
      <c r="N22" s="25">
        <v>176.12</v>
      </c>
      <c r="O22" s="25">
        <v>25.954000000000001</v>
      </c>
      <c r="P22" s="17"/>
      <c r="Q22" s="25">
        <v>54.783999999999999</v>
      </c>
      <c r="R22" s="17"/>
      <c r="S22" s="25">
        <v>90.61</v>
      </c>
      <c r="T22" s="17">
        <f t="shared" si="1"/>
        <v>493.48399999999998</v>
      </c>
      <c r="U22" s="17">
        <f t="shared" si="2"/>
        <v>4313.2780000000002</v>
      </c>
    </row>
    <row r="23" spans="1:21" s="23" customFormat="1" ht="19.5" customHeight="1">
      <c r="A23" s="15">
        <v>17</v>
      </c>
      <c r="B23" s="16" t="s">
        <v>292</v>
      </c>
      <c r="C23" s="26">
        <v>18</v>
      </c>
      <c r="D23" s="26">
        <v>18</v>
      </c>
      <c r="E23" s="26">
        <v>2914</v>
      </c>
      <c r="F23" s="26">
        <v>435</v>
      </c>
      <c r="G23" s="17">
        <f t="shared" si="0"/>
        <v>3349</v>
      </c>
      <c r="H23" s="26">
        <v>2914.21</v>
      </c>
      <c r="I23" s="26">
        <v>13.41</v>
      </c>
      <c r="J23" s="26">
        <v>9.4830000000000005</v>
      </c>
      <c r="K23" s="26">
        <v>21.943999999999999</v>
      </c>
      <c r="L23" s="26">
        <v>1.9850000000000001</v>
      </c>
      <c r="M23" s="26">
        <v>36.832000000000001</v>
      </c>
      <c r="N23" s="26">
        <v>128.339</v>
      </c>
      <c r="O23" s="26">
        <v>63.125</v>
      </c>
      <c r="P23" s="26">
        <v>32.04</v>
      </c>
      <c r="Q23" s="26">
        <v>70.736000000000004</v>
      </c>
      <c r="R23" s="26">
        <v>0</v>
      </c>
      <c r="S23" s="26">
        <v>56.798999999999999</v>
      </c>
      <c r="T23" s="17">
        <f t="shared" si="1"/>
        <v>434.69299999999998</v>
      </c>
      <c r="U23" s="17">
        <f t="shared" si="2"/>
        <v>3348.9030000000002</v>
      </c>
    </row>
    <row r="24" spans="1:21" s="23" customFormat="1" ht="19.5" customHeight="1">
      <c r="A24" s="15">
        <v>18</v>
      </c>
      <c r="B24" s="16" t="s">
        <v>293</v>
      </c>
      <c r="C24" s="17">
        <v>23</v>
      </c>
      <c r="D24" s="17">
        <v>23</v>
      </c>
      <c r="E24" s="25">
        <v>3394</v>
      </c>
      <c r="F24" s="25">
        <v>317</v>
      </c>
      <c r="G24" s="17">
        <f t="shared" si="0"/>
        <v>3711</v>
      </c>
      <c r="H24" s="25">
        <v>3394.4340000000002</v>
      </c>
      <c r="I24" s="25">
        <v>70.242999999999995</v>
      </c>
      <c r="J24" s="25">
        <v>11.986000000000001</v>
      </c>
      <c r="K24" s="25">
        <v>19.114999999999998</v>
      </c>
      <c r="L24" s="25">
        <v>4.9420000000000002</v>
      </c>
      <c r="M24" s="25">
        <v>41.252000000000002</v>
      </c>
      <c r="N24" s="25">
        <v>51.756</v>
      </c>
      <c r="O24" s="25">
        <v>13.775</v>
      </c>
      <c r="P24" s="25"/>
      <c r="Q24" s="25">
        <v>65.766000000000005</v>
      </c>
      <c r="R24" s="25"/>
      <c r="S24" s="25">
        <v>37.814999999999998</v>
      </c>
      <c r="T24" s="17">
        <f t="shared" si="1"/>
        <v>316.65000000000003</v>
      </c>
      <c r="U24" s="17">
        <f t="shared" si="2"/>
        <v>3711.0840000000003</v>
      </c>
    </row>
    <row r="25" spans="1:21" s="23" customFormat="1" ht="19.5" customHeight="1">
      <c r="A25" s="15">
        <v>19</v>
      </c>
      <c r="B25" s="16" t="s">
        <v>294</v>
      </c>
      <c r="C25" s="17">
        <v>34</v>
      </c>
      <c r="D25" s="17">
        <v>34</v>
      </c>
      <c r="E25" s="17">
        <v>5139</v>
      </c>
      <c r="F25" s="17">
        <v>760</v>
      </c>
      <c r="G25" s="17">
        <f t="shared" si="0"/>
        <v>5899</v>
      </c>
      <c r="H25" s="17">
        <v>5138.6880000000001</v>
      </c>
      <c r="I25" s="17">
        <v>3.06</v>
      </c>
      <c r="J25" s="17">
        <v>7.6429999999999998</v>
      </c>
      <c r="K25" s="17">
        <v>83.718000000000004</v>
      </c>
      <c r="L25" s="17">
        <v>3.3180000000000001</v>
      </c>
      <c r="M25" s="17">
        <v>86.903999999999996</v>
      </c>
      <c r="N25" s="17">
        <v>177.73099999999999</v>
      </c>
      <c r="O25" s="17">
        <v>205.67699999999999</v>
      </c>
      <c r="P25" s="17"/>
      <c r="Q25" s="17">
        <v>148.37200000000001</v>
      </c>
      <c r="R25" s="17"/>
      <c r="S25" s="17">
        <v>43.180999999999997</v>
      </c>
      <c r="T25" s="17">
        <f t="shared" si="1"/>
        <v>759.60400000000004</v>
      </c>
      <c r="U25" s="17">
        <f t="shared" si="2"/>
        <v>5898.2920000000004</v>
      </c>
    </row>
    <row r="26" spans="1:21" s="23" customFormat="1" ht="19.5" customHeight="1">
      <c r="A26" s="15">
        <v>20</v>
      </c>
      <c r="B26" s="16" t="s">
        <v>295</v>
      </c>
      <c r="C26" s="17">
        <v>25</v>
      </c>
      <c r="D26" s="17">
        <v>25</v>
      </c>
      <c r="E26" s="24">
        <v>3745</v>
      </c>
      <c r="F26" s="24">
        <v>428</v>
      </c>
      <c r="G26" s="17">
        <f t="shared" si="0"/>
        <v>4173</v>
      </c>
      <c r="H26" s="24">
        <v>3744.5619999999999</v>
      </c>
      <c r="I26" s="24"/>
      <c r="J26" s="24">
        <v>10.038</v>
      </c>
      <c r="K26" s="24">
        <v>31.951000000000001</v>
      </c>
      <c r="L26" s="24">
        <v>0.80700000000000005</v>
      </c>
      <c r="M26" s="24">
        <v>50.006999999999998</v>
      </c>
      <c r="N26" s="24">
        <v>125.16800000000001</v>
      </c>
      <c r="O26" s="24">
        <v>36.122</v>
      </c>
      <c r="P26" s="24"/>
      <c r="Q26" s="24">
        <v>144.857</v>
      </c>
      <c r="R26" s="24"/>
      <c r="S26" s="24">
        <v>29</v>
      </c>
      <c r="T26" s="17">
        <f t="shared" si="1"/>
        <v>427.95000000000005</v>
      </c>
      <c r="U26" s="17">
        <f t="shared" si="2"/>
        <v>4172.5119999999997</v>
      </c>
    </row>
    <row r="27" spans="1:21" s="23" customFormat="1" ht="19.5" customHeight="1">
      <c r="A27" s="15">
        <v>21</v>
      </c>
      <c r="B27" s="37" t="s">
        <v>296</v>
      </c>
      <c r="C27" s="17">
        <v>24</v>
      </c>
      <c r="D27" s="17"/>
      <c r="E27" s="17">
        <v>2369.2740699999999</v>
      </c>
      <c r="F27" s="17">
        <v>305.215104</v>
      </c>
      <c r="G27" s="17">
        <f t="shared" si="0"/>
        <v>2674.4891739999998</v>
      </c>
      <c r="H27" s="17">
        <v>2369.2740699999999</v>
      </c>
      <c r="I27" s="17">
        <v>33.027000000000001</v>
      </c>
      <c r="J27" s="17">
        <v>8.2386040000000005</v>
      </c>
      <c r="K27" s="17">
        <v>14.09</v>
      </c>
      <c r="L27" s="17">
        <v>0</v>
      </c>
      <c r="M27" s="17">
        <v>39.328000000000003</v>
      </c>
      <c r="N27" s="17">
        <v>36.671999999999997</v>
      </c>
      <c r="O27" s="17">
        <v>77.331500000000005</v>
      </c>
      <c r="P27" s="17"/>
      <c r="Q27" s="17">
        <v>69.674000000000007</v>
      </c>
      <c r="R27" s="17"/>
      <c r="S27" s="17">
        <v>26.853999999999999</v>
      </c>
      <c r="T27" s="17">
        <f t="shared" si="1"/>
        <v>305.215104</v>
      </c>
      <c r="U27" s="17">
        <f t="shared" si="2"/>
        <v>2674.4891739999998</v>
      </c>
    </row>
    <row r="28" spans="1:21" s="23" customFormat="1" ht="19.5" customHeight="1">
      <c r="A28" s="15">
        <v>22</v>
      </c>
      <c r="B28" s="37" t="s">
        <v>297</v>
      </c>
      <c r="C28" s="17">
        <v>16</v>
      </c>
      <c r="D28" s="17"/>
      <c r="E28" s="17">
        <v>1663.7643270000001</v>
      </c>
      <c r="F28" s="17">
        <v>167.66133600000001</v>
      </c>
      <c r="G28" s="17">
        <f t="shared" si="0"/>
        <v>1831.425663</v>
      </c>
      <c r="H28" s="17">
        <v>1663.7643270000001</v>
      </c>
      <c r="I28" s="17">
        <v>12.4</v>
      </c>
      <c r="J28" s="17">
        <v>3.0468299999999999</v>
      </c>
      <c r="K28" s="17">
        <v>15.465</v>
      </c>
      <c r="L28" s="17">
        <v>1.020581</v>
      </c>
      <c r="M28" s="17">
        <v>19.972000000000001</v>
      </c>
      <c r="N28" s="17">
        <v>39.661275000000003</v>
      </c>
      <c r="O28" s="17">
        <v>51.686669999999999</v>
      </c>
      <c r="P28" s="17"/>
      <c r="Q28" s="17">
        <v>12.566000000000001</v>
      </c>
      <c r="R28" s="17"/>
      <c r="S28" s="17">
        <v>11.843</v>
      </c>
      <c r="T28" s="17">
        <f t="shared" si="1"/>
        <v>167.66135599999998</v>
      </c>
      <c r="U28" s="17">
        <f t="shared" si="2"/>
        <v>1831.4256830000002</v>
      </c>
    </row>
    <row r="29" spans="1:21" s="23" customFormat="1" ht="19.5" customHeight="1">
      <c r="A29" s="15">
        <v>23</v>
      </c>
      <c r="B29" s="16" t="s">
        <v>298</v>
      </c>
      <c r="C29" s="17">
        <v>38</v>
      </c>
      <c r="D29" s="17">
        <v>38</v>
      </c>
      <c r="E29" s="17">
        <v>2036.091173</v>
      </c>
      <c r="F29" s="17">
        <v>308.14796999999999</v>
      </c>
      <c r="G29" s="17">
        <f t="shared" si="0"/>
        <v>2344.2391429999998</v>
      </c>
      <c r="H29" s="17">
        <v>2036.091173</v>
      </c>
      <c r="I29" s="17">
        <v>25.040499999999998</v>
      </c>
      <c r="J29" s="17">
        <v>5.1679089999999999</v>
      </c>
      <c r="K29" s="17">
        <v>19.850000000000001</v>
      </c>
      <c r="L29" s="17">
        <v>2.94</v>
      </c>
      <c r="M29" s="17">
        <v>40.073999999999998</v>
      </c>
      <c r="N29" s="17">
        <v>67.805501000000007</v>
      </c>
      <c r="O29" s="17">
        <v>46.09666</v>
      </c>
      <c r="P29" s="17"/>
      <c r="Q29" s="17">
        <v>72.5428</v>
      </c>
      <c r="R29" s="17"/>
      <c r="S29" s="17">
        <v>28.630600000000001</v>
      </c>
      <c r="T29" s="17">
        <f t="shared" si="1"/>
        <v>308.14796999999999</v>
      </c>
      <c r="U29" s="17">
        <f t="shared" si="2"/>
        <v>2344.2391429999998</v>
      </c>
    </row>
    <row r="30" spans="1:21" s="23" customFormat="1" ht="19.5" customHeight="1">
      <c r="A30" s="15">
        <v>24</v>
      </c>
      <c r="B30" s="16" t="s">
        <v>299</v>
      </c>
      <c r="C30" s="17">
        <v>17</v>
      </c>
      <c r="D30" s="17">
        <v>17</v>
      </c>
      <c r="E30" s="24">
        <v>2922</v>
      </c>
      <c r="F30" s="24">
        <v>448</v>
      </c>
      <c r="G30" s="17">
        <f t="shared" si="0"/>
        <v>3370</v>
      </c>
      <c r="H30" s="24">
        <v>2921.6409999999996</v>
      </c>
      <c r="I30" s="24"/>
      <c r="J30" s="24">
        <v>6.4489999999999998</v>
      </c>
      <c r="K30" s="24">
        <v>21.5</v>
      </c>
      <c r="L30" s="24">
        <v>4.7320000000000002</v>
      </c>
      <c r="M30" s="24">
        <v>77.146000000000001</v>
      </c>
      <c r="N30" s="24">
        <v>59.31</v>
      </c>
      <c r="O30" s="24">
        <v>69.218000000000004</v>
      </c>
      <c r="P30" s="24">
        <v>2.2120000000000002</v>
      </c>
      <c r="Q30" s="24">
        <v>168.13299999999998</v>
      </c>
      <c r="R30" s="24"/>
      <c r="S30" s="24">
        <v>40</v>
      </c>
      <c r="T30" s="17">
        <f t="shared" si="1"/>
        <v>448.7</v>
      </c>
      <c r="U30" s="17">
        <f t="shared" si="2"/>
        <v>3370.3409999999994</v>
      </c>
    </row>
    <row r="31" spans="1:21" s="23" customFormat="1" ht="19.5" customHeight="1">
      <c r="A31" s="15">
        <v>25</v>
      </c>
      <c r="B31" s="16" t="s">
        <v>300</v>
      </c>
      <c r="C31" s="17">
        <v>37</v>
      </c>
      <c r="D31" s="17">
        <v>36</v>
      </c>
      <c r="E31" s="25">
        <v>5847</v>
      </c>
      <c r="F31" s="25">
        <v>750</v>
      </c>
      <c r="G31" s="17">
        <f t="shared" si="0"/>
        <v>6597</v>
      </c>
      <c r="H31" s="25">
        <v>5846.5540000000001</v>
      </c>
      <c r="I31" s="17"/>
      <c r="J31" s="17">
        <v>30.132999999999999</v>
      </c>
      <c r="K31" s="17">
        <v>98.088999999999999</v>
      </c>
      <c r="L31" s="17">
        <v>7.4489999999999998</v>
      </c>
      <c r="M31" s="17">
        <v>62.07</v>
      </c>
      <c r="N31" s="17">
        <v>167.68199999999999</v>
      </c>
      <c r="O31" s="17">
        <v>42.5</v>
      </c>
      <c r="P31" s="17">
        <v>56.35</v>
      </c>
      <c r="Q31" s="17">
        <v>213.809</v>
      </c>
      <c r="R31" s="17">
        <v>11.76</v>
      </c>
      <c r="S31" s="17">
        <v>59.823</v>
      </c>
      <c r="T31" s="17">
        <f t="shared" si="1"/>
        <v>749.66499999999996</v>
      </c>
      <c r="U31" s="17">
        <f t="shared" si="2"/>
        <v>6596.2190000000001</v>
      </c>
    </row>
    <row r="32" spans="1:21" s="23" customFormat="1" ht="19.5" customHeight="1">
      <c r="A32" s="15">
        <v>26</v>
      </c>
      <c r="B32" s="16" t="s">
        <v>39</v>
      </c>
      <c r="C32" s="17">
        <v>25</v>
      </c>
      <c r="D32" s="17">
        <v>24</v>
      </c>
      <c r="E32" s="25">
        <v>3671</v>
      </c>
      <c r="F32" s="25">
        <v>552</v>
      </c>
      <c r="G32" s="17">
        <f t="shared" si="0"/>
        <v>4223</v>
      </c>
      <c r="H32" s="25">
        <v>3670.6360000000004</v>
      </c>
      <c r="I32" s="17"/>
      <c r="J32" s="17">
        <v>7.1689999999999996</v>
      </c>
      <c r="K32" s="17">
        <v>84.251000000000005</v>
      </c>
      <c r="L32" s="17">
        <v>0.25</v>
      </c>
      <c r="M32" s="17">
        <v>40.270000000000003</v>
      </c>
      <c r="N32" s="17">
        <v>81.703000000000003</v>
      </c>
      <c r="O32" s="17">
        <v>68.405000000000001</v>
      </c>
      <c r="P32" s="17"/>
      <c r="Q32" s="17">
        <v>198.947</v>
      </c>
      <c r="R32" s="17">
        <v>12</v>
      </c>
      <c r="S32" s="17">
        <v>59.309999999999995</v>
      </c>
      <c r="T32" s="17">
        <f t="shared" si="1"/>
        <v>552.30499999999995</v>
      </c>
      <c r="U32" s="17">
        <f t="shared" si="2"/>
        <v>4222.9410000000007</v>
      </c>
    </row>
    <row r="33" spans="1:21" s="23" customFormat="1" ht="19.5" customHeight="1">
      <c r="A33" s="15">
        <v>27</v>
      </c>
      <c r="B33" s="16" t="s">
        <v>40</v>
      </c>
      <c r="C33" s="17">
        <v>12</v>
      </c>
      <c r="D33" s="17">
        <v>12</v>
      </c>
      <c r="E33" s="17">
        <v>1620.8544380000001</v>
      </c>
      <c r="F33" s="17">
        <v>370.46776199999999</v>
      </c>
      <c r="G33" s="17">
        <f t="shared" si="0"/>
        <v>1991.3222000000001</v>
      </c>
      <c r="H33" s="17">
        <v>1620.8544380000001</v>
      </c>
      <c r="I33" s="17"/>
      <c r="J33" s="17">
        <v>3.6267800000000001</v>
      </c>
      <c r="K33" s="17">
        <v>15.57</v>
      </c>
      <c r="L33" s="17">
        <v>1.799787</v>
      </c>
      <c r="M33" s="17">
        <v>66.539000000000001</v>
      </c>
      <c r="N33" s="17">
        <v>114.662727</v>
      </c>
      <c r="O33" s="17">
        <v>13.491</v>
      </c>
      <c r="P33" s="17"/>
      <c r="Q33" s="17">
        <v>53.256399999999999</v>
      </c>
      <c r="R33" s="17"/>
      <c r="S33" s="17">
        <v>101.522068</v>
      </c>
      <c r="T33" s="17">
        <f t="shared" si="1"/>
        <v>370.46776199999999</v>
      </c>
      <c r="U33" s="17">
        <f t="shared" si="2"/>
        <v>1991.3222000000001</v>
      </c>
    </row>
    <row r="34" spans="1:21" s="23" customFormat="1" ht="19.5" customHeight="1">
      <c r="A34" s="15">
        <v>28</v>
      </c>
      <c r="B34" s="16" t="s">
        <v>314</v>
      </c>
      <c r="C34" s="17">
        <v>12</v>
      </c>
      <c r="D34" s="17">
        <v>12</v>
      </c>
      <c r="E34" s="24">
        <v>1419</v>
      </c>
      <c r="F34" s="24">
        <v>330</v>
      </c>
      <c r="G34" s="17">
        <f t="shared" si="0"/>
        <v>1749</v>
      </c>
      <c r="H34" s="24">
        <v>1418.8710000000001</v>
      </c>
      <c r="I34" s="24">
        <v>11.391</v>
      </c>
      <c r="J34" s="24">
        <v>1.5289999999999999</v>
      </c>
      <c r="K34" s="24">
        <v>15.808</v>
      </c>
      <c r="L34" s="24">
        <v>1.629</v>
      </c>
      <c r="M34" s="24">
        <v>58.392000000000003</v>
      </c>
      <c r="N34" s="24">
        <v>134.10599999999999</v>
      </c>
      <c r="O34" s="24">
        <v>8.8970000000000002</v>
      </c>
      <c r="P34" s="24"/>
      <c r="Q34" s="24">
        <v>51.296999999999997</v>
      </c>
      <c r="R34" s="24"/>
      <c r="S34" s="24">
        <v>47.128</v>
      </c>
      <c r="T34" s="17">
        <f t="shared" si="1"/>
        <v>330.17699999999996</v>
      </c>
      <c r="U34" s="17">
        <f t="shared" si="2"/>
        <v>1749.048</v>
      </c>
    </row>
    <row r="35" spans="1:21" s="23" customFormat="1" ht="19.5" customHeight="1">
      <c r="A35" s="15">
        <v>29</v>
      </c>
      <c r="B35" s="16" t="s">
        <v>41</v>
      </c>
      <c r="C35" s="17">
        <v>18</v>
      </c>
      <c r="D35" s="17">
        <v>18</v>
      </c>
      <c r="E35" s="25">
        <v>2330.4470000000001</v>
      </c>
      <c r="F35" s="25">
        <v>487.60899999999998</v>
      </c>
      <c r="G35" s="17">
        <f t="shared" si="0"/>
        <v>2818.056</v>
      </c>
      <c r="H35" s="25">
        <v>2330.4470000000001</v>
      </c>
      <c r="I35" s="17"/>
      <c r="J35" s="25">
        <v>13</v>
      </c>
      <c r="K35" s="25">
        <v>28</v>
      </c>
      <c r="L35" s="25">
        <v>4</v>
      </c>
      <c r="M35" s="25">
        <v>82.1</v>
      </c>
      <c r="N35" s="25">
        <v>97.918000000000006</v>
      </c>
      <c r="O35" s="25">
        <v>24</v>
      </c>
      <c r="P35" s="17"/>
      <c r="Q35" s="25">
        <v>98</v>
      </c>
      <c r="R35" s="17"/>
      <c r="S35" s="25">
        <v>141</v>
      </c>
      <c r="T35" s="17">
        <f t="shared" si="1"/>
        <v>488.01800000000003</v>
      </c>
      <c r="U35" s="17">
        <f t="shared" si="2"/>
        <v>2818.4650000000001</v>
      </c>
    </row>
    <row r="36" spans="1:21" s="23" customFormat="1" ht="19.5" customHeight="1">
      <c r="A36" s="15">
        <v>30</v>
      </c>
      <c r="B36" s="16" t="s">
        <v>42</v>
      </c>
      <c r="C36" s="17">
        <v>17</v>
      </c>
      <c r="D36" s="17">
        <v>17</v>
      </c>
      <c r="E36" s="25">
        <v>1909</v>
      </c>
      <c r="F36" s="25">
        <v>318</v>
      </c>
      <c r="G36" s="17">
        <f t="shared" si="0"/>
        <v>2227</v>
      </c>
      <c r="H36" s="25">
        <v>1908.633</v>
      </c>
      <c r="I36" s="25">
        <v>33.478999999999999</v>
      </c>
      <c r="J36" s="25">
        <v>23.385999999999999</v>
      </c>
      <c r="K36" s="25">
        <v>17.425000000000001</v>
      </c>
      <c r="L36" s="25">
        <v>4.0839999999999996</v>
      </c>
      <c r="M36" s="25">
        <v>43.706000000000003</v>
      </c>
      <c r="N36" s="25">
        <v>43</v>
      </c>
      <c r="O36" s="25">
        <v>21.632000000000001</v>
      </c>
      <c r="P36" s="25"/>
      <c r="Q36" s="25">
        <v>90.757999999999996</v>
      </c>
      <c r="R36" s="25"/>
      <c r="S36" s="25">
        <v>40.1</v>
      </c>
      <c r="T36" s="17">
        <f t="shared" si="1"/>
        <v>317.57</v>
      </c>
      <c r="U36" s="17">
        <f t="shared" si="2"/>
        <v>2226.203</v>
      </c>
    </row>
    <row r="37" spans="1:21" s="23" customFormat="1" ht="19.5" customHeight="1">
      <c r="A37" s="15">
        <v>31</v>
      </c>
      <c r="B37" s="16" t="s">
        <v>315</v>
      </c>
      <c r="C37" s="17">
        <v>17</v>
      </c>
      <c r="D37" s="17">
        <v>17</v>
      </c>
      <c r="E37" s="17">
        <v>1978</v>
      </c>
      <c r="F37" s="17">
        <v>231</v>
      </c>
      <c r="G37" s="17">
        <f t="shared" si="0"/>
        <v>2209</v>
      </c>
      <c r="H37" s="17">
        <v>1977.749</v>
      </c>
      <c r="I37" s="17">
        <v>1.26</v>
      </c>
      <c r="J37" s="17">
        <v>2.677</v>
      </c>
      <c r="K37" s="17">
        <v>29.001999999999999</v>
      </c>
      <c r="L37" s="17">
        <v>3.4580000000000002</v>
      </c>
      <c r="M37" s="17">
        <v>32.456000000000003</v>
      </c>
      <c r="N37" s="17">
        <v>101.476</v>
      </c>
      <c r="O37" s="17">
        <v>15.959</v>
      </c>
      <c r="P37" s="17"/>
      <c r="Q37" s="17">
        <v>27.268999999999998</v>
      </c>
      <c r="R37" s="17"/>
      <c r="S37" s="17">
        <v>17.725000000000001</v>
      </c>
      <c r="T37" s="17">
        <f t="shared" si="1"/>
        <v>231.28200000000001</v>
      </c>
      <c r="U37" s="17">
        <f t="shared" si="2"/>
        <v>2209.0309999999999</v>
      </c>
    </row>
    <row r="38" spans="1:21" s="23" customFormat="1" ht="19.5" customHeight="1">
      <c r="A38" s="15">
        <v>32</v>
      </c>
      <c r="B38" s="16" t="s">
        <v>316</v>
      </c>
      <c r="C38" s="17">
        <v>13</v>
      </c>
      <c r="D38" s="17">
        <v>13</v>
      </c>
      <c r="E38" s="24">
        <v>1810</v>
      </c>
      <c r="F38" s="24">
        <v>277</v>
      </c>
      <c r="G38" s="17">
        <f t="shared" si="0"/>
        <v>2087</v>
      </c>
      <c r="H38" s="24">
        <v>1810.4590000000001</v>
      </c>
      <c r="I38" s="24"/>
      <c r="J38" s="24">
        <v>7.6639999999999997</v>
      </c>
      <c r="K38" s="24">
        <v>2.8250000000000002</v>
      </c>
      <c r="L38" s="24">
        <v>0.45</v>
      </c>
      <c r="M38" s="24">
        <v>54.984000000000002</v>
      </c>
      <c r="N38" s="24">
        <v>90.570999999999998</v>
      </c>
      <c r="O38" s="24">
        <v>21.39</v>
      </c>
      <c r="P38" s="24"/>
      <c r="Q38" s="24">
        <v>66.599000000000004</v>
      </c>
      <c r="R38" s="24"/>
      <c r="S38" s="24">
        <v>33</v>
      </c>
      <c r="T38" s="17">
        <f t="shared" si="1"/>
        <v>277.483</v>
      </c>
      <c r="U38" s="17">
        <f t="shared" si="2"/>
        <v>2087.942</v>
      </c>
    </row>
    <row r="39" spans="1:21" s="23" customFormat="1" ht="19.5" customHeight="1">
      <c r="A39" s="15">
        <v>33</v>
      </c>
      <c r="B39" s="16" t="s">
        <v>317</v>
      </c>
      <c r="C39" s="17">
        <v>19</v>
      </c>
      <c r="D39" s="17">
        <v>19</v>
      </c>
      <c r="E39" s="17">
        <v>2369.2740699999999</v>
      </c>
      <c r="F39" s="17">
        <v>305.215104</v>
      </c>
      <c r="G39" s="17">
        <f t="shared" si="0"/>
        <v>2674.4891739999998</v>
      </c>
      <c r="H39" s="17">
        <v>2369.2740699999999</v>
      </c>
      <c r="I39" s="17">
        <v>33.027000000000001</v>
      </c>
      <c r="J39" s="17">
        <v>8.2386040000000005</v>
      </c>
      <c r="K39" s="17">
        <v>14.09</v>
      </c>
      <c r="L39" s="17">
        <v>0</v>
      </c>
      <c r="M39" s="17">
        <v>39.328000000000003</v>
      </c>
      <c r="N39" s="17">
        <v>36.671999999999997</v>
      </c>
      <c r="O39" s="17">
        <v>77.331500000000005</v>
      </c>
      <c r="P39" s="17"/>
      <c r="Q39" s="17">
        <v>69.674000000000007</v>
      </c>
      <c r="R39" s="17"/>
      <c r="S39" s="17">
        <v>26.853999999999999</v>
      </c>
      <c r="T39" s="17">
        <f t="shared" si="1"/>
        <v>305.215104</v>
      </c>
      <c r="U39" s="17">
        <f t="shared" si="2"/>
        <v>2674.4891739999998</v>
      </c>
    </row>
    <row r="40" spans="1:21" s="23" customFormat="1" ht="19.5" customHeight="1">
      <c r="A40" s="15">
        <v>34</v>
      </c>
      <c r="B40" s="16" t="s">
        <v>43</v>
      </c>
      <c r="C40" s="17">
        <v>12</v>
      </c>
      <c r="D40" s="17">
        <v>12</v>
      </c>
      <c r="E40" s="25">
        <v>1752</v>
      </c>
      <c r="F40" s="25">
        <v>166</v>
      </c>
      <c r="G40" s="17">
        <f t="shared" si="0"/>
        <v>1918</v>
      </c>
      <c r="H40" s="25">
        <v>1752.1490000000001</v>
      </c>
      <c r="I40" s="17"/>
      <c r="J40" s="17">
        <v>0.81699999999999995</v>
      </c>
      <c r="K40" s="17">
        <v>6.6</v>
      </c>
      <c r="L40" s="17">
        <v>1.042</v>
      </c>
      <c r="M40" s="17">
        <v>53.591999999999999</v>
      </c>
      <c r="N40" s="17">
        <v>30.853999999999999</v>
      </c>
      <c r="O40" s="17">
        <v>12.425000000000001</v>
      </c>
      <c r="P40" s="17"/>
      <c r="Q40" s="17">
        <v>53.808</v>
      </c>
      <c r="R40" s="17">
        <v>0</v>
      </c>
      <c r="S40" s="17">
        <v>6.6890000000000001</v>
      </c>
      <c r="T40" s="17">
        <f t="shared" si="1"/>
        <v>165.827</v>
      </c>
      <c r="U40" s="17">
        <f t="shared" si="2"/>
        <v>1917.9760000000001</v>
      </c>
    </row>
    <row r="41" spans="1:21" s="23" customFormat="1" ht="19.5" customHeight="1">
      <c r="A41" s="15">
        <v>35</v>
      </c>
      <c r="B41" s="36" t="s">
        <v>44</v>
      </c>
      <c r="C41" s="17">
        <v>37</v>
      </c>
      <c r="D41" s="17">
        <v>36</v>
      </c>
      <c r="E41" s="26">
        <v>597</v>
      </c>
      <c r="F41" s="26">
        <v>135</v>
      </c>
      <c r="G41" s="17">
        <f t="shared" si="0"/>
        <v>732</v>
      </c>
      <c r="H41" s="26">
        <v>597.20297000000005</v>
      </c>
      <c r="I41" s="17">
        <v>0</v>
      </c>
      <c r="J41" s="17">
        <v>0</v>
      </c>
      <c r="K41" s="17">
        <v>0</v>
      </c>
      <c r="L41" s="17">
        <v>5.6572649999999998</v>
      </c>
      <c r="M41" s="17">
        <v>51.213999999999999</v>
      </c>
      <c r="N41" s="17">
        <v>0</v>
      </c>
      <c r="O41" s="17">
        <v>0</v>
      </c>
      <c r="P41" s="17">
        <v>0</v>
      </c>
      <c r="Q41" s="17">
        <v>77.719175000000007</v>
      </c>
      <c r="R41" s="17">
        <v>0</v>
      </c>
      <c r="S41" s="17">
        <v>0</v>
      </c>
      <c r="T41" s="17">
        <f t="shared" si="1"/>
        <v>134.59044</v>
      </c>
      <c r="U41" s="17">
        <f t="shared" si="2"/>
        <v>731.79340999999999</v>
      </c>
    </row>
    <row r="42" spans="1:21" s="23" customFormat="1" ht="19.5" customHeight="1">
      <c r="A42" s="29"/>
      <c r="B42" s="30" t="s">
        <v>19</v>
      </c>
      <c r="C42" s="31">
        <v>715</v>
      </c>
      <c r="D42" s="31">
        <v>642</v>
      </c>
      <c r="E42" s="31">
        <v>85249.567704000001</v>
      </c>
      <c r="F42" s="31">
        <v>13229.031077000001</v>
      </c>
      <c r="G42" s="31">
        <v>13229.031077000001</v>
      </c>
      <c r="H42" s="31">
        <v>85248.532673999987</v>
      </c>
      <c r="I42" s="31">
        <v>537.64300000000003</v>
      </c>
      <c r="J42" s="31">
        <v>319.45210600000007</v>
      </c>
      <c r="K42" s="31">
        <v>1056.6400000000001</v>
      </c>
      <c r="L42" s="31">
        <v>81.475321999999991</v>
      </c>
      <c r="M42" s="31">
        <v>1554.3889999999994</v>
      </c>
      <c r="N42" s="31">
        <v>2507.6740039999995</v>
      </c>
      <c r="O42" s="31">
        <v>1951.8633420000001</v>
      </c>
      <c r="P42" s="31">
        <v>338.02350000000001</v>
      </c>
      <c r="Q42" s="31">
        <v>2891.259575000001</v>
      </c>
      <c r="R42" s="31">
        <v>23.759999999999998</v>
      </c>
      <c r="S42" s="31">
        <v>1966.829688</v>
      </c>
      <c r="T42" s="31">
        <v>13228.309537000001</v>
      </c>
      <c r="U42" s="31">
        <v>98476.842210999996</v>
      </c>
    </row>
    <row r="43" spans="1:21" s="23" customFormat="1" ht="19.5" customHeight="1">
      <c r="G43" s="74"/>
    </row>
    <row r="44" spans="1:21" s="23" customFormat="1" ht="19.5" customHeight="1">
      <c r="G44" s="74"/>
    </row>
    <row r="45" spans="1:21" s="23" customFormat="1" ht="19.5" customHeight="1">
      <c r="G45" s="74"/>
    </row>
    <row r="46" spans="1:21" s="23" customFormat="1" ht="19.5" customHeight="1">
      <c r="G46" s="74"/>
    </row>
    <row r="47" spans="1:21" s="23" customFormat="1" ht="19.5" customHeight="1">
      <c r="G47" s="74"/>
    </row>
    <row r="48" spans="1:21" s="23" customFormat="1" ht="19.5" customHeight="1">
      <c r="G48" s="74"/>
    </row>
    <row r="49" spans="7:7" s="23" customFormat="1" ht="19.5" customHeight="1">
      <c r="G49" s="74"/>
    </row>
    <row r="50" spans="7:7" s="23" customFormat="1" ht="19.5" customHeight="1">
      <c r="G50" s="74"/>
    </row>
    <row r="51" spans="7:7" s="23" customFormat="1" ht="19.5" customHeight="1">
      <c r="G51" s="74"/>
    </row>
    <row r="52" spans="7:7" s="23" customFormat="1" ht="19.5" customHeight="1">
      <c r="G52" s="74"/>
    </row>
    <row r="53" spans="7:7" s="23" customFormat="1" ht="19.5" customHeight="1">
      <c r="G53" s="74"/>
    </row>
    <row r="54" spans="7:7" s="23" customFormat="1" ht="19.5" customHeight="1">
      <c r="G54" s="74"/>
    </row>
    <row r="55" spans="7:7" s="23" customFormat="1" ht="19.5" customHeight="1">
      <c r="G55" s="74"/>
    </row>
    <row r="56" spans="7:7" s="23" customFormat="1" ht="19.5" customHeight="1">
      <c r="G56" s="74"/>
    </row>
    <row r="57" spans="7:7" s="23" customFormat="1" ht="19.5" customHeight="1">
      <c r="G57" s="74"/>
    </row>
    <row r="58" spans="7:7" s="23" customFormat="1" ht="19.5" customHeight="1">
      <c r="G58" s="74"/>
    </row>
    <row r="59" spans="7:7" s="23" customFormat="1" ht="19.5" customHeight="1">
      <c r="G59" s="74"/>
    </row>
    <row r="60" spans="7:7" s="23" customFormat="1" ht="19.5" customHeight="1">
      <c r="G60" s="74"/>
    </row>
    <row r="61" spans="7:7" s="23" customFormat="1" ht="19.5" customHeight="1">
      <c r="G61" s="74"/>
    </row>
    <row r="62" spans="7:7" s="23" customFormat="1" ht="19.5" customHeight="1">
      <c r="G62" s="74"/>
    </row>
    <row r="63" spans="7:7" s="23" customFormat="1" ht="19.5" customHeight="1">
      <c r="G63" s="74"/>
    </row>
    <row r="64" spans="7:7" s="23" customFormat="1" ht="19.5" customHeight="1">
      <c r="G64" s="74"/>
    </row>
    <row r="65" spans="7:7" s="23" customFormat="1" ht="19.5" customHeight="1">
      <c r="G65" s="74"/>
    </row>
    <row r="66" spans="7:7" s="23" customFormat="1" ht="19.5" customHeight="1">
      <c r="G66" s="74"/>
    </row>
    <row r="67" spans="7:7" s="23" customFormat="1" ht="19.5" customHeight="1">
      <c r="G67" s="74"/>
    </row>
    <row r="68" spans="7:7" s="23" customFormat="1" ht="19.5" customHeight="1">
      <c r="G68" s="74"/>
    </row>
    <row r="69" spans="7:7" s="23" customFormat="1" ht="19.5" customHeight="1">
      <c r="G69" s="74"/>
    </row>
    <row r="70" spans="7:7" s="23" customFormat="1" ht="19.5" customHeight="1">
      <c r="G70" s="74"/>
    </row>
    <row r="71" spans="7:7" s="23" customFormat="1" ht="19.5" customHeight="1">
      <c r="G71" s="74"/>
    </row>
    <row r="72" spans="7:7" s="23" customFormat="1" ht="19.5" customHeight="1">
      <c r="G72" s="74"/>
    </row>
    <row r="73" spans="7:7" s="23" customFormat="1" ht="19.5" customHeight="1">
      <c r="G73" s="74"/>
    </row>
    <row r="74" spans="7:7" s="23" customFormat="1" ht="19.5" customHeight="1">
      <c r="G74" s="74"/>
    </row>
    <row r="75" spans="7:7" s="23" customFormat="1" ht="19.5" customHeight="1">
      <c r="G75" s="74"/>
    </row>
    <row r="76" spans="7:7" s="23" customFormat="1" ht="19.5" customHeight="1">
      <c r="G76" s="74"/>
    </row>
    <row r="77" spans="7:7" s="23" customFormat="1" ht="19.5" customHeight="1">
      <c r="G77" s="74"/>
    </row>
    <row r="78" spans="7:7" s="23" customFormat="1" ht="19.5" customHeight="1">
      <c r="G78" s="74"/>
    </row>
    <row r="79" spans="7:7" s="23" customFormat="1" ht="19.5" customHeight="1">
      <c r="G79" s="74"/>
    </row>
    <row r="80" spans="7:7" s="23" customFormat="1" ht="19.5" customHeight="1">
      <c r="G80" s="74"/>
    </row>
    <row r="81" spans="7:7" s="23" customFormat="1" ht="19.5" customHeight="1">
      <c r="G81" s="74"/>
    </row>
    <row r="82" spans="7:7" s="23" customFormat="1" ht="19.5" customHeight="1">
      <c r="G82" s="74"/>
    </row>
    <row r="83" spans="7:7" s="23" customFormat="1" ht="19.5" customHeight="1">
      <c r="G83" s="74"/>
    </row>
    <row r="84" spans="7:7" s="23" customFormat="1" ht="19.5" customHeight="1">
      <c r="G84" s="74"/>
    </row>
    <row r="85" spans="7:7" s="23" customFormat="1" ht="19.5" customHeight="1">
      <c r="G85" s="74"/>
    </row>
    <row r="86" spans="7:7" s="23" customFormat="1" ht="19.5" customHeight="1">
      <c r="G86" s="74"/>
    </row>
    <row r="87" spans="7:7" s="23" customFormat="1" ht="19.5" customHeight="1">
      <c r="G87" s="74"/>
    </row>
    <row r="88" spans="7:7" s="23" customFormat="1" ht="19.5" customHeight="1">
      <c r="G88" s="74"/>
    </row>
    <row r="89" spans="7:7" s="28" customFormat="1" ht="19.5" customHeight="1"/>
    <row r="90" spans="7:7" s="28" customFormat="1" ht="19.5" customHeight="1"/>
    <row r="91" spans="7:7" s="23" customFormat="1" ht="19.5" customHeight="1">
      <c r="G91" s="74"/>
    </row>
    <row r="92" spans="7:7" s="23" customFormat="1" ht="19.5" customHeight="1">
      <c r="G92" s="74"/>
    </row>
    <row r="93" spans="7:7" s="23" customFormat="1" ht="19.5" customHeight="1">
      <c r="G93" s="74"/>
    </row>
    <row r="94" spans="7:7" s="23" customFormat="1" ht="19.5" customHeight="1">
      <c r="G94" s="74"/>
    </row>
    <row r="95" spans="7:7" s="23" customFormat="1" ht="19.5" customHeight="1">
      <c r="G95" s="74"/>
    </row>
    <row r="96" spans="7:7" s="23" customFormat="1" ht="19.5" customHeight="1">
      <c r="G96" s="74"/>
    </row>
    <row r="97" spans="7:7" s="23" customFormat="1" ht="19.5" customHeight="1">
      <c r="G97" s="74"/>
    </row>
    <row r="98" spans="7:7" s="23" customFormat="1" ht="19.5" customHeight="1">
      <c r="G98" s="74"/>
    </row>
    <row r="99" spans="7:7" s="23" customFormat="1" ht="19.5" customHeight="1">
      <c r="G99" s="74"/>
    </row>
    <row r="100" spans="7:7" s="23" customFormat="1" ht="19.5" customHeight="1">
      <c r="G100" s="74"/>
    </row>
    <row r="101" spans="7:7" s="23" customFormat="1" ht="19.5" customHeight="1">
      <c r="G101" s="74"/>
    </row>
    <row r="102" spans="7:7" s="23" customFormat="1" ht="19.5" customHeight="1">
      <c r="G102" s="74"/>
    </row>
    <row r="103" spans="7:7" s="23" customFormat="1" ht="19.5" customHeight="1">
      <c r="G103" s="74"/>
    </row>
    <row r="104" spans="7:7" s="23" customFormat="1" ht="19.5" customHeight="1">
      <c r="G104" s="74"/>
    </row>
    <row r="105" spans="7:7" s="23" customFormat="1" ht="19.5" customHeight="1">
      <c r="G105" s="74"/>
    </row>
    <row r="106" spans="7:7" s="23" customFormat="1" ht="19.5" customHeight="1">
      <c r="G106" s="74"/>
    </row>
    <row r="107" spans="7:7" s="23" customFormat="1" ht="19.5" customHeight="1">
      <c r="G107" s="74"/>
    </row>
    <row r="108" spans="7:7" s="23" customFormat="1" ht="19.5" customHeight="1">
      <c r="G108" s="74"/>
    </row>
    <row r="109" spans="7:7" s="23" customFormat="1" ht="19.5" customHeight="1">
      <c r="G109" s="74"/>
    </row>
    <row r="110" spans="7:7" s="23" customFormat="1" ht="19.5" customHeight="1">
      <c r="G110" s="74"/>
    </row>
    <row r="111" spans="7:7" s="23" customFormat="1" ht="19.5" customHeight="1">
      <c r="G111" s="74"/>
    </row>
    <row r="112" spans="7:7" s="23" customFormat="1" ht="19.5" customHeight="1">
      <c r="G112" s="74"/>
    </row>
    <row r="113" spans="1:21" s="23" customFormat="1" ht="19.5" customHeight="1">
      <c r="G113" s="74"/>
    </row>
    <row r="114" spans="1:21" s="23" customFormat="1" ht="19.5" customHeight="1">
      <c r="G114" s="74"/>
    </row>
    <row r="115" spans="1:21" s="23" customFormat="1" ht="19.5" customHeight="1">
      <c r="G115" s="74"/>
    </row>
    <row r="116" spans="1:21" s="23" customFormat="1" ht="19.5" customHeight="1">
      <c r="G116" s="74"/>
    </row>
    <row r="117" spans="1:21" s="23" customFormat="1" ht="19.5" customHeight="1">
      <c r="G117" s="74"/>
    </row>
    <row r="118" spans="1:21" s="23" customFormat="1" ht="19.5" customHeight="1">
      <c r="G118" s="74"/>
    </row>
    <row r="119" spans="1:21" s="23" customFormat="1" ht="19.5" customHeight="1">
      <c r="G119" s="74"/>
    </row>
    <row r="120" spans="1:21" s="23" customFormat="1" ht="19.5" customHeight="1">
      <c r="G120" s="74"/>
    </row>
    <row r="121" spans="1:21" s="32" customFormat="1" ht="21" customHeight="1"/>
    <row r="122" spans="1:21" s="23" customFormat="1" ht="19.5" customHeight="1">
      <c r="G122" s="74"/>
    </row>
    <row r="123" spans="1:21" s="23" customFormat="1" ht="19.5" customHeight="1">
      <c r="G123" s="74"/>
    </row>
    <row r="124" spans="1:21" s="23" customFormat="1" ht="19.5" customHeight="1">
      <c r="G124" s="74"/>
    </row>
    <row r="125" spans="1:21" s="33" customFormat="1" ht="19.5" customHeight="1">
      <c r="G125" s="113"/>
    </row>
    <row r="126" spans="1:21" s="23" customFormat="1" ht="19.5" customHeight="1">
      <c r="G126" s="74"/>
    </row>
    <row r="127" spans="1:21" ht="19.5" customHeight="1">
      <c r="A127" s="1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>
      <c r="A128" s="1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>
      <c r="A129" s="1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>
      <c r="A130" s="1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>
      <c r="A131" s="1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>
      <c r="A132" s="1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>
      <c r="A133" s="1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>
      <c r="A134" s="1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>
      <c r="A135" s="1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>
      <c r="A136" s="1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>
      <c r="A137" s="1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>
      <c r="A138" s="1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>
      <c r="A139" s="1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>
      <c r="A140" s="18"/>
    </row>
    <row r="141" spans="1:21">
      <c r="A141" s="18"/>
    </row>
    <row r="142" spans="1:21">
      <c r="A142" s="18"/>
    </row>
    <row r="143" spans="1:21">
      <c r="A143" s="18"/>
    </row>
    <row r="144" spans="1:2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</sheetData>
  <autoFilter ref="A6:U126"/>
  <mergeCells count="10"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2"/>
  <sheetViews>
    <sheetView workbookViewId="0">
      <selection activeCell="A2" sqref="A2:T2"/>
    </sheetView>
  </sheetViews>
  <sheetFormatPr defaultColWidth="9.140625" defaultRowHeight="15"/>
  <cols>
    <col min="1" max="1" width="5.140625" style="19" customWidth="1"/>
    <col min="2" max="2" width="23.7109375" style="18" customWidth="1"/>
    <col min="3" max="3" width="7" style="18" customWidth="1"/>
    <col min="4" max="4" width="5.5703125" style="18" customWidth="1"/>
    <col min="5" max="6" width="9.5703125" style="18" customWidth="1"/>
    <col min="7" max="7" width="7.5703125" style="73" customWidth="1"/>
    <col min="8" max="8" width="9.42578125" style="18" customWidth="1"/>
    <col min="9" max="9" width="6.85546875" style="18" customWidth="1"/>
    <col min="10" max="10" width="8.42578125" style="18" customWidth="1"/>
    <col min="11" max="11" width="8.85546875" style="18" customWidth="1"/>
    <col min="12" max="12" width="9.42578125" style="18" customWidth="1"/>
    <col min="13" max="13" width="9.7109375" style="18" customWidth="1"/>
    <col min="14" max="14" width="10.140625" style="18" customWidth="1"/>
    <col min="15" max="15" width="9.85546875" style="18" customWidth="1"/>
    <col min="16" max="16" width="9.42578125" style="18" customWidth="1"/>
    <col min="17" max="17" width="8.42578125" style="18" customWidth="1"/>
    <col min="18" max="19" width="10" style="18" customWidth="1"/>
    <col min="20" max="20" width="9" style="18" customWidth="1"/>
    <col min="21" max="16384" width="9.140625" style="18"/>
  </cols>
  <sheetData>
    <row r="1" spans="1:20" ht="21.75" customHeight="1">
      <c r="A1" s="158" t="s">
        <v>334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8" customHeight="1">
      <c r="T3" s="20" t="s">
        <v>20</v>
      </c>
    </row>
    <row r="4" spans="1:20" ht="27.75" customHeight="1">
      <c r="A4" s="201" t="s">
        <v>0</v>
      </c>
      <c r="B4" s="201" t="s">
        <v>18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4"/>
    </row>
    <row r="5" spans="1:20" ht="27.75" customHeight="1">
      <c r="A5" s="202"/>
      <c r="B5" s="202"/>
      <c r="C5" s="167"/>
      <c r="D5" s="168"/>
      <c r="E5" s="174"/>
      <c r="F5" s="175"/>
      <c r="G5" s="176"/>
      <c r="H5" s="199" t="s">
        <v>6</v>
      </c>
      <c r="I5" s="162" t="s">
        <v>183</v>
      </c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199" t="s">
        <v>19</v>
      </c>
    </row>
    <row r="6" spans="1:20" ht="76.5">
      <c r="A6" s="203"/>
      <c r="B6" s="203"/>
      <c r="C6" s="59" t="s">
        <v>2</v>
      </c>
      <c r="D6" s="59" t="s">
        <v>3</v>
      </c>
      <c r="E6" s="57" t="s">
        <v>184</v>
      </c>
      <c r="F6" s="57" t="s">
        <v>185</v>
      </c>
      <c r="G6" s="115" t="s">
        <v>19</v>
      </c>
      <c r="H6" s="200"/>
      <c r="I6" s="44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7" t="s">
        <v>13</v>
      </c>
      <c r="O6" s="57" t="s">
        <v>14</v>
      </c>
      <c r="P6" s="57" t="s">
        <v>15</v>
      </c>
      <c r="Q6" s="57" t="s">
        <v>17</v>
      </c>
      <c r="R6" s="57" t="s">
        <v>16</v>
      </c>
      <c r="S6" s="57" t="s">
        <v>186</v>
      </c>
      <c r="T6" s="200"/>
    </row>
    <row r="7" spans="1:20" s="23" customFormat="1" ht="21.75" customHeight="1">
      <c r="A7" s="29">
        <v>1</v>
      </c>
      <c r="B7" s="41" t="s">
        <v>318</v>
      </c>
      <c r="C7" s="135">
        <v>48</v>
      </c>
      <c r="D7" s="135">
        <v>48</v>
      </c>
      <c r="E7" s="68">
        <f>5472.26-48</f>
        <v>5424.26</v>
      </c>
      <c r="F7" s="68">
        <v>872.13</v>
      </c>
      <c r="G7" s="68">
        <f>E7+F7</f>
        <v>6296.39</v>
      </c>
      <c r="H7" s="68">
        <v>5151.6499999999996</v>
      </c>
      <c r="I7" s="68">
        <v>87.902000000000001</v>
      </c>
      <c r="J7" s="68">
        <v>248.30500000000001</v>
      </c>
      <c r="K7" s="68">
        <v>5.5229999999999997</v>
      </c>
      <c r="L7" s="68">
        <v>15.86</v>
      </c>
      <c r="M7" s="68">
        <v>74.400000000000006</v>
      </c>
      <c r="N7" s="68">
        <v>90.546000000000006</v>
      </c>
      <c r="O7" s="68"/>
      <c r="P7" s="68">
        <v>394.07900000000001</v>
      </c>
      <c r="Q7" s="68"/>
      <c r="R7" s="68">
        <f>18.336+113.04+73.6</f>
        <v>204.976</v>
      </c>
      <c r="S7" s="68">
        <f>SUM(I7:R7)</f>
        <v>1121.5909999999999</v>
      </c>
      <c r="T7" s="156">
        <f>S7+H7</f>
        <v>6273.241</v>
      </c>
    </row>
    <row r="8" spans="1:20" s="23" customFormat="1" ht="21.75" customHeight="1">
      <c r="A8" s="29">
        <v>2</v>
      </c>
      <c r="B8" s="58" t="s">
        <v>319</v>
      </c>
      <c r="C8" s="135">
        <v>16</v>
      </c>
      <c r="D8" s="135">
        <v>16</v>
      </c>
      <c r="E8" s="68">
        <f>75+1145.67</f>
        <v>1220.67</v>
      </c>
      <c r="F8" s="68">
        <f>14+188.1+94.4</f>
        <v>296.5</v>
      </c>
      <c r="G8" s="68">
        <f t="shared" ref="G8:G28" si="0">E8+F8</f>
        <v>1517.17</v>
      </c>
      <c r="H8" s="68">
        <f>604.225+435.927+171.335</f>
        <v>1211.4870000000001</v>
      </c>
      <c r="I8" s="68">
        <v>20.539000000000001</v>
      </c>
      <c r="J8" s="68">
        <v>57.11</v>
      </c>
      <c r="K8" s="68">
        <v>3.9430000000000001</v>
      </c>
      <c r="L8" s="68">
        <v>7.4</v>
      </c>
      <c r="M8" s="68">
        <v>62.14</v>
      </c>
      <c r="N8" s="68">
        <v>47.162999999999997</v>
      </c>
      <c r="O8" s="68"/>
      <c r="P8" s="68">
        <v>85.238</v>
      </c>
      <c r="Q8" s="68"/>
      <c r="R8" s="68">
        <v>22.158999999999999</v>
      </c>
      <c r="S8" s="68">
        <f t="shared" ref="S8:S28" si="1">SUM(I8:R8)</f>
        <v>305.69200000000001</v>
      </c>
      <c r="T8" s="156">
        <f t="shared" ref="T8:T28" si="2">S8+H8</f>
        <v>1517.1790000000001</v>
      </c>
    </row>
    <row r="9" spans="1:20" s="23" customFormat="1" ht="21.75" customHeight="1">
      <c r="A9" s="72">
        <v>3</v>
      </c>
      <c r="B9" s="58" t="s">
        <v>320</v>
      </c>
      <c r="C9" s="135">
        <v>24</v>
      </c>
      <c r="D9" s="135">
        <v>24</v>
      </c>
      <c r="E9" s="68">
        <f>44+35.8+2333.62</f>
        <v>2413.42</v>
      </c>
      <c r="F9" s="68">
        <v>359.11</v>
      </c>
      <c r="G9" s="68">
        <f t="shared" si="0"/>
        <v>2772.53</v>
      </c>
      <c r="H9" s="68">
        <v>2380.4470000000001</v>
      </c>
      <c r="I9" s="68">
        <v>36.218000000000004</v>
      </c>
      <c r="J9" s="68">
        <v>39.085000000000001</v>
      </c>
      <c r="K9" s="68">
        <v>2.9969999999999999</v>
      </c>
      <c r="L9" s="68">
        <v>7.4</v>
      </c>
      <c r="M9" s="68">
        <v>84.721000000000004</v>
      </c>
      <c r="N9" s="68">
        <v>44.771999999999998</v>
      </c>
      <c r="O9" s="68"/>
      <c r="P9" s="68">
        <v>93.022999999999996</v>
      </c>
      <c r="Q9" s="68"/>
      <c r="R9" s="68">
        <f>4.025+79.753+24</f>
        <v>107.77800000000001</v>
      </c>
      <c r="S9" s="68">
        <f t="shared" si="1"/>
        <v>415.99400000000003</v>
      </c>
      <c r="T9" s="156">
        <f t="shared" si="2"/>
        <v>2796.4410000000003</v>
      </c>
    </row>
    <row r="10" spans="1:20" s="23" customFormat="1" ht="21.75" customHeight="1">
      <c r="A10" s="72">
        <v>4</v>
      </c>
      <c r="B10" s="116" t="s">
        <v>321</v>
      </c>
      <c r="C10" s="135">
        <v>29</v>
      </c>
      <c r="D10" s="135">
        <v>29</v>
      </c>
      <c r="E10" s="68">
        <f>2989.93-43</f>
        <v>2946.93</v>
      </c>
      <c r="F10" s="68">
        <f>36.03+495.92</f>
        <v>531.95000000000005</v>
      </c>
      <c r="G10" s="68">
        <f t="shared" si="0"/>
        <v>3478.88</v>
      </c>
      <c r="H10" s="68">
        <v>2869.46</v>
      </c>
      <c r="I10" s="68">
        <v>73.814999999999998</v>
      </c>
      <c r="J10" s="68">
        <v>91.698999999999998</v>
      </c>
      <c r="K10" s="68">
        <v>4.5759999999999996</v>
      </c>
      <c r="L10" s="68">
        <v>11.51</v>
      </c>
      <c r="M10" s="68">
        <v>105.42</v>
      </c>
      <c r="N10" s="68">
        <v>38.43</v>
      </c>
      <c r="O10" s="68">
        <v>58.75</v>
      </c>
      <c r="P10" s="68">
        <v>128.13</v>
      </c>
      <c r="Q10" s="68"/>
      <c r="R10" s="68">
        <f>4.298+171</f>
        <v>175.298</v>
      </c>
      <c r="S10" s="68">
        <f t="shared" si="1"/>
        <v>687.62799999999993</v>
      </c>
      <c r="T10" s="156">
        <f t="shared" si="2"/>
        <v>3557.0879999999997</v>
      </c>
    </row>
    <row r="11" spans="1:20" s="23" customFormat="1" ht="21.75" customHeight="1">
      <c r="A11" s="72">
        <v>5</v>
      </c>
      <c r="B11" s="58" t="s">
        <v>322</v>
      </c>
      <c r="C11" s="135">
        <v>15</v>
      </c>
      <c r="D11" s="135">
        <v>15</v>
      </c>
      <c r="E11" s="68">
        <v>1480.44</v>
      </c>
      <c r="F11" s="68">
        <f>15+239.41</f>
        <v>254.41</v>
      </c>
      <c r="G11" s="68">
        <f t="shared" si="0"/>
        <v>1734.8500000000001</v>
      </c>
      <c r="H11" s="68">
        <f>727.96+555.496+195.404</f>
        <v>1478.8600000000001</v>
      </c>
      <c r="I11" s="68">
        <v>16.219000000000001</v>
      </c>
      <c r="J11" s="68">
        <v>58.188000000000002</v>
      </c>
      <c r="K11" s="68">
        <v>5.0999999999999996</v>
      </c>
      <c r="L11" s="68">
        <v>6</v>
      </c>
      <c r="M11" s="68">
        <v>47.4</v>
      </c>
      <c r="N11" s="68">
        <v>25.295000000000002</v>
      </c>
      <c r="O11" s="68"/>
      <c r="P11" s="68">
        <v>71.052999999999997</v>
      </c>
      <c r="Q11" s="68"/>
      <c r="R11" s="68">
        <v>26.73</v>
      </c>
      <c r="S11" s="68">
        <f t="shared" si="1"/>
        <v>255.98499999999999</v>
      </c>
      <c r="T11" s="156">
        <f t="shared" si="2"/>
        <v>1734.845</v>
      </c>
    </row>
    <row r="12" spans="1:20" s="23" customFormat="1" ht="21.75" customHeight="1">
      <c r="A12" s="72">
        <v>6</v>
      </c>
      <c r="B12" s="41" t="s">
        <v>323</v>
      </c>
      <c r="C12" s="135">
        <v>33</v>
      </c>
      <c r="D12" s="135">
        <v>33</v>
      </c>
      <c r="E12" s="68">
        <f>3876.96-41</f>
        <v>3835.96</v>
      </c>
      <c r="F12" s="68">
        <f>15.33+615.62</f>
        <v>630.95000000000005</v>
      </c>
      <c r="G12" s="68">
        <f t="shared" si="0"/>
        <v>4466.91</v>
      </c>
      <c r="H12" s="68">
        <v>3551.732</v>
      </c>
      <c r="I12" s="68">
        <v>58.218000000000004</v>
      </c>
      <c r="J12" s="68">
        <f>55.02+40.93+10.4</f>
        <v>106.35000000000001</v>
      </c>
      <c r="K12" s="68">
        <v>8.2059999999999995</v>
      </c>
      <c r="L12" s="68">
        <v>12</v>
      </c>
      <c r="M12" s="68">
        <v>79.52</v>
      </c>
      <c r="N12" s="68">
        <v>147.32499999999999</v>
      </c>
      <c r="O12" s="68">
        <v>36.65</v>
      </c>
      <c r="P12" s="68">
        <v>269.39999999999998</v>
      </c>
      <c r="Q12" s="68"/>
      <c r="R12" s="68">
        <f>103.57+15.378+39.6</f>
        <v>158.548</v>
      </c>
      <c r="S12" s="68">
        <f t="shared" si="1"/>
        <v>876.21699999999987</v>
      </c>
      <c r="T12" s="156">
        <f t="shared" si="2"/>
        <v>4427.9489999999996</v>
      </c>
    </row>
    <row r="13" spans="1:20" s="23" customFormat="1" ht="21.75" customHeight="1">
      <c r="A13" s="72">
        <v>7</v>
      </c>
      <c r="B13" s="41" t="s">
        <v>324</v>
      </c>
      <c r="C13" s="135">
        <v>37</v>
      </c>
      <c r="D13" s="135">
        <v>37</v>
      </c>
      <c r="E13" s="68">
        <f>4240.78-32</f>
        <v>4208.78</v>
      </c>
      <c r="F13" s="68">
        <v>684.09</v>
      </c>
      <c r="G13" s="68">
        <f t="shared" si="0"/>
        <v>4892.87</v>
      </c>
      <c r="H13" s="68">
        <v>3934.1689999999999</v>
      </c>
      <c r="I13" s="68">
        <v>58.235999999999997</v>
      </c>
      <c r="J13" s="68">
        <v>122.518</v>
      </c>
      <c r="K13" s="68">
        <v>6.8689999999999998</v>
      </c>
      <c r="L13" s="68">
        <v>10.3</v>
      </c>
      <c r="M13" s="68">
        <v>122.315</v>
      </c>
      <c r="N13" s="68">
        <v>48.84</v>
      </c>
      <c r="O13" s="68"/>
      <c r="P13" s="68">
        <v>432.06400000000002</v>
      </c>
      <c r="Q13" s="68"/>
      <c r="R13" s="68">
        <f>6.696+113.528+37</f>
        <v>157.22399999999999</v>
      </c>
      <c r="S13" s="68">
        <f t="shared" si="1"/>
        <v>958.36599999999999</v>
      </c>
      <c r="T13" s="156">
        <f t="shared" si="2"/>
        <v>4892.5349999999999</v>
      </c>
    </row>
    <row r="14" spans="1:20" s="23" customFormat="1" ht="21.75" customHeight="1">
      <c r="A14" s="72">
        <v>8</v>
      </c>
      <c r="B14" s="58" t="s">
        <v>325</v>
      </c>
      <c r="C14" s="135">
        <v>16</v>
      </c>
      <c r="D14" s="135">
        <v>16</v>
      </c>
      <c r="E14" s="68">
        <f>1724.6+45</f>
        <v>1769.6</v>
      </c>
      <c r="F14" s="68">
        <f>24.56+273.61</f>
        <v>298.17</v>
      </c>
      <c r="G14" s="68">
        <f t="shared" si="0"/>
        <v>2067.77</v>
      </c>
      <c r="H14" s="68">
        <f>811.838+620.351+226.754</f>
        <v>1658.9429999999998</v>
      </c>
      <c r="I14" s="68">
        <v>22.547000000000001</v>
      </c>
      <c r="J14" s="68">
        <v>85.183999999999997</v>
      </c>
      <c r="K14" s="68">
        <v>5.383</v>
      </c>
      <c r="L14" s="68">
        <v>11.25</v>
      </c>
      <c r="M14" s="68">
        <v>57.38</v>
      </c>
      <c r="N14" s="68">
        <v>32.229999999999997</v>
      </c>
      <c r="O14" s="68"/>
      <c r="P14" s="68">
        <v>169.43</v>
      </c>
      <c r="Q14" s="68"/>
      <c r="R14" s="68">
        <f>7.12+18.328</f>
        <v>25.448</v>
      </c>
      <c r="S14" s="68">
        <f t="shared" si="1"/>
        <v>408.85199999999998</v>
      </c>
      <c r="T14" s="156">
        <f t="shared" si="2"/>
        <v>2067.7949999999996</v>
      </c>
    </row>
    <row r="15" spans="1:20" s="23" customFormat="1" ht="21.75" customHeight="1">
      <c r="A15" s="72">
        <v>9</v>
      </c>
      <c r="B15" s="41" t="s">
        <v>326</v>
      </c>
      <c r="C15" s="135">
        <v>43</v>
      </c>
      <c r="D15" s="135">
        <v>43</v>
      </c>
      <c r="E15" s="68">
        <f>5857.29-5</f>
        <v>5852.29</v>
      </c>
      <c r="F15" s="68">
        <f>33.17+769.53</f>
        <v>802.69999999999993</v>
      </c>
      <c r="G15" s="68">
        <f t="shared" si="0"/>
        <v>6654.99</v>
      </c>
      <c r="H15" s="68">
        <v>5632.6260000000002</v>
      </c>
      <c r="I15" s="68">
        <v>74.326999999999998</v>
      </c>
      <c r="J15" s="68">
        <v>144.22</v>
      </c>
      <c r="K15" s="68">
        <v>6.3470000000000004</v>
      </c>
      <c r="L15" s="68">
        <v>9.31</v>
      </c>
      <c r="M15" s="68">
        <v>41.16</v>
      </c>
      <c r="N15" s="68">
        <v>94.259</v>
      </c>
      <c r="O15" s="68">
        <v>27</v>
      </c>
      <c r="P15" s="68">
        <v>498.59100000000001</v>
      </c>
      <c r="Q15" s="68"/>
      <c r="R15" s="68">
        <f>2.044+27.01+48</f>
        <v>77.054000000000002</v>
      </c>
      <c r="S15" s="68">
        <f t="shared" si="1"/>
        <v>972.26800000000003</v>
      </c>
      <c r="T15" s="156">
        <f t="shared" si="2"/>
        <v>6604.8940000000002</v>
      </c>
    </row>
    <row r="16" spans="1:20" s="23" customFormat="1" ht="21.75" customHeight="1">
      <c r="A16" s="72">
        <v>10</v>
      </c>
      <c r="B16" s="58" t="s">
        <v>327</v>
      </c>
      <c r="C16" s="135">
        <v>17</v>
      </c>
      <c r="D16" s="135">
        <v>17</v>
      </c>
      <c r="E16" s="68">
        <f>36.8+2179.94</f>
        <v>2216.7400000000002</v>
      </c>
      <c r="F16" s="68">
        <v>290.70999999999998</v>
      </c>
      <c r="G16" s="68">
        <f t="shared" si="0"/>
        <v>2507.4500000000003</v>
      </c>
      <c r="H16" s="68">
        <f>1061.826+846.537+0.34+296.324</f>
        <v>2205.027</v>
      </c>
      <c r="I16" s="68">
        <v>16.710999999999999</v>
      </c>
      <c r="J16" s="68">
        <v>102.104</v>
      </c>
      <c r="K16" s="68">
        <v>2.0510000000000002</v>
      </c>
      <c r="L16" s="68">
        <v>7.92</v>
      </c>
      <c r="M16" s="68">
        <v>36.42</v>
      </c>
      <c r="N16" s="68">
        <v>36.36</v>
      </c>
      <c r="O16" s="68"/>
      <c r="P16" s="68">
        <v>83.272999999999996</v>
      </c>
      <c r="Q16" s="68"/>
      <c r="R16" s="68">
        <v>17.597000000000001</v>
      </c>
      <c r="S16" s="68">
        <f t="shared" si="1"/>
        <v>302.43600000000004</v>
      </c>
      <c r="T16" s="156">
        <f t="shared" si="2"/>
        <v>2507.4630000000002</v>
      </c>
    </row>
    <row r="17" spans="1:20" s="23" customFormat="1" ht="21.75" customHeight="1">
      <c r="A17" s="72">
        <v>11</v>
      </c>
      <c r="B17" s="58" t="s">
        <v>328</v>
      </c>
      <c r="C17" s="135">
        <v>21</v>
      </c>
      <c r="D17" s="135">
        <v>21</v>
      </c>
      <c r="E17" s="68">
        <f>40+2693.27</f>
        <v>2733.27</v>
      </c>
      <c r="F17" s="68">
        <v>359.11</v>
      </c>
      <c r="G17" s="68">
        <f t="shared" si="0"/>
        <v>3092.38</v>
      </c>
      <c r="H17" s="68">
        <v>2722.7240000000002</v>
      </c>
      <c r="I17" s="68">
        <v>19.709</v>
      </c>
      <c r="J17" s="68">
        <v>76.521000000000001</v>
      </c>
      <c r="K17" s="68">
        <v>1.9610000000000001</v>
      </c>
      <c r="L17" s="68">
        <v>7.5</v>
      </c>
      <c r="M17" s="68">
        <v>109.56</v>
      </c>
      <c r="N17" s="68">
        <v>33.619999999999997</v>
      </c>
      <c r="O17" s="68">
        <v>10.99</v>
      </c>
      <c r="P17" s="68">
        <v>85.915999999999997</v>
      </c>
      <c r="Q17" s="68"/>
      <c r="R17" s="68">
        <f>2.935+21.009</f>
        <v>23.943999999999999</v>
      </c>
      <c r="S17" s="68">
        <f t="shared" si="1"/>
        <v>369.721</v>
      </c>
      <c r="T17" s="156">
        <f t="shared" si="2"/>
        <v>3092.4450000000002</v>
      </c>
    </row>
    <row r="18" spans="1:20" s="23" customFormat="1" ht="21.75" customHeight="1">
      <c r="A18" s="72">
        <v>12</v>
      </c>
      <c r="B18" s="38" t="s">
        <v>329</v>
      </c>
      <c r="C18" s="135">
        <v>33</v>
      </c>
      <c r="D18" s="135">
        <v>33</v>
      </c>
      <c r="E18" s="68">
        <f>4670.44+14.21</f>
        <v>4684.6499999999996</v>
      </c>
      <c r="F18" s="68">
        <f>581.42-24</f>
        <v>557.41999999999996</v>
      </c>
      <c r="G18" s="68">
        <f t="shared" si="0"/>
        <v>5242.07</v>
      </c>
      <c r="H18" s="68">
        <v>4746.29</v>
      </c>
      <c r="I18" s="68">
        <v>39.979999999999997</v>
      </c>
      <c r="J18" s="68">
        <v>62.11</v>
      </c>
      <c r="K18" s="68">
        <v>9.6639999999999997</v>
      </c>
      <c r="L18" s="68">
        <v>12</v>
      </c>
      <c r="M18" s="68">
        <v>52.93</v>
      </c>
      <c r="N18" s="68">
        <v>90.555999999999997</v>
      </c>
      <c r="O18" s="68">
        <v>12.795</v>
      </c>
      <c r="P18" s="68">
        <v>148.833</v>
      </c>
      <c r="Q18" s="68"/>
      <c r="R18" s="68">
        <f>1.579+51.724</f>
        <v>53.302999999999997</v>
      </c>
      <c r="S18" s="68">
        <f t="shared" si="1"/>
        <v>482.17100000000005</v>
      </c>
      <c r="T18" s="156">
        <f t="shared" si="2"/>
        <v>5228.4610000000002</v>
      </c>
    </row>
    <row r="19" spans="1:20" s="23" customFormat="1" ht="21.75" customHeight="1">
      <c r="A19" s="72">
        <v>13</v>
      </c>
      <c r="B19" s="58" t="s">
        <v>330</v>
      </c>
      <c r="C19" s="135">
        <v>18</v>
      </c>
      <c r="D19" s="135">
        <v>18</v>
      </c>
      <c r="E19" s="68">
        <f>29+79.79+2201.59</f>
        <v>2310.38</v>
      </c>
      <c r="F19" s="68">
        <v>290.70999999999998</v>
      </c>
      <c r="G19" s="68">
        <f t="shared" si="0"/>
        <v>2601.09</v>
      </c>
      <c r="H19" s="68">
        <f>1101.294+897.424+0.765+313.342</f>
        <v>2312.8250000000003</v>
      </c>
      <c r="I19" s="68">
        <v>11.335000000000001</v>
      </c>
      <c r="J19" s="68">
        <v>54.436</v>
      </c>
      <c r="K19" s="68">
        <v>8.3070000000000004</v>
      </c>
      <c r="L19" s="68">
        <v>9</v>
      </c>
      <c r="M19" s="68">
        <v>59.81</v>
      </c>
      <c r="N19" s="68">
        <v>33.517000000000003</v>
      </c>
      <c r="O19" s="68"/>
      <c r="P19" s="68">
        <v>92.667000000000002</v>
      </c>
      <c r="Q19" s="68"/>
      <c r="R19" s="68">
        <v>19</v>
      </c>
      <c r="S19" s="68">
        <f t="shared" si="1"/>
        <v>288.072</v>
      </c>
      <c r="T19" s="156">
        <f t="shared" si="2"/>
        <v>2600.8970000000004</v>
      </c>
    </row>
    <row r="20" spans="1:20" s="23" customFormat="1" ht="21.75" customHeight="1">
      <c r="A20" s="72">
        <v>14</v>
      </c>
      <c r="B20" s="41" t="s">
        <v>331</v>
      </c>
      <c r="C20" s="135">
        <v>35</v>
      </c>
      <c r="D20" s="135">
        <v>35</v>
      </c>
      <c r="E20" s="68">
        <f>4394.89+12.81</f>
        <v>4407.7000000000007</v>
      </c>
      <c r="F20" s="68">
        <f>615.62-15</f>
        <v>600.62</v>
      </c>
      <c r="G20" s="68">
        <f t="shared" si="0"/>
        <v>5008.3200000000006</v>
      </c>
      <c r="H20" s="68">
        <v>4425.9530000000004</v>
      </c>
      <c r="I20" s="68">
        <v>71.953999999999994</v>
      </c>
      <c r="J20" s="68">
        <v>45.4</v>
      </c>
      <c r="K20" s="68">
        <v>4.7160000000000002</v>
      </c>
      <c r="L20" s="68">
        <v>8.1199999999999992</v>
      </c>
      <c r="M20" s="68">
        <v>78.319999999999993</v>
      </c>
      <c r="N20" s="68">
        <v>21.67</v>
      </c>
      <c r="O20" s="68"/>
      <c r="P20" s="68">
        <v>308.36700000000002</v>
      </c>
      <c r="Q20" s="68"/>
      <c r="R20" s="68">
        <f>30.311+13.523</f>
        <v>43.834000000000003</v>
      </c>
      <c r="S20" s="68">
        <f t="shared" si="1"/>
        <v>582.38100000000009</v>
      </c>
      <c r="T20" s="156">
        <f t="shared" si="2"/>
        <v>5008.3340000000007</v>
      </c>
    </row>
    <row r="21" spans="1:20" s="23" customFormat="1" ht="21.75" customHeight="1">
      <c r="A21" s="72">
        <v>15</v>
      </c>
      <c r="B21" s="41" t="s">
        <v>332</v>
      </c>
      <c r="C21" s="135">
        <v>36</v>
      </c>
      <c r="D21" s="135">
        <v>36</v>
      </c>
      <c r="E21" s="68">
        <f>28+28.73+4642.18</f>
        <v>4698.91</v>
      </c>
      <c r="F21" s="68">
        <v>615.62</v>
      </c>
      <c r="G21" s="68">
        <f t="shared" si="0"/>
        <v>5314.53</v>
      </c>
      <c r="H21" s="68">
        <v>4953.7820000000002</v>
      </c>
      <c r="I21" s="68">
        <v>34.542000000000002</v>
      </c>
      <c r="J21" s="68">
        <v>25.975999999999999</v>
      </c>
      <c r="K21" s="69">
        <v>0.61599999999999999</v>
      </c>
      <c r="L21" s="68">
        <v>10.132</v>
      </c>
      <c r="M21" s="68">
        <v>57.24</v>
      </c>
      <c r="N21" s="68">
        <v>2.85</v>
      </c>
      <c r="O21" s="68">
        <v>15</v>
      </c>
      <c r="P21" s="68">
        <v>171.09899999999999</v>
      </c>
      <c r="Q21" s="68"/>
      <c r="R21" s="68">
        <f>17.165+25.643+25.64</f>
        <v>68.448000000000008</v>
      </c>
      <c r="S21" s="68">
        <f t="shared" si="1"/>
        <v>385.90300000000002</v>
      </c>
      <c r="T21" s="156">
        <f t="shared" si="2"/>
        <v>5339.6850000000004</v>
      </c>
    </row>
    <row r="22" spans="1:20" s="23" customFormat="1" ht="21.75" customHeight="1">
      <c r="A22" s="72">
        <v>16</v>
      </c>
      <c r="B22" s="58" t="s">
        <v>333</v>
      </c>
      <c r="C22" s="135">
        <v>17</v>
      </c>
      <c r="D22" s="135">
        <v>17</v>
      </c>
      <c r="E22" s="68">
        <f>1993.88-13+53.15</f>
        <v>2034.0300000000002</v>
      </c>
      <c r="F22" s="68">
        <v>290.70999999999998</v>
      </c>
      <c r="G22" s="68">
        <f t="shared" si="0"/>
        <v>2324.7400000000002</v>
      </c>
      <c r="H22" s="68">
        <f>964.364+747.914+280.375</f>
        <v>1992.653</v>
      </c>
      <c r="I22" s="68">
        <v>19.065999999999999</v>
      </c>
      <c r="J22" s="68">
        <v>49.15</v>
      </c>
      <c r="K22" s="68">
        <v>2.4460000000000002</v>
      </c>
      <c r="L22" s="68">
        <v>12.6</v>
      </c>
      <c r="M22" s="68">
        <v>62.17</v>
      </c>
      <c r="N22" s="68">
        <v>48.604999999999997</v>
      </c>
      <c r="O22" s="68"/>
      <c r="P22" s="68">
        <v>102.075</v>
      </c>
      <c r="Q22" s="68"/>
      <c r="R22" s="68">
        <f>6.07+29.91</f>
        <v>35.980000000000004</v>
      </c>
      <c r="S22" s="68">
        <f t="shared" si="1"/>
        <v>332.09199999999998</v>
      </c>
      <c r="T22" s="156">
        <f t="shared" si="2"/>
        <v>2324.7449999999999</v>
      </c>
    </row>
    <row r="23" spans="1:20" s="23" customFormat="1" ht="21.75" customHeight="1">
      <c r="A23" s="72">
        <v>17</v>
      </c>
      <c r="B23" s="58" t="s">
        <v>49</v>
      </c>
      <c r="C23" s="135">
        <v>49</v>
      </c>
      <c r="D23" s="135">
        <v>49</v>
      </c>
      <c r="E23" s="68">
        <f>6447.79+22.5</f>
        <v>6470.29</v>
      </c>
      <c r="F23" s="68">
        <f>820.83+57.16</f>
        <v>877.99</v>
      </c>
      <c r="G23" s="68">
        <f t="shared" si="0"/>
        <v>7348.28</v>
      </c>
      <c r="H23" s="68">
        <v>6440.4170000000004</v>
      </c>
      <c r="I23" s="68">
        <v>44.585999999999999</v>
      </c>
      <c r="J23" s="68">
        <v>74.236999999999995</v>
      </c>
      <c r="K23" s="68">
        <v>16</v>
      </c>
      <c r="L23" s="68">
        <v>29.135999999999999</v>
      </c>
      <c r="M23" s="68">
        <v>133.65</v>
      </c>
      <c r="N23" s="68">
        <v>60.820999999999998</v>
      </c>
      <c r="O23" s="68">
        <v>46.35</v>
      </c>
      <c r="P23" s="68">
        <v>308.39999999999998</v>
      </c>
      <c r="Q23" s="68"/>
      <c r="R23" s="68">
        <f>158.64+48.7</f>
        <v>207.33999999999997</v>
      </c>
      <c r="S23" s="68">
        <f t="shared" si="1"/>
        <v>920.52</v>
      </c>
      <c r="T23" s="156">
        <f t="shared" si="2"/>
        <v>7360.9369999999999</v>
      </c>
    </row>
    <row r="24" spans="1:20" s="23" customFormat="1" ht="21.75" customHeight="1">
      <c r="A24" s="72">
        <v>18</v>
      </c>
      <c r="B24" s="58" t="s">
        <v>48</v>
      </c>
      <c r="C24" s="135">
        <v>28</v>
      </c>
      <c r="D24" s="135">
        <v>28</v>
      </c>
      <c r="E24" s="68">
        <f>3612.99+25.514</f>
        <v>3638.5039999999999</v>
      </c>
      <c r="F24" s="68">
        <v>478.82</v>
      </c>
      <c r="G24" s="68">
        <f t="shared" si="0"/>
        <v>4117.3239999999996</v>
      </c>
      <c r="H24" s="68">
        <v>3797.5</v>
      </c>
      <c r="I24" s="68">
        <v>60.746000000000002</v>
      </c>
      <c r="J24" s="68">
        <v>36.5</v>
      </c>
      <c r="K24" s="68">
        <v>13.055</v>
      </c>
      <c r="L24" s="68">
        <v>15.194000000000001</v>
      </c>
      <c r="M24" s="68">
        <v>42.32</v>
      </c>
      <c r="N24" s="68">
        <v>14.975</v>
      </c>
      <c r="O24" s="68"/>
      <c r="P24" s="68">
        <v>103.735</v>
      </c>
      <c r="Q24" s="68"/>
      <c r="R24" s="68">
        <f>4.931+15.272</f>
        <v>20.202999999999999</v>
      </c>
      <c r="S24" s="68">
        <f t="shared" si="1"/>
        <v>306.72800000000001</v>
      </c>
      <c r="T24" s="156">
        <f t="shared" si="2"/>
        <v>4104.2280000000001</v>
      </c>
    </row>
    <row r="25" spans="1:20" s="23" customFormat="1" ht="21.75" customHeight="1">
      <c r="A25" s="72">
        <v>19</v>
      </c>
      <c r="B25" s="58" t="s">
        <v>50</v>
      </c>
      <c r="C25" s="135">
        <v>11</v>
      </c>
      <c r="D25" s="135">
        <v>11</v>
      </c>
      <c r="E25" s="68">
        <f>1587.02+11.1</f>
        <v>1598.12</v>
      </c>
      <c r="F25" s="68">
        <f>205.2-17</f>
        <v>188.2</v>
      </c>
      <c r="G25" s="68">
        <f t="shared" si="0"/>
        <v>1786.32</v>
      </c>
      <c r="H25" s="68">
        <f>785.738+452.852+217.965</f>
        <v>1456.5550000000001</v>
      </c>
      <c r="I25" s="68">
        <v>10.233000000000001</v>
      </c>
      <c r="J25" s="68">
        <v>94.664000000000001</v>
      </c>
      <c r="K25" s="68">
        <v>1.915</v>
      </c>
      <c r="L25" s="68">
        <v>14.28</v>
      </c>
      <c r="M25" s="68">
        <v>37.24</v>
      </c>
      <c r="N25" s="68">
        <v>27.062999999999999</v>
      </c>
      <c r="O25" s="68"/>
      <c r="P25" s="68">
        <v>106.37</v>
      </c>
      <c r="Q25" s="68"/>
      <c r="R25" s="68">
        <v>37.984999999999999</v>
      </c>
      <c r="S25" s="68">
        <f t="shared" si="1"/>
        <v>329.75</v>
      </c>
      <c r="T25" s="156">
        <f t="shared" si="2"/>
        <v>1786.3050000000001</v>
      </c>
    </row>
    <row r="26" spans="1:20" s="23" customFormat="1" ht="21.75" customHeight="1">
      <c r="A26" s="72">
        <v>20</v>
      </c>
      <c r="B26" s="58" t="s">
        <v>47</v>
      </c>
      <c r="C26" s="135">
        <v>30</v>
      </c>
      <c r="D26" s="135">
        <v>30</v>
      </c>
      <c r="E26" s="68">
        <f>3935.43-17.2</f>
        <v>3918.23</v>
      </c>
      <c r="F26" s="68">
        <v>547.22</v>
      </c>
      <c r="G26" s="68">
        <f t="shared" si="0"/>
        <v>4465.45</v>
      </c>
      <c r="H26" s="68">
        <v>3985.5610000000001</v>
      </c>
      <c r="I26" s="68">
        <v>35.558999999999997</v>
      </c>
      <c r="J26" s="68">
        <v>73.277000000000001</v>
      </c>
      <c r="K26" s="68">
        <v>15.419</v>
      </c>
      <c r="L26" s="68">
        <v>15.388</v>
      </c>
      <c r="M26" s="68">
        <v>112.47799999999999</v>
      </c>
      <c r="N26" s="68">
        <v>41.3</v>
      </c>
      <c r="O26" s="68"/>
      <c r="P26" s="68">
        <v>171.02099999999999</v>
      </c>
      <c r="Q26" s="68"/>
      <c r="R26" s="68">
        <v>15.454000000000001</v>
      </c>
      <c r="S26" s="68">
        <f t="shared" si="1"/>
        <v>479.89600000000002</v>
      </c>
      <c r="T26" s="156">
        <f t="shared" si="2"/>
        <v>4465.4570000000003</v>
      </c>
    </row>
    <row r="27" spans="1:20" s="23" customFormat="1" ht="21.75" customHeight="1">
      <c r="A27" s="72">
        <v>21</v>
      </c>
      <c r="B27" s="58" t="s">
        <v>46</v>
      </c>
      <c r="C27" s="135">
        <v>12</v>
      </c>
      <c r="D27" s="135">
        <v>12</v>
      </c>
      <c r="E27" s="68">
        <f>1451.77-5.5+15</f>
        <v>1461.27</v>
      </c>
      <c r="F27" s="68">
        <v>205.2</v>
      </c>
      <c r="G27" s="68">
        <f t="shared" si="0"/>
        <v>1666.47</v>
      </c>
      <c r="H27" s="68">
        <f>767.945+456.343+0.894+211.687</f>
        <v>1436.8690000000001</v>
      </c>
      <c r="I27" s="68">
        <v>7.8</v>
      </c>
      <c r="J27" s="68">
        <v>59</v>
      </c>
      <c r="K27" s="68">
        <v>3.3</v>
      </c>
      <c r="L27" s="68">
        <v>16.350000000000001</v>
      </c>
      <c r="M27" s="68">
        <v>60.4</v>
      </c>
      <c r="N27" s="68">
        <v>9.5399999999999991</v>
      </c>
      <c r="O27" s="68"/>
      <c r="P27" s="68">
        <v>60</v>
      </c>
      <c r="Q27" s="68"/>
      <c r="R27" s="68">
        <v>13</v>
      </c>
      <c r="S27" s="68">
        <f t="shared" si="1"/>
        <v>229.39</v>
      </c>
      <c r="T27" s="156">
        <f t="shared" si="2"/>
        <v>1666.259</v>
      </c>
    </row>
    <row r="28" spans="1:20" s="23" customFormat="1" ht="21.75" customHeight="1">
      <c r="A28" s="72">
        <v>22</v>
      </c>
      <c r="B28" s="58" t="s">
        <v>45</v>
      </c>
      <c r="C28" s="135">
        <v>14</v>
      </c>
      <c r="D28" s="135">
        <v>14</v>
      </c>
      <c r="E28" s="68">
        <f>1527.79+17.2+35.43</f>
        <v>1580.42</v>
      </c>
      <c r="F28" s="68">
        <f>222.3</f>
        <v>222.3</v>
      </c>
      <c r="G28" s="68">
        <f t="shared" si="0"/>
        <v>1802.72</v>
      </c>
      <c r="H28" s="68">
        <f>829.178+488.416+234.106</f>
        <v>1551.7</v>
      </c>
      <c r="I28" s="68">
        <v>14.254</v>
      </c>
      <c r="J28" s="68">
        <v>37.703000000000003</v>
      </c>
      <c r="K28" s="68">
        <v>1.9410000000000001</v>
      </c>
      <c r="L28" s="68">
        <v>11.763999999999999</v>
      </c>
      <c r="M28" s="68">
        <v>44.88</v>
      </c>
      <c r="N28" s="68">
        <v>47.148000000000003</v>
      </c>
      <c r="O28" s="68"/>
      <c r="P28" s="68">
        <v>60.972999999999999</v>
      </c>
      <c r="Q28" s="68"/>
      <c r="R28" s="68">
        <f>8.61+24.04</f>
        <v>32.65</v>
      </c>
      <c r="S28" s="68">
        <f t="shared" si="1"/>
        <v>251.31300000000002</v>
      </c>
      <c r="T28" s="156">
        <f t="shared" si="2"/>
        <v>1803.0130000000001</v>
      </c>
    </row>
    <row r="29" spans="1:20" s="23" customFormat="1" ht="21.75" customHeight="1">
      <c r="A29" s="29"/>
      <c r="B29" s="30" t="s">
        <v>19</v>
      </c>
      <c r="C29" s="70">
        <f>SUM(C7:C28)</f>
        <v>582</v>
      </c>
      <c r="D29" s="70">
        <f t="shared" ref="D29:T29" si="3">SUM(D7:D28)</f>
        <v>582</v>
      </c>
      <c r="E29" s="70">
        <f>SUM(E7:E28)</f>
        <v>70904.864000000001</v>
      </c>
      <c r="F29" s="70">
        <f t="shared" si="3"/>
        <v>10254.64</v>
      </c>
      <c r="G29" s="70">
        <f t="shared" si="3"/>
        <v>81159.503999999986</v>
      </c>
      <c r="H29" s="70">
        <f t="shared" si="3"/>
        <v>69897.23</v>
      </c>
      <c r="I29" s="70">
        <f t="shared" si="3"/>
        <v>834.49599999999998</v>
      </c>
      <c r="J29" s="70">
        <f t="shared" si="3"/>
        <v>1743.7369999999999</v>
      </c>
      <c r="K29" s="70">
        <f t="shared" si="3"/>
        <v>130.33500000000001</v>
      </c>
      <c r="L29" s="70">
        <f t="shared" si="3"/>
        <v>260.41399999999999</v>
      </c>
      <c r="M29" s="70">
        <f t="shared" si="3"/>
        <v>1561.8740000000003</v>
      </c>
      <c r="N29" s="70">
        <f t="shared" si="3"/>
        <v>1036.885</v>
      </c>
      <c r="O29" s="70">
        <f t="shared" si="3"/>
        <v>207.535</v>
      </c>
      <c r="P29" s="70">
        <f t="shared" si="3"/>
        <v>3943.737000000001</v>
      </c>
      <c r="Q29" s="70">
        <f t="shared" si="3"/>
        <v>0</v>
      </c>
      <c r="R29" s="70">
        <f t="shared" si="3"/>
        <v>1543.9529999999997</v>
      </c>
      <c r="S29" s="70">
        <f t="shared" si="3"/>
        <v>11262.966</v>
      </c>
      <c r="T29" s="70">
        <f t="shared" si="3"/>
        <v>81160.196000000011</v>
      </c>
    </row>
    <row r="30" spans="1:20" s="23" customFormat="1" ht="19.5" customHeight="1">
      <c r="G30" s="74"/>
    </row>
    <row r="31" spans="1:20" s="23" customFormat="1" ht="19.5" customHeight="1">
      <c r="E31" s="46"/>
      <c r="G31" s="74"/>
      <c r="H31" s="45"/>
    </row>
    <row r="32" spans="1:20" s="23" customFormat="1" ht="19.5" customHeight="1">
      <c r="G32" s="74"/>
    </row>
    <row r="33" spans="5:7" s="23" customFormat="1" ht="19.5" customHeight="1">
      <c r="E33" s="47"/>
      <c r="G33" s="74"/>
    </row>
    <row r="34" spans="5:7" s="23" customFormat="1" ht="19.5" customHeight="1">
      <c r="E34" s="46"/>
      <c r="G34" s="74"/>
    </row>
    <row r="35" spans="5:7" s="23" customFormat="1" ht="19.5" customHeight="1">
      <c r="G35" s="74"/>
    </row>
    <row r="36" spans="5:7" s="23" customFormat="1" ht="19.5" customHeight="1">
      <c r="G36" s="74"/>
    </row>
    <row r="37" spans="5:7" s="23" customFormat="1" ht="19.5" customHeight="1">
      <c r="G37" s="74"/>
    </row>
    <row r="38" spans="5:7" s="23" customFormat="1" ht="19.5" customHeight="1">
      <c r="G38" s="74"/>
    </row>
    <row r="39" spans="5:7" s="23" customFormat="1" ht="19.5" customHeight="1">
      <c r="G39" s="74"/>
    </row>
    <row r="40" spans="5:7" s="23" customFormat="1" ht="19.5" customHeight="1">
      <c r="G40" s="74"/>
    </row>
    <row r="41" spans="5:7" s="23" customFormat="1" ht="19.5" customHeight="1">
      <c r="G41" s="74"/>
    </row>
    <row r="42" spans="5:7" s="23" customFormat="1" ht="19.5" customHeight="1">
      <c r="G42" s="74"/>
    </row>
    <row r="43" spans="5:7" s="23" customFormat="1" ht="19.5" customHeight="1">
      <c r="G43" s="74"/>
    </row>
    <row r="44" spans="5:7" s="23" customFormat="1" ht="19.5" customHeight="1">
      <c r="G44" s="74"/>
    </row>
    <row r="45" spans="5:7" s="23" customFormat="1" ht="19.5" customHeight="1">
      <c r="G45" s="74"/>
    </row>
    <row r="46" spans="5:7" s="23" customFormat="1" ht="19.5" customHeight="1">
      <c r="G46" s="74"/>
    </row>
    <row r="47" spans="5:7" s="23" customFormat="1" ht="19.5" customHeight="1">
      <c r="G47" s="74"/>
    </row>
    <row r="48" spans="5:7" s="23" customFormat="1" ht="19.5" customHeight="1">
      <c r="G48" s="74"/>
    </row>
    <row r="49" spans="7:7" s="23" customFormat="1" ht="19.5" customHeight="1">
      <c r="G49" s="74"/>
    </row>
    <row r="50" spans="7:7" s="23" customFormat="1" ht="19.5" customHeight="1">
      <c r="G50" s="74"/>
    </row>
    <row r="51" spans="7:7" s="23" customFormat="1" ht="19.5" customHeight="1">
      <c r="G51" s="74"/>
    </row>
    <row r="52" spans="7:7" s="23" customFormat="1" ht="19.5" customHeight="1">
      <c r="G52" s="74"/>
    </row>
    <row r="53" spans="7:7" s="23" customFormat="1" ht="19.5" customHeight="1">
      <c r="G53" s="74"/>
    </row>
    <row r="54" spans="7:7" s="23" customFormat="1" ht="19.5" customHeight="1">
      <c r="G54" s="74"/>
    </row>
    <row r="55" spans="7:7" s="23" customFormat="1" ht="19.5" customHeight="1">
      <c r="G55" s="74"/>
    </row>
    <row r="56" spans="7:7" s="28" customFormat="1" ht="19.5" customHeight="1"/>
    <row r="57" spans="7:7" s="28" customFormat="1" ht="19.5" customHeight="1"/>
    <row r="58" spans="7:7" s="23" customFormat="1" ht="19.5" customHeight="1">
      <c r="G58" s="74"/>
    </row>
    <row r="59" spans="7:7" s="23" customFormat="1" ht="19.5" customHeight="1">
      <c r="G59" s="74"/>
    </row>
    <row r="60" spans="7:7" s="23" customFormat="1" ht="19.5" customHeight="1">
      <c r="G60" s="74"/>
    </row>
    <row r="61" spans="7:7" s="23" customFormat="1" ht="19.5" customHeight="1">
      <c r="G61" s="74"/>
    </row>
    <row r="62" spans="7:7" s="23" customFormat="1" ht="19.5" customHeight="1">
      <c r="G62" s="74"/>
    </row>
    <row r="63" spans="7:7" s="23" customFormat="1" ht="19.5" customHeight="1">
      <c r="G63" s="74"/>
    </row>
    <row r="64" spans="7:7" s="23" customFormat="1" ht="19.5" customHeight="1">
      <c r="G64" s="74"/>
    </row>
    <row r="65" spans="7:7" s="23" customFormat="1" ht="19.5" customHeight="1">
      <c r="G65" s="74"/>
    </row>
    <row r="66" spans="7:7" s="23" customFormat="1" ht="19.5" customHeight="1">
      <c r="G66" s="74"/>
    </row>
    <row r="67" spans="7:7" s="23" customFormat="1" ht="19.5" customHeight="1">
      <c r="G67" s="74"/>
    </row>
    <row r="68" spans="7:7" s="23" customFormat="1" ht="19.5" customHeight="1">
      <c r="G68" s="74"/>
    </row>
    <row r="69" spans="7:7" s="23" customFormat="1" ht="19.5" customHeight="1">
      <c r="G69" s="74"/>
    </row>
    <row r="70" spans="7:7" s="23" customFormat="1" ht="19.5" customHeight="1">
      <c r="G70" s="74"/>
    </row>
    <row r="71" spans="7:7" s="23" customFormat="1" ht="19.5" customHeight="1">
      <c r="G71" s="74"/>
    </row>
    <row r="72" spans="7:7" s="23" customFormat="1" ht="19.5" customHeight="1">
      <c r="G72" s="74"/>
    </row>
    <row r="73" spans="7:7" s="23" customFormat="1" ht="19.5" customHeight="1">
      <c r="G73" s="74"/>
    </row>
    <row r="74" spans="7:7" s="23" customFormat="1" ht="19.5" customHeight="1">
      <c r="G74" s="74"/>
    </row>
    <row r="75" spans="7:7" s="23" customFormat="1" ht="19.5" customHeight="1">
      <c r="G75" s="74"/>
    </row>
    <row r="76" spans="7:7" s="23" customFormat="1" ht="19.5" customHeight="1">
      <c r="G76" s="74"/>
    </row>
    <row r="77" spans="7:7" s="23" customFormat="1" ht="19.5" customHeight="1">
      <c r="G77" s="74"/>
    </row>
    <row r="78" spans="7:7" s="23" customFormat="1" ht="19.5" customHeight="1">
      <c r="G78" s="74"/>
    </row>
    <row r="79" spans="7:7" s="23" customFormat="1" ht="19.5" customHeight="1">
      <c r="G79" s="74"/>
    </row>
    <row r="80" spans="7:7" s="23" customFormat="1" ht="19.5" customHeight="1">
      <c r="G80" s="74"/>
    </row>
    <row r="81" spans="1:7" s="23" customFormat="1" ht="19.5" customHeight="1">
      <c r="G81" s="74"/>
    </row>
    <row r="82" spans="1:7" s="23" customFormat="1" ht="19.5" customHeight="1">
      <c r="G82" s="74"/>
    </row>
    <row r="83" spans="1:7" s="23" customFormat="1" ht="19.5" customHeight="1">
      <c r="G83" s="74"/>
    </row>
    <row r="84" spans="1:7" s="23" customFormat="1" ht="19.5" customHeight="1">
      <c r="G84" s="74"/>
    </row>
    <row r="85" spans="1:7" s="23" customFormat="1" ht="19.5" customHeight="1">
      <c r="G85" s="74"/>
    </row>
    <row r="86" spans="1:7" s="23" customFormat="1" ht="19.5" customHeight="1">
      <c r="G86" s="74"/>
    </row>
    <row r="87" spans="1:7" s="23" customFormat="1" ht="19.5" customHeight="1">
      <c r="G87" s="74"/>
    </row>
    <row r="88" spans="1:7" s="32" customFormat="1" ht="21" customHeight="1"/>
    <row r="89" spans="1:7" s="23" customFormat="1" ht="19.5" customHeight="1">
      <c r="G89" s="74"/>
    </row>
    <row r="90" spans="1:7" s="23" customFormat="1" ht="19.5" customHeight="1">
      <c r="G90" s="74"/>
    </row>
    <row r="91" spans="1:7" s="23" customFormat="1" ht="19.5" customHeight="1">
      <c r="G91" s="74"/>
    </row>
    <row r="92" spans="1:7" s="56" customFormat="1" ht="19.5" customHeight="1">
      <c r="G92" s="113"/>
    </row>
    <row r="93" spans="1:7" s="23" customFormat="1" ht="19.5" customHeight="1">
      <c r="G93" s="74"/>
    </row>
    <row r="94" spans="1:7" ht="19.5" customHeight="1">
      <c r="A94" s="18"/>
    </row>
    <row r="95" spans="1:7">
      <c r="A95" s="18"/>
    </row>
    <row r="96" spans="1:7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</sheetData>
  <autoFilter ref="A6:T93"/>
  <mergeCells count="10">
    <mergeCell ref="A1:T1"/>
    <mergeCell ref="A2:T2"/>
    <mergeCell ref="H4:T4"/>
    <mergeCell ref="I5:S5"/>
    <mergeCell ref="T5:T6"/>
    <mergeCell ref="A4:A6"/>
    <mergeCell ref="B4:B6"/>
    <mergeCell ref="C4:D5"/>
    <mergeCell ref="H5:H6"/>
    <mergeCell ref="E4:G5"/>
  </mergeCells>
  <pageMargins left="0.2" right="0.2" top="0.39" bottom="0.27" header="0.3" footer="0.2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2"/>
  <sheetViews>
    <sheetView workbookViewId="0">
      <selection activeCell="A2" sqref="A2:U2"/>
    </sheetView>
  </sheetViews>
  <sheetFormatPr defaultColWidth="9.140625" defaultRowHeight="15"/>
  <cols>
    <col min="1" max="1" width="5.140625" style="19" customWidth="1"/>
    <col min="2" max="2" width="26.28515625" style="73" customWidth="1"/>
    <col min="3" max="3" width="7" style="73" customWidth="1"/>
    <col min="4" max="4" width="5.5703125" style="73" customWidth="1"/>
    <col min="5" max="5" width="7.85546875" style="73" customWidth="1"/>
    <col min="6" max="6" width="9.5703125" style="73" customWidth="1"/>
    <col min="7" max="7" width="8.140625" style="73" customWidth="1"/>
    <col min="8" max="8" width="9.7109375" style="73" customWidth="1"/>
    <col min="9" max="10" width="6.85546875" style="73" customWidth="1"/>
    <col min="11" max="11" width="8.42578125" style="73" customWidth="1"/>
    <col min="12" max="12" width="8.85546875" style="73" customWidth="1"/>
    <col min="13" max="13" width="7" style="73" customWidth="1"/>
    <col min="14" max="14" width="6.5703125" style="73" customWidth="1"/>
    <col min="15" max="15" width="10.140625" style="73" customWidth="1"/>
    <col min="16" max="16" width="9.85546875" style="73" customWidth="1"/>
    <col min="17" max="17" width="9.42578125" style="73" customWidth="1"/>
    <col min="18" max="18" width="8.42578125" style="73" customWidth="1"/>
    <col min="19" max="20" width="10" style="73" customWidth="1"/>
    <col min="21" max="21" width="9" style="73" customWidth="1"/>
    <col min="22" max="16384" width="9.140625" style="73"/>
  </cols>
  <sheetData>
    <row r="1" spans="1:21" ht="21.75" customHeight="1">
      <c r="A1" s="158" t="s">
        <v>335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20" t="s">
        <v>20</v>
      </c>
    </row>
    <row r="4" spans="1:21" ht="23.25" customHeight="1">
      <c r="A4" s="160" t="s">
        <v>0</v>
      </c>
      <c r="B4" s="160" t="s">
        <v>18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23.25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87" customHeight="1">
      <c r="A6" s="160"/>
      <c r="B6" s="160"/>
      <c r="C6" s="117" t="s">
        <v>2</v>
      </c>
      <c r="D6" s="117" t="s">
        <v>3</v>
      </c>
      <c r="E6" s="115" t="s">
        <v>184</v>
      </c>
      <c r="F6" s="115" t="s">
        <v>185</v>
      </c>
      <c r="G6" s="115" t="s">
        <v>19</v>
      </c>
      <c r="H6" s="170"/>
      <c r="I6" s="115" t="s">
        <v>7</v>
      </c>
      <c r="J6" s="115" t="s">
        <v>8</v>
      </c>
      <c r="K6" s="115" t="s">
        <v>9</v>
      </c>
      <c r="L6" s="115" t="s">
        <v>10</v>
      </c>
      <c r="M6" s="115" t="s">
        <v>11</v>
      </c>
      <c r="N6" s="115" t="s">
        <v>12</v>
      </c>
      <c r="O6" s="115" t="s">
        <v>13</v>
      </c>
      <c r="P6" s="115" t="s">
        <v>14</v>
      </c>
      <c r="Q6" s="115" t="s">
        <v>15</v>
      </c>
      <c r="R6" s="115" t="s">
        <v>17</v>
      </c>
      <c r="S6" s="115" t="s">
        <v>16</v>
      </c>
      <c r="T6" s="115" t="s">
        <v>186</v>
      </c>
      <c r="U6" s="172"/>
    </row>
    <row r="7" spans="1:21" s="74" customFormat="1" ht="19.5" customHeight="1">
      <c r="A7" s="75">
        <v>1</v>
      </c>
      <c r="B7" s="76" t="s">
        <v>342</v>
      </c>
      <c r="C7" s="77">
        <v>14</v>
      </c>
      <c r="D7" s="77">
        <v>14</v>
      </c>
      <c r="E7" s="78">
        <v>2029</v>
      </c>
      <c r="F7" s="78">
        <v>280</v>
      </c>
      <c r="G7" s="136">
        <f>E7+F7</f>
        <v>2309</v>
      </c>
      <c r="H7" s="78">
        <v>2029</v>
      </c>
      <c r="I7" s="78">
        <v>12.4</v>
      </c>
      <c r="J7" s="78">
        <v>8.9</v>
      </c>
      <c r="K7" s="78">
        <v>5.9</v>
      </c>
      <c r="L7" s="78">
        <v>3.3</v>
      </c>
      <c r="M7" s="78">
        <v>3.6</v>
      </c>
      <c r="N7" s="78">
        <v>11.6</v>
      </c>
      <c r="O7" s="78">
        <v>11.5</v>
      </c>
      <c r="P7" s="78">
        <v>64.8</v>
      </c>
      <c r="Q7" s="78">
        <v>75.5</v>
      </c>
      <c r="R7" s="78"/>
      <c r="S7" s="78">
        <v>82.5</v>
      </c>
      <c r="T7" s="40">
        <f>SUM(I7:S7)</f>
        <v>280</v>
      </c>
      <c r="U7" s="137">
        <f>T7+H7</f>
        <v>2309</v>
      </c>
    </row>
    <row r="8" spans="1:21" s="74" customFormat="1" ht="19.5" customHeight="1">
      <c r="A8" s="79">
        <v>2</v>
      </c>
      <c r="B8" s="80" t="s">
        <v>343</v>
      </c>
      <c r="C8" s="81">
        <v>13</v>
      </c>
      <c r="D8" s="81">
        <v>13</v>
      </c>
      <c r="E8" s="82">
        <v>1566</v>
      </c>
      <c r="F8" s="82">
        <v>292</v>
      </c>
      <c r="G8" s="136">
        <f t="shared" ref="G8:G54" si="0">E8+F8</f>
        <v>1858</v>
      </c>
      <c r="H8" s="82">
        <v>1566</v>
      </c>
      <c r="I8" s="82"/>
      <c r="J8" s="82">
        <v>8</v>
      </c>
      <c r="K8" s="82">
        <v>56</v>
      </c>
      <c r="L8" s="82">
        <v>2</v>
      </c>
      <c r="M8" s="82">
        <v>13</v>
      </c>
      <c r="N8" s="82">
        <v>41</v>
      </c>
      <c r="O8" s="82">
        <v>22</v>
      </c>
      <c r="P8" s="82"/>
      <c r="Q8" s="82">
        <v>146</v>
      </c>
      <c r="R8" s="82"/>
      <c r="S8" s="82">
        <v>4</v>
      </c>
      <c r="T8" s="40">
        <f t="shared" ref="T8:T54" si="1">SUM(I8:S8)</f>
        <v>292</v>
      </c>
      <c r="U8" s="137">
        <f t="shared" ref="U8:U54" si="2">T8+H8</f>
        <v>1858</v>
      </c>
    </row>
    <row r="9" spans="1:21" s="74" customFormat="1" ht="19.5" customHeight="1">
      <c r="A9" s="83">
        <v>3</v>
      </c>
      <c r="B9" s="84" t="s">
        <v>344</v>
      </c>
      <c r="C9" s="85">
        <v>13</v>
      </c>
      <c r="D9" s="85">
        <v>12</v>
      </c>
      <c r="E9" s="86">
        <f t="shared" ref="E9:E10" si="3">H9</f>
        <v>1067.866</v>
      </c>
      <c r="F9" s="86">
        <f t="shared" ref="F9:F10" si="4">T9</f>
        <v>185.70499999999998</v>
      </c>
      <c r="G9" s="136">
        <f t="shared" si="0"/>
        <v>1253.5709999999999</v>
      </c>
      <c r="H9" s="86">
        <v>1067.866</v>
      </c>
      <c r="I9" s="86">
        <v>33.625</v>
      </c>
      <c r="J9" s="86">
        <v>6.5609999999999999</v>
      </c>
      <c r="K9" s="86">
        <v>2.14</v>
      </c>
      <c r="L9" s="86">
        <v>1.85</v>
      </c>
      <c r="M9" s="86">
        <v>24.946000000000002</v>
      </c>
      <c r="N9" s="86">
        <v>11.7</v>
      </c>
      <c r="O9" s="86">
        <v>28.757999999999999</v>
      </c>
      <c r="P9" s="86"/>
      <c r="Q9" s="86">
        <v>55.758000000000003</v>
      </c>
      <c r="R9" s="86"/>
      <c r="S9" s="86">
        <v>20.367000000000001</v>
      </c>
      <c r="T9" s="40">
        <f t="shared" si="1"/>
        <v>185.70499999999998</v>
      </c>
      <c r="U9" s="137">
        <f t="shared" si="2"/>
        <v>1253.5709999999999</v>
      </c>
    </row>
    <row r="10" spans="1:21" s="74" customFormat="1" ht="19.5" customHeight="1">
      <c r="A10" s="83">
        <v>4</v>
      </c>
      <c r="B10" s="84" t="s">
        <v>345</v>
      </c>
      <c r="C10" s="85">
        <v>13</v>
      </c>
      <c r="D10" s="85">
        <v>12</v>
      </c>
      <c r="E10" s="86">
        <f t="shared" si="3"/>
        <v>1431.0050000000001</v>
      </c>
      <c r="F10" s="86">
        <f t="shared" si="4"/>
        <v>215.21699999999998</v>
      </c>
      <c r="G10" s="136">
        <f t="shared" si="0"/>
        <v>1646.2220000000002</v>
      </c>
      <c r="H10" s="86">
        <v>1431.0050000000001</v>
      </c>
      <c r="I10" s="86">
        <v>55.076000000000001</v>
      </c>
      <c r="J10" s="86">
        <v>4.22</v>
      </c>
      <c r="K10" s="86">
        <v>1.6970000000000001</v>
      </c>
      <c r="L10" s="86">
        <v>0.46700000000000003</v>
      </c>
      <c r="M10" s="86">
        <v>9.7959999999999994</v>
      </c>
      <c r="N10" s="86">
        <v>17.88</v>
      </c>
      <c r="O10" s="86">
        <v>13.920999999999999</v>
      </c>
      <c r="P10" s="86">
        <v>10.199999999999999</v>
      </c>
      <c r="Q10" s="86">
        <v>85.72</v>
      </c>
      <c r="R10" s="86"/>
      <c r="S10" s="86">
        <v>16.239999999999998</v>
      </c>
      <c r="T10" s="40">
        <f t="shared" si="1"/>
        <v>215.21699999999998</v>
      </c>
      <c r="U10" s="137">
        <f t="shared" si="2"/>
        <v>1646.2220000000002</v>
      </c>
    </row>
    <row r="11" spans="1:21" s="74" customFormat="1" ht="19.5" customHeight="1">
      <c r="A11" s="87">
        <v>5</v>
      </c>
      <c r="B11" s="88" t="s">
        <v>346</v>
      </c>
      <c r="C11" s="89">
        <v>18</v>
      </c>
      <c r="D11" s="89">
        <v>19</v>
      </c>
      <c r="E11" s="90">
        <v>1846.641971</v>
      </c>
      <c r="F11" s="90">
        <v>380.81678399999998</v>
      </c>
      <c r="G11" s="136">
        <f t="shared" si="0"/>
        <v>2227.4587550000001</v>
      </c>
      <c r="H11" s="91">
        <v>1846.641971</v>
      </c>
      <c r="I11" s="91"/>
      <c r="J11" s="91">
        <v>18.764400999999999</v>
      </c>
      <c r="K11" s="91">
        <v>96.314999999999998</v>
      </c>
      <c r="L11" s="91">
        <v>9.5385790000000004</v>
      </c>
      <c r="M11" s="91">
        <v>1.1568000000000001</v>
      </c>
      <c r="N11" s="91">
        <v>16</v>
      </c>
      <c r="O11" s="91">
        <v>28.545000000000002</v>
      </c>
      <c r="P11" s="91">
        <v>0</v>
      </c>
      <c r="Q11" s="91">
        <v>156.76200399999999</v>
      </c>
      <c r="R11" s="91"/>
      <c r="S11" s="91">
        <v>53.734999999999999</v>
      </c>
      <c r="T11" s="40">
        <f t="shared" si="1"/>
        <v>380.81678399999998</v>
      </c>
      <c r="U11" s="137">
        <f t="shared" si="2"/>
        <v>2227.4587550000001</v>
      </c>
    </row>
    <row r="12" spans="1:21" s="74" customFormat="1" ht="19.5" customHeight="1">
      <c r="A12" s="92">
        <v>7</v>
      </c>
      <c r="B12" s="93" t="s">
        <v>347</v>
      </c>
      <c r="C12" s="94">
        <v>12</v>
      </c>
      <c r="D12" s="94">
        <v>12</v>
      </c>
      <c r="E12" s="139">
        <v>1702</v>
      </c>
      <c r="F12" s="140">
        <v>210</v>
      </c>
      <c r="G12" s="136">
        <f t="shared" si="0"/>
        <v>1912</v>
      </c>
      <c r="H12" s="95">
        <v>1660.7080000000001</v>
      </c>
      <c r="I12" s="95">
        <v>84.347999999999999</v>
      </c>
      <c r="J12" s="95">
        <v>5.2240000000000002</v>
      </c>
      <c r="K12" s="95">
        <v>13.146000000000001</v>
      </c>
      <c r="L12" s="95">
        <v>3</v>
      </c>
      <c r="M12" s="95">
        <v>13.028</v>
      </c>
      <c r="N12" s="95">
        <v>12.3</v>
      </c>
      <c r="O12" s="95">
        <v>41.883000000000003</v>
      </c>
      <c r="P12" s="95"/>
      <c r="Q12" s="95">
        <v>74.331999999999994</v>
      </c>
      <c r="R12" s="95"/>
      <c r="S12" s="95">
        <v>4.0350000000000001</v>
      </c>
      <c r="T12" s="40">
        <f t="shared" si="1"/>
        <v>251.29600000000002</v>
      </c>
      <c r="U12" s="137">
        <f t="shared" si="2"/>
        <v>1912.0040000000001</v>
      </c>
    </row>
    <row r="13" spans="1:21" s="74" customFormat="1" ht="19.5" customHeight="1">
      <c r="A13" s="83">
        <v>6</v>
      </c>
      <c r="B13" s="96" t="s">
        <v>348</v>
      </c>
      <c r="C13" s="85">
        <v>12</v>
      </c>
      <c r="D13" s="85">
        <v>12</v>
      </c>
      <c r="E13" s="86">
        <v>1132</v>
      </c>
      <c r="F13" s="86">
        <f>T13</f>
        <v>222.75</v>
      </c>
      <c r="G13" s="136">
        <f t="shared" si="0"/>
        <v>1354.75</v>
      </c>
      <c r="H13" s="86">
        <v>1132</v>
      </c>
      <c r="I13" s="86">
        <v>35.5</v>
      </c>
      <c r="J13" s="86">
        <v>4.5</v>
      </c>
      <c r="K13" s="86">
        <v>12.5</v>
      </c>
      <c r="L13" s="86">
        <v>1.2</v>
      </c>
      <c r="M13" s="86">
        <v>4</v>
      </c>
      <c r="N13" s="86">
        <v>21.6</v>
      </c>
      <c r="O13" s="86">
        <v>44</v>
      </c>
      <c r="P13" s="86">
        <v>14.95</v>
      </c>
      <c r="Q13" s="86">
        <v>77</v>
      </c>
      <c r="R13" s="86"/>
      <c r="S13" s="86">
        <v>7.5</v>
      </c>
      <c r="T13" s="40">
        <f t="shared" si="1"/>
        <v>222.75</v>
      </c>
      <c r="U13" s="137">
        <f t="shared" si="2"/>
        <v>1354.75</v>
      </c>
    </row>
    <row r="14" spans="1:21" s="74" customFormat="1" ht="19.5" customHeight="1">
      <c r="A14" s="87">
        <v>8</v>
      </c>
      <c r="B14" s="88" t="s">
        <v>349</v>
      </c>
      <c r="C14" s="89">
        <v>14</v>
      </c>
      <c r="D14" s="89">
        <v>13</v>
      </c>
      <c r="E14" s="97">
        <v>1446</v>
      </c>
      <c r="F14" s="97">
        <v>346</v>
      </c>
      <c r="G14" s="136">
        <f t="shared" si="0"/>
        <v>1792</v>
      </c>
      <c r="H14" s="98">
        <v>1446</v>
      </c>
      <c r="I14" s="98">
        <v>60.3</v>
      </c>
      <c r="J14" s="98">
        <v>12.5</v>
      </c>
      <c r="K14" s="98">
        <v>7.1</v>
      </c>
      <c r="L14" s="98">
        <v>6</v>
      </c>
      <c r="M14" s="98">
        <v>2.8</v>
      </c>
      <c r="N14" s="98">
        <v>18</v>
      </c>
      <c r="O14" s="98">
        <v>105.6</v>
      </c>
      <c r="P14" s="98">
        <v>15</v>
      </c>
      <c r="Q14" s="98">
        <v>103</v>
      </c>
      <c r="R14" s="98"/>
      <c r="S14" s="98">
        <v>15.4</v>
      </c>
      <c r="T14" s="40">
        <f t="shared" si="1"/>
        <v>345.69999999999993</v>
      </c>
      <c r="U14" s="137">
        <f t="shared" si="2"/>
        <v>1791.6999999999998</v>
      </c>
    </row>
    <row r="15" spans="1:21" s="74" customFormat="1" ht="19.5" customHeight="1">
      <c r="A15" s="92">
        <v>9</v>
      </c>
      <c r="B15" s="93" t="s">
        <v>350</v>
      </c>
      <c r="C15" s="94">
        <v>9</v>
      </c>
      <c r="D15" s="94">
        <v>8</v>
      </c>
      <c r="E15" s="95">
        <v>979</v>
      </c>
      <c r="F15" s="95">
        <v>157</v>
      </c>
      <c r="G15" s="136">
        <f t="shared" si="0"/>
        <v>1136</v>
      </c>
      <c r="H15" s="95">
        <v>957.10900000000004</v>
      </c>
      <c r="I15" s="95"/>
      <c r="J15" s="95">
        <v>3.2450000000000001</v>
      </c>
      <c r="K15" s="95">
        <v>31</v>
      </c>
      <c r="L15" s="95">
        <v>1</v>
      </c>
      <c r="M15" s="95">
        <v>10.823</v>
      </c>
      <c r="N15" s="95">
        <v>12.8</v>
      </c>
      <c r="O15" s="95"/>
      <c r="P15" s="95"/>
      <c r="Q15" s="95">
        <v>85</v>
      </c>
      <c r="R15" s="95"/>
      <c r="S15" s="95">
        <v>34.677</v>
      </c>
      <c r="T15" s="40">
        <f t="shared" si="1"/>
        <v>178.54499999999999</v>
      </c>
      <c r="U15" s="137">
        <f t="shared" si="2"/>
        <v>1135.654</v>
      </c>
    </row>
    <row r="16" spans="1:21" s="74" customFormat="1" ht="19.5" customHeight="1">
      <c r="A16" s="87">
        <v>10</v>
      </c>
      <c r="B16" s="88" t="s">
        <v>351</v>
      </c>
      <c r="C16" s="99">
        <v>14</v>
      </c>
      <c r="D16" s="99">
        <v>14</v>
      </c>
      <c r="E16" s="100">
        <f>H16</f>
        <v>1430</v>
      </c>
      <c r="F16" s="100">
        <f>T16</f>
        <v>252</v>
      </c>
      <c r="G16" s="136">
        <f t="shared" si="0"/>
        <v>1682</v>
      </c>
      <c r="H16" s="101">
        <v>1430</v>
      </c>
      <c r="I16" s="101">
        <v>66</v>
      </c>
      <c r="J16" s="101">
        <v>11</v>
      </c>
      <c r="K16" s="101">
        <v>3</v>
      </c>
      <c r="L16" s="101">
        <v>2</v>
      </c>
      <c r="M16" s="101">
        <v>12</v>
      </c>
      <c r="N16" s="101">
        <v>12</v>
      </c>
      <c r="O16" s="101">
        <v>18</v>
      </c>
      <c r="P16" s="101">
        <v>7</v>
      </c>
      <c r="Q16" s="101">
        <v>111</v>
      </c>
      <c r="R16" s="101"/>
      <c r="S16" s="101">
        <v>10</v>
      </c>
      <c r="T16" s="40">
        <f t="shared" si="1"/>
        <v>252</v>
      </c>
      <c r="U16" s="137">
        <f t="shared" si="2"/>
        <v>1682</v>
      </c>
    </row>
    <row r="17" spans="1:21" s="74" customFormat="1" ht="19.5" customHeight="1">
      <c r="A17" s="87">
        <v>11</v>
      </c>
      <c r="B17" s="88" t="s">
        <v>352</v>
      </c>
      <c r="C17" s="102">
        <v>15</v>
      </c>
      <c r="D17" s="102">
        <v>14</v>
      </c>
      <c r="E17" s="103">
        <v>1811</v>
      </c>
      <c r="F17" s="103">
        <v>295</v>
      </c>
      <c r="G17" s="136">
        <f t="shared" si="0"/>
        <v>2106</v>
      </c>
      <c r="H17" s="103">
        <v>1811</v>
      </c>
      <c r="I17" s="103"/>
      <c r="J17" s="103">
        <v>9</v>
      </c>
      <c r="K17" s="103">
        <v>50</v>
      </c>
      <c r="L17" s="103">
        <v>9</v>
      </c>
      <c r="M17" s="103">
        <v>5</v>
      </c>
      <c r="N17" s="103">
        <v>6</v>
      </c>
      <c r="O17" s="103">
        <v>24</v>
      </c>
      <c r="P17" s="103">
        <v>37</v>
      </c>
      <c r="Q17" s="103">
        <v>153</v>
      </c>
      <c r="R17" s="103"/>
      <c r="S17" s="103">
        <v>2</v>
      </c>
      <c r="T17" s="40">
        <f t="shared" si="1"/>
        <v>295</v>
      </c>
      <c r="U17" s="137">
        <f t="shared" si="2"/>
        <v>2106</v>
      </c>
    </row>
    <row r="18" spans="1:21" s="74" customFormat="1" ht="19.5" customHeight="1">
      <c r="A18" s="87">
        <v>12</v>
      </c>
      <c r="B18" s="104" t="s">
        <v>353</v>
      </c>
      <c r="C18" s="89">
        <v>22</v>
      </c>
      <c r="D18" s="89">
        <v>20</v>
      </c>
      <c r="E18" s="90">
        <f>H18</f>
        <v>910</v>
      </c>
      <c r="F18" s="90">
        <f>SUM(I18:S18)</f>
        <v>350</v>
      </c>
      <c r="G18" s="136">
        <f t="shared" si="0"/>
        <v>1260</v>
      </c>
      <c r="H18" s="91">
        <f>394+387+129</f>
        <v>910</v>
      </c>
      <c r="I18" s="91">
        <v>12</v>
      </c>
      <c r="J18" s="91">
        <v>8</v>
      </c>
      <c r="K18" s="91">
        <v>60</v>
      </c>
      <c r="L18" s="91">
        <v>3</v>
      </c>
      <c r="M18" s="91">
        <v>5</v>
      </c>
      <c r="N18" s="91">
        <v>12</v>
      </c>
      <c r="O18" s="91">
        <v>35</v>
      </c>
      <c r="P18" s="91">
        <v>52</v>
      </c>
      <c r="Q18" s="91">
        <v>99</v>
      </c>
      <c r="R18" s="91"/>
      <c r="S18" s="91">
        <v>64</v>
      </c>
      <c r="T18" s="40">
        <f t="shared" si="1"/>
        <v>350</v>
      </c>
      <c r="U18" s="137">
        <f t="shared" si="2"/>
        <v>1260</v>
      </c>
    </row>
    <row r="19" spans="1:21" s="74" customFormat="1" ht="19.5" customHeight="1">
      <c r="A19" s="87">
        <v>13</v>
      </c>
      <c r="B19" s="104" t="s">
        <v>356</v>
      </c>
      <c r="C19" s="89">
        <v>15</v>
      </c>
      <c r="D19" s="89">
        <v>15</v>
      </c>
      <c r="E19" s="90">
        <v>1797</v>
      </c>
      <c r="F19" s="90">
        <v>306</v>
      </c>
      <c r="G19" s="136">
        <f t="shared" si="0"/>
        <v>2103</v>
      </c>
      <c r="H19" s="91">
        <f>637+976.5+179.4+4.4</f>
        <v>1797.3000000000002</v>
      </c>
      <c r="I19" s="91">
        <f>18.6+23.3</f>
        <v>41.900000000000006</v>
      </c>
      <c r="J19" s="91">
        <v>7.3</v>
      </c>
      <c r="K19" s="91">
        <v>0.6</v>
      </c>
      <c r="L19" s="91">
        <v>0</v>
      </c>
      <c r="M19" s="91">
        <v>0</v>
      </c>
      <c r="N19" s="91">
        <v>22.4</v>
      </c>
      <c r="O19" s="91">
        <v>19.3</v>
      </c>
      <c r="P19" s="91">
        <v>0</v>
      </c>
      <c r="Q19" s="91">
        <v>212.3</v>
      </c>
      <c r="R19" s="91"/>
      <c r="S19" s="91">
        <v>1.96</v>
      </c>
      <c r="T19" s="40">
        <f t="shared" si="1"/>
        <v>305.76</v>
      </c>
      <c r="U19" s="137">
        <f t="shared" si="2"/>
        <v>2103.0600000000004</v>
      </c>
    </row>
    <row r="20" spans="1:21" s="74" customFormat="1" ht="19.5" customHeight="1">
      <c r="A20" s="87">
        <v>14</v>
      </c>
      <c r="B20" s="104" t="s">
        <v>354</v>
      </c>
      <c r="C20" s="105">
        <v>16</v>
      </c>
      <c r="D20" s="105">
        <v>16</v>
      </c>
      <c r="E20" s="90">
        <v>1527</v>
      </c>
      <c r="F20" s="90">
        <f>1791-1527</f>
        <v>264</v>
      </c>
      <c r="G20" s="136">
        <f t="shared" si="0"/>
        <v>1791</v>
      </c>
      <c r="H20" s="90">
        <v>1527</v>
      </c>
      <c r="I20" s="90">
        <v>61</v>
      </c>
      <c r="J20" s="90">
        <v>18</v>
      </c>
      <c r="K20" s="90">
        <v>41.5</v>
      </c>
      <c r="L20" s="90">
        <v>5</v>
      </c>
      <c r="M20" s="90">
        <v>18</v>
      </c>
      <c r="N20" s="90"/>
      <c r="O20" s="90">
        <v>14.5</v>
      </c>
      <c r="P20" s="90">
        <f>30+25</f>
        <v>55</v>
      </c>
      <c r="Q20" s="90">
        <v>51</v>
      </c>
      <c r="R20" s="90"/>
      <c r="S20" s="90"/>
      <c r="T20" s="40">
        <f t="shared" si="1"/>
        <v>264</v>
      </c>
      <c r="U20" s="137">
        <f t="shared" si="2"/>
        <v>1791</v>
      </c>
    </row>
    <row r="21" spans="1:21" s="74" customFormat="1" ht="19.5" customHeight="1">
      <c r="A21" s="87">
        <v>15</v>
      </c>
      <c r="B21" s="88" t="s">
        <v>355</v>
      </c>
      <c r="C21" s="89">
        <v>13</v>
      </c>
      <c r="D21" s="89">
        <v>13</v>
      </c>
      <c r="E21" s="90">
        <v>1812</v>
      </c>
      <c r="F21" s="90">
        <f>I21+J21+K21+L21+M21+N21+O21+P21+Q21+R21+S21</f>
        <v>218</v>
      </c>
      <c r="G21" s="136">
        <f t="shared" si="0"/>
        <v>2030</v>
      </c>
      <c r="H21" s="91">
        <f>182+1630</f>
        <v>1812</v>
      </c>
      <c r="I21" s="91">
        <v>28</v>
      </c>
      <c r="J21" s="91">
        <v>6</v>
      </c>
      <c r="K21" s="91">
        <v>9</v>
      </c>
      <c r="L21" s="91">
        <v>7</v>
      </c>
      <c r="M21" s="91">
        <v>2</v>
      </c>
      <c r="N21" s="91">
        <v>20</v>
      </c>
      <c r="O21" s="91">
        <v>16</v>
      </c>
      <c r="P21" s="91">
        <v>15</v>
      </c>
      <c r="Q21" s="91">
        <v>97</v>
      </c>
      <c r="R21" s="91"/>
      <c r="S21" s="91">
        <v>18</v>
      </c>
      <c r="T21" s="40">
        <f t="shared" si="1"/>
        <v>218</v>
      </c>
      <c r="U21" s="137">
        <f t="shared" si="2"/>
        <v>2030</v>
      </c>
    </row>
    <row r="22" spans="1:21" s="74" customFormat="1" ht="19.5" customHeight="1">
      <c r="A22" s="87">
        <v>16</v>
      </c>
      <c r="B22" s="88" t="s">
        <v>336</v>
      </c>
      <c r="C22" s="89">
        <v>14</v>
      </c>
      <c r="D22" s="89">
        <v>13</v>
      </c>
      <c r="E22" s="90">
        <v>2003</v>
      </c>
      <c r="F22" s="90">
        <v>387</v>
      </c>
      <c r="G22" s="136">
        <f t="shared" si="0"/>
        <v>2390</v>
      </c>
      <c r="H22" s="91">
        <v>2003</v>
      </c>
      <c r="I22" s="91">
        <v>53.1</v>
      </c>
      <c r="J22" s="91">
        <v>9.5</v>
      </c>
      <c r="K22" s="91">
        <v>10.6</v>
      </c>
      <c r="L22" s="91">
        <v>8</v>
      </c>
      <c r="M22" s="91">
        <v>6.2</v>
      </c>
      <c r="N22" s="91">
        <v>26</v>
      </c>
      <c r="O22" s="91">
        <v>122.5</v>
      </c>
      <c r="P22" s="91">
        <v>33.200000000000003</v>
      </c>
      <c r="Q22" s="91">
        <v>98</v>
      </c>
      <c r="R22" s="91"/>
      <c r="S22" s="91">
        <v>20</v>
      </c>
      <c r="T22" s="40">
        <f t="shared" si="1"/>
        <v>387.1</v>
      </c>
      <c r="U22" s="137">
        <f t="shared" si="2"/>
        <v>2390.1</v>
      </c>
    </row>
    <row r="23" spans="1:21" s="74" customFormat="1" ht="19.5" customHeight="1">
      <c r="A23" s="87">
        <v>17</v>
      </c>
      <c r="B23" s="88" t="s">
        <v>337</v>
      </c>
      <c r="C23" s="102">
        <v>18</v>
      </c>
      <c r="D23" s="102">
        <v>16</v>
      </c>
      <c r="E23" s="103">
        <v>2769</v>
      </c>
      <c r="F23" s="103">
        <v>282</v>
      </c>
      <c r="G23" s="136">
        <f t="shared" si="0"/>
        <v>3051</v>
      </c>
      <c r="H23" s="103">
        <f>998+1437+287+47</f>
        <v>2769</v>
      </c>
      <c r="I23" s="103"/>
      <c r="J23" s="103">
        <v>9</v>
      </c>
      <c r="K23" s="103">
        <v>21</v>
      </c>
      <c r="L23" s="103">
        <v>5</v>
      </c>
      <c r="M23" s="103">
        <v>9</v>
      </c>
      <c r="N23" s="103">
        <v>21</v>
      </c>
      <c r="O23" s="103">
        <v>58</v>
      </c>
      <c r="P23" s="103"/>
      <c r="Q23" s="103">
        <v>159</v>
      </c>
      <c r="R23" s="103"/>
      <c r="S23" s="103"/>
      <c r="T23" s="40">
        <f t="shared" si="1"/>
        <v>282</v>
      </c>
      <c r="U23" s="137">
        <f t="shared" si="2"/>
        <v>3051</v>
      </c>
    </row>
    <row r="24" spans="1:21" s="74" customFormat="1" ht="19.5" customHeight="1">
      <c r="A24" s="75">
        <v>18</v>
      </c>
      <c r="B24" s="76" t="s">
        <v>338</v>
      </c>
      <c r="C24" s="77">
        <v>14</v>
      </c>
      <c r="D24" s="77">
        <v>14</v>
      </c>
      <c r="E24" s="106">
        <v>2540</v>
      </c>
      <c r="F24" s="106">
        <v>159</v>
      </c>
      <c r="G24" s="136">
        <f t="shared" si="0"/>
        <v>2699</v>
      </c>
      <c r="H24" s="106">
        <v>2540</v>
      </c>
      <c r="I24" s="106">
        <v>9.6300000000000008</v>
      </c>
      <c r="J24" s="106">
        <v>8.1999999999999993</v>
      </c>
      <c r="K24" s="106">
        <v>6.9</v>
      </c>
      <c r="L24" s="106">
        <v>1.9</v>
      </c>
      <c r="M24" s="106">
        <v>6</v>
      </c>
      <c r="N24" s="106">
        <v>20.38</v>
      </c>
      <c r="O24" s="106">
        <v>24.23</v>
      </c>
      <c r="P24" s="106"/>
      <c r="Q24" s="106">
        <v>48.8</v>
      </c>
      <c r="R24" s="106"/>
      <c r="S24" s="106">
        <v>32.96</v>
      </c>
      <c r="T24" s="40">
        <f t="shared" si="1"/>
        <v>159</v>
      </c>
      <c r="U24" s="137">
        <f t="shared" si="2"/>
        <v>2699</v>
      </c>
    </row>
    <row r="25" spans="1:21" s="74" customFormat="1" ht="19.5" customHeight="1">
      <c r="A25" s="87">
        <v>19</v>
      </c>
      <c r="B25" s="88" t="s">
        <v>339</v>
      </c>
      <c r="C25" s="89">
        <v>22</v>
      </c>
      <c r="D25" s="89">
        <v>22</v>
      </c>
      <c r="E25" s="90">
        <v>2451.704784</v>
      </c>
      <c r="F25" s="90">
        <v>545.00482999999997</v>
      </c>
      <c r="G25" s="136">
        <f t="shared" si="0"/>
        <v>2996.7096139999999</v>
      </c>
      <c r="H25" s="91">
        <f>1163.482592+942.018599+337.027593+9.176</f>
        <v>2451.704784</v>
      </c>
      <c r="I25" s="91"/>
      <c r="J25" s="91">
        <v>37.750894000000002</v>
      </c>
      <c r="K25" s="91">
        <v>51.925800000000002</v>
      </c>
      <c r="L25" s="91">
        <v>4.0655359999999998</v>
      </c>
      <c r="M25" s="91">
        <v>7.8335999999999997</v>
      </c>
      <c r="N25" s="91">
        <v>19</v>
      </c>
      <c r="O25" s="91">
        <v>40.127000000000002</v>
      </c>
      <c r="P25" s="91">
        <v>54.898000000000003</v>
      </c>
      <c r="Q25" s="91">
        <v>229.61600000000001</v>
      </c>
      <c r="R25" s="91"/>
      <c r="S25" s="91">
        <f>94.585+5.203</f>
        <v>99.787999999999997</v>
      </c>
      <c r="T25" s="40">
        <f t="shared" si="1"/>
        <v>545.00482999999997</v>
      </c>
      <c r="U25" s="137">
        <f t="shared" si="2"/>
        <v>2996.7096139999999</v>
      </c>
    </row>
    <row r="26" spans="1:21" s="74" customFormat="1" ht="19.5" customHeight="1">
      <c r="A26" s="79">
        <v>20</v>
      </c>
      <c r="B26" s="80" t="s">
        <v>340</v>
      </c>
      <c r="C26" s="81">
        <v>25</v>
      </c>
      <c r="D26" s="81">
        <v>22</v>
      </c>
      <c r="E26" s="82">
        <v>3792</v>
      </c>
      <c r="F26" s="82">
        <v>352</v>
      </c>
      <c r="G26" s="136">
        <f t="shared" si="0"/>
        <v>4144</v>
      </c>
      <c r="H26" s="82">
        <v>3792</v>
      </c>
      <c r="I26" s="82"/>
      <c r="J26" s="82">
        <v>20</v>
      </c>
      <c r="K26" s="82">
        <v>58</v>
      </c>
      <c r="L26" s="82">
        <v>5</v>
      </c>
      <c r="M26" s="82">
        <v>25</v>
      </c>
      <c r="N26" s="82">
        <v>16</v>
      </c>
      <c r="O26" s="82">
        <v>59</v>
      </c>
      <c r="P26" s="82">
        <v>39</v>
      </c>
      <c r="Q26" s="82">
        <v>110</v>
      </c>
      <c r="R26" s="82"/>
      <c r="S26" s="82">
        <v>20</v>
      </c>
      <c r="T26" s="40">
        <f t="shared" si="1"/>
        <v>352</v>
      </c>
      <c r="U26" s="137">
        <f t="shared" si="2"/>
        <v>4144</v>
      </c>
    </row>
    <row r="27" spans="1:21" s="74" customFormat="1" ht="19.5" customHeight="1">
      <c r="A27" s="87">
        <v>21</v>
      </c>
      <c r="B27" s="104" t="s">
        <v>179</v>
      </c>
      <c r="C27" s="89">
        <v>24</v>
      </c>
      <c r="D27" s="89">
        <v>23</v>
      </c>
      <c r="E27" s="90">
        <f t="shared" ref="E27:E28" si="5">H27</f>
        <v>3256</v>
      </c>
      <c r="F27" s="90">
        <f>SUM(I27:S27)</f>
        <v>422</v>
      </c>
      <c r="G27" s="136">
        <f t="shared" si="0"/>
        <v>3678</v>
      </c>
      <c r="H27" s="91">
        <f>753+563+589+713+638</f>
        <v>3256</v>
      </c>
      <c r="I27" s="91">
        <v>12</v>
      </c>
      <c r="J27" s="91">
        <v>12</v>
      </c>
      <c r="K27" s="91">
        <f>30+57</f>
        <v>87</v>
      </c>
      <c r="L27" s="91">
        <v>10</v>
      </c>
      <c r="M27" s="91">
        <v>19</v>
      </c>
      <c r="N27" s="91">
        <f>17+19</f>
        <v>36</v>
      </c>
      <c r="O27" s="91">
        <v>48</v>
      </c>
      <c r="P27" s="91">
        <v>73</v>
      </c>
      <c r="Q27" s="91">
        <f>35+65</f>
        <v>100</v>
      </c>
      <c r="R27" s="91"/>
      <c r="S27" s="91">
        <v>25</v>
      </c>
      <c r="T27" s="40">
        <f t="shared" si="1"/>
        <v>422</v>
      </c>
      <c r="U27" s="137">
        <f t="shared" si="2"/>
        <v>3678</v>
      </c>
    </row>
    <row r="28" spans="1:21" s="74" customFormat="1" ht="19.5" customHeight="1">
      <c r="A28" s="83">
        <v>22</v>
      </c>
      <c r="B28" s="84" t="s">
        <v>341</v>
      </c>
      <c r="C28" s="85">
        <v>17</v>
      </c>
      <c r="D28" s="85">
        <v>17</v>
      </c>
      <c r="E28" s="86">
        <f t="shared" si="5"/>
        <v>1010.2220000000001</v>
      </c>
      <c r="F28" s="86">
        <f>T28</f>
        <v>203.31400000000002</v>
      </c>
      <c r="G28" s="136">
        <f t="shared" si="0"/>
        <v>1213.5360000000001</v>
      </c>
      <c r="H28" s="86">
        <f>483.123+370.202+145.498+11.4-0.001</f>
        <v>1010.2220000000001</v>
      </c>
      <c r="I28" s="86">
        <f>48.695-K28</f>
        <v>46.67</v>
      </c>
      <c r="J28" s="86">
        <v>5.1719999999999997</v>
      </c>
      <c r="K28" s="86">
        <v>2.0249999999999999</v>
      </c>
      <c r="L28" s="86">
        <v>2.4340000000000002</v>
      </c>
      <c r="M28" s="86">
        <v>11.41</v>
      </c>
      <c r="N28" s="86">
        <v>14.64</v>
      </c>
      <c r="O28" s="86">
        <f>5.04+17.891</f>
        <v>22.930999999999997</v>
      </c>
      <c r="P28" s="86">
        <v>13.22</v>
      </c>
      <c r="Q28" s="86">
        <v>68.262</v>
      </c>
      <c r="R28" s="86"/>
      <c r="S28" s="86">
        <v>16.55</v>
      </c>
      <c r="T28" s="40">
        <f t="shared" si="1"/>
        <v>203.31400000000002</v>
      </c>
      <c r="U28" s="137">
        <f t="shared" si="2"/>
        <v>1213.5360000000001</v>
      </c>
    </row>
    <row r="29" spans="1:21" s="74" customFormat="1" ht="19.5" customHeight="1">
      <c r="A29" s="204">
        <v>23</v>
      </c>
      <c r="B29" s="84" t="s">
        <v>171</v>
      </c>
      <c r="C29" s="85">
        <f t="shared" ref="C29:S29" si="6">C30+C31</f>
        <v>24</v>
      </c>
      <c r="D29" s="85">
        <f t="shared" si="6"/>
        <v>22</v>
      </c>
      <c r="E29" s="107">
        <f t="shared" si="6"/>
        <v>3235.3209999999999</v>
      </c>
      <c r="F29" s="107">
        <f t="shared" si="6"/>
        <v>528.50199999999995</v>
      </c>
      <c r="G29" s="136">
        <f t="shared" si="0"/>
        <v>3763.8229999999999</v>
      </c>
      <c r="H29" s="107">
        <f t="shared" si="6"/>
        <v>3235.3209999999999</v>
      </c>
      <c r="I29" s="107">
        <f t="shared" si="6"/>
        <v>68.37</v>
      </c>
      <c r="J29" s="107">
        <f t="shared" si="6"/>
        <v>20.637</v>
      </c>
      <c r="K29" s="107">
        <f t="shared" si="6"/>
        <v>20.68</v>
      </c>
      <c r="L29" s="107">
        <f t="shared" si="6"/>
        <v>10.083</v>
      </c>
      <c r="M29" s="107">
        <f t="shared" si="6"/>
        <v>42.308</v>
      </c>
      <c r="N29" s="107">
        <f t="shared" si="6"/>
        <v>32.167000000000002</v>
      </c>
      <c r="O29" s="107">
        <f t="shared" si="6"/>
        <v>78.45</v>
      </c>
      <c r="P29" s="107">
        <f t="shared" si="6"/>
        <v>57.72</v>
      </c>
      <c r="Q29" s="107">
        <f t="shared" si="6"/>
        <v>177.31100000000001</v>
      </c>
      <c r="R29" s="107">
        <f t="shared" si="6"/>
        <v>0</v>
      </c>
      <c r="S29" s="107">
        <f t="shared" si="6"/>
        <v>20.3</v>
      </c>
      <c r="T29" s="40">
        <f t="shared" si="1"/>
        <v>528.02599999999995</v>
      </c>
      <c r="U29" s="137">
        <f t="shared" si="2"/>
        <v>3763.3469999999998</v>
      </c>
    </row>
    <row r="30" spans="1:21" s="74" customFormat="1" ht="19.5" customHeight="1">
      <c r="A30" s="207"/>
      <c r="B30" s="84" t="s">
        <v>166</v>
      </c>
      <c r="C30" s="85">
        <v>12</v>
      </c>
      <c r="D30" s="85">
        <v>11</v>
      </c>
      <c r="E30" s="86">
        <v>1711</v>
      </c>
      <c r="F30" s="86">
        <f>T30</f>
        <v>211.50200000000001</v>
      </c>
      <c r="G30" s="136">
        <f t="shared" si="0"/>
        <v>1922.502</v>
      </c>
      <c r="H30" s="86">
        <v>1711</v>
      </c>
      <c r="I30" s="86">
        <v>29.37</v>
      </c>
      <c r="J30" s="86">
        <v>9.3480000000000008</v>
      </c>
      <c r="K30" s="86">
        <v>10.18</v>
      </c>
      <c r="L30" s="86">
        <v>3.7829999999999999</v>
      </c>
      <c r="M30" s="86">
        <v>6.31</v>
      </c>
      <c r="N30" s="86">
        <v>12.228</v>
      </c>
      <c r="O30" s="86">
        <v>33.450000000000003</v>
      </c>
      <c r="P30" s="86">
        <v>39.32</v>
      </c>
      <c r="Q30" s="86">
        <v>60.012999999999998</v>
      </c>
      <c r="R30" s="86"/>
      <c r="S30" s="86">
        <v>7.5</v>
      </c>
      <c r="T30" s="40">
        <f t="shared" si="1"/>
        <v>211.50200000000001</v>
      </c>
      <c r="U30" s="137">
        <f t="shared" si="2"/>
        <v>1922.502</v>
      </c>
    </row>
    <row r="31" spans="1:21" s="74" customFormat="1" ht="19.5" customHeight="1">
      <c r="A31" s="205"/>
      <c r="B31" s="84" t="s">
        <v>167</v>
      </c>
      <c r="C31" s="85">
        <v>12</v>
      </c>
      <c r="D31" s="85">
        <v>11</v>
      </c>
      <c r="E31" s="86">
        <f>H31</f>
        <v>1524.3209999999999</v>
      </c>
      <c r="F31" s="86">
        <v>317</v>
      </c>
      <c r="G31" s="136">
        <f t="shared" si="0"/>
        <v>1841.3209999999999</v>
      </c>
      <c r="H31" s="86">
        <v>1524.3209999999999</v>
      </c>
      <c r="I31" s="86">
        <v>39</v>
      </c>
      <c r="J31" s="86">
        <v>11.289</v>
      </c>
      <c r="K31" s="86">
        <v>10.5</v>
      </c>
      <c r="L31" s="86">
        <v>6.3</v>
      </c>
      <c r="M31" s="86">
        <v>35.997999999999998</v>
      </c>
      <c r="N31" s="86">
        <v>19.939</v>
      </c>
      <c r="O31" s="86">
        <v>45</v>
      </c>
      <c r="P31" s="86">
        <v>18.399999999999999</v>
      </c>
      <c r="Q31" s="86">
        <v>117.298</v>
      </c>
      <c r="R31" s="86"/>
      <c r="S31" s="86">
        <v>12.8</v>
      </c>
      <c r="T31" s="40">
        <f t="shared" si="1"/>
        <v>316.524</v>
      </c>
      <c r="U31" s="137">
        <f t="shared" si="2"/>
        <v>1840.8449999999998</v>
      </c>
    </row>
    <row r="32" spans="1:21" s="74" customFormat="1" ht="19.5" customHeight="1">
      <c r="A32" s="206">
        <v>24</v>
      </c>
      <c r="B32" s="88" t="s">
        <v>173</v>
      </c>
      <c r="C32" s="89">
        <f t="shared" ref="C32:S32" si="7">C33+C34</f>
        <v>22</v>
      </c>
      <c r="D32" s="89">
        <f t="shared" si="7"/>
        <v>22</v>
      </c>
      <c r="E32" s="98">
        <f t="shared" si="7"/>
        <v>2502</v>
      </c>
      <c r="F32" s="98">
        <f t="shared" si="7"/>
        <v>362</v>
      </c>
      <c r="G32" s="136">
        <f t="shared" si="0"/>
        <v>2864</v>
      </c>
      <c r="H32" s="98">
        <f t="shared" si="7"/>
        <v>2502</v>
      </c>
      <c r="I32" s="98">
        <f t="shared" si="7"/>
        <v>68</v>
      </c>
      <c r="J32" s="98">
        <f t="shared" si="7"/>
        <v>39</v>
      </c>
      <c r="K32" s="98">
        <f t="shared" si="7"/>
        <v>66.5</v>
      </c>
      <c r="L32" s="98">
        <f t="shared" si="7"/>
        <v>14</v>
      </c>
      <c r="M32" s="98">
        <f t="shared" si="7"/>
        <v>41</v>
      </c>
      <c r="N32" s="98">
        <f t="shared" si="7"/>
        <v>0</v>
      </c>
      <c r="O32" s="98">
        <f t="shared" si="7"/>
        <v>33</v>
      </c>
      <c r="P32" s="98">
        <f t="shared" si="7"/>
        <v>100</v>
      </c>
      <c r="Q32" s="98">
        <f t="shared" si="7"/>
        <v>0</v>
      </c>
      <c r="R32" s="98">
        <f t="shared" si="7"/>
        <v>0</v>
      </c>
      <c r="S32" s="98">
        <f t="shared" si="7"/>
        <v>0</v>
      </c>
      <c r="T32" s="40">
        <f t="shared" si="1"/>
        <v>361.5</v>
      </c>
      <c r="U32" s="137">
        <f t="shared" si="2"/>
        <v>2863.5</v>
      </c>
    </row>
    <row r="33" spans="1:21" s="28" customFormat="1" ht="19.5" customHeight="1">
      <c r="A33" s="207"/>
      <c r="B33" s="88" t="s">
        <v>166</v>
      </c>
      <c r="C33" s="105">
        <v>11</v>
      </c>
      <c r="D33" s="105">
        <v>11</v>
      </c>
      <c r="E33" s="90">
        <v>1195</v>
      </c>
      <c r="F33" s="90">
        <f>1376-1195</f>
        <v>181</v>
      </c>
      <c r="G33" s="136">
        <f t="shared" si="0"/>
        <v>1376</v>
      </c>
      <c r="H33" s="90">
        <v>1195</v>
      </c>
      <c r="I33" s="90">
        <v>31</v>
      </c>
      <c r="J33" s="90">
        <v>18</v>
      </c>
      <c r="K33" s="90">
        <v>41.5</v>
      </c>
      <c r="L33" s="90">
        <v>4.5</v>
      </c>
      <c r="M33" s="90">
        <v>16</v>
      </c>
      <c r="N33" s="90"/>
      <c r="O33" s="90">
        <v>14.5</v>
      </c>
      <c r="P33" s="90">
        <v>55</v>
      </c>
      <c r="Q33" s="90"/>
      <c r="R33" s="90"/>
      <c r="S33" s="90"/>
      <c r="T33" s="40">
        <f t="shared" si="1"/>
        <v>180.5</v>
      </c>
      <c r="U33" s="137">
        <f t="shared" si="2"/>
        <v>1375.5</v>
      </c>
    </row>
    <row r="34" spans="1:21" s="28" customFormat="1" ht="19.5" customHeight="1">
      <c r="A34" s="205"/>
      <c r="B34" s="88" t="s">
        <v>167</v>
      </c>
      <c r="C34" s="105">
        <v>11</v>
      </c>
      <c r="D34" s="105">
        <v>11</v>
      </c>
      <c r="E34" s="90">
        <v>1307</v>
      </c>
      <c r="F34" s="90">
        <f>1488-1307</f>
        <v>181</v>
      </c>
      <c r="G34" s="136">
        <f t="shared" si="0"/>
        <v>1488</v>
      </c>
      <c r="H34" s="90">
        <v>1307</v>
      </c>
      <c r="I34" s="90">
        <v>37</v>
      </c>
      <c r="J34" s="90">
        <v>21</v>
      </c>
      <c r="K34" s="90">
        <v>25</v>
      </c>
      <c r="L34" s="90">
        <v>9.5</v>
      </c>
      <c r="M34" s="90">
        <v>25</v>
      </c>
      <c r="N34" s="90"/>
      <c r="O34" s="90">
        <v>18.5</v>
      </c>
      <c r="P34" s="90">
        <v>45</v>
      </c>
      <c r="Q34" s="90"/>
      <c r="R34" s="90"/>
      <c r="S34" s="90"/>
      <c r="T34" s="40">
        <f t="shared" si="1"/>
        <v>181</v>
      </c>
      <c r="U34" s="137">
        <f t="shared" si="2"/>
        <v>1488</v>
      </c>
    </row>
    <row r="35" spans="1:21" s="74" customFormat="1" ht="19.5" customHeight="1">
      <c r="A35" s="206">
        <v>25</v>
      </c>
      <c r="B35" s="88" t="s">
        <v>172</v>
      </c>
      <c r="C35" s="89">
        <f t="shared" ref="C35:S35" si="8">C36+C37</f>
        <v>21</v>
      </c>
      <c r="D35" s="89">
        <f t="shared" si="8"/>
        <v>21</v>
      </c>
      <c r="E35" s="97">
        <f t="shared" si="8"/>
        <v>4166</v>
      </c>
      <c r="F35" s="97">
        <f t="shared" si="8"/>
        <v>402</v>
      </c>
      <c r="G35" s="136">
        <f t="shared" si="0"/>
        <v>4568</v>
      </c>
      <c r="H35" s="97">
        <f t="shared" si="8"/>
        <v>4165.7</v>
      </c>
      <c r="I35" s="97">
        <f t="shared" si="8"/>
        <v>133</v>
      </c>
      <c r="J35" s="97">
        <f t="shared" si="8"/>
        <v>20.3</v>
      </c>
      <c r="K35" s="97">
        <f t="shared" si="8"/>
        <v>2.8</v>
      </c>
      <c r="L35" s="97">
        <f t="shared" si="8"/>
        <v>2.4580000000000002</v>
      </c>
      <c r="M35" s="97">
        <f t="shared" si="8"/>
        <v>5.88</v>
      </c>
      <c r="N35" s="97">
        <f t="shared" si="8"/>
        <v>47.7</v>
      </c>
      <c r="O35" s="97">
        <f t="shared" si="8"/>
        <v>62.7</v>
      </c>
      <c r="P35" s="97">
        <f t="shared" si="8"/>
        <v>0</v>
      </c>
      <c r="Q35" s="97">
        <f t="shared" si="8"/>
        <v>123</v>
      </c>
      <c r="R35" s="97">
        <f t="shared" si="8"/>
        <v>0</v>
      </c>
      <c r="S35" s="97">
        <f t="shared" si="8"/>
        <v>4.5</v>
      </c>
      <c r="T35" s="40">
        <f t="shared" si="1"/>
        <v>402.33800000000002</v>
      </c>
      <c r="U35" s="137">
        <f t="shared" si="2"/>
        <v>4568.0379999999996</v>
      </c>
    </row>
    <row r="36" spans="1:21" s="74" customFormat="1" ht="19.5" customHeight="1">
      <c r="A36" s="207"/>
      <c r="B36" s="88" t="s">
        <v>166</v>
      </c>
      <c r="C36" s="89">
        <v>9</v>
      </c>
      <c r="D36" s="89">
        <v>9</v>
      </c>
      <c r="E36" s="90">
        <v>1987</v>
      </c>
      <c r="F36" s="90">
        <v>229</v>
      </c>
      <c r="G36" s="136">
        <f t="shared" si="0"/>
        <v>2216</v>
      </c>
      <c r="H36" s="91">
        <v>1986.4999999999998</v>
      </c>
      <c r="I36" s="91">
        <v>94.6</v>
      </c>
      <c r="J36" s="91">
        <v>12.4</v>
      </c>
      <c r="K36" s="91">
        <v>1.7</v>
      </c>
      <c r="L36" s="91">
        <v>0.25800000000000001</v>
      </c>
      <c r="M36" s="91">
        <v>1.38</v>
      </c>
      <c r="N36" s="91">
        <v>20.8</v>
      </c>
      <c r="O36" s="91">
        <v>26</v>
      </c>
      <c r="P36" s="91">
        <v>0</v>
      </c>
      <c r="Q36" s="91">
        <v>71.900000000000006</v>
      </c>
      <c r="R36" s="91"/>
      <c r="S36" s="91"/>
      <c r="T36" s="40">
        <f t="shared" si="1"/>
        <v>229.03800000000001</v>
      </c>
      <c r="U36" s="137">
        <f t="shared" si="2"/>
        <v>2215.5379999999996</v>
      </c>
    </row>
    <row r="37" spans="1:21" s="74" customFormat="1" ht="19.5" customHeight="1">
      <c r="A37" s="205"/>
      <c r="B37" s="88" t="s">
        <v>167</v>
      </c>
      <c r="C37" s="89">
        <v>12</v>
      </c>
      <c r="D37" s="89">
        <v>12</v>
      </c>
      <c r="E37" s="90">
        <v>2179</v>
      </c>
      <c r="F37" s="90">
        <v>173</v>
      </c>
      <c r="G37" s="136">
        <f t="shared" si="0"/>
        <v>2352</v>
      </c>
      <c r="H37" s="91">
        <v>2179.2000000000003</v>
      </c>
      <c r="I37" s="91">
        <v>38.4</v>
      </c>
      <c r="J37" s="91">
        <v>7.9</v>
      </c>
      <c r="K37" s="91">
        <v>1.1000000000000001</v>
      </c>
      <c r="L37" s="91">
        <v>2.2000000000000002</v>
      </c>
      <c r="M37" s="91">
        <v>4.5</v>
      </c>
      <c r="N37" s="91">
        <v>26.9</v>
      </c>
      <c r="O37" s="91">
        <v>36.700000000000003</v>
      </c>
      <c r="P37" s="91">
        <v>0</v>
      </c>
      <c r="Q37" s="91">
        <v>51.1</v>
      </c>
      <c r="R37" s="91"/>
      <c r="S37" s="91">
        <v>4.5</v>
      </c>
      <c r="T37" s="40">
        <f t="shared" si="1"/>
        <v>173.3</v>
      </c>
      <c r="U37" s="137">
        <f t="shared" si="2"/>
        <v>2352.5000000000005</v>
      </c>
    </row>
    <row r="38" spans="1:21" s="74" customFormat="1" ht="19.5" customHeight="1">
      <c r="A38" s="206">
        <v>26</v>
      </c>
      <c r="B38" s="88" t="s">
        <v>180</v>
      </c>
      <c r="C38" s="89">
        <f t="shared" ref="C38:S38" si="9">C39+C40</f>
        <v>20</v>
      </c>
      <c r="D38" s="89">
        <f t="shared" si="9"/>
        <v>18</v>
      </c>
      <c r="E38" s="98">
        <f t="shared" si="9"/>
        <v>2758</v>
      </c>
      <c r="F38" s="98">
        <f t="shared" si="9"/>
        <v>350</v>
      </c>
      <c r="G38" s="136">
        <f t="shared" si="0"/>
        <v>3108</v>
      </c>
      <c r="H38" s="98">
        <f t="shared" si="9"/>
        <v>2621.9049999999997</v>
      </c>
      <c r="I38" s="98">
        <f t="shared" si="9"/>
        <v>0</v>
      </c>
      <c r="J38" s="98">
        <f t="shared" si="9"/>
        <v>3.4089999999999998</v>
      </c>
      <c r="K38" s="98">
        <f t="shared" si="9"/>
        <v>26.722000000000001</v>
      </c>
      <c r="L38" s="98">
        <f t="shared" si="9"/>
        <v>0</v>
      </c>
      <c r="M38" s="98">
        <f t="shared" si="9"/>
        <v>60.804000000000002</v>
      </c>
      <c r="N38" s="98">
        <f t="shared" si="9"/>
        <v>16.8</v>
      </c>
      <c r="O38" s="98">
        <f t="shared" si="9"/>
        <v>18.310000000000002</v>
      </c>
      <c r="P38" s="98">
        <f t="shared" si="9"/>
        <v>0</v>
      </c>
      <c r="Q38" s="98">
        <f t="shared" si="9"/>
        <v>137.88</v>
      </c>
      <c r="R38" s="98">
        <f t="shared" si="9"/>
        <v>0</v>
      </c>
      <c r="S38" s="98">
        <f t="shared" si="9"/>
        <v>223.82900000000001</v>
      </c>
      <c r="T38" s="40">
        <f t="shared" si="1"/>
        <v>487.75400000000002</v>
      </c>
      <c r="U38" s="137">
        <f t="shared" si="2"/>
        <v>3109.6589999999997</v>
      </c>
    </row>
    <row r="39" spans="1:21" s="74" customFormat="1" ht="19.5" customHeight="1">
      <c r="A39" s="207"/>
      <c r="B39" s="93" t="s">
        <v>166</v>
      </c>
      <c r="C39" s="94">
        <v>8</v>
      </c>
      <c r="D39" s="94">
        <v>6</v>
      </c>
      <c r="E39" s="95">
        <v>1122</v>
      </c>
      <c r="F39" s="95">
        <v>140</v>
      </c>
      <c r="G39" s="136">
        <f t="shared" si="0"/>
        <v>1262</v>
      </c>
      <c r="H39" s="95">
        <v>1039.317</v>
      </c>
      <c r="I39" s="95"/>
      <c r="J39" s="95">
        <v>1.9650000000000001</v>
      </c>
      <c r="K39" s="95">
        <v>8.1549999999999994</v>
      </c>
      <c r="L39" s="95"/>
      <c r="M39" s="95">
        <v>17.762</v>
      </c>
      <c r="N39" s="95">
        <v>9.8000000000000007</v>
      </c>
      <c r="O39" s="95">
        <v>7.7850000000000001</v>
      </c>
      <c r="P39" s="95"/>
      <c r="Q39" s="95">
        <v>79.751000000000005</v>
      </c>
      <c r="R39" s="95"/>
      <c r="S39" s="95">
        <v>98.346000000000004</v>
      </c>
      <c r="T39" s="40">
        <f t="shared" si="1"/>
        <v>223.56400000000002</v>
      </c>
      <c r="U39" s="137">
        <f t="shared" si="2"/>
        <v>1262.8810000000001</v>
      </c>
    </row>
    <row r="40" spans="1:21" s="74" customFormat="1" ht="19.5" customHeight="1">
      <c r="A40" s="205"/>
      <c r="B40" s="93" t="s">
        <v>167</v>
      </c>
      <c r="C40" s="94">
        <v>12</v>
      </c>
      <c r="D40" s="94">
        <v>12</v>
      </c>
      <c r="E40" s="95">
        <v>1636</v>
      </c>
      <c r="F40" s="95">
        <v>210</v>
      </c>
      <c r="G40" s="136">
        <f t="shared" si="0"/>
        <v>1846</v>
      </c>
      <c r="H40" s="95">
        <v>1582.588</v>
      </c>
      <c r="I40" s="95"/>
      <c r="J40" s="95">
        <v>1.444</v>
      </c>
      <c r="K40" s="95">
        <v>18.567</v>
      </c>
      <c r="L40" s="95"/>
      <c r="M40" s="95">
        <v>43.042000000000002</v>
      </c>
      <c r="N40" s="95">
        <v>7</v>
      </c>
      <c r="O40" s="95">
        <v>10.525</v>
      </c>
      <c r="P40" s="95"/>
      <c r="Q40" s="95">
        <v>58.128999999999998</v>
      </c>
      <c r="R40" s="95"/>
      <c r="S40" s="95">
        <v>125.483</v>
      </c>
      <c r="T40" s="40">
        <f t="shared" si="1"/>
        <v>264.19</v>
      </c>
      <c r="U40" s="137">
        <f t="shared" si="2"/>
        <v>1846.778</v>
      </c>
    </row>
    <row r="41" spans="1:21" s="74" customFormat="1" ht="19.5" customHeight="1">
      <c r="A41" s="206">
        <v>27</v>
      </c>
      <c r="B41" s="88" t="s">
        <v>175</v>
      </c>
      <c r="C41" s="108">
        <f t="shared" ref="C41:S41" si="10">C42+C43</f>
        <v>21</v>
      </c>
      <c r="D41" s="108">
        <f t="shared" si="10"/>
        <v>21</v>
      </c>
      <c r="E41" s="109">
        <f t="shared" si="10"/>
        <v>3563</v>
      </c>
      <c r="F41" s="109">
        <f t="shared" si="10"/>
        <v>677</v>
      </c>
      <c r="G41" s="136">
        <f t="shared" si="0"/>
        <v>4240</v>
      </c>
      <c r="H41" s="109">
        <f t="shared" si="10"/>
        <v>3563</v>
      </c>
      <c r="I41" s="109">
        <f t="shared" si="10"/>
        <v>136</v>
      </c>
      <c r="J41" s="109">
        <f t="shared" si="10"/>
        <v>63</v>
      </c>
      <c r="K41" s="109">
        <f t="shared" si="10"/>
        <v>84</v>
      </c>
      <c r="L41" s="109">
        <f t="shared" si="10"/>
        <v>4</v>
      </c>
      <c r="M41" s="109">
        <f t="shared" si="10"/>
        <v>23</v>
      </c>
      <c r="N41" s="109">
        <f t="shared" si="10"/>
        <v>32</v>
      </c>
      <c r="O41" s="109">
        <f t="shared" si="10"/>
        <v>47</v>
      </c>
      <c r="P41" s="109">
        <f t="shared" si="10"/>
        <v>0</v>
      </c>
      <c r="Q41" s="109">
        <f t="shared" si="10"/>
        <v>216</v>
      </c>
      <c r="R41" s="109">
        <f t="shared" si="10"/>
        <v>0</v>
      </c>
      <c r="S41" s="109">
        <f t="shared" si="10"/>
        <v>72</v>
      </c>
      <c r="T41" s="40">
        <f t="shared" si="1"/>
        <v>677</v>
      </c>
      <c r="U41" s="137">
        <f t="shared" si="2"/>
        <v>4240</v>
      </c>
    </row>
    <row r="42" spans="1:21" s="74" customFormat="1" ht="19.5" customHeight="1">
      <c r="A42" s="207"/>
      <c r="B42" s="88" t="s">
        <v>166</v>
      </c>
      <c r="C42" s="89">
        <v>9</v>
      </c>
      <c r="D42" s="89">
        <v>9</v>
      </c>
      <c r="E42" s="90">
        <v>1440</v>
      </c>
      <c r="F42" s="90">
        <v>295</v>
      </c>
      <c r="G42" s="136">
        <f t="shared" si="0"/>
        <v>1735</v>
      </c>
      <c r="H42" s="91">
        <f>149+1291</f>
        <v>1440</v>
      </c>
      <c r="I42" s="91">
        <v>11</v>
      </c>
      <c r="J42" s="91">
        <v>54</v>
      </c>
      <c r="K42" s="91">
        <v>4</v>
      </c>
      <c r="L42" s="91">
        <v>2</v>
      </c>
      <c r="M42" s="91">
        <v>10</v>
      </c>
      <c r="N42" s="91">
        <v>18</v>
      </c>
      <c r="O42" s="91">
        <v>24</v>
      </c>
      <c r="P42" s="91"/>
      <c r="Q42" s="91">
        <v>142</v>
      </c>
      <c r="R42" s="91"/>
      <c r="S42" s="91">
        <v>30</v>
      </c>
      <c r="T42" s="40">
        <f t="shared" si="1"/>
        <v>295</v>
      </c>
      <c r="U42" s="137">
        <f t="shared" si="2"/>
        <v>1735</v>
      </c>
    </row>
    <row r="43" spans="1:21" s="74" customFormat="1" ht="19.5" customHeight="1">
      <c r="A43" s="205"/>
      <c r="B43" s="88" t="s">
        <v>167</v>
      </c>
      <c r="C43" s="89">
        <v>12</v>
      </c>
      <c r="D43" s="89">
        <v>12</v>
      </c>
      <c r="E43" s="90">
        <v>2123</v>
      </c>
      <c r="F43" s="90">
        <v>382</v>
      </c>
      <c r="G43" s="136">
        <f t="shared" si="0"/>
        <v>2505</v>
      </c>
      <c r="H43" s="91">
        <f>235+1888</f>
        <v>2123</v>
      </c>
      <c r="I43" s="91">
        <v>125</v>
      </c>
      <c r="J43" s="91">
        <v>9</v>
      </c>
      <c r="K43" s="91">
        <v>80</v>
      </c>
      <c r="L43" s="91">
        <v>2</v>
      </c>
      <c r="M43" s="91">
        <v>13</v>
      </c>
      <c r="N43" s="91">
        <v>14</v>
      </c>
      <c r="O43" s="91">
        <v>23</v>
      </c>
      <c r="P43" s="91"/>
      <c r="Q43" s="91">
        <v>74</v>
      </c>
      <c r="R43" s="91"/>
      <c r="S43" s="91">
        <v>42</v>
      </c>
      <c r="T43" s="40">
        <f t="shared" si="1"/>
        <v>382</v>
      </c>
      <c r="U43" s="137">
        <f t="shared" si="2"/>
        <v>2505</v>
      </c>
    </row>
    <row r="44" spans="1:21" s="74" customFormat="1" ht="19.5" customHeight="1">
      <c r="A44" s="208">
        <v>28</v>
      </c>
      <c r="B44" s="93" t="s">
        <v>170</v>
      </c>
      <c r="C44" s="94">
        <f t="shared" ref="C44:S44" si="11">C45+C46</f>
        <v>20</v>
      </c>
      <c r="D44" s="94">
        <f t="shared" si="11"/>
        <v>19</v>
      </c>
      <c r="E44" s="110">
        <f t="shared" si="11"/>
        <v>2712</v>
      </c>
      <c r="F44" s="110">
        <f t="shared" si="11"/>
        <v>350</v>
      </c>
      <c r="G44" s="136">
        <f t="shared" si="0"/>
        <v>3062</v>
      </c>
      <c r="H44" s="110">
        <f t="shared" si="11"/>
        <v>2681.8389999999999</v>
      </c>
      <c r="I44" s="110">
        <f t="shared" si="11"/>
        <v>51.309999999999995</v>
      </c>
      <c r="J44" s="110">
        <f t="shared" si="11"/>
        <v>8.8849999999999998</v>
      </c>
      <c r="K44" s="110">
        <f t="shared" si="11"/>
        <v>5.0250000000000004</v>
      </c>
      <c r="L44" s="110">
        <f t="shared" si="11"/>
        <v>6.29</v>
      </c>
      <c r="M44" s="110">
        <f t="shared" si="11"/>
        <v>37.045000000000002</v>
      </c>
      <c r="N44" s="110">
        <f t="shared" si="11"/>
        <v>17.88</v>
      </c>
      <c r="O44" s="110">
        <f t="shared" si="11"/>
        <v>50.81</v>
      </c>
      <c r="P44" s="110">
        <f t="shared" si="11"/>
        <v>0</v>
      </c>
      <c r="Q44" s="110">
        <f t="shared" si="11"/>
        <v>198.41300000000001</v>
      </c>
      <c r="R44" s="110">
        <f t="shared" si="11"/>
        <v>0</v>
      </c>
      <c r="S44" s="110">
        <f t="shared" si="11"/>
        <v>4.125</v>
      </c>
      <c r="T44" s="40">
        <f t="shared" si="1"/>
        <v>379.78300000000002</v>
      </c>
      <c r="U44" s="137">
        <f t="shared" si="2"/>
        <v>3061.6219999999998</v>
      </c>
    </row>
    <row r="45" spans="1:21" s="74" customFormat="1" ht="19.5" customHeight="1">
      <c r="A45" s="209"/>
      <c r="B45" s="88" t="s">
        <v>166</v>
      </c>
      <c r="C45" s="89">
        <v>8</v>
      </c>
      <c r="D45" s="89">
        <v>8</v>
      </c>
      <c r="E45" s="90">
        <v>1097</v>
      </c>
      <c r="F45" s="141">
        <v>140</v>
      </c>
      <c r="G45" s="136">
        <f t="shared" si="0"/>
        <v>1237</v>
      </c>
      <c r="H45" s="91">
        <v>1052.4100000000001</v>
      </c>
      <c r="I45" s="91">
        <f>12.6+16.81</f>
        <v>29.409999999999997</v>
      </c>
      <c r="J45" s="91">
        <v>7.6130000000000004</v>
      </c>
      <c r="K45" s="91">
        <v>0.23499999999999999</v>
      </c>
      <c r="L45" s="103">
        <v>2</v>
      </c>
      <c r="M45" s="91">
        <v>10.875</v>
      </c>
      <c r="N45" s="91"/>
      <c r="O45" s="91">
        <v>23.47</v>
      </c>
      <c r="P45" s="91"/>
      <c r="Q45" s="91">
        <v>110.145</v>
      </c>
      <c r="R45" s="91"/>
      <c r="S45" s="91">
        <v>1.1499999999999999</v>
      </c>
      <c r="T45" s="40">
        <f t="shared" si="1"/>
        <v>184.898</v>
      </c>
      <c r="U45" s="137">
        <f t="shared" si="2"/>
        <v>1237.308</v>
      </c>
    </row>
    <row r="46" spans="1:21" s="74" customFormat="1" ht="19.5" customHeight="1">
      <c r="A46" s="210"/>
      <c r="B46" s="88" t="s">
        <v>167</v>
      </c>
      <c r="C46" s="89">
        <v>12</v>
      </c>
      <c r="D46" s="89">
        <v>11</v>
      </c>
      <c r="E46" s="142">
        <v>1615</v>
      </c>
      <c r="F46" s="143">
        <v>210</v>
      </c>
      <c r="G46" s="136">
        <f t="shared" si="0"/>
        <v>1825</v>
      </c>
      <c r="H46" s="91">
        <v>1629.4290000000001</v>
      </c>
      <c r="I46" s="91">
        <f>8.4+13.5</f>
        <v>21.9</v>
      </c>
      <c r="J46" s="91">
        <v>1.272</v>
      </c>
      <c r="K46" s="91">
        <v>4.79</v>
      </c>
      <c r="L46" s="91">
        <v>4.29</v>
      </c>
      <c r="M46" s="91">
        <v>26.17</v>
      </c>
      <c r="N46" s="91">
        <v>17.88</v>
      </c>
      <c r="O46" s="91">
        <v>27.34</v>
      </c>
      <c r="P46" s="91"/>
      <c r="Q46" s="91">
        <v>88.268000000000001</v>
      </c>
      <c r="R46" s="91"/>
      <c r="S46" s="91">
        <v>2.9750000000000001</v>
      </c>
      <c r="T46" s="40">
        <f t="shared" si="1"/>
        <v>194.88499999999999</v>
      </c>
      <c r="U46" s="137">
        <f t="shared" si="2"/>
        <v>1824.3140000000001</v>
      </c>
    </row>
    <row r="47" spans="1:21" s="74" customFormat="1" ht="19.5" customHeight="1">
      <c r="A47" s="206">
        <v>29</v>
      </c>
      <c r="B47" s="88" t="s">
        <v>174</v>
      </c>
      <c r="C47" s="89">
        <f t="shared" ref="C47:S47" si="12">C48+C49</f>
        <v>23</v>
      </c>
      <c r="D47" s="89">
        <f t="shared" si="12"/>
        <v>22</v>
      </c>
      <c r="E47" s="98">
        <f t="shared" si="12"/>
        <v>3168</v>
      </c>
      <c r="F47" s="98">
        <f t="shared" si="12"/>
        <v>580</v>
      </c>
      <c r="G47" s="136">
        <f t="shared" si="0"/>
        <v>3748</v>
      </c>
      <c r="H47" s="98">
        <f t="shared" si="12"/>
        <v>3168</v>
      </c>
      <c r="I47" s="98">
        <f t="shared" si="12"/>
        <v>147.19999999999999</v>
      </c>
      <c r="J47" s="98">
        <f t="shared" si="12"/>
        <v>12.8</v>
      </c>
      <c r="K47" s="98">
        <f t="shared" si="12"/>
        <v>13</v>
      </c>
      <c r="L47" s="98">
        <f t="shared" si="12"/>
        <v>5</v>
      </c>
      <c r="M47" s="98">
        <f t="shared" si="12"/>
        <v>51</v>
      </c>
      <c r="N47" s="98">
        <f t="shared" si="12"/>
        <v>29</v>
      </c>
      <c r="O47" s="98">
        <f t="shared" si="12"/>
        <v>82</v>
      </c>
      <c r="P47" s="98">
        <f t="shared" si="12"/>
        <v>23</v>
      </c>
      <c r="Q47" s="98">
        <f t="shared" si="12"/>
        <v>185</v>
      </c>
      <c r="R47" s="98">
        <f t="shared" si="12"/>
        <v>0</v>
      </c>
      <c r="S47" s="98">
        <f t="shared" si="12"/>
        <v>32</v>
      </c>
      <c r="T47" s="40">
        <f t="shared" si="1"/>
        <v>580</v>
      </c>
      <c r="U47" s="137">
        <f t="shared" si="2"/>
        <v>3748</v>
      </c>
    </row>
    <row r="48" spans="1:21" s="74" customFormat="1" ht="19.5" customHeight="1">
      <c r="A48" s="207"/>
      <c r="B48" s="88" t="s">
        <v>166</v>
      </c>
      <c r="C48" s="99">
        <v>10</v>
      </c>
      <c r="D48" s="99">
        <v>9</v>
      </c>
      <c r="E48" s="97">
        <f t="shared" ref="E48:E51" si="13">H48</f>
        <v>1462</v>
      </c>
      <c r="F48" s="97">
        <f t="shared" ref="F48:F51" si="14">T48</f>
        <v>225</v>
      </c>
      <c r="G48" s="136">
        <f t="shared" si="0"/>
        <v>1687</v>
      </c>
      <c r="H48" s="101">
        <v>1462</v>
      </c>
      <c r="I48" s="101">
        <v>66.2</v>
      </c>
      <c r="J48" s="101">
        <v>2.8</v>
      </c>
      <c r="K48" s="101">
        <v>3</v>
      </c>
      <c r="L48" s="101">
        <v>3</v>
      </c>
      <c r="M48" s="101">
        <v>13</v>
      </c>
      <c r="N48" s="101">
        <v>17</v>
      </c>
      <c r="O48" s="101">
        <v>44</v>
      </c>
      <c r="P48" s="101">
        <v>11</v>
      </c>
      <c r="Q48" s="101">
        <v>45</v>
      </c>
      <c r="R48" s="101"/>
      <c r="S48" s="101">
        <v>20</v>
      </c>
      <c r="T48" s="40">
        <f t="shared" si="1"/>
        <v>225</v>
      </c>
      <c r="U48" s="137">
        <f t="shared" si="2"/>
        <v>1687</v>
      </c>
    </row>
    <row r="49" spans="1:21" s="74" customFormat="1" ht="19.5" customHeight="1">
      <c r="A49" s="205"/>
      <c r="B49" s="88" t="s">
        <v>167</v>
      </c>
      <c r="C49" s="99">
        <v>13</v>
      </c>
      <c r="D49" s="99">
        <v>13</v>
      </c>
      <c r="E49" s="97">
        <f t="shared" si="13"/>
        <v>1706</v>
      </c>
      <c r="F49" s="97">
        <f t="shared" si="14"/>
        <v>355</v>
      </c>
      <c r="G49" s="136">
        <f t="shared" si="0"/>
        <v>2061</v>
      </c>
      <c r="H49" s="101">
        <v>1706</v>
      </c>
      <c r="I49" s="101">
        <v>81</v>
      </c>
      <c r="J49" s="101">
        <v>10</v>
      </c>
      <c r="K49" s="101">
        <v>10</v>
      </c>
      <c r="L49" s="101">
        <v>2</v>
      </c>
      <c r="M49" s="101">
        <v>38</v>
      </c>
      <c r="N49" s="101">
        <v>12</v>
      </c>
      <c r="O49" s="101">
        <v>38</v>
      </c>
      <c r="P49" s="101">
        <v>12</v>
      </c>
      <c r="Q49" s="101">
        <v>140</v>
      </c>
      <c r="R49" s="101"/>
      <c r="S49" s="101">
        <v>12</v>
      </c>
      <c r="T49" s="40">
        <f t="shared" si="1"/>
        <v>355</v>
      </c>
      <c r="U49" s="137">
        <f t="shared" si="2"/>
        <v>2061</v>
      </c>
    </row>
    <row r="50" spans="1:21" s="74" customFormat="1" ht="19.5" customHeight="1">
      <c r="A50" s="204">
        <v>30</v>
      </c>
      <c r="B50" s="84" t="s">
        <v>168</v>
      </c>
      <c r="C50" s="85">
        <v>24</v>
      </c>
      <c r="D50" s="85">
        <v>23</v>
      </c>
      <c r="E50" s="86">
        <f t="shared" si="13"/>
        <v>1663.4850000000001</v>
      </c>
      <c r="F50" s="86">
        <f t="shared" si="14"/>
        <v>218.358</v>
      </c>
      <c r="G50" s="136">
        <f t="shared" si="0"/>
        <v>1881.8430000000001</v>
      </c>
      <c r="H50" s="86">
        <f>853.263+570.472+239.66+0.09</f>
        <v>1663.4850000000001</v>
      </c>
      <c r="I50" s="86">
        <v>59.445</v>
      </c>
      <c r="J50" s="86">
        <v>9.8279999999999994</v>
      </c>
      <c r="K50" s="86">
        <v>6.4050000000000002</v>
      </c>
      <c r="L50" s="86">
        <v>1.1040000000000001</v>
      </c>
      <c r="M50" s="86">
        <v>10.896000000000001</v>
      </c>
      <c r="N50" s="86">
        <v>14</v>
      </c>
      <c r="O50" s="86">
        <v>22.039000000000001</v>
      </c>
      <c r="P50" s="86">
        <v>15.72</v>
      </c>
      <c r="Q50" s="86">
        <v>64.631</v>
      </c>
      <c r="R50" s="86"/>
      <c r="S50" s="86">
        <v>14.29</v>
      </c>
      <c r="T50" s="40">
        <f t="shared" si="1"/>
        <v>218.358</v>
      </c>
      <c r="U50" s="137">
        <f t="shared" si="2"/>
        <v>1881.8430000000001</v>
      </c>
    </row>
    <row r="51" spans="1:21" s="74" customFormat="1" ht="19.5" customHeight="1">
      <c r="A51" s="205"/>
      <c r="B51" s="84" t="s">
        <v>169</v>
      </c>
      <c r="C51" s="85">
        <v>18</v>
      </c>
      <c r="D51" s="85">
        <v>17</v>
      </c>
      <c r="E51" s="86">
        <f t="shared" si="13"/>
        <v>869.20099999999991</v>
      </c>
      <c r="F51" s="86">
        <f t="shared" si="14"/>
        <v>205.77100000000002</v>
      </c>
      <c r="G51" s="136">
        <f t="shared" si="0"/>
        <v>1074.972</v>
      </c>
      <c r="H51" s="86">
        <f>435.825+285.418+128.154+19.804</f>
        <v>869.20099999999991</v>
      </c>
      <c r="I51" s="86">
        <v>56.555</v>
      </c>
      <c r="J51" s="86">
        <v>5.9710000000000001</v>
      </c>
      <c r="K51" s="86">
        <v>1.9</v>
      </c>
      <c r="L51" s="86">
        <v>0.77300000000000002</v>
      </c>
      <c r="M51" s="86">
        <v>27.356000000000002</v>
      </c>
      <c r="N51" s="86">
        <v>5</v>
      </c>
      <c r="O51" s="86">
        <v>14.086</v>
      </c>
      <c r="P51" s="86"/>
      <c r="Q51" s="86">
        <v>80.73</v>
      </c>
      <c r="R51" s="86">
        <v>10.9</v>
      </c>
      <c r="S51" s="86">
        <v>2.5</v>
      </c>
      <c r="T51" s="40">
        <f t="shared" si="1"/>
        <v>205.77100000000002</v>
      </c>
      <c r="U51" s="137">
        <f t="shared" si="2"/>
        <v>1074.972</v>
      </c>
    </row>
    <row r="52" spans="1:21" s="74" customFormat="1" ht="19.5" customHeight="1">
      <c r="A52" s="75">
        <v>31</v>
      </c>
      <c r="B52" s="76" t="s">
        <v>176</v>
      </c>
      <c r="C52" s="77">
        <v>24</v>
      </c>
      <c r="D52" s="77">
        <v>24</v>
      </c>
      <c r="E52" s="78">
        <v>3155</v>
      </c>
      <c r="F52" s="78">
        <v>429</v>
      </c>
      <c r="G52" s="136">
        <f t="shared" si="0"/>
        <v>3584</v>
      </c>
      <c r="H52" s="78">
        <v>3155.2</v>
      </c>
      <c r="I52" s="78">
        <v>61</v>
      </c>
      <c r="J52" s="78">
        <v>14</v>
      </c>
      <c r="K52" s="78">
        <v>7.5</v>
      </c>
      <c r="L52" s="78">
        <v>11</v>
      </c>
      <c r="M52" s="78">
        <v>18.8</v>
      </c>
      <c r="N52" s="78">
        <v>36.299999999999997</v>
      </c>
      <c r="O52" s="78">
        <v>105.7</v>
      </c>
      <c r="P52" s="78"/>
      <c r="Q52" s="78">
        <v>151.19999999999999</v>
      </c>
      <c r="R52" s="78"/>
      <c r="S52" s="78">
        <v>23.2</v>
      </c>
      <c r="T52" s="40">
        <f t="shared" si="1"/>
        <v>428.7</v>
      </c>
      <c r="U52" s="137">
        <f t="shared" si="2"/>
        <v>3583.8999999999996</v>
      </c>
    </row>
    <row r="53" spans="1:21" s="74" customFormat="1" ht="19.5" customHeight="1">
      <c r="A53" s="87">
        <v>32</v>
      </c>
      <c r="B53" s="88" t="s">
        <v>177</v>
      </c>
      <c r="C53" s="105">
        <v>14</v>
      </c>
      <c r="D53" s="105">
        <v>14</v>
      </c>
      <c r="E53" s="90">
        <v>2729</v>
      </c>
      <c r="F53" s="90">
        <v>230</v>
      </c>
      <c r="G53" s="136">
        <f t="shared" si="0"/>
        <v>2959</v>
      </c>
      <c r="H53" s="90">
        <v>2729</v>
      </c>
      <c r="I53" s="90"/>
      <c r="J53" s="90">
        <v>10</v>
      </c>
      <c r="K53" s="90">
        <v>30</v>
      </c>
      <c r="L53" s="90"/>
      <c r="M53" s="90">
        <v>20</v>
      </c>
      <c r="N53" s="90">
        <v>30</v>
      </c>
      <c r="O53" s="90">
        <v>39</v>
      </c>
      <c r="P53" s="90">
        <v>92</v>
      </c>
      <c r="Q53" s="90"/>
      <c r="R53" s="90"/>
      <c r="S53" s="90">
        <v>9</v>
      </c>
      <c r="T53" s="40">
        <f t="shared" si="1"/>
        <v>230</v>
      </c>
      <c r="U53" s="137">
        <f t="shared" si="2"/>
        <v>2959</v>
      </c>
    </row>
    <row r="54" spans="1:21" s="74" customFormat="1" ht="19.5" customHeight="1">
      <c r="A54" s="87">
        <v>33</v>
      </c>
      <c r="B54" s="88" t="s">
        <v>178</v>
      </c>
      <c r="C54" s="89">
        <v>25</v>
      </c>
      <c r="D54" s="89">
        <v>24</v>
      </c>
      <c r="E54" s="90">
        <v>2831.6520070000001</v>
      </c>
      <c r="F54" s="91">
        <v>664.13672299999996</v>
      </c>
      <c r="G54" s="136">
        <f t="shared" si="0"/>
        <v>3495.7887300000002</v>
      </c>
      <c r="H54" s="91">
        <v>2831.6520070000001</v>
      </c>
      <c r="I54" s="91"/>
      <c r="J54" s="91">
        <v>42.25562</v>
      </c>
      <c r="K54" s="91">
        <v>83.067999999999998</v>
      </c>
      <c r="L54" s="91">
        <v>3.9905149999999998</v>
      </c>
      <c r="M54" s="91">
        <v>20.183</v>
      </c>
      <c r="N54" s="91">
        <v>31.2</v>
      </c>
      <c r="O54" s="91">
        <v>67.967600000000004</v>
      </c>
      <c r="P54" s="91">
        <v>0</v>
      </c>
      <c r="Q54" s="91">
        <v>287.37598800000001</v>
      </c>
      <c r="R54" s="91"/>
      <c r="S54" s="91">
        <v>128.096</v>
      </c>
      <c r="T54" s="40">
        <f t="shared" si="1"/>
        <v>664.13672299999996</v>
      </c>
      <c r="U54" s="137">
        <f t="shared" si="2"/>
        <v>3495.7887300000002</v>
      </c>
    </row>
    <row r="55" spans="1:21" s="74" customFormat="1" ht="19.5" customHeight="1">
      <c r="A55" s="87"/>
      <c r="B55" s="111" t="s">
        <v>19</v>
      </c>
      <c r="C55" s="112">
        <f>SUM(C7:C28,C29,C32,C35,C38,C41,C44,C47,C50:C54)</f>
        <v>603</v>
      </c>
      <c r="D55" s="112">
        <f t="shared" ref="D55:U55" si="15">SUM(D7:D28,D29,D32,D35,D38,D41,D44,D47,D50:D54)</f>
        <v>581</v>
      </c>
      <c r="E55" s="112">
        <f t="shared" si="15"/>
        <v>73661.098762000009</v>
      </c>
      <c r="F55" s="112">
        <f t="shared" si="15"/>
        <v>11321.575337</v>
      </c>
      <c r="G55" s="112">
        <f t="shared" si="15"/>
        <v>84982.674098999982</v>
      </c>
      <c r="H55" s="112">
        <f t="shared" si="15"/>
        <v>73431.859762000007</v>
      </c>
      <c r="I55" s="112">
        <f t="shared" si="15"/>
        <v>1392.4290000000001</v>
      </c>
      <c r="J55" s="112">
        <f t="shared" si="15"/>
        <v>482.92291499999999</v>
      </c>
      <c r="K55" s="112">
        <f t="shared" si="15"/>
        <v>974.94879999999978</v>
      </c>
      <c r="L55" s="112">
        <f t="shared" si="15"/>
        <v>149.45363</v>
      </c>
      <c r="M55" s="112">
        <f t="shared" si="15"/>
        <v>567.86539999999991</v>
      </c>
      <c r="N55" s="112">
        <f t="shared" si="15"/>
        <v>680.34699999999998</v>
      </c>
      <c r="O55" s="112">
        <f t="shared" si="15"/>
        <v>1418.8576</v>
      </c>
      <c r="P55" s="112">
        <f t="shared" si="15"/>
        <v>772.70800000000008</v>
      </c>
      <c r="Q55" s="112">
        <f t="shared" si="15"/>
        <v>4017.5909920000004</v>
      </c>
      <c r="R55" s="112">
        <f t="shared" si="15"/>
        <v>10.9</v>
      </c>
      <c r="S55" s="112">
        <f t="shared" si="15"/>
        <v>1082.5519999999999</v>
      </c>
      <c r="T55" s="112">
        <f t="shared" si="15"/>
        <v>11550.575337</v>
      </c>
      <c r="U55" s="112">
        <f t="shared" si="15"/>
        <v>84982.43509899998</v>
      </c>
    </row>
    <row r="56" spans="1:21" s="74" customFormat="1" ht="19.5" customHeight="1"/>
    <row r="57" spans="1:21" s="74" customFormat="1" ht="19.5" customHeight="1"/>
    <row r="58" spans="1:21" s="74" customFormat="1" ht="19.5" customHeight="1"/>
    <row r="59" spans="1:21" s="74" customFormat="1" ht="19.5" customHeight="1"/>
    <row r="60" spans="1:21" s="74" customFormat="1" ht="19.5" customHeight="1"/>
    <row r="61" spans="1:21" s="74" customFormat="1" ht="19.5" customHeight="1"/>
    <row r="62" spans="1:21" s="74" customFormat="1" ht="19.5" customHeight="1"/>
    <row r="63" spans="1:21" s="74" customFormat="1" ht="19.5" customHeight="1"/>
    <row r="64" spans="1:21" s="74" customFormat="1" ht="19.5" customHeight="1"/>
    <row r="65" spans="2:7" s="32" customFormat="1" ht="21" customHeight="1"/>
    <row r="66" spans="2:7" s="74" customFormat="1" ht="19.5" customHeight="1"/>
    <row r="67" spans="2:7" s="74" customFormat="1" ht="19.5" customHeight="1"/>
    <row r="68" spans="2:7" s="74" customFormat="1" ht="19.5" customHeight="1"/>
    <row r="69" spans="2:7" s="113" customFormat="1" ht="19.5" customHeight="1"/>
    <row r="70" spans="2:7" s="74" customFormat="1" ht="19.5" customHeight="1"/>
    <row r="71" spans="2:7" s="73" customFormat="1" ht="19.5" customHeight="1">
      <c r="B71" s="138"/>
      <c r="C71" s="138"/>
      <c r="D71" s="138"/>
      <c r="E71" s="138"/>
      <c r="F71" s="138"/>
      <c r="G71" s="138"/>
    </row>
    <row r="72" spans="2:7" s="73" customFormat="1">
      <c r="B72" s="138"/>
      <c r="C72" s="138"/>
      <c r="D72" s="138"/>
      <c r="E72" s="138"/>
      <c r="F72" s="138"/>
      <c r="G72" s="138"/>
    </row>
    <row r="73" spans="2:7" s="73" customFormat="1">
      <c r="B73" s="138"/>
      <c r="C73" s="138"/>
      <c r="D73" s="138"/>
      <c r="E73" s="138"/>
      <c r="F73" s="138"/>
      <c r="G73" s="138"/>
    </row>
    <row r="74" spans="2:7" s="73" customFormat="1">
      <c r="B74" s="138"/>
      <c r="C74" s="138"/>
      <c r="D74" s="138"/>
      <c r="E74" s="138"/>
      <c r="F74" s="138"/>
      <c r="G74" s="138"/>
    </row>
    <row r="75" spans="2:7" s="73" customFormat="1">
      <c r="B75" s="138"/>
      <c r="C75" s="138"/>
      <c r="D75" s="138"/>
      <c r="E75" s="138"/>
      <c r="F75" s="138"/>
      <c r="G75" s="138"/>
    </row>
    <row r="76" spans="2:7" s="73" customFormat="1">
      <c r="B76" s="138"/>
      <c r="C76" s="138"/>
      <c r="D76" s="138"/>
      <c r="E76" s="138"/>
      <c r="F76" s="138"/>
      <c r="G76" s="138"/>
    </row>
    <row r="77" spans="2:7" s="73" customFormat="1">
      <c r="B77" s="138"/>
      <c r="C77" s="138"/>
      <c r="D77" s="138"/>
      <c r="E77" s="138"/>
      <c r="F77" s="138"/>
      <c r="G77" s="138"/>
    </row>
    <row r="78" spans="2:7" s="73" customFormat="1">
      <c r="B78" s="138"/>
      <c r="C78" s="138"/>
      <c r="D78" s="138"/>
      <c r="E78" s="138"/>
      <c r="F78" s="138"/>
      <c r="G78" s="138"/>
    </row>
    <row r="79" spans="2:7" s="73" customFormat="1">
      <c r="B79" s="138"/>
      <c r="C79" s="138"/>
      <c r="D79" s="138"/>
      <c r="E79" s="138"/>
      <c r="F79" s="138"/>
      <c r="G79" s="138"/>
    </row>
    <row r="80" spans="2:7" s="73" customFormat="1"/>
    <row r="81" s="73" customFormat="1"/>
    <row r="82" s="73" customFormat="1"/>
    <row r="83" s="73" customFormat="1"/>
    <row r="84" s="73" customFormat="1"/>
    <row r="85" s="73" customFormat="1"/>
    <row r="86" s="73" customFormat="1"/>
    <row r="87" s="73" customFormat="1"/>
    <row r="88" s="73" customFormat="1"/>
    <row r="89" s="73" customFormat="1"/>
    <row r="90" s="73" customFormat="1"/>
    <row r="91" s="73" customFormat="1"/>
    <row r="92" s="73" customFormat="1"/>
    <row r="93" s="73" customFormat="1"/>
    <row r="94" s="73" customFormat="1"/>
    <row r="95" s="73" customFormat="1"/>
    <row r="96" s="73" customFormat="1"/>
    <row r="97" s="73" customFormat="1"/>
    <row r="98" s="73" customFormat="1"/>
    <row r="99" s="73" customFormat="1"/>
    <row r="100" s="73" customFormat="1"/>
    <row r="101" s="73" customFormat="1"/>
    <row r="102" s="73" customFormat="1"/>
    <row r="103" s="73" customFormat="1"/>
    <row r="104" s="73" customFormat="1"/>
    <row r="105" s="73" customFormat="1"/>
    <row r="106" s="73" customFormat="1"/>
    <row r="107" s="73" customFormat="1"/>
    <row r="108" s="73" customFormat="1"/>
    <row r="109" s="73" customFormat="1"/>
    <row r="110" s="73" customFormat="1"/>
    <row r="111" s="73" customFormat="1"/>
    <row r="112" s="73" customFormat="1"/>
    <row r="113" s="73" customFormat="1"/>
    <row r="114" s="73" customFormat="1"/>
    <row r="115" s="73" customFormat="1"/>
    <row r="116" s="73" customFormat="1"/>
    <row r="117" s="73" customFormat="1"/>
    <row r="118" s="73" customFormat="1"/>
    <row r="119" s="73" customFormat="1"/>
    <row r="120" s="73" customFormat="1"/>
    <row r="121" s="73" customFormat="1"/>
    <row r="122" s="73" customFormat="1"/>
    <row r="123" s="73" customFormat="1"/>
    <row r="124" s="73" customFormat="1"/>
    <row r="125" s="73" customFormat="1"/>
    <row r="126" s="73" customFormat="1"/>
    <row r="127" s="73" customFormat="1"/>
    <row r="128" s="73" customFormat="1"/>
    <row r="129" s="73" customFormat="1"/>
    <row r="130" s="73" customFormat="1"/>
    <row r="131" s="73" customFormat="1"/>
    <row r="132" s="73" customFormat="1"/>
    <row r="133" s="73" customFormat="1"/>
    <row r="134" s="73" customFormat="1"/>
    <row r="135" s="73" customFormat="1"/>
    <row r="136" s="73" customFormat="1"/>
    <row r="137" s="73" customFormat="1"/>
    <row r="138" s="73" customFormat="1"/>
    <row r="139" s="73" customFormat="1"/>
    <row r="140" s="73" customFormat="1"/>
    <row r="141" s="73" customFormat="1"/>
    <row r="142" s="73" customFormat="1"/>
    <row r="143" s="73" customFormat="1"/>
    <row r="144" s="73" customFormat="1"/>
    <row r="145" s="73" customFormat="1"/>
    <row r="146" s="73" customFormat="1"/>
    <row r="147" s="73" customFormat="1"/>
    <row r="148" s="73" customFormat="1"/>
    <row r="149" s="73" customFormat="1"/>
    <row r="150" s="73" customFormat="1"/>
    <row r="151" s="73" customFormat="1"/>
    <row r="152" s="73" customFormat="1"/>
    <row r="153" s="73" customFormat="1"/>
    <row r="154" s="73" customFormat="1"/>
    <row r="155" s="73" customFormat="1"/>
    <row r="156" s="73" customFormat="1"/>
    <row r="157" s="73" customFormat="1"/>
    <row r="158" s="73" customFormat="1"/>
    <row r="159" s="73" customFormat="1"/>
    <row r="160" s="73" customFormat="1"/>
    <row r="161" s="73" customFormat="1"/>
    <row r="162" s="73" customFormat="1"/>
    <row r="163" s="73" customFormat="1"/>
    <row r="164" s="73" customFormat="1"/>
    <row r="165" s="73" customFormat="1"/>
    <row r="166" s="73" customFormat="1"/>
    <row r="167" s="73" customFormat="1"/>
    <row r="168" s="73" customFormat="1"/>
    <row r="169" s="73" customFormat="1"/>
    <row r="170" s="73" customFormat="1"/>
    <row r="171" s="73" customFormat="1"/>
    <row r="172" s="73" customFormat="1"/>
    <row r="173" s="73" customFormat="1"/>
    <row r="174" s="73" customFormat="1"/>
    <row r="175" s="73" customFormat="1"/>
    <row r="176" s="73" customFormat="1"/>
    <row r="177" s="73" customFormat="1"/>
    <row r="178" s="73" customFormat="1"/>
    <row r="179" s="73" customFormat="1"/>
    <row r="180" s="73" customFormat="1"/>
    <row r="181" s="73" customFormat="1"/>
    <row r="182" s="73" customFormat="1"/>
    <row r="183" s="73" customFormat="1"/>
    <row r="184" s="73" customFormat="1"/>
    <row r="185" s="73" customFormat="1"/>
    <row r="186" s="73" customFormat="1"/>
    <row r="187" s="73" customFormat="1"/>
    <row r="188" s="73" customFormat="1"/>
    <row r="189" s="73" customFormat="1"/>
    <row r="190" s="73" customFormat="1"/>
    <row r="191" s="73" customFormat="1"/>
    <row r="192" s="73" customFormat="1"/>
    <row r="193" s="73" customFormat="1"/>
    <row r="194" s="73" customFormat="1"/>
    <row r="195" s="73" customFormat="1"/>
    <row r="196" s="73" customFormat="1"/>
    <row r="197" s="73" customFormat="1"/>
    <row r="198" s="73" customFormat="1"/>
    <row r="199" s="73" customFormat="1"/>
    <row r="200" s="73" customFormat="1"/>
    <row r="201" s="73" customFormat="1"/>
    <row r="202" s="73" customFormat="1"/>
    <row r="203" s="73" customFormat="1"/>
    <row r="204" s="73" customFormat="1"/>
    <row r="205" s="73" customFormat="1"/>
    <row r="206" s="73" customFormat="1"/>
    <row r="207" s="73" customFormat="1"/>
    <row r="208" s="73" customFormat="1"/>
    <row r="209" s="73" customFormat="1"/>
    <row r="210" s="73" customFormat="1"/>
    <row r="211" s="73" customFormat="1"/>
    <row r="212" s="73" customFormat="1"/>
    <row r="213" s="73" customFormat="1"/>
    <row r="214" s="73" customFormat="1"/>
    <row r="215" s="73" customFormat="1"/>
    <row r="216" s="73" customFormat="1"/>
    <row r="217" s="73" customFormat="1"/>
    <row r="218" s="73" customFormat="1"/>
    <row r="219" s="73" customFormat="1"/>
    <row r="220" s="73" customFormat="1"/>
    <row r="221" s="73" customFormat="1"/>
    <row r="222" s="73" customFormat="1"/>
    <row r="223" s="73" customFormat="1"/>
    <row r="224" s="73" customFormat="1"/>
    <row r="225" s="73" customFormat="1"/>
    <row r="226" s="73" customFormat="1"/>
    <row r="227" s="73" customFormat="1"/>
    <row r="228" s="73" customFormat="1"/>
    <row r="229" s="73" customFormat="1"/>
    <row r="230" s="73" customFormat="1"/>
    <row r="231" s="73" customFormat="1"/>
    <row r="232" s="73" customFormat="1"/>
    <row r="233" s="73" customFormat="1"/>
    <row r="234" s="73" customFormat="1"/>
    <row r="235" s="73" customFormat="1"/>
    <row r="236" s="73" customFormat="1"/>
    <row r="237" s="73" customFormat="1"/>
    <row r="238" s="73" customFormat="1"/>
    <row r="239" s="73" customFormat="1"/>
    <row r="240" s="73" customFormat="1"/>
    <row r="241" s="73" customFormat="1"/>
    <row r="242" s="73" customFormat="1"/>
    <row r="243" s="73" customFormat="1"/>
    <row r="244" s="73" customFormat="1"/>
    <row r="245" s="73" customFormat="1"/>
    <row r="246" s="73" customFormat="1"/>
    <row r="247" s="73" customFormat="1"/>
    <row r="248" s="73" customFormat="1"/>
    <row r="249" s="73" customFormat="1"/>
    <row r="250" s="73" customFormat="1"/>
    <row r="251" s="73" customFormat="1"/>
    <row r="252" s="73" customFormat="1"/>
    <row r="253" s="73" customFormat="1"/>
    <row r="254" s="73" customFormat="1"/>
    <row r="255" s="73" customFormat="1"/>
    <row r="256" s="73" customFormat="1"/>
    <row r="257" s="73" customFormat="1"/>
    <row r="258" s="73" customFormat="1"/>
    <row r="259" s="73" customFormat="1"/>
    <row r="260" s="73" customFormat="1"/>
    <row r="261" s="73" customFormat="1"/>
    <row r="262" s="73" customFormat="1"/>
    <row r="263" s="73" customFormat="1"/>
    <row r="264" s="73" customFormat="1"/>
    <row r="265" s="73" customFormat="1"/>
    <row r="266" s="73" customFormat="1"/>
    <row r="267" s="73" customFormat="1"/>
    <row r="268" s="73" customFormat="1"/>
    <row r="269" s="73" customFormat="1"/>
    <row r="270" s="73" customFormat="1"/>
    <row r="271" s="73" customFormat="1"/>
    <row r="272" s="73" customFormat="1"/>
    <row r="273" s="73" customFormat="1"/>
    <row r="274" s="73" customFormat="1"/>
    <row r="275" s="73" customFormat="1"/>
    <row r="276" s="73" customFormat="1"/>
    <row r="277" s="73" customFormat="1"/>
    <row r="278" s="73" customFormat="1"/>
    <row r="279" s="73" customFormat="1"/>
    <row r="280" s="73" customFormat="1"/>
    <row r="281" s="73" customFormat="1"/>
    <row r="282" s="73" customFormat="1"/>
    <row r="283" s="73" customFormat="1"/>
    <row r="284" s="73" customFormat="1"/>
    <row r="285" s="73" customFormat="1"/>
    <row r="286" s="73" customFormat="1"/>
    <row r="287" s="73" customFormat="1"/>
    <row r="288" s="73" customFormat="1"/>
    <row r="289" s="73" customFormat="1"/>
    <row r="290" s="73" customFormat="1"/>
    <row r="291" s="73" customFormat="1"/>
    <row r="292" s="73" customFormat="1"/>
    <row r="293" s="73" customFormat="1"/>
    <row r="294" s="73" customFormat="1"/>
    <row r="295" s="73" customFormat="1"/>
    <row r="296" s="73" customFormat="1"/>
    <row r="297" s="73" customFormat="1"/>
    <row r="298" s="73" customFormat="1"/>
    <row r="299" s="73" customFormat="1"/>
    <row r="300" s="73" customFormat="1"/>
    <row r="301" s="73" customFormat="1"/>
    <row r="302" s="73" customFormat="1"/>
    <row r="303" s="73" customFormat="1"/>
    <row r="304" s="73" customFormat="1"/>
    <row r="305" s="73" customFormat="1"/>
    <row r="306" s="73" customFormat="1"/>
    <row r="307" s="73" customFormat="1"/>
    <row r="308" s="73" customFormat="1"/>
    <row r="309" s="73" customFormat="1"/>
    <row r="310" s="73" customFormat="1"/>
    <row r="311" s="73" customFormat="1"/>
    <row r="312" s="73" customFormat="1"/>
    <row r="313" s="73" customFormat="1"/>
    <row r="314" s="73" customFormat="1"/>
    <row r="315" s="73" customFormat="1"/>
    <row r="316" s="73" customFormat="1"/>
    <row r="317" s="73" customFormat="1"/>
    <row r="318" s="73" customFormat="1"/>
    <row r="319" s="73" customFormat="1"/>
    <row r="320" s="73" customFormat="1"/>
    <row r="321" s="73" customFormat="1"/>
    <row r="322" s="73" customFormat="1"/>
    <row r="323" s="73" customFormat="1"/>
    <row r="324" s="73" customFormat="1"/>
    <row r="325" s="73" customFormat="1"/>
    <row r="326" s="73" customFormat="1"/>
    <row r="327" s="73" customFormat="1"/>
    <row r="328" s="73" customFormat="1"/>
    <row r="329" s="73" customFormat="1"/>
    <row r="330" s="73" customFormat="1"/>
    <row r="331" s="73" customFormat="1"/>
    <row r="332" s="73" customFormat="1"/>
    <row r="333" s="73" customFormat="1"/>
    <row r="334" s="73" customFormat="1"/>
    <row r="335" s="73" customFormat="1"/>
    <row r="336" s="73" customFormat="1"/>
    <row r="337" s="73" customFormat="1"/>
    <row r="338" s="73" customFormat="1"/>
    <row r="339" s="73" customFormat="1"/>
    <row r="340" s="73" customFormat="1"/>
    <row r="341" s="73" customFormat="1"/>
    <row r="342" s="73" customFormat="1"/>
    <row r="343" s="73" customFormat="1"/>
    <row r="344" s="73" customFormat="1"/>
    <row r="345" s="73" customFormat="1"/>
    <row r="346" s="73" customFormat="1"/>
    <row r="347" s="73" customFormat="1"/>
    <row r="348" s="73" customFormat="1"/>
    <row r="349" s="73" customFormat="1"/>
    <row r="350" s="73" customFormat="1"/>
    <row r="351" s="73" customFormat="1"/>
    <row r="352" s="73" customFormat="1"/>
  </sheetData>
  <autoFilter ref="A6:U70"/>
  <mergeCells count="18">
    <mergeCell ref="A29:A31"/>
    <mergeCell ref="E4:G5"/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A50:A51"/>
    <mergeCell ref="A32:A34"/>
    <mergeCell ref="A35:A37"/>
    <mergeCell ref="A38:A40"/>
    <mergeCell ref="A41:A43"/>
    <mergeCell ref="A44:A46"/>
    <mergeCell ref="A47:A49"/>
  </mergeCells>
  <pageMargins left="0.2" right="0.2" top="0.39" bottom="0.27" header="0.3" footer="0.2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M8" sqref="M8"/>
    </sheetView>
  </sheetViews>
  <sheetFormatPr defaultColWidth="9.140625" defaultRowHeight="15"/>
  <cols>
    <col min="1" max="1" width="5.140625" style="19" customWidth="1"/>
    <col min="2" max="2" width="20.5703125" style="73" bestFit="1" customWidth="1"/>
    <col min="3" max="3" width="7" style="73" customWidth="1"/>
    <col min="4" max="4" width="5.5703125" style="73" customWidth="1"/>
    <col min="5" max="7" width="9.5703125" style="73" customWidth="1"/>
    <col min="8" max="8" width="9.7109375" style="73" customWidth="1"/>
    <col min="9" max="10" width="6.85546875" style="73" customWidth="1"/>
    <col min="11" max="11" width="8.42578125" style="73" customWidth="1"/>
    <col min="12" max="12" width="8.85546875" style="73" customWidth="1"/>
    <col min="13" max="13" width="7.42578125" style="73" customWidth="1"/>
    <col min="14" max="14" width="7.7109375" style="73" customWidth="1"/>
    <col min="15" max="15" width="10.140625" style="73" customWidth="1"/>
    <col min="16" max="16" width="9.85546875" style="73" customWidth="1"/>
    <col min="17" max="17" width="9.42578125" style="73" customWidth="1"/>
    <col min="18" max="18" width="8.42578125" style="73" customWidth="1"/>
    <col min="19" max="20" width="10" style="73" customWidth="1"/>
    <col min="21" max="21" width="9" style="73" customWidth="1"/>
    <col min="22" max="16384" width="9.140625" style="73"/>
  </cols>
  <sheetData>
    <row r="1" spans="1:21" ht="21.75" customHeight="1">
      <c r="A1" s="158" t="s">
        <v>357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7.25" customHeight="1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" customHeight="1">
      <c r="U3" s="20" t="s">
        <v>20</v>
      </c>
    </row>
    <row r="4" spans="1:21" ht="21" customHeight="1">
      <c r="A4" s="160" t="s">
        <v>0</v>
      </c>
      <c r="B4" s="160" t="s">
        <v>18</v>
      </c>
      <c r="C4" s="165" t="s">
        <v>1</v>
      </c>
      <c r="D4" s="166"/>
      <c r="E4" s="169" t="s">
        <v>4</v>
      </c>
      <c r="F4" s="173"/>
      <c r="G4" s="171"/>
      <c r="H4" s="162" t="s">
        <v>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21" customHeight="1">
      <c r="A5" s="160"/>
      <c r="B5" s="160"/>
      <c r="C5" s="167"/>
      <c r="D5" s="168"/>
      <c r="E5" s="174"/>
      <c r="F5" s="175"/>
      <c r="G5" s="176"/>
      <c r="H5" s="169" t="s">
        <v>6</v>
      </c>
      <c r="I5" s="160" t="s">
        <v>183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1" t="s">
        <v>19</v>
      </c>
    </row>
    <row r="6" spans="1:21" ht="98.25" customHeight="1">
      <c r="A6" s="160"/>
      <c r="B6" s="160"/>
      <c r="C6" s="117" t="s">
        <v>2</v>
      </c>
      <c r="D6" s="117" t="s">
        <v>3</v>
      </c>
      <c r="E6" s="115" t="s">
        <v>184</v>
      </c>
      <c r="F6" s="115" t="s">
        <v>185</v>
      </c>
      <c r="G6" s="115" t="s">
        <v>19</v>
      </c>
      <c r="H6" s="170"/>
      <c r="I6" s="115" t="s">
        <v>7</v>
      </c>
      <c r="J6" s="115" t="s">
        <v>8</v>
      </c>
      <c r="K6" s="115" t="s">
        <v>9</v>
      </c>
      <c r="L6" s="115" t="s">
        <v>10</v>
      </c>
      <c r="M6" s="115" t="s">
        <v>11</v>
      </c>
      <c r="N6" s="115" t="s">
        <v>12</v>
      </c>
      <c r="O6" s="115" t="s">
        <v>13</v>
      </c>
      <c r="P6" s="115" t="s">
        <v>14</v>
      </c>
      <c r="Q6" s="115" t="s">
        <v>15</v>
      </c>
      <c r="R6" s="115" t="s">
        <v>17</v>
      </c>
      <c r="S6" s="115" t="s">
        <v>16</v>
      </c>
      <c r="T6" s="115" t="s">
        <v>186</v>
      </c>
      <c r="U6" s="172"/>
    </row>
    <row r="7" spans="1:21" s="74" customFormat="1" ht="21" customHeight="1">
      <c r="A7" s="72">
        <v>1</v>
      </c>
      <c r="B7" s="123" t="s">
        <v>51</v>
      </c>
      <c r="C7" s="144">
        <v>72</v>
      </c>
      <c r="D7" s="144">
        <v>72</v>
      </c>
      <c r="E7" s="40">
        <v>9411</v>
      </c>
      <c r="F7" s="40">
        <v>1284</v>
      </c>
      <c r="G7" s="40">
        <f>E7+F7</f>
        <v>10695</v>
      </c>
      <c r="H7" s="40">
        <v>9410</v>
      </c>
      <c r="I7" s="40"/>
      <c r="J7" s="40">
        <v>64.668999999999997</v>
      </c>
      <c r="K7" s="40">
        <v>177.61500000000001</v>
      </c>
      <c r="L7" s="40">
        <v>41.101999999999997</v>
      </c>
      <c r="M7" s="40">
        <v>100.43899999999999</v>
      </c>
      <c r="N7" s="40">
        <v>50.676000000000002</v>
      </c>
      <c r="O7" s="40">
        <v>138.60900000000001</v>
      </c>
      <c r="P7" s="40">
        <v>124.65</v>
      </c>
      <c r="Q7" s="40">
        <v>241.45099999999999</v>
      </c>
      <c r="R7" s="40">
        <v>25.25</v>
      </c>
      <c r="S7" s="40">
        <v>321</v>
      </c>
      <c r="T7" s="40">
        <f>SUM(I7:S7)</f>
        <v>1285.4609999999998</v>
      </c>
      <c r="U7" s="40">
        <f>H7+T7</f>
        <v>10695.460999999999</v>
      </c>
    </row>
    <row r="8" spans="1:21" s="74" customFormat="1" ht="21" customHeight="1">
      <c r="A8" s="72">
        <v>2</v>
      </c>
      <c r="B8" s="116" t="s">
        <v>52</v>
      </c>
      <c r="C8" s="135">
        <v>70</v>
      </c>
      <c r="D8" s="135">
        <v>63</v>
      </c>
      <c r="E8" s="27">
        <v>9848</v>
      </c>
      <c r="F8" s="27">
        <v>1152</v>
      </c>
      <c r="G8" s="40">
        <f t="shared" ref="G8:G21" si="0">E8+F8</f>
        <v>11000</v>
      </c>
      <c r="H8" s="27">
        <v>9697.0920000000006</v>
      </c>
      <c r="I8" s="27">
        <v>129.29</v>
      </c>
      <c r="J8" s="27"/>
      <c r="K8" s="27">
        <v>161.56899999999999</v>
      </c>
      <c r="L8" s="27">
        <v>37.165999999999997</v>
      </c>
      <c r="M8" s="27">
        <v>116.179</v>
      </c>
      <c r="N8" s="27">
        <v>113.47499999999999</v>
      </c>
      <c r="O8" s="27">
        <v>160.75299999999999</v>
      </c>
      <c r="P8" s="27"/>
      <c r="Q8" s="27">
        <v>378.17099999999999</v>
      </c>
      <c r="R8" s="27"/>
      <c r="S8" s="40">
        <v>206.12700000000001</v>
      </c>
      <c r="T8" s="40">
        <f>SUM(I8:S8)</f>
        <v>1302.73</v>
      </c>
      <c r="U8" s="40">
        <f>H8+T8</f>
        <v>10999.822</v>
      </c>
    </row>
    <row r="9" spans="1:21" s="74" customFormat="1" ht="21" customHeight="1">
      <c r="A9" s="72">
        <v>3</v>
      </c>
      <c r="B9" s="41" t="s">
        <v>56</v>
      </c>
      <c r="C9" s="116">
        <v>57</v>
      </c>
      <c r="D9" s="116">
        <v>56</v>
      </c>
      <c r="E9" s="17">
        <v>7298.4539999999997</v>
      </c>
      <c r="F9" s="17">
        <v>900.5</v>
      </c>
      <c r="G9" s="40">
        <f t="shared" si="0"/>
        <v>8198.9539999999997</v>
      </c>
      <c r="H9" s="17">
        <v>7299.7439999999997</v>
      </c>
      <c r="I9" s="17"/>
      <c r="J9" s="17">
        <v>35.506999999999998</v>
      </c>
      <c r="K9" s="17">
        <v>91.838999999999999</v>
      </c>
      <c r="L9" s="17">
        <v>26.157</v>
      </c>
      <c r="M9" s="17">
        <v>122.43</v>
      </c>
      <c r="N9" s="17">
        <v>58.712000000000003</v>
      </c>
      <c r="O9" s="17">
        <v>88.936999999999998</v>
      </c>
      <c r="P9" s="17"/>
      <c r="Q9" s="17">
        <v>237.8647</v>
      </c>
      <c r="R9" s="17">
        <v>2.4</v>
      </c>
      <c r="S9" s="17">
        <v>235.36280000000002</v>
      </c>
      <c r="T9" s="40">
        <f t="shared" ref="T9" si="1">SUM(I9:S9)</f>
        <v>899.20949999999993</v>
      </c>
      <c r="U9" s="40">
        <f t="shared" ref="U9" si="2">H9+T9</f>
        <v>8198.9534999999996</v>
      </c>
    </row>
    <row r="10" spans="1:21" s="74" customFormat="1" ht="21" customHeight="1">
      <c r="A10" s="72">
        <v>4</v>
      </c>
      <c r="B10" s="116" t="s">
        <v>53</v>
      </c>
      <c r="C10" s="135">
        <v>56</v>
      </c>
      <c r="D10" s="135">
        <v>54</v>
      </c>
      <c r="E10" s="40">
        <v>7795</v>
      </c>
      <c r="F10" s="40">
        <v>1065</v>
      </c>
      <c r="G10" s="40">
        <f t="shared" si="0"/>
        <v>8860</v>
      </c>
      <c r="H10" s="40">
        <v>7795</v>
      </c>
      <c r="I10" s="40">
        <v>65.900000000000006</v>
      </c>
      <c r="J10" s="40">
        <v>56.7</v>
      </c>
      <c r="K10" s="40">
        <v>294</v>
      </c>
      <c r="L10" s="40">
        <v>9.3000000000000007</v>
      </c>
      <c r="M10" s="40">
        <v>117.3</v>
      </c>
      <c r="N10" s="40">
        <v>69.400000000000006</v>
      </c>
      <c r="O10" s="40">
        <v>198</v>
      </c>
      <c r="P10" s="40"/>
      <c r="Q10" s="40">
        <v>195</v>
      </c>
      <c r="R10" s="40"/>
      <c r="S10" s="40">
        <v>59</v>
      </c>
      <c r="T10" s="40">
        <f t="shared" ref="T10:T21" si="3">SUM(I10:S10)</f>
        <v>1064.5999999999999</v>
      </c>
      <c r="U10" s="40">
        <f t="shared" ref="U10:U21" si="4">H10+T10</f>
        <v>8859.6</v>
      </c>
    </row>
    <row r="11" spans="1:21" s="74" customFormat="1" ht="21" customHeight="1">
      <c r="A11" s="72">
        <v>5</v>
      </c>
      <c r="B11" s="116" t="s">
        <v>162</v>
      </c>
      <c r="C11" s="135">
        <v>36</v>
      </c>
      <c r="D11" s="135">
        <v>33</v>
      </c>
      <c r="E11" s="40">
        <v>3701</v>
      </c>
      <c r="F11" s="40">
        <v>662</v>
      </c>
      <c r="G11" s="40">
        <f t="shared" si="0"/>
        <v>4363</v>
      </c>
      <c r="H11" s="27">
        <v>3723.004535</v>
      </c>
      <c r="I11" s="145"/>
      <c r="J11" s="145">
        <v>43.642004</v>
      </c>
      <c r="K11" s="145">
        <v>60.981000000000002</v>
      </c>
      <c r="L11" s="40">
        <v>11.124072999999999</v>
      </c>
      <c r="M11" s="40">
        <v>179.33160000000001</v>
      </c>
      <c r="N11" s="40">
        <v>37.8718</v>
      </c>
      <c r="O11" s="40">
        <v>63.652999999999999</v>
      </c>
      <c r="P11" s="40"/>
      <c r="Q11" s="40">
        <v>127.14230000000001</v>
      </c>
      <c r="R11" s="40"/>
      <c r="S11" s="40">
        <v>116.51139999999999</v>
      </c>
      <c r="T11" s="40">
        <f t="shared" si="3"/>
        <v>640.25717700000007</v>
      </c>
      <c r="U11" s="40">
        <f t="shared" si="4"/>
        <v>4363.2617120000004</v>
      </c>
    </row>
    <row r="12" spans="1:21" s="74" customFormat="1" ht="21" customHeight="1">
      <c r="A12" s="72">
        <v>6</v>
      </c>
      <c r="B12" s="41" t="s">
        <v>54</v>
      </c>
      <c r="C12" s="135">
        <v>49</v>
      </c>
      <c r="D12" s="135">
        <v>44</v>
      </c>
      <c r="E12" s="122">
        <v>9242</v>
      </c>
      <c r="F12" s="122">
        <v>932</v>
      </c>
      <c r="G12" s="40">
        <f t="shared" si="0"/>
        <v>10174</v>
      </c>
      <c r="H12" s="122">
        <v>9242</v>
      </c>
      <c r="I12" s="122">
        <v>20</v>
      </c>
      <c r="J12" s="122">
        <v>32</v>
      </c>
      <c r="K12" s="122">
        <v>65</v>
      </c>
      <c r="L12" s="122">
        <v>10</v>
      </c>
      <c r="M12" s="122">
        <v>110</v>
      </c>
      <c r="N12" s="122">
        <v>130</v>
      </c>
      <c r="O12" s="122">
        <v>100</v>
      </c>
      <c r="P12" s="122">
        <v>10</v>
      </c>
      <c r="Q12" s="122">
        <v>300</v>
      </c>
      <c r="R12" s="122"/>
      <c r="S12" s="122">
        <v>155</v>
      </c>
      <c r="T12" s="40">
        <f t="shared" si="3"/>
        <v>932</v>
      </c>
      <c r="U12" s="40">
        <f>H12+T12</f>
        <v>10174</v>
      </c>
    </row>
    <row r="13" spans="1:21" s="74" customFormat="1" ht="21" customHeight="1">
      <c r="A13" s="72">
        <v>7</v>
      </c>
      <c r="B13" s="123" t="s">
        <v>55</v>
      </c>
      <c r="C13" s="135">
        <v>27</v>
      </c>
      <c r="D13" s="135">
        <v>27</v>
      </c>
      <c r="E13" s="27">
        <v>3071</v>
      </c>
      <c r="F13" s="27">
        <v>580</v>
      </c>
      <c r="G13" s="40">
        <f t="shared" si="0"/>
        <v>3651</v>
      </c>
      <c r="H13" s="27">
        <v>3071</v>
      </c>
      <c r="I13" s="27"/>
      <c r="J13" s="27">
        <v>23</v>
      </c>
      <c r="K13" s="27">
        <v>84</v>
      </c>
      <c r="L13" s="27">
        <v>24</v>
      </c>
      <c r="M13" s="27">
        <v>95</v>
      </c>
      <c r="N13" s="27">
        <v>53</v>
      </c>
      <c r="O13" s="27">
        <v>78</v>
      </c>
      <c r="P13" s="27">
        <v>10</v>
      </c>
      <c r="Q13" s="27">
        <v>140</v>
      </c>
      <c r="R13" s="27">
        <v>4</v>
      </c>
      <c r="S13" s="27">
        <v>69</v>
      </c>
      <c r="T13" s="40">
        <v>580</v>
      </c>
      <c r="U13" s="40">
        <v>3651</v>
      </c>
    </row>
    <row r="14" spans="1:21" s="74" customFormat="1" ht="21" customHeight="1">
      <c r="A14" s="72">
        <v>8</v>
      </c>
      <c r="B14" s="129" t="s">
        <v>38</v>
      </c>
      <c r="C14" s="144">
        <v>39</v>
      </c>
      <c r="D14" s="144">
        <v>38</v>
      </c>
      <c r="E14" s="122">
        <f>U14-F14</f>
        <v>4680.4160000000002</v>
      </c>
      <c r="F14" s="122">
        <v>789.36</v>
      </c>
      <c r="G14" s="40">
        <f t="shared" si="0"/>
        <v>5469.7759999999998</v>
      </c>
      <c r="H14" s="122">
        <v>4345.1710000000003</v>
      </c>
      <c r="I14" s="122">
        <v>65</v>
      </c>
      <c r="J14" s="122">
        <v>57.868000000000002</v>
      </c>
      <c r="K14" s="122">
        <v>280</v>
      </c>
      <c r="L14" s="122">
        <v>24.15</v>
      </c>
      <c r="M14" s="122">
        <v>90.346999999999994</v>
      </c>
      <c r="N14" s="122">
        <v>82</v>
      </c>
      <c r="O14" s="122">
        <v>71.766000000000005</v>
      </c>
      <c r="P14" s="122">
        <v>53.255000000000003</v>
      </c>
      <c r="Q14" s="122">
        <v>215.53800000000001</v>
      </c>
      <c r="R14" s="122">
        <v>27.65</v>
      </c>
      <c r="S14" s="122">
        <v>157.03100000000001</v>
      </c>
      <c r="T14" s="40">
        <f t="shared" si="3"/>
        <v>1124.605</v>
      </c>
      <c r="U14" s="40">
        <f t="shared" si="4"/>
        <v>5469.7759999999998</v>
      </c>
    </row>
    <row r="15" spans="1:21" s="74" customFormat="1" ht="21" customHeight="1">
      <c r="A15" s="72">
        <v>9</v>
      </c>
      <c r="B15" s="116" t="s">
        <v>57</v>
      </c>
      <c r="C15" s="116">
        <v>43</v>
      </c>
      <c r="D15" s="116">
        <v>35</v>
      </c>
      <c r="E15" s="17">
        <v>4364</v>
      </c>
      <c r="F15" s="17">
        <v>681</v>
      </c>
      <c r="G15" s="40">
        <f t="shared" si="0"/>
        <v>5045</v>
      </c>
      <c r="H15" s="17">
        <v>4135.9170000000004</v>
      </c>
      <c r="I15" s="17"/>
      <c r="J15" s="17">
        <v>43.088000000000001</v>
      </c>
      <c r="K15" s="17">
        <v>156.80699999999999</v>
      </c>
      <c r="L15" s="17">
        <v>5.6420000000000003</v>
      </c>
      <c r="M15" s="17">
        <v>177.35</v>
      </c>
      <c r="N15" s="17">
        <v>12.355</v>
      </c>
      <c r="O15" s="17">
        <v>47.66</v>
      </c>
      <c r="P15" s="17">
        <v>60.73</v>
      </c>
      <c r="Q15" s="17">
        <v>180.07599999999999</v>
      </c>
      <c r="R15" s="17"/>
      <c r="S15" s="17">
        <v>225.44200000000001</v>
      </c>
      <c r="T15" s="40">
        <v>909.15</v>
      </c>
      <c r="U15" s="40">
        <v>5045.067</v>
      </c>
    </row>
    <row r="16" spans="1:21" s="74" customFormat="1" ht="21" customHeight="1">
      <c r="A16" s="72">
        <v>10</v>
      </c>
      <c r="B16" s="41" t="s">
        <v>163</v>
      </c>
      <c r="C16" s="116">
        <v>40</v>
      </c>
      <c r="D16" s="116">
        <v>35</v>
      </c>
      <c r="E16" s="146">
        <v>5322</v>
      </c>
      <c r="F16" s="146">
        <v>780</v>
      </c>
      <c r="G16" s="40">
        <f t="shared" si="0"/>
        <v>6102</v>
      </c>
      <c r="H16" s="68">
        <f>(1936448837+1428829340+537795372+130464501)/1000000</f>
        <v>4033.5380500000001</v>
      </c>
      <c r="I16" s="68"/>
      <c r="J16" s="68">
        <f>62439785/1000000</f>
        <v>62.439785000000001</v>
      </c>
      <c r="K16" s="68">
        <f>192752977/1000000</f>
        <v>192.75297699999999</v>
      </c>
      <c r="L16" s="68">
        <v>28</v>
      </c>
      <c r="M16" s="68">
        <f>155049200/1000000</f>
        <v>155.04920000000001</v>
      </c>
      <c r="N16" s="68"/>
      <c r="O16" s="68">
        <f>49829000/1000000</f>
        <v>49.829000000000001</v>
      </c>
      <c r="P16" s="68">
        <f>47700000/1000000</f>
        <v>47.7</v>
      </c>
      <c r="Q16" s="68">
        <f>102708525/1000000</f>
        <v>102.70852499999999</v>
      </c>
      <c r="R16" s="147"/>
      <c r="S16" s="68">
        <f>(216924500+21830000+10574600)/1000000</f>
        <v>249.32910000000001</v>
      </c>
      <c r="T16" s="40">
        <f t="shared" si="3"/>
        <v>887.8085870000001</v>
      </c>
      <c r="U16" s="40">
        <f t="shared" si="4"/>
        <v>4921.3466370000006</v>
      </c>
    </row>
    <row r="17" spans="1:21" s="74" customFormat="1" ht="21" customHeight="1">
      <c r="A17" s="72">
        <v>11</v>
      </c>
      <c r="B17" s="116" t="s">
        <v>164</v>
      </c>
      <c r="C17" s="135">
        <v>55</v>
      </c>
      <c r="D17" s="135">
        <v>52</v>
      </c>
      <c r="E17" s="40">
        <v>6248</v>
      </c>
      <c r="F17" s="42">
        <v>1104</v>
      </c>
      <c r="G17" s="40">
        <f t="shared" si="0"/>
        <v>7352</v>
      </c>
      <c r="H17" s="42">
        <v>6242.6985679999998</v>
      </c>
      <c r="I17" s="43"/>
      <c r="J17" s="43">
        <v>61.333168999999998</v>
      </c>
      <c r="K17" s="43">
        <v>154.889409</v>
      </c>
      <c r="L17" s="43">
        <v>23.474691</v>
      </c>
      <c r="M17" s="43">
        <v>232.824973</v>
      </c>
      <c r="N17" s="43">
        <v>90.829800000000006</v>
      </c>
      <c r="O17" s="43">
        <v>153.90703999999999</v>
      </c>
      <c r="P17" s="43">
        <v>43.234999999999999</v>
      </c>
      <c r="Q17" s="43">
        <v>161.02225000000001</v>
      </c>
      <c r="R17" s="43"/>
      <c r="S17" s="43">
        <v>187.82910000000001</v>
      </c>
      <c r="T17" s="40">
        <f t="shared" si="3"/>
        <v>1109.3454320000001</v>
      </c>
      <c r="U17" s="40">
        <f t="shared" ref="U17:U18" si="5">T17+H17</f>
        <v>7352.0439999999999</v>
      </c>
    </row>
    <row r="18" spans="1:21" s="113" customFormat="1" ht="21" customHeight="1">
      <c r="A18" s="72">
        <v>12</v>
      </c>
      <c r="B18" s="123" t="s">
        <v>58</v>
      </c>
      <c r="C18" s="41">
        <v>55</v>
      </c>
      <c r="D18" s="41">
        <v>51</v>
      </c>
      <c r="E18" s="148">
        <f>6809-66.311+17.564719</f>
        <v>6760.2537190000003</v>
      </c>
      <c r="F18" s="148">
        <f>1069-75</f>
        <v>994</v>
      </c>
      <c r="G18" s="40">
        <f t="shared" si="0"/>
        <v>7754.2537190000003</v>
      </c>
      <c r="H18" s="148">
        <f>3395.286404+183.552724+2057.135605+29.16+47.519789+985.826448+18.774</f>
        <v>6717.25497</v>
      </c>
      <c r="I18" s="148">
        <v>106.390473</v>
      </c>
      <c r="J18" s="148">
        <f>53.289695</f>
        <v>53.289695000000002</v>
      </c>
      <c r="K18" s="148">
        <f>61.783</f>
        <v>61.783000000000001</v>
      </c>
      <c r="L18" s="148">
        <f>35.162526</f>
        <v>35.162526</v>
      </c>
      <c r="M18" s="148">
        <f>242.9194-1</f>
        <v>241.9194</v>
      </c>
      <c r="N18" s="148">
        <v>1.1000000000000001</v>
      </c>
      <c r="O18" s="148">
        <v>112.593204</v>
      </c>
      <c r="P18" s="148">
        <v>99.58</v>
      </c>
      <c r="Q18" s="148">
        <f>187.27498</f>
        <v>187.27498</v>
      </c>
      <c r="R18" s="149">
        <v>4.5</v>
      </c>
      <c r="S18" s="148">
        <f>136.909953-3.5</f>
        <v>133.409953</v>
      </c>
      <c r="T18" s="40">
        <f t="shared" ref="T18" si="6">SUM(I18:S18)</f>
        <v>1037.0032310000001</v>
      </c>
      <c r="U18" s="40">
        <f t="shared" si="5"/>
        <v>7754.2582010000006</v>
      </c>
    </row>
    <row r="19" spans="1:21" s="74" customFormat="1" ht="21" customHeight="1">
      <c r="A19" s="72">
        <v>13</v>
      </c>
      <c r="B19" s="116" t="s">
        <v>59</v>
      </c>
      <c r="C19" s="135">
        <v>38</v>
      </c>
      <c r="D19" s="135">
        <v>37</v>
      </c>
      <c r="E19" s="150">
        <v>5546</v>
      </c>
      <c r="F19" s="150">
        <v>744</v>
      </c>
      <c r="G19" s="40">
        <f t="shared" si="0"/>
        <v>6290</v>
      </c>
      <c r="H19" s="150">
        <v>5525.6289179999994</v>
      </c>
      <c r="I19" s="150"/>
      <c r="J19" s="150">
        <v>56.598146</v>
      </c>
      <c r="K19" s="150">
        <v>134.12100000000001</v>
      </c>
      <c r="L19" s="150">
        <v>35.870030999999997</v>
      </c>
      <c r="M19" s="150">
        <v>171.89349999999999</v>
      </c>
      <c r="N19" s="150">
        <v>1.605</v>
      </c>
      <c r="O19" s="150">
        <v>36.875</v>
      </c>
      <c r="P19" s="150">
        <v>117.55</v>
      </c>
      <c r="Q19" s="150">
        <v>75.991405</v>
      </c>
      <c r="R19" s="150">
        <v>14.8</v>
      </c>
      <c r="S19" s="150">
        <v>118.414</v>
      </c>
      <c r="T19" s="40">
        <f t="shared" si="3"/>
        <v>763.71808199999987</v>
      </c>
      <c r="U19" s="40">
        <f t="shared" si="4"/>
        <v>6289.3469999999998</v>
      </c>
    </row>
    <row r="20" spans="1:21" s="74" customFormat="1" ht="21" customHeight="1">
      <c r="A20" s="72">
        <v>14</v>
      </c>
      <c r="B20" s="116" t="s">
        <v>181</v>
      </c>
      <c r="C20" s="122">
        <v>57</v>
      </c>
      <c r="D20" s="122">
        <v>51</v>
      </c>
      <c r="E20" s="122">
        <v>6393.2160000000003</v>
      </c>
      <c r="F20" s="122">
        <v>1056</v>
      </c>
      <c r="G20" s="40">
        <f t="shared" si="0"/>
        <v>7449.2160000000003</v>
      </c>
      <c r="H20" s="151">
        <f>6242.638067+16.4920450000009</f>
        <v>6259.1301120000007</v>
      </c>
      <c r="I20" s="135"/>
      <c r="J20" s="122">
        <v>56.175772000000002</v>
      </c>
      <c r="K20" s="122">
        <v>120.98399999999999</v>
      </c>
      <c r="L20" s="122">
        <v>14.010496</v>
      </c>
      <c r="M20" s="122">
        <v>157.274</v>
      </c>
      <c r="N20" s="122">
        <v>42.04</v>
      </c>
      <c r="O20" s="122">
        <v>41.316160000000004</v>
      </c>
      <c r="P20" s="122">
        <v>237.27</v>
      </c>
      <c r="Q20" s="122">
        <f>252.927572</f>
        <v>252.927572</v>
      </c>
      <c r="R20" s="122">
        <v>12.448</v>
      </c>
      <c r="S20" s="122">
        <v>255.63988800000001</v>
      </c>
      <c r="T20" s="40">
        <f t="shared" si="3"/>
        <v>1190.0858880000001</v>
      </c>
      <c r="U20" s="40">
        <f t="shared" si="4"/>
        <v>7449.2160000000003</v>
      </c>
    </row>
    <row r="21" spans="1:21" s="74" customFormat="1" ht="21" customHeight="1">
      <c r="A21" s="72">
        <v>15</v>
      </c>
      <c r="B21" s="123" t="s">
        <v>182</v>
      </c>
      <c r="C21" s="116">
        <v>29</v>
      </c>
      <c r="D21" s="116">
        <v>25</v>
      </c>
      <c r="E21" s="152">
        <f>3557+94.522</f>
        <v>3651.5219999999999</v>
      </c>
      <c r="F21" s="152">
        <f>535-34</f>
        <v>501</v>
      </c>
      <c r="G21" s="40">
        <f t="shared" si="0"/>
        <v>4152.5219999999999</v>
      </c>
      <c r="H21" s="152">
        <f>1376.680759+149.427636+1347.597116+459.977508+198.245</f>
        <v>3531.9280189999999</v>
      </c>
      <c r="I21" s="153"/>
      <c r="J21" s="153">
        <v>66.788681999999994</v>
      </c>
      <c r="K21" s="153">
        <v>106.334</v>
      </c>
      <c r="L21" s="153">
        <v>22.433800000000002</v>
      </c>
      <c r="M21" s="153">
        <v>19.84</v>
      </c>
      <c r="N21" s="153">
        <f>12.16+12.42</f>
        <v>24.58</v>
      </c>
      <c r="O21" s="153">
        <v>165.23552799999999</v>
      </c>
      <c r="P21" s="153"/>
      <c r="Q21" s="153">
        <f>46.2714+0.58</f>
        <v>46.851399999999998</v>
      </c>
      <c r="R21" s="153"/>
      <c r="S21" s="153">
        <f>57.176496+16.52+14.5997+73.984375+6.25</f>
        <v>168.53057100000001</v>
      </c>
      <c r="T21" s="40">
        <f t="shared" si="3"/>
        <v>620.59398099999999</v>
      </c>
      <c r="U21" s="40">
        <f t="shared" si="4"/>
        <v>4152.5219999999999</v>
      </c>
    </row>
    <row r="22" spans="1:21" s="74" customFormat="1" ht="21" customHeight="1">
      <c r="A22" s="72"/>
      <c r="B22" s="114" t="s">
        <v>19</v>
      </c>
      <c r="C22" s="39">
        <f>SUM(C7:C21)</f>
        <v>723</v>
      </c>
      <c r="D22" s="39">
        <f t="shared" ref="D22:U22" si="7">SUM(D7:D21)</f>
        <v>673</v>
      </c>
      <c r="E22" s="39">
        <f t="shared" si="7"/>
        <v>93331.861718999993</v>
      </c>
      <c r="F22" s="39">
        <f t="shared" si="7"/>
        <v>13224.86</v>
      </c>
      <c r="G22" s="39">
        <f t="shared" si="7"/>
        <v>106556.72171899999</v>
      </c>
      <c r="H22" s="39">
        <f t="shared" si="7"/>
        <v>91029.107172000004</v>
      </c>
      <c r="I22" s="39">
        <f t="shared" si="7"/>
        <v>386.58047299999998</v>
      </c>
      <c r="J22" s="39">
        <f t="shared" si="7"/>
        <v>713.09925300000009</v>
      </c>
      <c r="K22" s="39">
        <f t="shared" si="7"/>
        <v>2142.6753859999994</v>
      </c>
      <c r="L22" s="39">
        <f t="shared" si="7"/>
        <v>347.59261699999996</v>
      </c>
      <c r="M22" s="39">
        <f>SUM(M7:M20)</f>
        <v>2067.337673</v>
      </c>
      <c r="N22" s="39">
        <f t="shared" si="7"/>
        <v>767.64460000000008</v>
      </c>
      <c r="O22" s="39">
        <f t="shared" si="7"/>
        <v>1507.133932</v>
      </c>
      <c r="P22" s="39">
        <f t="shared" si="7"/>
        <v>803.96999999999991</v>
      </c>
      <c r="Q22" s="39">
        <f t="shared" si="7"/>
        <v>2842.0191320000004</v>
      </c>
      <c r="R22" s="39">
        <f t="shared" si="7"/>
        <v>91.048000000000002</v>
      </c>
      <c r="S22" s="39">
        <f t="shared" si="7"/>
        <v>2657.6268120000004</v>
      </c>
      <c r="T22" s="39">
        <f t="shared" si="7"/>
        <v>14346.567878</v>
      </c>
      <c r="U22" s="39">
        <f t="shared" si="7"/>
        <v>105375.67504999998</v>
      </c>
    </row>
    <row r="24" spans="1:21" ht="17.25" customHeight="1"/>
  </sheetData>
  <autoFilter ref="A6:U19"/>
  <mergeCells count="10">
    <mergeCell ref="A1:U1"/>
    <mergeCell ref="A2:U2"/>
    <mergeCell ref="A4:A6"/>
    <mergeCell ref="B4:B6"/>
    <mergeCell ref="H4:U4"/>
    <mergeCell ref="C4:D5"/>
    <mergeCell ref="H5:H6"/>
    <mergeCell ref="I5:T5"/>
    <mergeCell ref="U5:U6"/>
    <mergeCell ref="E4:G5"/>
  </mergeCells>
  <pageMargins left="0.2" right="0.2" top="0.39" bottom="0.27" header="0.3" footer="0.2"/>
  <pageSetup paperSize="9" scale="7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948998cdeabfb4e6</MaTinBai>
    <_dlc_DocId xmlns="ae4e42cd-c673-4541-a17d-d353a4125f5e">DDYPFUVZ5X6F-6-4495</_dlc_DocId>
    <_dlc_DocIdUrl xmlns="ae4e42cd-c673-4541-a17d-d353a4125f5e">
      <Url>https://dbdc.backan.gov.vn/_layouts/15/DocIdRedir.aspx?ID=DDYPFUVZ5X6F-6-4495</Url>
      <Description>DDYPFUVZ5X6F-6-4495</Description>
    </_dlc_DocIdUrl>
  </documentManagement>
</p:properties>
</file>

<file path=customXml/itemProps1.xml><?xml version="1.0" encoding="utf-8"?>
<ds:datastoreItem xmlns:ds="http://schemas.openxmlformats.org/officeDocument/2006/customXml" ds:itemID="{C57908AE-CCAF-4017-8137-90279016723A}"/>
</file>

<file path=customXml/itemProps2.xml><?xml version="1.0" encoding="utf-8"?>
<ds:datastoreItem xmlns:ds="http://schemas.openxmlformats.org/officeDocument/2006/customXml" ds:itemID="{D25155F5-9895-4774-BCF2-E40F1A37F97B}"/>
</file>

<file path=customXml/itemProps3.xml><?xml version="1.0" encoding="utf-8"?>
<ds:datastoreItem xmlns:ds="http://schemas.openxmlformats.org/officeDocument/2006/customXml" ds:itemID="{97EAEC95-115A-4AD6-BAF7-B9A946BC7D6A}"/>
</file>

<file path=customXml/itemProps4.xml><?xml version="1.0" encoding="utf-8"?>
<ds:datastoreItem xmlns:ds="http://schemas.openxmlformats.org/officeDocument/2006/customXml" ds:itemID="{EB362503-348C-4A31-98FD-D2B586F89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2020-PN</vt:lpstr>
      <vt:lpstr>2020-BB</vt:lpstr>
      <vt:lpstr>2020-CD</vt:lpstr>
      <vt:lpstr>2020-NR</vt:lpstr>
      <vt:lpstr>2020-CM</vt:lpstr>
      <vt:lpstr>2020-NS</vt:lpstr>
      <vt:lpstr>2020-TP</vt:lpstr>
      <vt:lpstr>2020-BT</vt:lpstr>
      <vt:lpstr>2020-SO</vt:lpstr>
      <vt:lpstr>'2020-BB'!Print_Titles</vt:lpstr>
      <vt:lpstr>'2020-BT'!Print_Titles</vt:lpstr>
      <vt:lpstr>'2020-CD'!Print_Titles</vt:lpstr>
      <vt:lpstr>'2020-CM'!Print_Titles</vt:lpstr>
      <vt:lpstr>'2020-NR'!Print_Titles</vt:lpstr>
      <vt:lpstr>'2020-NS'!Print_Titles</vt:lpstr>
      <vt:lpstr>'2020-PN'!Print_Titles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QUỲNH HƯƠNG</dc:creator>
  <cp:lastModifiedBy>Admin</cp:lastModifiedBy>
  <cp:lastPrinted>2022-06-09T10:28:44Z</cp:lastPrinted>
  <dcterms:created xsi:type="dcterms:W3CDTF">2015-06-05T18:17:20Z</dcterms:created>
  <dcterms:modified xsi:type="dcterms:W3CDTF">2022-09-20T08:41:40Z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6a87a04a-ad0f-4165-897e-cc47e5a3b50b</vt:lpwstr>
  </property>
</Properties>
</file>