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comments1.xml" ContentType="application/vnd.openxmlformats-officedocument.spreadsheetml.comments+xml"/>
  <Override PartName="/xl/externalLinks/externalLink1.xml" ContentType="application/vnd.openxmlformats-officedocument.spreadsheetml.externalLink+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G:\My Drive\tai lieu o D\Năm 2024\Tờ trình\HĐND tinh thang 3\"/>
    </mc:Choice>
  </mc:AlternateContent>
  <xr:revisionPtr revIDLastSave="0" documentId="8_{298281A4-453E-4E5C-B45D-A507A3DE127A}" xr6:coauthVersionLast="47" xr6:coauthVersionMax="47" xr10:uidLastSave="{00000000-0000-0000-0000-000000000000}"/>
  <bookViews>
    <workbookView xWindow="-120" yWindow="-120" windowWidth="20730" windowHeight="11160" firstSheet="3" activeTab="3" xr2:uid="{00000000-000D-0000-FFFF-FFFF00000000}"/>
  </bookViews>
  <sheets>
    <sheet name="Công-Thù lao" sheetId="1" state="hidden" r:id="rId1"/>
    <sheet name="Chi khác (CTP, HT)" sheetId="2" state="hidden" r:id="rId2"/>
    <sheet name="Chi quản lý" sheetId="3" state="hidden" r:id="rId3"/>
    <sheet name="So sánh" sheetId="7" r:id="rId4"/>
    <sheet name="Chi Quản lý nhiệm vụ" sheetId="9" r:id="rId5"/>
    <sheet name="Thời gian thực hiện đề tài" sheetId="8"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N41" i="9" l="1"/>
  <c r="M41" i="9"/>
  <c r="N35" i="9"/>
  <c r="M35" i="9"/>
  <c r="N34" i="9"/>
  <c r="M34" i="9"/>
  <c r="N33" i="9"/>
  <c r="M33" i="9"/>
  <c r="N32" i="9"/>
  <c r="M32" i="9"/>
  <c r="N31" i="9"/>
  <c r="M31" i="9"/>
  <c r="N30" i="9"/>
  <c r="N36" i="9" s="1"/>
  <c r="N45" i="9" s="1"/>
  <c r="M30" i="9"/>
  <c r="M36" i="9" s="1"/>
  <c r="M45" i="9" s="1"/>
  <c r="N20" i="9"/>
  <c r="M20" i="9"/>
  <c r="N15" i="9"/>
  <c r="M15" i="9"/>
  <c r="N14" i="9"/>
  <c r="M14" i="9"/>
  <c r="N13" i="9"/>
  <c r="M13" i="9"/>
  <c r="N12" i="9"/>
  <c r="M12" i="9"/>
  <c r="Q7" i="9"/>
  <c r="P7" i="9"/>
  <c r="K7" i="9"/>
  <c r="J7" i="9"/>
  <c r="Q6" i="9"/>
  <c r="P6" i="9"/>
  <c r="K6" i="9"/>
  <c r="J6" i="9"/>
  <c r="J8" i="9" s="1"/>
  <c r="D5" i="9" s="1"/>
  <c r="C6" i="9"/>
  <c r="C10" i="9" s="1"/>
  <c r="Q5" i="9"/>
  <c r="P5" i="9"/>
  <c r="K5" i="9"/>
  <c r="J5" i="9"/>
  <c r="Q4" i="9"/>
  <c r="Q8" i="9" s="1"/>
  <c r="E9" i="9" s="1"/>
  <c r="P4" i="9"/>
  <c r="K4" i="9"/>
  <c r="K8" i="9" s="1"/>
  <c r="E5" i="9" s="1"/>
  <c r="J4" i="9"/>
  <c r="M10" i="7"/>
  <c r="M16" i="9" l="1"/>
  <c r="M24" i="9" s="1"/>
  <c r="D6" i="9" s="1"/>
  <c r="P8" i="9"/>
  <c r="D9" i="9" s="1"/>
  <c r="N16" i="9"/>
  <c r="N24" i="9" s="1"/>
  <c r="E6" i="9" s="1"/>
  <c r="D7" i="9"/>
  <c r="D10" i="9" s="1"/>
  <c r="D8" i="9"/>
  <c r="E8" i="9"/>
  <c r="E7" i="9"/>
  <c r="E10" i="9" s="1"/>
  <c r="D24" i="7"/>
  <c r="F18" i="7" s="1"/>
  <c r="D26" i="7"/>
  <c r="L18" i="7" s="1"/>
  <c r="C25" i="7"/>
  <c r="D25" i="7" s="1"/>
  <c r="I18" i="7" s="1"/>
  <c r="N11" i="7" l="1"/>
  <c r="M11" i="7"/>
  <c r="N9" i="7"/>
  <c r="M9" i="7"/>
  <c r="N8" i="7"/>
  <c r="M8" i="7"/>
  <c r="M7" i="7"/>
  <c r="M6" i="7"/>
  <c r="L6" i="7" s="1"/>
  <c r="N5" i="7"/>
  <c r="M5" i="7"/>
  <c r="N4" i="7"/>
  <c r="M4" i="7"/>
  <c r="N7" i="7"/>
  <c r="N10" i="7" l="1"/>
  <c r="N12" i="7" s="1"/>
  <c r="L8" i="7"/>
  <c r="L9" i="7"/>
  <c r="L11" i="7"/>
  <c r="M12" i="7"/>
  <c r="L4" i="7"/>
  <c r="L5" i="7"/>
  <c r="L7" i="7"/>
  <c r="L10" i="7" l="1"/>
  <c r="L12" i="7" s="1"/>
  <c r="L14" i="7" s="1"/>
  <c r="C12" i="8"/>
  <c r="C14" i="8" s="1"/>
  <c r="E11" i="7" l="1"/>
  <c r="D10" i="7"/>
  <c r="D7" i="7"/>
  <c r="D11" i="7"/>
  <c r="J7" i="7"/>
  <c r="G7" i="7"/>
  <c r="J8" i="7"/>
  <c r="G8" i="7"/>
  <c r="C11" i="7" l="1"/>
  <c r="E10" i="7"/>
  <c r="C10" i="7" s="1"/>
  <c r="E9" i="7"/>
  <c r="D9" i="7"/>
  <c r="E8" i="7"/>
  <c r="D8" i="7"/>
  <c r="E7" i="7"/>
  <c r="C7" i="7" s="1"/>
  <c r="E6" i="7"/>
  <c r="D6" i="7"/>
  <c r="E5" i="7"/>
  <c r="D5" i="7"/>
  <c r="E4" i="7"/>
  <c r="D4" i="7"/>
  <c r="C8" i="7" l="1"/>
  <c r="C9" i="7"/>
  <c r="C6" i="7"/>
  <c r="E12" i="7"/>
  <c r="D12" i="7"/>
  <c r="C4" i="7"/>
  <c r="C5" i="7"/>
  <c r="K11" i="7"/>
  <c r="H11" i="7"/>
  <c r="J11" i="7"/>
  <c r="G11" i="7"/>
  <c r="J10" i="7"/>
  <c r="G10" i="7"/>
  <c r="K9" i="7"/>
  <c r="H9" i="7"/>
  <c r="J9" i="7"/>
  <c r="G9" i="7"/>
  <c r="K8" i="7"/>
  <c r="H8" i="7"/>
  <c r="K7" i="7"/>
  <c r="H7" i="7"/>
  <c r="K6" i="7"/>
  <c r="H6" i="7"/>
  <c r="J6" i="7"/>
  <c r="G6" i="7"/>
  <c r="K5" i="7"/>
  <c r="H5" i="7"/>
  <c r="J5" i="7"/>
  <c r="G5" i="7"/>
  <c r="K4" i="7"/>
  <c r="H4" i="7"/>
  <c r="J4" i="7"/>
  <c r="G4" i="7"/>
  <c r="I11" i="7" l="1"/>
  <c r="G12" i="7"/>
  <c r="H12" i="7"/>
  <c r="C12" i="7"/>
  <c r="C14" i="7" s="1"/>
  <c r="I4" i="7"/>
  <c r="I5" i="7"/>
  <c r="I6" i="7"/>
  <c r="I7" i="7"/>
  <c r="I8" i="7"/>
  <c r="I9" i="7"/>
  <c r="I10" i="7"/>
  <c r="F4" i="7"/>
  <c r="F5" i="7"/>
  <c r="F6" i="7"/>
  <c r="F7" i="7"/>
  <c r="F8" i="7"/>
  <c r="F9" i="7"/>
  <c r="F10" i="7"/>
  <c r="F11" i="7"/>
  <c r="J12" i="7"/>
  <c r="K12" i="7"/>
  <c r="L17" i="7" l="1"/>
  <c r="F12" i="7"/>
  <c r="F14" i="7" s="1"/>
  <c r="F17" i="7" s="1"/>
  <c r="I12" i="7"/>
  <c r="I14" i="7" l="1"/>
  <c r="I17" i="7" s="1"/>
  <c r="I19" i="7" s="1"/>
  <c r="I20" i="7" s="1"/>
  <c r="L19" i="7"/>
  <c r="L20" i="7" s="1"/>
  <c r="F19" i="7"/>
  <c r="F20" i="7" s="1"/>
  <c r="I6" i="2"/>
  <c r="K11" i="3"/>
  <c r="K12" i="3"/>
  <c r="K15" i="3" s="1"/>
  <c r="K23" i="3" s="1"/>
  <c r="K13" i="3"/>
  <c r="K14" i="3"/>
  <c r="K19" i="3"/>
  <c r="C6" i="3"/>
  <c r="K30" i="3"/>
  <c r="K36" i="3" s="1"/>
  <c r="K45" i="3" s="1"/>
  <c r="K31" i="3"/>
  <c r="K32" i="3"/>
  <c r="K33" i="3"/>
  <c r="K34" i="3"/>
  <c r="K35" i="3"/>
  <c r="K41" i="3"/>
  <c r="M4" i="3"/>
  <c r="M5" i="3"/>
  <c r="M8" i="3" s="1"/>
  <c r="D9" i="3" s="1"/>
  <c r="M6" i="3"/>
  <c r="M7" i="3"/>
  <c r="I4" i="3"/>
  <c r="I5" i="3"/>
  <c r="I6" i="3"/>
  <c r="I7" i="3"/>
  <c r="I8" i="3"/>
  <c r="D5" i="3" s="1"/>
  <c r="C10" i="3"/>
  <c r="I7" i="2"/>
  <c r="K7" i="2" s="1"/>
  <c r="I8" i="2"/>
  <c r="I9" i="2"/>
  <c r="I10" i="2"/>
  <c r="I11" i="2"/>
  <c r="K11" i="2" s="1"/>
  <c r="I12" i="2"/>
  <c r="I13" i="2"/>
  <c r="J6" i="1"/>
  <c r="J7" i="1"/>
  <c r="L7" i="1" s="1"/>
  <c r="L14" i="1" s="1"/>
  <c r="J8" i="1"/>
  <c r="J9" i="1"/>
  <c r="J10" i="1"/>
  <c r="J11" i="1"/>
  <c r="J12" i="1"/>
  <c r="J13" i="1"/>
  <c r="L6" i="1"/>
  <c r="K6" i="2"/>
  <c r="K8" i="2"/>
  <c r="K9" i="2"/>
  <c r="K10" i="2"/>
  <c r="K12" i="2"/>
  <c r="K13" i="2"/>
  <c r="P11" i="3"/>
  <c r="P12" i="3"/>
  <c r="P15" i="3" s="1"/>
  <c r="P23" i="3" s="1"/>
  <c r="P13" i="3"/>
  <c r="P14" i="3"/>
  <c r="P19" i="3"/>
  <c r="P30" i="3"/>
  <c r="P31" i="3"/>
  <c r="P36" i="3" s="1"/>
  <c r="P45" i="3" s="1"/>
  <c r="P32" i="3"/>
  <c r="P33" i="3"/>
  <c r="P34" i="3"/>
  <c r="P35" i="3"/>
  <c r="P41" i="3"/>
  <c r="L8" i="1"/>
  <c r="G9" i="1"/>
  <c r="L9" i="1"/>
  <c r="L10" i="1"/>
  <c r="L11" i="1"/>
  <c r="L12" i="1"/>
  <c r="L13" i="1"/>
  <c r="G14" i="2"/>
  <c r="C21" i="2" s="1"/>
  <c r="C14" i="2"/>
  <c r="G14" i="1"/>
  <c r="C19" i="1" s="1"/>
  <c r="C14" i="1"/>
  <c r="G15" i="2"/>
  <c r="E14" i="2"/>
  <c r="E16" i="2" s="1"/>
  <c r="E15" i="2"/>
  <c r="H14" i="2"/>
  <c r="F14" i="2"/>
  <c r="D14" i="2"/>
  <c r="E14" i="1"/>
  <c r="G16" i="1" s="1"/>
  <c r="D14" i="1"/>
  <c r="F14" i="1"/>
  <c r="H9" i="1"/>
  <c r="H14" i="1" s="1"/>
  <c r="K14" i="2" l="1"/>
  <c r="E6" i="3"/>
  <c r="P24" i="3"/>
  <c r="C20" i="3"/>
  <c r="B20" i="3"/>
  <c r="E9" i="3"/>
  <c r="E20" i="3"/>
  <c r="D7" i="3"/>
  <c r="K46" i="3"/>
  <c r="K50" i="3" s="1"/>
  <c r="D8" i="3"/>
  <c r="P46" i="3"/>
  <c r="P50" i="3" s="1"/>
  <c r="E7" i="3"/>
  <c r="E8" i="3"/>
  <c r="E5" i="3"/>
  <c r="E16" i="3"/>
  <c r="C16" i="3"/>
  <c r="B16" i="3"/>
  <c r="D6" i="3"/>
  <c r="K24" i="3"/>
  <c r="E15" i="1"/>
  <c r="G15" i="1"/>
  <c r="C18" i="3" l="1"/>
  <c r="B18" i="3"/>
  <c r="E18" i="3"/>
  <c r="E17" i="3"/>
  <c r="C17" i="3"/>
  <c r="B17" i="3"/>
  <c r="E10" i="3"/>
  <c r="C19" i="3"/>
  <c r="B19" i="3"/>
  <c r="E19" i="3"/>
  <c r="D10" i="3"/>
  <c r="E11" i="3" l="1"/>
  <c r="C20" i="1"/>
  <c r="D16" i="3"/>
  <c r="E19" i="1" s="1"/>
  <c r="D12" i="3"/>
  <c r="D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MSSTUYEN</author>
  </authors>
  <commentList>
    <comment ref="C5" authorId="0" shapeId="0" xr:uid="{00000000-0006-0000-0200-000001000000}">
      <text>
        <r>
          <rPr>
            <b/>
            <sz val="9"/>
            <color indexed="81"/>
            <rFont val="Tahoma"/>
            <family val="2"/>
          </rPr>
          <t>MSSTUYEN:</t>
        </r>
        <r>
          <rPr>
            <sz val="9"/>
            <color indexed="81"/>
            <rFont val="Tahoma"/>
            <family val="2"/>
          </rPr>
          <t xml:space="preserve">
(15,0 triệu đồng/lần x 2 lần/năm)</t>
        </r>
      </text>
    </comment>
    <comment ref="C6" authorId="0" shapeId="0" xr:uid="{00000000-0006-0000-0200-000002000000}">
      <text>
        <r>
          <rPr>
            <b/>
            <sz val="9"/>
            <color indexed="81"/>
            <rFont val="Tahoma"/>
            <family val="2"/>
          </rPr>
          <t>MSSTUYEN:</t>
        </r>
        <r>
          <rPr>
            <sz val="9"/>
            <color indexed="81"/>
            <rFont val="Tahoma"/>
            <family val="2"/>
          </rPr>
          <t xml:space="preserve">
5,0trđ/HĐ x 2</t>
        </r>
      </text>
    </comment>
    <comment ref="D7" authorId="0" shapeId="0" xr:uid="{00000000-0006-0000-0200-000003000000}">
      <text>
        <r>
          <rPr>
            <b/>
            <sz val="9"/>
            <color indexed="81"/>
            <rFont val="Tahoma"/>
            <family val="2"/>
          </rPr>
          <t>MSSTUYEN:</t>
        </r>
        <r>
          <rPr>
            <sz val="9"/>
            <color indexed="81"/>
            <rFont val="Tahoma"/>
            <family val="2"/>
          </rPr>
          <t xml:space="preserve">
17 HĐ/năm</t>
        </r>
      </text>
    </comment>
    <comment ref="E7" authorId="0" shapeId="0" xr:uid="{00000000-0006-0000-0200-000004000000}">
      <text>
        <r>
          <rPr>
            <b/>
            <sz val="9"/>
            <color indexed="81"/>
            <rFont val="Tahoma"/>
            <family val="2"/>
          </rPr>
          <t>MSSTUYEN:</t>
        </r>
        <r>
          <rPr>
            <sz val="9"/>
            <color indexed="81"/>
            <rFont val="Tahoma"/>
            <family val="2"/>
          </rPr>
          <t xml:space="preserve">
17 HĐ/năm</t>
        </r>
      </text>
    </comment>
    <comment ref="D8" authorId="0" shapeId="0" xr:uid="{00000000-0006-0000-0200-000005000000}">
      <text>
        <r>
          <rPr>
            <b/>
            <sz val="9"/>
            <color indexed="81"/>
            <rFont val="Tahoma"/>
            <family val="2"/>
          </rPr>
          <t>MSSTUYEN:</t>
        </r>
        <r>
          <rPr>
            <sz val="9"/>
            <color indexed="81"/>
            <rFont val="Tahoma"/>
            <family val="2"/>
          </rPr>
          <t xml:space="preserve">
11 HĐNT</t>
        </r>
      </text>
    </comment>
    <comment ref="E8" authorId="0" shapeId="0" xr:uid="{00000000-0006-0000-0200-000006000000}">
      <text>
        <r>
          <rPr>
            <b/>
            <sz val="9"/>
            <color indexed="81"/>
            <rFont val="Tahoma"/>
            <family val="2"/>
          </rPr>
          <t>MSSTUYEN:</t>
        </r>
        <r>
          <rPr>
            <sz val="9"/>
            <color indexed="81"/>
            <rFont val="Tahoma"/>
            <family val="2"/>
          </rPr>
          <t xml:space="preserve">
11 HĐ</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MSSTUYEN</author>
  </authors>
  <commentList>
    <comment ref="C5" authorId="0" shapeId="0" xr:uid="{00000000-0006-0000-0400-000001000000}">
      <text>
        <r>
          <rPr>
            <b/>
            <sz val="9"/>
            <color indexed="81"/>
            <rFont val="Tahoma"/>
            <family val="2"/>
          </rPr>
          <t>MSSTUYEN:</t>
        </r>
        <r>
          <rPr>
            <sz val="9"/>
            <color indexed="81"/>
            <rFont val="Tahoma"/>
            <family val="2"/>
          </rPr>
          <t xml:space="preserve">
(15,0 triệu đồng/lần x 2 lần/năm)</t>
        </r>
      </text>
    </comment>
    <comment ref="C6" authorId="0" shapeId="0" xr:uid="{00000000-0006-0000-0400-000002000000}">
      <text>
        <r>
          <rPr>
            <b/>
            <sz val="9"/>
            <color indexed="81"/>
            <rFont val="Tahoma"/>
            <family val="2"/>
          </rPr>
          <t>MSSTUYEN:</t>
        </r>
        <r>
          <rPr>
            <sz val="9"/>
            <color indexed="81"/>
            <rFont val="Tahoma"/>
            <family val="2"/>
          </rPr>
          <t xml:space="preserve">
5,0trđ/HĐ x 2</t>
        </r>
      </text>
    </comment>
    <comment ref="D7" authorId="0" shapeId="0" xr:uid="{00000000-0006-0000-0400-000003000000}">
      <text>
        <r>
          <rPr>
            <b/>
            <sz val="9"/>
            <color indexed="81"/>
            <rFont val="Tahoma"/>
            <family val="2"/>
          </rPr>
          <t>MSSTUYEN:</t>
        </r>
        <r>
          <rPr>
            <sz val="9"/>
            <color indexed="81"/>
            <rFont val="Tahoma"/>
            <family val="2"/>
          </rPr>
          <t xml:space="preserve">
17 HĐ/năm</t>
        </r>
      </text>
    </comment>
    <comment ref="E7" authorId="0" shapeId="0" xr:uid="{00000000-0006-0000-0400-000004000000}">
      <text>
        <r>
          <rPr>
            <b/>
            <sz val="9"/>
            <color indexed="81"/>
            <rFont val="Tahoma"/>
            <family val="2"/>
          </rPr>
          <t>MSSTUYEN:</t>
        </r>
        <r>
          <rPr>
            <sz val="9"/>
            <color indexed="81"/>
            <rFont val="Tahoma"/>
            <family val="2"/>
          </rPr>
          <t xml:space="preserve">
17 HĐ/năm</t>
        </r>
      </text>
    </comment>
    <comment ref="D8" authorId="0" shapeId="0" xr:uid="{00000000-0006-0000-0400-000005000000}">
      <text>
        <r>
          <rPr>
            <b/>
            <sz val="9"/>
            <color indexed="81"/>
            <rFont val="Tahoma"/>
            <family val="2"/>
          </rPr>
          <t>MSSTUYEN:</t>
        </r>
        <r>
          <rPr>
            <sz val="9"/>
            <color indexed="81"/>
            <rFont val="Tahoma"/>
            <family val="2"/>
          </rPr>
          <t xml:space="preserve">
11 HĐNT</t>
        </r>
      </text>
    </comment>
    <comment ref="E8" authorId="0" shapeId="0" xr:uid="{00000000-0006-0000-0400-000006000000}">
      <text>
        <r>
          <rPr>
            <b/>
            <sz val="9"/>
            <color indexed="81"/>
            <rFont val="Tahoma"/>
            <family val="2"/>
          </rPr>
          <t>MSSTUYEN:</t>
        </r>
        <r>
          <rPr>
            <sz val="9"/>
            <color indexed="81"/>
            <rFont val="Tahoma"/>
            <family val="2"/>
          </rPr>
          <t xml:space="preserve">
11 HĐ</t>
        </r>
      </text>
    </comment>
  </commentList>
</comments>
</file>

<file path=xl/sharedStrings.xml><?xml version="1.0" encoding="utf-8"?>
<sst xmlns="http://schemas.openxmlformats.org/spreadsheetml/2006/main" count="254" uniqueCount="112">
  <si>
    <t>TT</t>
  </si>
  <si>
    <t>Tên đề tài, dự án</t>
  </si>
  <si>
    <t>Công LĐ hiện hành</t>
  </si>
  <si>
    <t>Thù lao theo DTNQ</t>
  </si>
  <si>
    <t>Tôn giáo trên địa bàn tỉnh Bắc Kạn và những vấn đề đặt ra đối với công tác đảm bảo an ninh trật tự</t>
  </si>
  <si>
    <t>Dự toán công</t>
  </si>
  <si>
    <t>Năm 2023</t>
  </si>
  <si>
    <t>Dự toán thù lao</t>
  </si>
  <si>
    <t>Thù lao theo TT 03</t>
  </si>
  <si>
    <t>Ứng dụng phương pháp bơm Cement sinh học qua da điều trị xẹp thân đốt sống do loãng xương tại Bệnh viện đa khoa tỉnh Bắc Kạn</t>
  </si>
  <si>
    <t>Nghiên cứu thực trạng, đề xuất giải pháp nâng cao chất lượng dạy và học tại các cơ sở giáo dục lý luận chính trị trên địa bàn tỉnh Bắc Kạn</t>
  </si>
  <si>
    <t>Nghiên cứu nhân giống và gây trồng loài cây sau sau theo hướng chuỗi giá trị đa mục đích trên địa bàn huyện Ngân Sơn, tỉnh Bắc Kạn</t>
  </si>
  <si>
    <t xml:space="preserve"> Xây dựng mô hình sàng lọc người mang gen bệnh Thalassemia từ 17-25 tuổi tại tỉnh Bắc Kạn</t>
  </si>
  <si>
    <t>Tiếp nhận công nghệ và chế phẩm sinh học xây dựng mô hình xử lý chất thải chăn nuôi tạo phân bón hữu cơ phục vụ sản xuất nông nghiệp tại tỉnh Bắc Kạn</t>
  </si>
  <si>
    <t>Ứng dụng tiến bộ khoa học kỹ thuật xây dựng mô hình trang trại chăn nuôi bò lai sinh sản khép kín đảm bảo an toàn sinh học</t>
  </si>
  <si>
    <t>Ứng dụng khoa học công nghệ nâng cao năng suất, chất lượng cây Hồi tại tỉnh Bắc Kạn</t>
  </si>
  <si>
    <t>Tổng</t>
  </si>
  <si>
    <t>Chi khác hiện hành (CTP, Hội thảo)</t>
  </si>
  <si>
    <t>Chi khác hiện hành (CTP, Hội thảo) theo TT 03</t>
  </si>
  <si>
    <t>Chi khác hiện hành (CTP, Hội thảo) theo DTNQ</t>
  </si>
  <si>
    <t>Nội dung chi</t>
  </si>
  <si>
    <t>Hội đồng tư vấn đánh giá, nghiệm thu</t>
  </si>
  <si>
    <t>Tổ thẩm định kinh phí</t>
  </si>
  <si>
    <t>Định mức theo TT 03</t>
  </si>
  <si>
    <t>Định mức theo DTNQ</t>
  </si>
  <si>
    <t>Định mức hiện hành (Năm 2023)</t>
  </si>
  <si>
    <t>Hội đồng KH&amp;CN tỉnh xác định nhiệm vụ (2 lần/năm)</t>
  </si>
  <si>
    <t>Hội đồng tư vấn xác định nhiệm vụ (10 HĐ/năm)</t>
  </si>
  <si>
    <t>HĐ tỉnh XĐ NV</t>
  </si>
  <si>
    <t>Số người</t>
  </si>
  <si>
    <t>Số tiền</t>
  </si>
  <si>
    <t>Chi phí đại biểu</t>
  </si>
  <si>
    <t>Chủ tịch</t>
  </si>
  <si>
    <t>Ủy viên</t>
  </si>
  <si>
    <t>Thư ký</t>
  </si>
  <si>
    <t>Đại biểu</t>
  </si>
  <si>
    <t>Xăng xe đón đớn thành viên HĐ</t>
  </si>
  <si>
    <t>Công tác phí lái xe</t>
  </si>
  <si>
    <t>2 ngày 1 đêm</t>
  </si>
  <si>
    <t>Xăng xe đón TVHĐ</t>
  </si>
  <si>
    <t>04 lượt (Hà Nội), định mức 10l/100km</t>
  </si>
  <si>
    <t>Tiền nước</t>
  </si>
  <si>
    <t>12 người x 15.000đ</t>
  </si>
  <si>
    <t>CHI PHÍ -1 CUỘC</t>
  </si>
  <si>
    <t xml:space="preserve"> </t>
  </si>
  <si>
    <t>10 cuộc</t>
  </si>
  <si>
    <t>Hội đồng tư vấn xác định nhiệm vụ TT03</t>
  </si>
  <si>
    <t>Hội đồng tư vấn xác định nhiệm vụDTNQ</t>
  </si>
  <si>
    <t>Kinh phí</t>
  </si>
  <si>
    <t>Phó CTHĐ, UV</t>
  </si>
  <si>
    <t>Bải phản biện</t>
  </si>
  <si>
    <t>16 người x 15.000đ</t>
  </si>
  <si>
    <t>TỔNG</t>
  </si>
  <si>
    <t>1 cuộc =</t>
  </si>
  <si>
    <t>17 cuộc =</t>
  </si>
  <si>
    <t>Có thể trừ 10 cuộc không thành viên HĐ phải đưa đón</t>
  </si>
  <si>
    <t xml:space="preserve">Hội đồng tư vấn tuyển chọn, giao trực tiếp </t>
  </si>
  <si>
    <t>Hội đồng tuyển chọn, giao trực tiếp (TT03)</t>
  </si>
  <si>
    <t>Hội đồng tuyển chọn, giao trực tiếp (DTNQ)</t>
  </si>
  <si>
    <t>Tổ thẩm định</t>
  </si>
  <si>
    <t>Kinh phí chi quản lý các nhiệm vụ KH&amp;CN theo DTNQ tăng 35,51% so với mức hiện hành, giảm 17.03% so với TT 03/2023/TT-BTC</t>
  </si>
  <si>
    <t>Kinh phí chi công tác phí, hội thảo tại DTNQ tăng 10,93% so với mức hiện hành, giảm 2,14% sp với TT 03/2023/TT-BTC</t>
  </si>
  <si>
    <t>Thù lao thực hiện các nhiệm vụ năm 2023 tính theo DTNQ tăng 36,73 so với mức hiện hành, giảm  19,01% TT03/2023/TT-BTC</t>
  </si>
  <si>
    <t>BẢNG SO SÁNH CTP, HỘI THẢO CÁC NHIỆM VỤ NĂM 2023</t>
  </si>
  <si>
    <t>BẢNG SO SÁNH CHI QUẢN LÝ CÁC NHIỆM VỤ NĂM 2023</t>
  </si>
  <si>
    <t>BẢNG SO SÁNH KINH PHÍ THỰC HIỆN CÁC NHIỆM VỤ NĂM 2023</t>
  </si>
  <si>
    <t>Chi khác</t>
  </si>
  <si>
    <t>Tên đề tài/dự án</t>
  </si>
  <si>
    <t>Đề tài Tôn giáo</t>
  </si>
  <si>
    <t>Công lao động</t>
  </si>
  <si>
    <t>Mức 100% TT 03</t>
  </si>
  <si>
    <t>Mức 80% TT 03</t>
  </si>
  <si>
    <t>TỔNG CỘNG</t>
  </si>
  <si>
    <t>Dự án Cement</t>
  </si>
  <si>
    <t>Đề tài LLCT</t>
  </si>
  <si>
    <t>Đề tái sau sau</t>
  </si>
  <si>
    <t>Dự án Thalasimia</t>
  </si>
  <si>
    <t>Dự án xử  lý chất thải</t>
  </si>
  <si>
    <t>Dự án Bò lai sinh sản</t>
  </si>
  <si>
    <t>Dự án Hồi</t>
  </si>
  <si>
    <t>Tổng cộng</t>
  </si>
  <si>
    <t>Kinh phí hiện hành</t>
  </si>
  <si>
    <t>Kinh phí tăng thêm</t>
  </si>
  <si>
    <t>Mức 80% TT</t>
  </si>
  <si>
    <t>Mức 100% TT</t>
  </si>
  <si>
    <t>Kinh phí quản lý</t>
  </si>
  <si>
    <t>Chi quản lý hiện hành:</t>
  </si>
  <si>
    <t>Thù lao</t>
  </si>
  <si>
    <t>Mức 100% Thông tư 03</t>
  </si>
  <si>
    <t>Kinh phí đề tài/dự án tăng thêm</t>
  </si>
  <si>
    <t>Kinh phí quản lý tăng thêm</t>
  </si>
  <si>
    <t>Số năm triển khai</t>
  </si>
  <si>
    <t>Bình quân năm</t>
  </si>
  <si>
    <t>BÌNH QUÂN SỐ NĂM THỰC HIỆN ĐT/DA</t>
  </si>
  <si>
    <t>Mức 80% Thông tư 03</t>
  </si>
  <si>
    <t>Đề tài sau sau</t>
  </si>
  <si>
    <t>Tỷ lệ % tăng thêm so hiện hành</t>
  </si>
  <si>
    <t>Bình quân mỗi đề tài/dự án triển khai trong 03 năm)</t>
  </si>
  <si>
    <t xml:space="preserve">Chênh lệch </t>
  </si>
  <si>
    <t>Mức dự thảo Nghị quyết</t>
  </si>
  <si>
    <t xml:space="preserve">HĐ KH&amp;CN tỉnh  </t>
  </si>
  <si>
    <t>100% TT</t>
  </si>
  <si>
    <t>Dự thảo NQ</t>
  </si>
  <si>
    <t>Định mức theo Dự thảo NQ</t>
  </si>
  <si>
    <t>Chủ tịch HĐ</t>
  </si>
  <si>
    <t>Thành viên</t>
  </si>
  <si>
    <t>100% TT 03</t>
  </si>
  <si>
    <t>Hội đồng tuyển chọn, giao trực tiếp; Hội đồng đánh giá nghiệm thu</t>
  </si>
  <si>
    <t>Bài phản biện</t>
  </si>
  <si>
    <t>Tổng số kinh phí tăng thêm/năm so hiện hành</t>
  </si>
  <si>
    <t xml:space="preserve">BẢNG SO SÁNH KINH PHÍ GIỮA CÁC ĐỊNH MỨC
</t>
  </si>
  <si>
    <t>Mức dự thảo Nghị quyết (70-83%)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</si>
</sst>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1"/>
      <color theme="1"/>
      <name val="Times New Roman"/>
      <family val="2"/>
    </font>
    <font>
      <sz val="11"/>
      <color theme="1"/>
      <name val="Times New Roman"/>
      <family val="2"/>
    </font>
    <font>
      <b/>
      <sz val="11"/>
      <color theme="1"/>
      <name val="Times New Roman"/>
      <family val="1"/>
    </font>
    <font>
      <b/>
      <i/>
      <sz val="11"/>
      <color theme="1"/>
      <name val="Times New Roman"/>
      <family val="1"/>
    </font>
    <font>
      <sz val="9"/>
      <color indexed="81"/>
      <name val="Tahoma"/>
      <family val="2"/>
    </font>
    <font>
      <b/>
      <sz val="9"/>
      <color indexed="81"/>
      <name val="Tahoma"/>
      <family val="2"/>
    </font>
    <font>
      <b/>
      <sz val="12"/>
      <color theme="1"/>
      <name val="Times New Roman"/>
      <family val="1"/>
    </font>
    <font>
      <i/>
      <sz val="12"/>
      <color theme="1"/>
      <name val="Times New Roman"/>
      <family val="1"/>
    </font>
    <font>
      <sz val="12"/>
      <color theme="1"/>
      <name val="Times New Roman"/>
      <family val="1"/>
    </font>
    <font>
      <u/>
      <sz val="11"/>
      <color theme="10"/>
      <name val="Times New Roman"/>
      <family val="2"/>
    </font>
    <font>
      <u/>
      <sz val="11"/>
      <color theme="11"/>
      <name val="Times New Roman"/>
      <family val="2"/>
    </font>
    <font>
      <sz val="11"/>
      <color theme="1"/>
      <name val="Times New Roman"/>
      <family val="1"/>
    </font>
    <font>
      <sz val="9"/>
      <color theme="1"/>
      <name val="Times New Roman"/>
      <family val="1"/>
    </font>
    <font>
      <b/>
      <sz val="9"/>
      <color theme="1"/>
      <name val="Times New Roman"/>
      <family val="1"/>
    </font>
    <font>
      <b/>
      <sz val="10"/>
      <color theme="1"/>
      <name val="Times New Roman"/>
      <family val="1"/>
    </font>
    <font>
      <sz val="10"/>
      <color theme="1"/>
      <name val="Times New Roman"/>
      <family val="1"/>
    </font>
    <font>
      <sz val="9"/>
      <color theme="1"/>
      <name val="Times New Roman"/>
      <family val="2"/>
    </font>
    <font>
      <b/>
      <sz val="9"/>
      <color theme="1"/>
      <name val="Times New Roman"/>
      <family val="2"/>
    </font>
    <font>
      <sz val="11"/>
      <name val="Times New Roman"/>
      <family val="2"/>
    </font>
    <font>
      <b/>
      <sz val="11"/>
      <name val="Times New Roman"/>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s>
  <cellStyleXfs count="18">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66">
    <xf numFmtId="0" fontId="0" fillId="0" borderId="0" xfId="0"/>
    <xf numFmtId="0" fontId="0" fillId="0" borderId="1" xfId="0" applyBorder="1" applyAlignment="1">
      <alignment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164" fontId="0" fillId="0" borderId="1" xfId="1" applyNumberFormat="1" applyFont="1" applyBorder="1" applyAlignment="1">
      <alignment horizontal="center" vertical="center"/>
    </xf>
    <xf numFmtId="0" fontId="2" fillId="0" borderId="1" xfId="0" applyFont="1" applyBorder="1" applyAlignment="1">
      <alignment horizontal="center" vertical="center"/>
    </xf>
    <xf numFmtId="164" fontId="2" fillId="0" borderId="1" xfId="1" applyNumberFormat="1" applyFont="1" applyBorder="1" applyAlignment="1">
      <alignment horizontal="center" vertical="center"/>
    </xf>
    <xf numFmtId="164" fontId="0" fillId="0" borderId="0" xfId="0" applyNumberFormat="1"/>
    <xf numFmtId="43" fontId="0" fillId="0" borderId="0" xfId="0" applyNumberFormat="1"/>
    <xf numFmtId="43" fontId="2" fillId="0" borderId="6" xfId="1" applyFont="1" applyFill="1" applyBorder="1" applyAlignment="1">
      <alignment horizontal="center" vertical="center"/>
    </xf>
    <xf numFmtId="43" fontId="2" fillId="0" borderId="0" xfId="0" applyNumberFormat="1" applyFont="1"/>
    <xf numFmtId="3" fontId="0" fillId="0" borderId="0" xfId="0" applyNumberFormat="1"/>
    <xf numFmtId="3" fontId="2" fillId="0" borderId="1" xfId="0" applyNumberFormat="1" applyFont="1" applyBorder="1" applyAlignment="1">
      <alignment horizontal="center" vertical="center" wrapText="1"/>
    </xf>
    <xf numFmtId="3" fontId="2" fillId="0" borderId="1" xfId="0" applyNumberFormat="1" applyFont="1" applyBorder="1"/>
    <xf numFmtId="3" fontId="0" fillId="0" borderId="1" xfId="0" applyNumberFormat="1" applyBorder="1"/>
    <xf numFmtId="3" fontId="0" fillId="0" borderId="1" xfId="0" applyNumberFormat="1" applyBorder="1" applyAlignment="1">
      <alignment wrapText="1"/>
    </xf>
    <xf numFmtId="3" fontId="0" fillId="0" borderId="1" xfId="1" applyNumberFormat="1" applyFont="1" applyBorder="1"/>
    <xf numFmtId="3" fontId="2" fillId="0" borderId="1" xfId="1" applyNumberFormat="1" applyFont="1" applyBorder="1"/>
    <xf numFmtId="3" fontId="2"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7" fillId="0" borderId="1" xfId="0" applyNumberFormat="1" applyFont="1" applyBorder="1"/>
    <xf numFmtId="3" fontId="6" fillId="0" borderId="1" xfId="0" applyNumberFormat="1" applyFont="1" applyBorder="1"/>
    <xf numFmtId="3" fontId="7" fillId="0" borderId="1" xfId="0" applyNumberFormat="1" applyFont="1" applyBorder="1" applyAlignment="1">
      <alignment wrapText="1"/>
    </xf>
    <xf numFmtId="3" fontId="6" fillId="2" borderId="1" xfId="1" applyNumberFormat="1" applyFont="1" applyFill="1" applyBorder="1"/>
    <xf numFmtId="3" fontId="8" fillId="0" borderId="1" xfId="0" applyNumberFormat="1" applyFont="1" applyBorder="1" applyAlignment="1">
      <alignment horizontal="center"/>
    </xf>
    <xf numFmtId="3" fontId="7" fillId="0" borderId="1" xfId="0" applyNumberFormat="1" applyFont="1" applyBorder="1" applyAlignment="1">
      <alignment vertical="center"/>
    </xf>
    <xf numFmtId="3" fontId="0" fillId="0" borderId="1" xfId="0" applyNumberFormat="1" applyBorder="1" applyAlignment="1">
      <alignment vertical="center"/>
    </xf>
    <xf numFmtId="3" fontId="7" fillId="0" borderId="1" xfId="0" applyNumberFormat="1" applyFont="1" applyBorder="1" applyAlignment="1">
      <alignment vertical="center" wrapText="1"/>
    </xf>
    <xf numFmtId="3" fontId="6" fillId="0" borderId="1" xfId="0" applyNumberFormat="1" applyFont="1" applyBorder="1" applyAlignment="1">
      <alignment vertical="center"/>
    </xf>
    <xf numFmtId="3" fontId="6" fillId="2" borderId="1" xfId="0" applyNumberFormat="1" applyFont="1" applyFill="1" applyBorder="1"/>
    <xf numFmtId="3" fontId="2" fillId="0" borderId="0" xfId="0" applyNumberFormat="1" applyFont="1"/>
    <xf numFmtId="3" fontId="2" fillId="2" borderId="0" xfId="0" applyNumberFormat="1" applyFont="1" applyFill="1"/>
    <xf numFmtId="164" fontId="2" fillId="2" borderId="0" xfId="0" applyNumberFormat="1" applyFont="1" applyFill="1"/>
    <xf numFmtId="0" fontId="11"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164" fontId="0" fillId="0" borderId="0" xfId="0" applyNumberFormat="1" applyAlignment="1">
      <alignment horizontal="center" vertical="center"/>
    </xf>
    <xf numFmtId="0" fontId="0" fillId="0" borderId="0" xfId="0" applyAlignment="1">
      <alignment horizontal="center" vertical="center"/>
    </xf>
    <xf numFmtId="0" fontId="11" fillId="0" borderId="1" xfId="0" applyFont="1" applyBorder="1" applyAlignment="1">
      <alignment horizontal="left" vertical="center" wrapText="1"/>
    </xf>
    <xf numFmtId="0" fontId="0" fillId="0" borderId="1" xfId="0" applyBorder="1" applyAlignment="1">
      <alignment horizontal="left" vertical="center" wrapText="1"/>
    </xf>
    <xf numFmtId="0" fontId="13" fillId="3" borderId="2" xfId="0" applyFont="1" applyFill="1" applyBorder="1" applyAlignment="1">
      <alignment horizontal="center" vertical="center"/>
    </xf>
    <xf numFmtId="164" fontId="13" fillId="0" borderId="1" xfId="0" applyNumberFormat="1" applyFont="1" applyBorder="1" applyAlignment="1">
      <alignment vertical="center"/>
    </xf>
    <xf numFmtId="0" fontId="13" fillId="0" borderId="1" xfId="0" applyFont="1" applyBorder="1" applyAlignment="1">
      <alignment vertical="center"/>
    </xf>
    <xf numFmtId="164" fontId="13" fillId="3"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center"/>
    </xf>
    <xf numFmtId="164" fontId="13" fillId="0" borderId="1" xfId="0" applyNumberFormat="1" applyFont="1" applyBorder="1" applyAlignment="1">
      <alignment horizontal="center" vertical="center"/>
    </xf>
    <xf numFmtId="0" fontId="0" fillId="2" borderId="0" xfId="0" applyFill="1"/>
    <xf numFmtId="0" fontId="2" fillId="2" borderId="0" xfId="0" applyFont="1" applyFill="1" applyAlignment="1">
      <alignment horizontal="left" vertical="center" wrapText="1"/>
    </xf>
    <xf numFmtId="43" fontId="2" fillId="2" borderId="0" xfId="1" applyFont="1" applyFill="1"/>
    <xf numFmtId="0" fontId="2" fillId="0" borderId="1" xfId="0" applyFont="1" applyBorder="1"/>
    <xf numFmtId="164" fontId="14" fillId="0" borderId="1" xfId="1" applyNumberFormat="1" applyFont="1" applyBorder="1" applyAlignment="1">
      <alignment horizontal="right" vertical="center"/>
    </xf>
    <xf numFmtId="164" fontId="15" fillId="0" borderId="1" xfId="1" applyNumberFormat="1" applyFont="1" applyBorder="1" applyAlignment="1">
      <alignment horizontal="right" vertical="center"/>
    </xf>
    <xf numFmtId="0" fontId="2" fillId="0" borderId="0" xfId="0" applyFont="1" applyAlignment="1">
      <alignment horizontal="left" vertical="center"/>
    </xf>
    <xf numFmtId="0" fontId="13" fillId="0" borderId="0" xfId="0" applyFont="1" applyAlignment="1">
      <alignment horizontal="center" vertical="center"/>
    </xf>
    <xf numFmtId="164" fontId="13" fillId="0" borderId="0" xfId="0" quotePrefix="1" applyNumberFormat="1" applyFont="1" applyAlignment="1">
      <alignment horizontal="center" vertical="center"/>
    </xf>
    <xf numFmtId="164" fontId="0" fillId="0" borderId="1" xfId="0" applyNumberFormat="1" applyBorder="1" applyAlignment="1">
      <alignment horizontal="right" vertical="center"/>
    </xf>
    <xf numFmtId="43" fontId="13" fillId="3" borderId="1" xfId="0" quotePrefix="1" applyNumberFormat="1" applyFont="1" applyFill="1" applyBorder="1" applyAlignment="1">
      <alignment horizontal="center" vertical="center"/>
    </xf>
    <xf numFmtId="3" fontId="3" fillId="0" borderId="0" xfId="0" applyNumberFormat="1" applyFont="1" applyAlignment="1">
      <alignment horizontal="center" wrapText="1"/>
    </xf>
    <xf numFmtId="3" fontId="2" fillId="0" borderId="0" xfId="0" applyNumberFormat="1" applyFont="1" applyAlignment="1">
      <alignment horizontal="center"/>
    </xf>
    <xf numFmtId="3" fontId="0" fillId="0" borderId="1" xfId="0" applyNumberFormat="1" applyBorder="1" applyAlignment="1">
      <alignment horizontal="center"/>
    </xf>
    <xf numFmtId="3" fontId="6" fillId="0" borderId="1" xfId="0" applyNumberFormat="1" applyFont="1" applyBorder="1" applyAlignment="1">
      <alignment horizontal="center" vertical="center" wrapText="1"/>
    </xf>
    <xf numFmtId="164" fontId="12" fillId="0" borderId="1" xfId="1" applyNumberFormat="1" applyFont="1" applyFill="1" applyBorder="1" applyAlignment="1">
      <alignment horizontal="right" vertical="center"/>
    </xf>
    <xf numFmtId="164" fontId="13" fillId="0" borderId="0" xfId="0" applyNumberFormat="1" applyFont="1" applyAlignment="1">
      <alignment horizontal="center" vertical="center"/>
    </xf>
    <xf numFmtId="43" fontId="13" fillId="0" borderId="0" xfId="0" quotePrefix="1" applyNumberFormat="1" applyFont="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164" fontId="13" fillId="0" borderId="5" xfId="1" applyNumberFormat="1" applyFont="1" applyFill="1" applyBorder="1" applyAlignment="1">
      <alignment horizontal="right" vertical="center"/>
    </xf>
    <xf numFmtId="164" fontId="13" fillId="0" borderId="1" xfId="0" applyNumberFormat="1" applyFont="1" applyBorder="1" applyAlignment="1">
      <alignment horizontal="right" vertical="center"/>
    </xf>
    <xf numFmtId="3" fontId="16" fillId="3" borderId="1" xfId="0" applyNumberFormat="1" applyFont="1" applyFill="1" applyBorder="1" applyAlignment="1">
      <alignment horizontal="right" vertical="center"/>
    </xf>
    <xf numFmtId="0" fontId="16" fillId="3" borderId="1" xfId="0" applyFont="1" applyFill="1" applyBorder="1" applyAlignment="1">
      <alignment horizontal="right" vertical="center"/>
    </xf>
    <xf numFmtId="3" fontId="17" fillId="3" borderId="1" xfId="0" applyNumberFormat="1" applyFont="1" applyFill="1" applyBorder="1" applyAlignment="1">
      <alignment horizontal="right" vertical="center"/>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164" fontId="15" fillId="3" borderId="1" xfId="1" applyNumberFormat="1" applyFont="1" applyFill="1" applyBorder="1" applyAlignment="1">
      <alignment horizontal="right" vertical="center"/>
    </xf>
    <xf numFmtId="164" fontId="0" fillId="3" borderId="1" xfId="0" applyNumberFormat="1" applyFill="1" applyBorder="1" applyAlignment="1">
      <alignment horizontal="right" vertical="center"/>
    </xf>
    <xf numFmtId="0" fontId="2" fillId="3" borderId="1" xfId="0" applyFont="1" applyFill="1" applyBorder="1" applyAlignment="1">
      <alignment horizontal="center" vertical="center" wrapText="1"/>
    </xf>
    <xf numFmtId="0" fontId="0" fillId="3" borderId="0" xfId="0" applyFill="1"/>
    <xf numFmtId="164" fontId="12" fillId="3" borderId="1" xfId="1" applyNumberFormat="1" applyFont="1" applyFill="1" applyBorder="1" applyAlignment="1">
      <alignment horizontal="center" vertical="center"/>
    </xf>
    <xf numFmtId="164" fontId="12" fillId="3" borderId="2" xfId="0" applyNumberFormat="1" applyFont="1" applyFill="1" applyBorder="1" applyAlignment="1">
      <alignment horizontal="center" vertical="center"/>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wrapText="1"/>
    </xf>
    <xf numFmtId="0" fontId="12" fillId="0" borderId="2" xfId="0" applyFont="1" applyBorder="1" applyAlignment="1">
      <alignment horizontal="center" vertical="center"/>
    </xf>
    <xf numFmtId="164" fontId="12" fillId="0" borderId="2" xfId="0" applyNumberFormat="1" applyFont="1" applyBorder="1" applyAlignment="1">
      <alignment horizontal="center" vertical="center"/>
    </xf>
    <xf numFmtId="0" fontId="0" fillId="0" borderId="1" xfId="0" applyBorder="1"/>
    <xf numFmtId="43" fontId="13" fillId="0" borderId="1" xfId="0" quotePrefix="1" applyNumberFormat="1" applyFont="1" applyBorder="1" applyAlignment="1">
      <alignment horizontal="left" vertical="center"/>
    </xf>
    <xf numFmtId="43" fontId="13" fillId="0" borderId="1" xfId="0" quotePrefix="1" applyNumberFormat="1" applyFont="1" applyBorder="1" applyAlignment="1">
      <alignment horizontal="center" vertical="center"/>
    </xf>
    <xf numFmtId="164" fontId="13" fillId="3" borderId="1" xfId="0" applyNumberFormat="1" applyFont="1" applyFill="1" applyBorder="1" applyAlignment="1">
      <alignment vertical="center"/>
    </xf>
    <xf numFmtId="3" fontId="0" fillId="2" borderId="1" xfId="0" applyNumberFormat="1" applyFill="1" applyBorder="1" applyAlignment="1">
      <alignment horizontal="center"/>
    </xf>
    <xf numFmtId="3" fontId="2" fillId="0" borderId="0" xfId="0" applyNumberFormat="1" applyFont="1" applyAlignment="1">
      <alignment horizontal="center" vertical="center" wrapText="1"/>
    </xf>
    <xf numFmtId="3" fontId="0" fillId="2" borderId="1" xfId="1" applyNumberFormat="1" applyFont="1" applyFill="1" applyBorder="1"/>
    <xf numFmtId="3" fontId="18" fillId="0" borderId="0" xfId="1" applyNumberFormat="1" applyFont="1" applyFill="1" applyBorder="1"/>
    <xf numFmtId="3" fontId="2" fillId="2" borderId="1" xfId="1" applyNumberFormat="1" applyFont="1" applyFill="1" applyBorder="1"/>
    <xf numFmtId="3" fontId="2" fillId="2" borderId="1" xfId="0" applyNumberFormat="1" applyFont="1" applyFill="1" applyBorder="1"/>
    <xf numFmtId="3" fontId="19" fillId="0" borderId="0" xfId="1" applyNumberFormat="1" applyFont="1" applyFill="1" applyBorder="1"/>
    <xf numFmtId="3" fontId="6" fillId="0" borderId="0" xfId="0" applyNumberFormat="1" applyFont="1" applyAlignment="1">
      <alignment horizontal="center" vertical="center"/>
    </xf>
    <xf numFmtId="3" fontId="2" fillId="0" borderId="0" xfId="0" applyNumberFormat="1" applyFont="1" applyAlignment="1">
      <alignment horizontal="center" vertical="center"/>
    </xf>
    <xf numFmtId="3" fontId="2" fillId="0" borderId="0" xfId="1" applyNumberFormat="1" applyFont="1" applyBorder="1"/>
    <xf numFmtId="3" fontId="0" fillId="2" borderId="1" xfId="0" applyNumberFormat="1" applyFill="1" applyBorder="1" applyAlignment="1">
      <alignment horizontal="center" vertical="center"/>
    </xf>
    <xf numFmtId="3" fontId="6" fillId="0" borderId="0" xfId="0" applyNumberFormat="1" applyFont="1" applyAlignment="1">
      <alignment horizontal="center" vertical="center" wrapText="1"/>
    </xf>
    <xf numFmtId="3" fontId="7" fillId="0" borderId="0" xfId="0" applyNumberFormat="1" applyFont="1"/>
    <xf numFmtId="3" fontId="6" fillId="0" borderId="0" xfId="0" applyNumberFormat="1" applyFont="1"/>
    <xf numFmtId="3" fontId="7" fillId="0" borderId="0" xfId="0" applyNumberFormat="1" applyFont="1" applyAlignment="1">
      <alignment wrapText="1"/>
    </xf>
    <xf numFmtId="3" fontId="0" fillId="0" borderId="0" xfId="0" applyNumberFormat="1" applyAlignment="1">
      <alignment wrapText="1"/>
    </xf>
    <xf numFmtId="3" fontId="6" fillId="2" borderId="0" xfId="1" applyNumberFormat="1" applyFont="1" applyFill="1" applyBorder="1"/>
    <xf numFmtId="3" fontId="2" fillId="2" borderId="1" xfId="0" applyNumberFormat="1" applyFont="1" applyFill="1" applyBorder="1" applyAlignment="1">
      <alignment horizontal="center" vertical="center"/>
    </xf>
    <xf numFmtId="3" fontId="8" fillId="0" borderId="0" xfId="0" applyNumberFormat="1" applyFont="1" applyAlignment="1">
      <alignment horizontal="center"/>
    </xf>
    <xf numFmtId="3" fontId="7" fillId="0" borderId="0" xfId="0" applyNumberFormat="1" applyFont="1" applyAlignment="1">
      <alignment vertical="center"/>
    </xf>
    <xf numFmtId="3" fontId="0" fillId="0" borderId="0" xfId="0" applyNumberFormat="1" applyAlignment="1">
      <alignment vertical="center"/>
    </xf>
    <xf numFmtId="3" fontId="18" fillId="0" borderId="1" xfId="0" applyNumberFormat="1" applyFont="1" applyBorder="1"/>
    <xf numFmtId="3" fontId="7" fillId="0" borderId="0" xfId="0" applyNumberFormat="1" applyFont="1" applyAlignment="1">
      <alignment vertical="center" wrapText="1"/>
    </xf>
    <xf numFmtId="3" fontId="6" fillId="0" borderId="0" xfId="0" applyNumberFormat="1" applyFont="1" applyAlignment="1">
      <alignment vertical="center"/>
    </xf>
    <xf numFmtId="3" fontId="6" fillId="2" borderId="0" xfId="0" applyNumberFormat="1" applyFont="1" applyFill="1"/>
    <xf numFmtId="3" fontId="2" fillId="3" borderId="1" xfId="0" applyNumberFormat="1"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3" fillId="0" borderId="0" xfId="0" applyFont="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3" fontId="3" fillId="0" borderId="0" xfId="0" applyNumberFormat="1" applyFont="1" applyAlignment="1">
      <alignment horizontal="center" wrapText="1"/>
    </xf>
    <xf numFmtId="3" fontId="2" fillId="0" borderId="0" xfId="0" applyNumberFormat="1" applyFont="1" applyAlignment="1">
      <alignment horizontal="center"/>
    </xf>
    <xf numFmtId="3" fontId="0" fillId="0" borderId="1" xfId="0" applyNumberFormat="1" applyBorder="1" applyAlignment="1">
      <alignment horizontal="center"/>
    </xf>
    <xf numFmtId="3" fontId="6" fillId="0" borderId="1" xfId="0" applyNumberFormat="1" applyFont="1" applyBorder="1" applyAlignment="1">
      <alignment horizontal="center" vertical="center" wrapText="1"/>
    </xf>
    <xf numFmtId="0" fontId="13" fillId="3" borderId="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2" fillId="0" borderId="1" xfId="0" applyFont="1" applyBorder="1" applyAlignment="1">
      <alignment horizontal="left"/>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 xfId="0" applyFont="1" applyBorder="1" applyAlignment="1">
      <alignment vertical="center"/>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3" fontId="6" fillId="2" borderId="4" xfId="0" applyNumberFormat="1" applyFont="1" applyFill="1" applyBorder="1" applyAlignment="1">
      <alignment horizontal="center" vertical="center" wrapText="1"/>
    </xf>
    <xf numFmtId="3" fontId="6" fillId="2" borderId="7" xfId="0"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3" fontId="6" fillId="0" borderId="1" xfId="0" applyNumberFormat="1" applyFont="1" applyBorder="1" applyAlignment="1">
      <alignment horizontal="center"/>
    </xf>
    <xf numFmtId="3" fontId="2" fillId="0" borderId="1" xfId="0" applyNumberFormat="1" applyFont="1" applyBorder="1" applyAlignment="1">
      <alignment horizontal="center"/>
    </xf>
    <xf numFmtId="3" fontId="0" fillId="2" borderId="4" xfId="0" applyNumberFormat="1" applyFill="1" applyBorder="1" applyAlignment="1">
      <alignment horizontal="center"/>
    </xf>
    <xf numFmtId="3" fontId="0" fillId="2" borderId="7" xfId="0" applyNumberFormat="1" applyFill="1" applyBorder="1" applyAlignment="1">
      <alignment horizontal="center"/>
    </xf>
    <xf numFmtId="3" fontId="0" fillId="2" borderId="5" xfId="0" applyNumberFormat="1" applyFill="1" applyBorder="1" applyAlignment="1">
      <alignment horizontal="center"/>
    </xf>
    <xf numFmtId="3" fontId="6" fillId="0" borderId="4"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0" xfId="0" applyNumberFormat="1" applyFont="1" applyAlignment="1">
      <alignment horizontal="center" vertical="center" wrapText="1"/>
    </xf>
    <xf numFmtId="0" fontId="2" fillId="0" borderId="11" xfId="0" applyFont="1" applyBorder="1" applyAlignment="1">
      <alignment horizontal="center"/>
    </xf>
  </cellXfs>
  <cellStyles count="1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1.%20&#272;&#7873;%20t&#224;i_T&#244;n%20gi&#225;o%20(16.11.2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6.%20D&#7921;%20&#225;n_C&#244;ng%20ngh&#7879;%20x&#7917;%20l&#253;%20ch&#7845;t%20th&#7843;i%20ch&#259;n%20nu&#244;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7.%20D&#7921;%20&#225;n_B&#242;%20lai%20sinh%20s&#7843;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8.%20D&#7921;%20&#225;n_H&#7891;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8.%20D&#7921;%20&#225;n_H&#7891;i%20(16.11.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1.%20&#272;&#7873;%20t&#224;i_T&#244;n%20gi&#225;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2%20D&#7921;%20&#225;n_B&#417;m%20Cement%20(16.11.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2%20D&#7921;%20&#225;n_B&#417;m%20Ce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3.%20&#272;&#7873;%20t&#224;i_LLCT%20(16.11.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3.%20&#272;&#7873;%20t&#224;i_LLC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4.%20&#272;&#7873;%20t&#224;i_C&#226;y%20Sau%20sa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4.%20&#272;&#7873;%20t&#224;i_C&#226;y%20Sau%20sau%20(16.1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4TAILI~1.202\13C742~1.HSX\13C742~1.HSX\2023\154BA5~1.XYD\DTHONQ~1\123461~1.TRN\MCT70N~1\MCT70N~1\5.%20D&#7921;%20&#225;n_Thalassem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ổng hợp"/>
      <sheetName val="Công lao động (hiện hành)"/>
      <sheetName val="Thù lao = 100% TT03"/>
      <sheetName val="Thù lao (DTNQ)"/>
      <sheetName val="Chi khác (hiện hành)"/>
      <sheetName val="Chi khác = 100% TT03"/>
      <sheetName val="Chi khác (DTNQ)"/>
    </sheetNames>
    <sheetDataSet>
      <sheetData sheetId="0" refreshError="1"/>
      <sheetData sheetId="1">
        <row r="54">
          <cell r="G54">
            <v>284490000</v>
          </cell>
        </row>
      </sheetData>
      <sheetData sheetId="2">
        <row r="54">
          <cell r="G54">
            <v>493381818.18181819</v>
          </cell>
          <cell r="H54">
            <v>394705454.5454545</v>
          </cell>
        </row>
      </sheetData>
      <sheetData sheetId="3" refreshError="1"/>
      <sheetData sheetId="4">
        <row r="47">
          <cell r="G47">
            <v>235510000</v>
          </cell>
        </row>
      </sheetData>
      <sheetData sheetId="5">
        <row r="47">
          <cell r="G47">
            <v>300050000</v>
          </cell>
          <cell r="H47">
            <v>266570000</v>
          </cell>
        </row>
      </sheetData>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GV"/>
      <sheetName val="Dự toán"/>
      <sheetName val="Trang cuối thuyết minh"/>
      <sheetName val="Công (hiện hành)"/>
      <sheetName val="Thù lao = 100% TT03)"/>
      <sheetName val="Thù lao (NQ"/>
      <sheetName val="GT-Nguyên vật liệu"/>
      <sheetName val="GT-Thiết bị, máy móc"/>
      <sheetName val="GT-XD, sửa chữa nhỏ"/>
      <sheetName val="Chi khác (hiện hành)"/>
      <sheetName val="Chi khác = 100% TT03,)"/>
      <sheetName val="Chi khác (DTNQ"/>
      <sheetName val="21. Tiến độ"/>
    </sheetNames>
    <sheetDataSet>
      <sheetData sheetId="0"/>
      <sheetData sheetId="1"/>
      <sheetData sheetId="2"/>
      <sheetData sheetId="3">
        <row r="56">
          <cell r="D56">
            <v>631175199.72727275</v>
          </cell>
        </row>
      </sheetData>
      <sheetData sheetId="4">
        <row r="56">
          <cell r="E56">
            <v>1137417808.8181818</v>
          </cell>
          <cell r="F56">
            <v>909934247.05454552</v>
          </cell>
          <cell r="G56">
            <v>853063356.61363626</v>
          </cell>
        </row>
      </sheetData>
      <sheetData sheetId="5"/>
      <sheetData sheetId="6"/>
      <sheetData sheetId="7"/>
      <sheetData sheetId="8"/>
      <sheetData sheetId="9">
        <row r="78">
          <cell r="D78">
            <v>686841000</v>
          </cell>
        </row>
      </sheetData>
      <sheetData sheetId="10">
        <row r="78">
          <cell r="D78">
            <v>778541000</v>
          </cell>
          <cell r="E78">
            <v>697171000</v>
          </cell>
          <cell r="F78">
            <v>704341000</v>
          </cell>
        </row>
      </sheetData>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gTong"/>
      <sheetName val="PL TongKP"/>
      <sheetName val="CongLD (hiện hành) (2)"/>
      <sheetName val="Thù lao = 100% TT03)"/>
      <sheetName val="Thù lao (DTNQ)"/>
      <sheetName val="NVLNL"/>
      <sheetName val="TBMM"/>
      <sheetName val="XDSC"/>
      <sheetName val="Chikhac (Hiện hành) "/>
      <sheetName val="Chikhac = 100% TT03)"/>
      <sheetName val="Chikhac (DTNQ)"/>
      <sheetName val="DSCong"/>
      <sheetName val="Chamcong"/>
      <sheetName val="Canbo"/>
      <sheetName val="Tiendo"/>
      <sheetName val="HQKT"/>
      <sheetName val="BG PTGiun"/>
      <sheetName val="BG PTPhan"/>
      <sheetName val="BG Bo"/>
      <sheetName val="BG Ngo"/>
      <sheetName val="BG Giun"/>
      <sheetName val="BG TACN"/>
      <sheetName val="BG VSV"/>
      <sheetName val="BG VTPG"/>
      <sheetName val="BG Phan"/>
      <sheetName val="BG Tui"/>
      <sheetName val="BG May"/>
      <sheetName val="BG Biogas"/>
    </sheetNames>
    <sheetDataSet>
      <sheetData sheetId="0"/>
      <sheetData sheetId="1"/>
      <sheetData sheetId="2">
        <row r="83">
          <cell r="E83">
            <v>365140000</v>
          </cell>
        </row>
      </sheetData>
      <sheetData sheetId="3">
        <row r="84">
          <cell r="E84">
            <v>970763636.36363637</v>
          </cell>
          <cell r="F84">
            <v>868610909.09090912</v>
          </cell>
          <cell r="G84">
            <v>849890909.09090912</v>
          </cell>
        </row>
      </sheetData>
      <sheetData sheetId="4"/>
      <sheetData sheetId="5"/>
      <sheetData sheetId="6"/>
      <sheetData sheetId="7"/>
      <sheetData sheetId="8">
        <row r="161">
          <cell r="E161">
            <v>715700000</v>
          </cell>
        </row>
      </sheetData>
      <sheetData sheetId="9">
        <row r="161">
          <cell r="G161">
            <v>586782500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
      <sheetName val="Bieu 26"/>
      <sheetName val="Cong"/>
      <sheetName val="Công LĐ (hiện hành)"/>
      <sheetName val="Thù lao = 100%TT03)"/>
      <sheetName val="Thù lao (DTNQ)"/>
      <sheetName val="Khoan 2 - NVL"/>
      <sheetName val="K3; 4"/>
      <sheetName val="Chi khác (hiện hành)"/>
      <sheetName val="Chi khác = 100% TT03)"/>
      <sheetName val="Chi khác (DTNQ)"/>
      <sheetName val="Phu bieu 1-4"/>
      <sheetName val="ĐM Công"/>
      <sheetName val="00000000"/>
      <sheetName val="Bang LD"/>
    </sheetNames>
    <sheetDataSet>
      <sheetData sheetId="0"/>
      <sheetData sheetId="1"/>
      <sheetData sheetId="2"/>
      <sheetData sheetId="3">
        <row r="202">
          <cell r="G202">
            <v>1171317000</v>
          </cell>
        </row>
      </sheetData>
      <sheetData sheetId="4">
        <row r="201">
          <cell r="J201">
            <v>1189616444.1136363</v>
          </cell>
        </row>
      </sheetData>
      <sheetData sheetId="5"/>
      <sheetData sheetId="6"/>
      <sheetData sheetId="7"/>
      <sheetData sheetId="8">
        <row r="117">
          <cell r="G117">
            <v>672958000</v>
          </cell>
        </row>
      </sheetData>
      <sheetData sheetId="9">
        <row r="114">
          <cell r="I114">
            <v>532145250</v>
          </cell>
        </row>
      </sheetData>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
      <sheetName val="Bieu 26"/>
      <sheetName val="Cong"/>
      <sheetName val="Công LĐ (hiện hành)"/>
      <sheetName val="Thù lao = 100%TT03)"/>
      <sheetName val="Thù lao (DTNQ)"/>
      <sheetName val="Khoan 2 - NVL"/>
      <sheetName val="K3; 4"/>
      <sheetName val="Chi khác (hiện hành)"/>
      <sheetName val="Chi khác = 100% TT03)"/>
      <sheetName val="Chi khác (DTNQ)"/>
      <sheetName val="Phu bieu 1-4"/>
      <sheetName val="ĐM Công"/>
      <sheetName val="00000000"/>
      <sheetName val="Bang LD"/>
    </sheetNames>
    <sheetDataSet>
      <sheetData sheetId="0" refreshError="1"/>
      <sheetData sheetId="1" refreshError="1"/>
      <sheetData sheetId="2" refreshError="1"/>
      <sheetData sheetId="3">
        <row r="201">
          <cell r="H201">
            <v>1089231.5</v>
          </cell>
        </row>
      </sheetData>
      <sheetData sheetId="4">
        <row r="201">
          <cell r="H201">
            <v>1586155258.8181818</v>
          </cell>
          <cell r="I201">
            <v>1268924207.0545456</v>
          </cell>
        </row>
      </sheetData>
      <sheetData sheetId="5" refreshError="1"/>
      <sheetData sheetId="6" refreshError="1"/>
      <sheetData sheetId="7" refreshError="1"/>
      <sheetData sheetId="8" refreshError="1"/>
      <sheetData sheetId="9">
        <row r="117">
          <cell r="G117">
            <v>600528000</v>
          </cell>
          <cell r="H117">
            <v>527643000</v>
          </cell>
        </row>
      </sheetData>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ổng hợp"/>
      <sheetName val="Công lao động (hiện hành)"/>
      <sheetName val="Thù lao = 100% TT03"/>
      <sheetName val="Thù lao (DTNQ)"/>
      <sheetName val="Chi khác (hiện hành)"/>
      <sheetName val="Chi khác = 100% TT03"/>
      <sheetName val="Chi khác (DTNQ)"/>
    </sheetNames>
    <sheetDataSet>
      <sheetData sheetId="0"/>
      <sheetData sheetId="1"/>
      <sheetData sheetId="2">
        <row r="54">
          <cell r="I54">
            <v>370036363.63636363</v>
          </cell>
        </row>
      </sheetData>
      <sheetData sheetId="3"/>
      <sheetData sheetId="4"/>
      <sheetData sheetId="5">
        <row r="47">
          <cell r="I47">
            <v>288637500</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ỔNG"/>
      <sheetName val="Công lao động (hiện hành)"/>
      <sheetName val="Công lao động = 100% T03"/>
      <sheetName val="Công lao động (DTNQ)"/>
      <sheetName val="Chi khác (hiện hành)"/>
      <sheetName val="Chi khác = 100% TT03"/>
      <sheetName val="Chi khác (DTNQ)"/>
      <sheetName val="Các khoản chi"/>
      <sheetName val="Nguyên liệu"/>
    </sheetNames>
    <sheetDataSet>
      <sheetData sheetId="0" refreshError="1"/>
      <sheetData sheetId="1">
        <row r="51">
          <cell r="E51">
            <v>171300000</v>
          </cell>
        </row>
      </sheetData>
      <sheetData sheetId="2">
        <row r="49">
          <cell r="D49">
            <v>345018181.81818181</v>
          </cell>
          <cell r="E49">
            <v>276014545.4545455</v>
          </cell>
        </row>
      </sheetData>
      <sheetData sheetId="3" refreshError="1"/>
      <sheetData sheetId="4">
        <row r="58">
          <cell r="G58">
            <v>483700000</v>
          </cell>
        </row>
      </sheetData>
      <sheetData sheetId="5">
        <row r="58">
          <cell r="G58">
            <v>519280000</v>
          </cell>
          <cell r="H58">
            <v>489230000</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ỔNG"/>
      <sheetName val="Công lao động (hiện hành)"/>
      <sheetName val="Công lao động = 100% T03"/>
      <sheetName val="Công lao động (DTNQ)"/>
      <sheetName val="Chi khác (hiện hành)"/>
      <sheetName val="Chi khác = 100% TT03"/>
      <sheetName val="Chi khác (DTNQ)"/>
      <sheetName val="Các khoản chi"/>
      <sheetName val="Nguyên liệu"/>
    </sheetNames>
    <sheetDataSet>
      <sheetData sheetId="0"/>
      <sheetData sheetId="1"/>
      <sheetData sheetId="2">
        <row r="49">
          <cell r="F49">
            <v>258763636.36363637</v>
          </cell>
        </row>
      </sheetData>
      <sheetData sheetId="3"/>
      <sheetData sheetId="4"/>
      <sheetData sheetId="5">
        <row r="58">
          <cell r="I58">
            <v>476262499.99999994</v>
          </cell>
        </row>
      </sheetData>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ổng hợp"/>
      <sheetName val="Công lao động (hiện hành)"/>
      <sheetName val="Thù lao = 100% TT03"/>
      <sheetName val="Thù lao (DTNQ)"/>
      <sheetName val="Chi khác (hiện hành)"/>
      <sheetName val="Chi khác = 100% TT03"/>
      <sheetName val="Chi khác (DTNQ)"/>
    </sheetNames>
    <sheetDataSet>
      <sheetData sheetId="0" refreshError="1"/>
      <sheetData sheetId="1">
        <row r="70">
          <cell r="G70">
            <v>83782700</v>
          </cell>
        </row>
      </sheetData>
      <sheetData sheetId="2">
        <row r="70">
          <cell r="G70">
            <v>300145454.54545456</v>
          </cell>
          <cell r="H70">
            <v>240116363.63636363</v>
          </cell>
        </row>
      </sheetData>
      <sheetData sheetId="3" refreshError="1"/>
      <sheetData sheetId="4">
        <row r="74">
          <cell r="G74">
            <v>207217300</v>
          </cell>
        </row>
      </sheetData>
      <sheetData sheetId="5">
        <row r="74">
          <cell r="G74">
            <v>251000500</v>
          </cell>
          <cell r="H74">
            <v>221943900</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ổng hợp"/>
      <sheetName val="Công lao động (hiện hành)"/>
      <sheetName val="Thù lao = 100% TT03"/>
      <sheetName val="Thù lao (DTNQ)"/>
      <sheetName val="Chi khác (hiện hành)"/>
      <sheetName val="Chi khác = 100% TT03"/>
      <sheetName val="Chi khác (DTNQ)"/>
    </sheetNames>
    <sheetDataSet>
      <sheetData sheetId="0"/>
      <sheetData sheetId="1"/>
      <sheetData sheetId="2">
        <row r="70">
          <cell r="I70">
            <v>225109090.90909094</v>
          </cell>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g kí"/>
      <sheetName val="Tổng KP"/>
      <sheetName val="K1. Lđ trực tiếp (Hiện hành)"/>
      <sheetName val="Thù lao = 100% TT03)"/>
      <sheetName val="K1a. công LĐ trực tiếp"/>
      <sheetName val="K1b.chuyên gia "/>
      <sheetName val="K2.NVL"/>
      <sheetName val="K3.máy"/>
      <sheetName val="K4.sửa chữa"/>
      <sheetName val="K5.Chi khác (hiện hành)"/>
      <sheetName val="K5.Chi khác = 100% TT03)"/>
      <sheetName val="K5.Chi khác (DTNQ)"/>
      <sheetName val="Danh sách"/>
      <sheetName val="phân tích"/>
    </sheetNames>
    <sheetDataSet>
      <sheetData sheetId="0"/>
      <sheetData sheetId="1"/>
      <sheetData sheetId="2">
        <row r="314">
          <cell r="G314">
            <v>1060287000</v>
          </cell>
        </row>
      </sheetData>
      <sheetData sheetId="3">
        <row r="314">
          <cell r="G314">
            <v>1757454545.4545455</v>
          </cell>
          <cell r="H314">
            <v>1405963636.3636363</v>
          </cell>
          <cell r="I314">
            <v>1318090909.0909092</v>
          </cell>
        </row>
      </sheetData>
      <sheetData sheetId="4"/>
      <sheetData sheetId="5"/>
      <sheetData sheetId="6"/>
      <sheetData sheetId="7"/>
      <sheetData sheetId="8"/>
      <sheetData sheetId="9"/>
      <sheetData sheetId="10">
        <row r="82">
          <cell r="G82">
            <v>498911500.00000006</v>
          </cell>
        </row>
      </sheetData>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g kí"/>
      <sheetName val="Tổng KP"/>
      <sheetName val="K1. Lđ trực tiếp (Hiện hành)"/>
      <sheetName val="Thù lao = 100% TT03)"/>
      <sheetName val="K1a. công LĐ trực tiếp"/>
      <sheetName val="K1b.chuyên gia "/>
      <sheetName val="K2.NVL"/>
      <sheetName val="K3.máy"/>
      <sheetName val="K4.sửa chữa"/>
      <sheetName val="K5.Chi khác (hiện hành)"/>
      <sheetName val="K5.Chi khác = 100% TT03)"/>
      <sheetName val="K5.Chi khác (DTNQ)"/>
      <sheetName val="Danh sách"/>
      <sheetName val="phân tích"/>
    </sheetNames>
    <sheetDataSet>
      <sheetData sheetId="0" refreshError="1"/>
      <sheetData sheetId="1" refreshError="1"/>
      <sheetData sheetId="2">
        <row r="314">
          <cell r="H314">
            <v>802226000</v>
          </cell>
        </row>
      </sheetData>
      <sheetData sheetId="3">
        <row r="304">
          <cell r="G304">
            <v>1757454.5454545454</v>
          </cell>
        </row>
      </sheetData>
      <sheetData sheetId="4" refreshError="1"/>
      <sheetData sheetId="5" refreshError="1"/>
      <sheetData sheetId="6" refreshError="1"/>
      <sheetData sheetId="7" refreshError="1"/>
      <sheetData sheetId="8" refreshError="1"/>
      <sheetData sheetId="9">
        <row r="82">
          <cell r="C82">
            <v>564189000</v>
          </cell>
        </row>
      </sheetData>
      <sheetData sheetId="10">
        <row r="82">
          <cell r="E82">
            <v>642589000</v>
          </cell>
          <cell r="F82">
            <v>628089000</v>
          </cell>
        </row>
      </sheetData>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ổng"/>
      <sheetName val="1 Công lao động (hiện hành) "/>
      <sheetName val="1. Thù lao = 100% TT03"/>
      <sheetName val="1 Thù lao (DTNQ)"/>
      <sheetName val="2, Chi khác hiện hành"/>
      <sheetName val="2 Chi khác = 100% TT03 "/>
      <sheetName val="2 Chi khác (DTNQ"/>
    </sheetNames>
    <sheetDataSet>
      <sheetData sheetId="0"/>
      <sheetData sheetId="1">
        <row r="41">
          <cell r="C41">
            <v>135501000</v>
          </cell>
        </row>
      </sheetData>
      <sheetData sheetId="2">
        <row r="41">
          <cell r="D41">
            <v>388509000</v>
          </cell>
          <cell r="E41">
            <v>310807000</v>
          </cell>
          <cell r="F41">
            <v>291381818.18181825</v>
          </cell>
        </row>
      </sheetData>
      <sheetData sheetId="3"/>
      <sheetData sheetId="4">
        <row r="65">
          <cell r="D65">
            <v>253585000</v>
          </cell>
        </row>
      </sheetData>
      <sheetData sheetId="5">
        <row r="65">
          <cell r="D65">
            <v>273445000</v>
          </cell>
          <cell r="E65">
            <v>260679000</v>
          </cell>
          <cell r="F65">
            <v>266862500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L20"/>
  <sheetViews>
    <sheetView topLeftCell="A10" zoomScale="111" workbookViewId="0">
      <selection activeCell="C6" sqref="C6"/>
    </sheetView>
  </sheetViews>
  <sheetFormatPr defaultColWidth="8.85546875" defaultRowHeight="15" x14ac:dyDescent="0.25"/>
  <cols>
    <col min="1" max="1" width="6" customWidth="1"/>
    <col min="2" max="2" width="32.7109375" customWidth="1"/>
    <col min="3" max="3" width="16.42578125" customWidth="1"/>
    <col min="4" max="4" width="15.28515625" customWidth="1"/>
    <col min="5" max="5" width="16.42578125" customWidth="1"/>
    <col min="6" max="6" width="16.140625" customWidth="1"/>
    <col min="7" max="7" width="17.28515625" hidden="1" customWidth="1"/>
    <col min="8" max="8" width="17.140625" hidden="1" customWidth="1"/>
    <col min="10" max="10" width="18.7109375" bestFit="1" customWidth="1"/>
    <col min="11" max="11" width="8.85546875" style="11"/>
    <col min="12" max="12" width="19" customWidth="1"/>
  </cols>
  <sheetData>
    <row r="2" spans="1:12" x14ac:dyDescent="0.25">
      <c r="B2" s="122" t="s">
        <v>65</v>
      </c>
      <c r="C2" s="122"/>
      <c r="D2" s="122"/>
      <c r="E2" s="122"/>
      <c r="F2" s="122"/>
      <c r="G2" s="122"/>
    </row>
    <row r="4" spans="1:12" x14ac:dyDescent="0.25">
      <c r="A4" s="120" t="s">
        <v>0</v>
      </c>
      <c r="B4" s="120" t="s">
        <v>1</v>
      </c>
      <c r="C4" s="123" t="s">
        <v>2</v>
      </c>
      <c r="D4" s="124"/>
      <c r="E4" s="123" t="s">
        <v>8</v>
      </c>
      <c r="F4" s="124"/>
      <c r="G4" s="123" t="s">
        <v>3</v>
      </c>
      <c r="H4" s="124"/>
    </row>
    <row r="5" spans="1:12" x14ac:dyDescent="0.25">
      <c r="A5" s="121"/>
      <c r="B5" s="121"/>
      <c r="C5" s="2" t="s">
        <v>5</v>
      </c>
      <c r="D5" s="2" t="s">
        <v>6</v>
      </c>
      <c r="E5" s="2" t="s">
        <v>7</v>
      </c>
      <c r="F5" s="2" t="s">
        <v>6</v>
      </c>
      <c r="G5" s="2" t="s">
        <v>7</v>
      </c>
      <c r="H5" s="2" t="s">
        <v>6</v>
      </c>
    </row>
    <row r="6" spans="1:12" ht="45" x14ac:dyDescent="0.25">
      <c r="A6" s="3">
        <v>1</v>
      </c>
      <c r="B6" s="1" t="s">
        <v>4</v>
      </c>
      <c r="C6" s="4">
        <v>284490000</v>
      </c>
      <c r="D6" s="4">
        <v>142776000</v>
      </c>
      <c r="E6" s="4">
        <v>493382000</v>
      </c>
      <c r="F6" s="4">
        <v>345018000</v>
      </c>
      <c r="G6" s="4">
        <v>394705000</v>
      </c>
      <c r="H6" s="4">
        <v>276015000</v>
      </c>
      <c r="J6" s="7">
        <f>E6-C6</f>
        <v>208892000</v>
      </c>
      <c r="K6" s="11">
        <v>2</v>
      </c>
      <c r="L6" s="7">
        <f>J6/K6</f>
        <v>104446000</v>
      </c>
    </row>
    <row r="7" spans="1:12" ht="60" x14ac:dyDescent="0.25">
      <c r="A7" s="3">
        <v>2</v>
      </c>
      <c r="B7" s="1" t="s">
        <v>9</v>
      </c>
      <c r="C7" s="4">
        <v>171300000</v>
      </c>
      <c r="D7" s="4">
        <v>63010000</v>
      </c>
      <c r="E7" s="4">
        <v>356655000</v>
      </c>
      <c r="F7" s="4">
        <v>305745000</v>
      </c>
      <c r="G7" s="4">
        <v>285324000</v>
      </c>
      <c r="H7" s="4">
        <v>244596000</v>
      </c>
      <c r="J7" s="7">
        <f>E7-C7</f>
        <v>185355000</v>
      </c>
      <c r="K7" s="11">
        <v>3</v>
      </c>
      <c r="L7" s="7">
        <f t="shared" ref="L7:L13" si="0">J7/K7</f>
        <v>61785000</v>
      </c>
    </row>
    <row r="8" spans="1:12" ht="60" x14ac:dyDescent="0.25">
      <c r="A8" s="3">
        <v>3</v>
      </c>
      <c r="B8" s="1" t="s">
        <v>10</v>
      </c>
      <c r="C8" s="4">
        <v>83783000</v>
      </c>
      <c r="D8" s="4">
        <v>34196000</v>
      </c>
      <c r="E8" s="4">
        <v>300145000</v>
      </c>
      <c r="F8" s="4">
        <v>135164000</v>
      </c>
      <c r="G8" s="4">
        <v>241135000</v>
      </c>
      <c r="H8" s="4">
        <v>108131000</v>
      </c>
      <c r="J8" s="7">
        <f t="shared" ref="J8:J13" si="1">E8-C8</f>
        <v>216362000</v>
      </c>
      <c r="K8" s="11">
        <v>2</v>
      </c>
      <c r="L8" s="7">
        <f t="shared" si="0"/>
        <v>108181000</v>
      </c>
    </row>
    <row r="9" spans="1:12" ht="60" x14ac:dyDescent="0.25">
      <c r="A9" s="3">
        <v>4</v>
      </c>
      <c r="B9" s="1" t="s">
        <v>11</v>
      </c>
      <c r="C9" s="4">
        <v>802226000</v>
      </c>
      <c r="D9" s="4">
        <v>410178000</v>
      </c>
      <c r="E9" s="4">
        <v>1717000000</v>
      </c>
      <c r="F9" s="4">
        <v>733255000</v>
      </c>
      <c r="G9" s="4">
        <f>E9*80%</f>
        <v>1373600000</v>
      </c>
      <c r="H9" s="4">
        <f>F9*80%</f>
        <v>586604000</v>
      </c>
      <c r="J9" s="7">
        <f t="shared" si="1"/>
        <v>914774000</v>
      </c>
      <c r="K9" s="11">
        <v>5</v>
      </c>
      <c r="L9" s="7">
        <f t="shared" si="0"/>
        <v>182954800</v>
      </c>
    </row>
    <row r="10" spans="1:12" ht="45" x14ac:dyDescent="0.25">
      <c r="A10" s="3">
        <v>5</v>
      </c>
      <c r="B10" s="1" t="s">
        <v>12</v>
      </c>
      <c r="C10" s="4">
        <v>135501000</v>
      </c>
      <c r="D10" s="4">
        <v>108561000</v>
      </c>
      <c r="E10" s="4">
        <v>388509000</v>
      </c>
      <c r="F10" s="4">
        <v>384873000</v>
      </c>
      <c r="G10" s="4">
        <v>310807000</v>
      </c>
      <c r="H10" s="4">
        <v>307898000</v>
      </c>
      <c r="J10" s="7">
        <f t="shared" si="1"/>
        <v>253008000</v>
      </c>
      <c r="K10" s="11">
        <v>3</v>
      </c>
      <c r="L10" s="7">
        <f t="shared" si="0"/>
        <v>84336000</v>
      </c>
    </row>
    <row r="11" spans="1:12" ht="75" x14ac:dyDescent="0.25">
      <c r="A11" s="3">
        <v>6</v>
      </c>
      <c r="B11" s="1" t="s">
        <v>13</v>
      </c>
      <c r="C11" s="4">
        <v>631175000</v>
      </c>
      <c r="D11" s="4">
        <v>111995000</v>
      </c>
      <c r="E11" s="4">
        <v>1137000000</v>
      </c>
      <c r="F11" s="4">
        <v>404812000</v>
      </c>
      <c r="G11" s="4">
        <v>921098000</v>
      </c>
      <c r="H11" s="4">
        <v>329922000</v>
      </c>
      <c r="J11" s="7">
        <f t="shared" si="1"/>
        <v>505825000</v>
      </c>
      <c r="K11" s="11">
        <v>3</v>
      </c>
      <c r="L11" s="7">
        <f t="shared" si="0"/>
        <v>168608333.33333334</v>
      </c>
    </row>
    <row r="12" spans="1:12" ht="60" x14ac:dyDescent="0.25">
      <c r="A12" s="3">
        <v>7</v>
      </c>
      <c r="B12" s="1" t="s">
        <v>14</v>
      </c>
      <c r="C12" s="4">
        <v>365140000</v>
      </c>
      <c r="D12" s="4">
        <v>95000000</v>
      </c>
      <c r="E12" s="4">
        <v>973764000</v>
      </c>
      <c r="F12" s="4">
        <v>530764000</v>
      </c>
      <c r="G12" s="4">
        <v>776611000</v>
      </c>
      <c r="H12" s="4">
        <v>424611000</v>
      </c>
      <c r="J12" s="7">
        <f t="shared" si="1"/>
        <v>608624000</v>
      </c>
      <c r="K12" s="11">
        <v>3</v>
      </c>
      <c r="L12" s="7">
        <f t="shared" si="0"/>
        <v>202874666.66666666</v>
      </c>
    </row>
    <row r="13" spans="1:12" ht="45" x14ac:dyDescent="0.25">
      <c r="A13" s="3">
        <v>8</v>
      </c>
      <c r="B13" s="1" t="s">
        <v>15</v>
      </c>
      <c r="C13" s="4">
        <v>1089323000</v>
      </c>
      <c r="D13" s="4">
        <v>423406000</v>
      </c>
      <c r="E13" s="4">
        <v>1586155000</v>
      </c>
      <c r="F13" s="4">
        <v>728718000</v>
      </c>
      <c r="G13" s="4">
        <v>1327621000</v>
      </c>
      <c r="H13" s="4">
        <v>608698000</v>
      </c>
      <c r="J13" s="7">
        <f t="shared" si="1"/>
        <v>496832000</v>
      </c>
      <c r="K13" s="11">
        <v>4</v>
      </c>
      <c r="L13" s="7">
        <f t="shared" si="0"/>
        <v>124208000</v>
      </c>
    </row>
    <row r="14" spans="1:12" ht="29.25" customHeight="1" x14ac:dyDescent="0.25">
      <c r="A14" s="3"/>
      <c r="B14" s="5" t="s">
        <v>16</v>
      </c>
      <c r="C14" s="6">
        <f>SUM(C6:C13)</f>
        <v>3562938000</v>
      </c>
      <c r="D14" s="6">
        <f t="shared" ref="D14:H14" si="2">SUM(D6:D13)</f>
        <v>1389122000</v>
      </c>
      <c r="E14" s="6">
        <f t="shared" si="2"/>
        <v>6952610000</v>
      </c>
      <c r="F14" s="6">
        <f t="shared" si="2"/>
        <v>3568349000</v>
      </c>
      <c r="G14" s="6">
        <f t="shared" si="2"/>
        <v>5630901000</v>
      </c>
      <c r="H14" s="6">
        <f t="shared" si="2"/>
        <v>2886475000</v>
      </c>
      <c r="J14" s="9"/>
      <c r="L14" s="32">
        <f>SUM(L6:L13)</f>
        <v>1037393800</v>
      </c>
    </row>
    <row r="15" spans="1:12" x14ac:dyDescent="0.25">
      <c r="C15" s="7"/>
      <c r="D15" s="7"/>
      <c r="E15" s="8">
        <f>(E14-C14)/E14*100</f>
        <v>48.753949955484345</v>
      </c>
      <c r="F15" s="7"/>
      <c r="G15" s="8">
        <f>(G14-C14)/G14*100</f>
        <v>36.725259421183218</v>
      </c>
      <c r="H15" s="7"/>
      <c r="J15" s="7"/>
    </row>
    <row r="16" spans="1:12" x14ac:dyDescent="0.25">
      <c r="F16" s="7"/>
      <c r="G16" s="8">
        <f>(E14-G14)/E14*100</f>
        <v>19.010256579903086</v>
      </c>
      <c r="H16" s="7"/>
      <c r="J16" s="10"/>
      <c r="K16" s="30"/>
    </row>
    <row r="17" spans="2:8" ht="23.25" customHeight="1" x14ac:dyDescent="0.25">
      <c r="B17" s="118" t="s">
        <v>62</v>
      </c>
      <c r="C17" s="118"/>
      <c r="D17" s="118"/>
      <c r="E17" s="118"/>
      <c r="F17" s="118"/>
      <c r="G17" s="118"/>
      <c r="H17" s="118"/>
    </row>
    <row r="18" spans="2:8" ht="41.25" customHeight="1" x14ac:dyDescent="0.25">
      <c r="B18" s="119"/>
      <c r="C18" s="119"/>
      <c r="D18" s="119"/>
      <c r="E18" s="119"/>
      <c r="F18" s="119"/>
      <c r="G18" s="119"/>
      <c r="H18" s="119"/>
    </row>
    <row r="19" spans="2:8" x14ac:dyDescent="0.25">
      <c r="C19" s="7">
        <f>G14-C14</f>
        <v>2067963000</v>
      </c>
      <c r="E19" s="8">
        <f>L14+'Chi khác (CTP, HT)'!C21+'Chi quản lý'!D16</f>
        <v>1756787800</v>
      </c>
    </row>
    <row r="20" spans="2:8" x14ac:dyDescent="0.25">
      <c r="C20" s="11">
        <f>C19+'Chi khác (CTP, HT)'!C21+'Chi quản lý'!E10-'Chi quản lý'!C10</f>
        <v>2683637000</v>
      </c>
    </row>
  </sheetData>
  <mergeCells count="8">
    <mergeCell ref="B17:H17"/>
    <mergeCell ref="B18:H18"/>
    <mergeCell ref="A4:A5"/>
    <mergeCell ref="B4:B5"/>
    <mergeCell ref="B2:G2"/>
    <mergeCell ref="C4:D4"/>
    <mergeCell ref="E4:F4"/>
    <mergeCell ref="G4:H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K21"/>
  <sheetViews>
    <sheetView topLeftCell="A9" workbookViewId="0">
      <selection activeCell="K14" sqref="K14"/>
    </sheetView>
  </sheetViews>
  <sheetFormatPr defaultColWidth="8.85546875" defaultRowHeight="15" x14ac:dyDescent="0.25"/>
  <cols>
    <col min="1" max="1" width="7.7109375" customWidth="1"/>
    <col min="2" max="2" width="38.28515625" customWidth="1"/>
    <col min="3" max="3" width="16" customWidth="1"/>
    <col min="4" max="4" width="19.42578125" customWidth="1"/>
    <col min="5" max="6" width="15.42578125" customWidth="1"/>
    <col min="7" max="7" width="16.42578125" customWidth="1"/>
    <col min="8" max="8" width="17.140625" customWidth="1"/>
    <col min="9" max="9" width="12.28515625" customWidth="1"/>
    <col min="11" max="11" width="11.140625" style="11" bestFit="1" customWidth="1"/>
  </cols>
  <sheetData>
    <row r="2" spans="1:11" x14ac:dyDescent="0.25">
      <c r="B2" s="122" t="s">
        <v>63</v>
      </c>
      <c r="C2" s="122"/>
      <c r="D2" s="122"/>
      <c r="E2" s="122"/>
      <c r="F2" s="122"/>
      <c r="G2" s="122"/>
    </row>
    <row r="4" spans="1:11" ht="33.75" customHeight="1" x14ac:dyDescent="0.25">
      <c r="A4" s="120" t="s">
        <v>0</v>
      </c>
      <c r="B4" s="120" t="s">
        <v>1</v>
      </c>
      <c r="C4" s="126" t="s">
        <v>17</v>
      </c>
      <c r="D4" s="127"/>
      <c r="E4" s="126" t="s">
        <v>18</v>
      </c>
      <c r="F4" s="127"/>
      <c r="G4" s="126" t="s">
        <v>19</v>
      </c>
      <c r="H4" s="127"/>
    </row>
    <row r="5" spans="1:11" x14ac:dyDescent="0.25">
      <c r="A5" s="121"/>
      <c r="B5" s="121"/>
      <c r="C5" s="2" t="s">
        <v>16</v>
      </c>
      <c r="D5" s="2" t="s">
        <v>6</v>
      </c>
      <c r="E5" s="2" t="s">
        <v>16</v>
      </c>
      <c r="F5" s="2" t="s">
        <v>6</v>
      </c>
      <c r="G5" s="2" t="s">
        <v>16</v>
      </c>
      <c r="H5" s="2" t="s">
        <v>6</v>
      </c>
    </row>
    <row r="6" spans="1:11" ht="52.5" customHeight="1" x14ac:dyDescent="0.25">
      <c r="A6" s="3">
        <v>1</v>
      </c>
      <c r="B6" s="1" t="s">
        <v>4</v>
      </c>
      <c r="C6" s="4">
        <v>235510000</v>
      </c>
      <c r="D6" s="4">
        <v>127224000</v>
      </c>
      <c r="E6" s="4">
        <v>300050000</v>
      </c>
      <c r="F6" s="4">
        <v>132264000</v>
      </c>
      <c r="G6" s="4">
        <v>276850000</v>
      </c>
      <c r="H6" s="4">
        <v>132264000</v>
      </c>
      <c r="I6" s="7">
        <f>E6-C6</f>
        <v>64540000</v>
      </c>
      <c r="J6" s="11">
        <v>2</v>
      </c>
      <c r="K6" s="11">
        <f>I6/J6</f>
        <v>32270000</v>
      </c>
    </row>
    <row r="7" spans="1:11" ht="67.5" customHeight="1" x14ac:dyDescent="0.25">
      <c r="A7" s="3">
        <v>2</v>
      </c>
      <c r="B7" s="1" t="s">
        <v>9</v>
      </c>
      <c r="C7" s="4">
        <v>483700000</v>
      </c>
      <c r="D7" s="4">
        <v>225420000</v>
      </c>
      <c r="E7" s="4">
        <v>519280000</v>
      </c>
      <c r="F7" s="4">
        <v>242960000</v>
      </c>
      <c r="G7" s="4">
        <v>510880000</v>
      </c>
      <c r="H7" s="4">
        <v>238660000</v>
      </c>
      <c r="I7" s="7">
        <f t="shared" ref="I7:I13" si="0">E7-C7</f>
        <v>35580000</v>
      </c>
      <c r="J7" s="11">
        <v>3</v>
      </c>
      <c r="K7" s="11">
        <f t="shared" ref="K7:K13" si="1">I7/J7</f>
        <v>11860000</v>
      </c>
    </row>
    <row r="8" spans="1:11" ht="67.5" customHeight="1" x14ac:dyDescent="0.25">
      <c r="A8" s="3">
        <v>3</v>
      </c>
      <c r="B8" s="1" t="s">
        <v>10</v>
      </c>
      <c r="C8" s="4">
        <v>207217000</v>
      </c>
      <c r="D8" s="4">
        <v>81805000</v>
      </c>
      <c r="E8" s="4">
        <v>251000000</v>
      </c>
      <c r="F8" s="4">
        <v>95215000</v>
      </c>
      <c r="G8" s="4">
        <v>235101000</v>
      </c>
      <c r="H8" s="4">
        <v>95215000</v>
      </c>
      <c r="I8" s="7">
        <f t="shared" si="0"/>
        <v>43783000</v>
      </c>
      <c r="J8" s="11">
        <v>2</v>
      </c>
      <c r="K8" s="11">
        <f t="shared" si="1"/>
        <v>21891500</v>
      </c>
    </row>
    <row r="9" spans="1:11" ht="61.5" customHeight="1" x14ac:dyDescent="0.25">
      <c r="A9" s="3">
        <v>4</v>
      </c>
      <c r="B9" s="1" t="s">
        <v>11</v>
      </c>
      <c r="C9" s="4">
        <v>564189000</v>
      </c>
      <c r="D9" s="4">
        <v>249634000</v>
      </c>
      <c r="E9" s="4">
        <v>673789000</v>
      </c>
      <c r="F9" s="4">
        <v>307614000</v>
      </c>
      <c r="G9" s="4">
        <v>670889000</v>
      </c>
      <c r="H9" s="4">
        <v>304714000</v>
      </c>
      <c r="I9" s="7">
        <f t="shared" si="0"/>
        <v>109600000</v>
      </c>
      <c r="J9" s="11">
        <v>5</v>
      </c>
      <c r="K9" s="11">
        <f t="shared" si="1"/>
        <v>21920000</v>
      </c>
    </row>
    <row r="10" spans="1:11" ht="52.5" customHeight="1" x14ac:dyDescent="0.25">
      <c r="A10" s="3">
        <v>5</v>
      </c>
      <c r="B10" s="1" t="s">
        <v>12</v>
      </c>
      <c r="C10" s="4">
        <v>253585000</v>
      </c>
      <c r="D10" s="4">
        <v>159625000</v>
      </c>
      <c r="E10" s="4">
        <v>273455000</v>
      </c>
      <c r="F10" s="4">
        <v>168985000</v>
      </c>
      <c r="G10" s="4">
        <v>269945000</v>
      </c>
      <c r="H10" s="4">
        <v>168985000</v>
      </c>
      <c r="I10" s="7">
        <f t="shared" si="0"/>
        <v>19870000</v>
      </c>
      <c r="J10" s="11">
        <v>3</v>
      </c>
      <c r="K10" s="11">
        <f t="shared" si="1"/>
        <v>6623333.333333333</v>
      </c>
    </row>
    <row r="11" spans="1:11" ht="52.5" customHeight="1" x14ac:dyDescent="0.25">
      <c r="A11" s="3">
        <v>6</v>
      </c>
      <c r="B11" s="1" t="s">
        <v>13</v>
      </c>
      <c r="C11" s="4">
        <v>686841000</v>
      </c>
      <c r="D11" s="4">
        <v>114250000</v>
      </c>
      <c r="E11" s="4">
        <v>778541000</v>
      </c>
      <c r="F11" s="4">
        <v>129750000</v>
      </c>
      <c r="G11" s="4">
        <v>773001000</v>
      </c>
      <c r="H11" s="4">
        <v>129750000</v>
      </c>
      <c r="I11" s="7">
        <f t="shared" si="0"/>
        <v>91700000</v>
      </c>
      <c r="J11" s="11">
        <v>3</v>
      </c>
      <c r="K11" s="11">
        <f t="shared" si="1"/>
        <v>30566666.666666668</v>
      </c>
    </row>
    <row r="12" spans="1:11" ht="52.5" customHeight="1" x14ac:dyDescent="0.25">
      <c r="A12" s="3">
        <v>7</v>
      </c>
      <c r="B12" s="1" t="s">
        <v>14</v>
      </c>
      <c r="C12" s="4">
        <v>586700000</v>
      </c>
      <c r="D12" s="4">
        <v>176870000</v>
      </c>
      <c r="E12" s="4">
        <v>682620000</v>
      </c>
      <c r="F12" s="4">
        <v>190190000</v>
      </c>
      <c r="G12" s="4">
        <v>663020000</v>
      </c>
      <c r="H12" s="4">
        <v>190190000</v>
      </c>
      <c r="I12" s="7">
        <f t="shared" si="0"/>
        <v>95920000</v>
      </c>
      <c r="J12" s="11">
        <v>3</v>
      </c>
      <c r="K12" s="11">
        <f t="shared" si="1"/>
        <v>31973333.333333332</v>
      </c>
    </row>
    <row r="13" spans="1:11" ht="52.5" customHeight="1" x14ac:dyDescent="0.25">
      <c r="A13" s="3">
        <v>8</v>
      </c>
      <c r="B13" s="1" t="s">
        <v>15</v>
      </c>
      <c r="C13" s="4">
        <v>537958000</v>
      </c>
      <c r="D13" s="4">
        <v>238284000</v>
      </c>
      <c r="E13" s="4">
        <v>600528000</v>
      </c>
      <c r="F13" s="4">
        <v>254244000</v>
      </c>
      <c r="G13" s="4">
        <v>592208000</v>
      </c>
      <c r="H13" s="4">
        <v>254244000</v>
      </c>
      <c r="I13" s="7">
        <f t="shared" si="0"/>
        <v>62570000</v>
      </c>
      <c r="J13" s="11">
        <v>4</v>
      </c>
      <c r="K13" s="11">
        <f t="shared" si="1"/>
        <v>15642500</v>
      </c>
    </row>
    <row r="14" spans="1:11" ht="24" customHeight="1" x14ac:dyDescent="0.25">
      <c r="A14" s="3"/>
      <c r="B14" s="5" t="s">
        <v>16</v>
      </c>
      <c r="C14" s="6">
        <f>SUM(C6:C13)</f>
        <v>3555700000</v>
      </c>
      <c r="D14" s="6">
        <f t="shared" ref="D14:H14" si="2">SUM(D6:D13)</f>
        <v>1373112000</v>
      </c>
      <c r="E14" s="6">
        <f t="shared" si="2"/>
        <v>4079263000</v>
      </c>
      <c r="F14" s="6">
        <f t="shared" si="2"/>
        <v>1521222000</v>
      </c>
      <c r="G14" s="6">
        <f t="shared" si="2"/>
        <v>3991894000</v>
      </c>
      <c r="H14" s="6">
        <f t="shared" si="2"/>
        <v>1514022000</v>
      </c>
      <c r="K14" s="31">
        <f>SUM(K6:K13)</f>
        <v>172747333.33333334</v>
      </c>
    </row>
    <row r="15" spans="1:11" x14ac:dyDescent="0.25">
      <c r="E15">
        <f>(E14-C14)/E14*100</f>
        <v>12.834744903675002</v>
      </c>
      <c r="G15" s="8">
        <f>(G14-C14)/G14*100</f>
        <v>10.926993552434007</v>
      </c>
    </row>
    <row r="16" spans="1:11" x14ac:dyDescent="0.25">
      <c r="E16" s="8">
        <f>(E14-G14)/E14*100</f>
        <v>2.1417839447959106</v>
      </c>
    </row>
    <row r="17" spans="2:8" ht="24.75" customHeight="1" x14ac:dyDescent="0.25">
      <c r="B17" s="125" t="s">
        <v>61</v>
      </c>
      <c r="C17" s="125"/>
      <c r="D17" s="125"/>
      <c r="E17" s="125"/>
      <c r="F17" s="125"/>
      <c r="G17" s="125"/>
      <c r="H17" s="125"/>
    </row>
    <row r="21" spans="2:8" x14ac:dyDescent="0.25">
      <c r="C21" s="7">
        <f>G14-C14</f>
        <v>436194000</v>
      </c>
    </row>
  </sheetData>
  <mergeCells count="7">
    <mergeCell ref="B17:H17"/>
    <mergeCell ref="B2:G2"/>
    <mergeCell ref="A4:A5"/>
    <mergeCell ref="B4:B5"/>
    <mergeCell ref="C4:D4"/>
    <mergeCell ref="E4:F4"/>
    <mergeCell ref="G4: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P50"/>
  <sheetViews>
    <sheetView zoomScale="99" zoomScaleNormal="85" workbookViewId="0">
      <selection activeCell="D16" sqref="D16"/>
    </sheetView>
  </sheetViews>
  <sheetFormatPr defaultColWidth="8.85546875" defaultRowHeight="15" x14ac:dyDescent="0.25"/>
  <cols>
    <col min="1" max="1" width="5.85546875" style="11" customWidth="1"/>
    <col min="2" max="2" width="38.28515625" style="11" customWidth="1"/>
    <col min="3" max="3" width="19.42578125" style="11" customWidth="1"/>
    <col min="4" max="4" width="16.140625" style="11" customWidth="1"/>
    <col min="5" max="5" width="16.28515625" style="11" customWidth="1"/>
    <col min="6" max="6" width="8.85546875" style="11"/>
    <col min="7" max="7" width="13.85546875" style="11" customWidth="1"/>
    <col min="8" max="8" width="9" style="11" bestFit="1" customWidth="1"/>
    <col min="9" max="9" width="13.7109375" style="11" customWidth="1"/>
    <col min="10" max="10" width="9" style="11" bestFit="1" customWidth="1"/>
    <col min="11" max="11" width="15.28515625" style="11" customWidth="1"/>
    <col min="12" max="12" width="9" style="11" bestFit="1" customWidth="1"/>
    <col min="13" max="13" width="13" style="11" bestFit="1" customWidth="1"/>
    <col min="14" max="14" width="9.140625" style="11" bestFit="1" customWidth="1"/>
    <col min="15" max="15" width="9" style="11" bestFit="1" customWidth="1"/>
    <col min="16" max="16" width="15.42578125" style="11" customWidth="1"/>
    <col min="17" max="16384" width="8.85546875" style="11"/>
  </cols>
  <sheetData>
    <row r="2" spans="1:16" x14ac:dyDescent="0.25">
      <c r="B2" s="129" t="s">
        <v>64</v>
      </c>
      <c r="C2" s="129"/>
      <c r="D2" s="129"/>
      <c r="E2" s="129"/>
    </row>
    <row r="3" spans="1:16" ht="15" customHeight="1" x14ac:dyDescent="0.25">
      <c r="G3" s="130" t="s">
        <v>28</v>
      </c>
      <c r="H3" s="130"/>
      <c r="I3" s="130"/>
      <c r="K3" s="130" t="s">
        <v>59</v>
      </c>
      <c r="L3" s="130"/>
      <c r="M3" s="130"/>
    </row>
    <row r="4" spans="1:16" ht="36" customHeight="1" x14ac:dyDescent="0.25">
      <c r="A4" s="12" t="s">
        <v>0</v>
      </c>
      <c r="B4" s="12" t="s">
        <v>20</v>
      </c>
      <c r="C4" s="12" t="s">
        <v>25</v>
      </c>
      <c r="D4" s="12" t="s">
        <v>23</v>
      </c>
      <c r="E4" s="12" t="s">
        <v>24</v>
      </c>
      <c r="G4" s="13">
        <v>1500000</v>
      </c>
      <c r="H4" s="14">
        <v>1</v>
      </c>
      <c r="I4" s="14">
        <f>G4*H4</f>
        <v>1500000</v>
      </c>
      <c r="K4" s="14">
        <v>1000000</v>
      </c>
      <c r="L4" s="14">
        <v>1</v>
      </c>
      <c r="M4" s="14">
        <f>K4*L4</f>
        <v>1000000</v>
      </c>
    </row>
    <row r="5" spans="1:16" ht="36.75" customHeight="1" x14ac:dyDescent="0.25">
      <c r="A5" s="14">
        <v>1</v>
      </c>
      <c r="B5" s="15" t="s">
        <v>26</v>
      </c>
      <c r="C5" s="16">
        <v>30000000</v>
      </c>
      <c r="D5" s="16">
        <f>I8*2</f>
        <v>51600000</v>
      </c>
      <c r="E5" s="16">
        <f>D5*80%</f>
        <v>41280000</v>
      </c>
      <c r="G5" s="13">
        <v>1000000</v>
      </c>
      <c r="H5" s="14">
        <v>21</v>
      </c>
      <c r="I5" s="14">
        <f t="shared" ref="I5:I7" si="0">G5*H5</f>
        <v>21000000</v>
      </c>
      <c r="K5" s="14">
        <v>700000</v>
      </c>
      <c r="L5" s="14">
        <v>4</v>
      </c>
      <c r="M5" s="14">
        <f t="shared" ref="M5:M7" si="1">K5*L5</f>
        <v>2800000</v>
      </c>
    </row>
    <row r="6" spans="1:16" ht="36.75" customHeight="1" x14ac:dyDescent="0.25">
      <c r="A6" s="14">
        <v>2</v>
      </c>
      <c r="B6" s="15" t="s">
        <v>27</v>
      </c>
      <c r="C6" s="16">
        <f>50000000</f>
        <v>50000000</v>
      </c>
      <c r="D6" s="16">
        <f>K23*10</f>
        <v>115800000</v>
      </c>
      <c r="E6" s="16">
        <f>P23*10</f>
        <v>98600000</v>
      </c>
      <c r="G6" s="13">
        <v>300000</v>
      </c>
      <c r="H6" s="14">
        <v>1</v>
      </c>
      <c r="I6" s="14">
        <f t="shared" si="0"/>
        <v>300000</v>
      </c>
      <c r="K6" s="14">
        <v>300000</v>
      </c>
      <c r="L6" s="14">
        <v>1</v>
      </c>
      <c r="M6" s="14">
        <f t="shared" si="1"/>
        <v>300000</v>
      </c>
    </row>
    <row r="7" spans="1:16" ht="24.75" customHeight="1" x14ac:dyDescent="0.25">
      <c r="A7" s="14">
        <v>3</v>
      </c>
      <c r="B7" s="14" t="s">
        <v>56</v>
      </c>
      <c r="C7" s="16">
        <v>120000000</v>
      </c>
      <c r="D7" s="16">
        <f>K45*10</f>
        <v>198400000</v>
      </c>
      <c r="E7" s="16">
        <f>P45*10</f>
        <v>164800000</v>
      </c>
      <c r="G7" s="13">
        <v>200000</v>
      </c>
      <c r="H7" s="14">
        <v>15</v>
      </c>
      <c r="I7" s="14">
        <f t="shared" si="0"/>
        <v>3000000</v>
      </c>
      <c r="K7" s="14">
        <v>200000</v>
      </c>
      <c r="L7" s="14">
        <v>2</v>
      </c>
      <c r="M7" s="14">
        <f t="shared" si="1"/>
        <v>400000</v>
      </c>
    </row>
    <row r="8" spans="1:16" ht="24.75" customHeight="1" x14ac:dyDescent="0.25">
      <c r="A8" s="14">
        <v>4</v>
      </c>
      <c r="B8" s="14" t="s">
        <v>21</v>
      </c>
      <c r="C8" s="16">
        <v>90000000</v>
      </c>
      <c r="D8" s="16">
        <f>K45*10</f>
        <v>198400000</v>
      </c>
      <c r="E8" s="16">
        <f>P45*10</f>
        <v>164800000</v>
      </c>
      <c r="G8" s="14"/>
      <c r="H8" s="14"/>
      <c r="I8" s="17">
        <f>SUM(I4:I7)</f>
        <v>25800000</v>
      </c>
      <c r="K8" s="14"/>
      <c r="L8" s="14"/>
      <c r="M8" s="17">
        <f>SUM(M4:M7)</f>
        <v>4500000</v>
      </c>
    </row>
    <row r="9" spans="1:16" ht="24.75" customHeight="1" x14ac:dyDescent="0.25">
      <c r="A9" s="14">
        <v>5</v>
      </c>
      <c r="B9" s="14" t="s">
        <v>22</v>
      </c>
      <c r="C9" s="16">
        <v>36000000</v>
      </c>
      <c r="D9" s="16">
        <f>10*M8</f>
        <v>45000000</v>
      </c>
      <c r="E9" s="16">
        <f>D9*80%</f>
        <v>36000000</v>
      </c>
    </row>
    <row r="10" spans="1:16" ht="24.75" customHeight="1" x14ac:dyDescent="0.25">
      <c r="A10" s="14"/>
      <c r="B10" s="18" t="s">
        <v>16</v>
      </c>
      <c r="C10" s="17">
        <f>SUM(C5:C9)</f>
        <v>326000000</v>
      </c>
      <c r="D10" s="17">
        <f t="shared" ref="D10:E10" si="2">SUM(D5:D9)</f>
        <v>609200000</v>
      </c>
      <c r="E10" s="17">
        <f t="shared" si="2"/>
        <v>505480000</v>
      </c>
      <c r="G10" s="131" t="s">
        <v>46</v>
      </c>
      <c r="H10" s="131"/>
      <c r="I10" s="131"/>
      <c r="J10" s="19" t="s">
        <v>29</v>
      </c>
      <c r="K10" s="19" t="s">
        <v>30</v>
      </c>
      <c r="L10" s="131" t="s">
        <v>47</v>
      </c>
      <c r="M10" s="131"/>
      <c r="N10" s="131"/>
      <c r="O10" s="19" t="s">
        <v>29</v>
      </c>
      <c r="P10" s="19" t="s">
        <v>30</v>
      </c>
    </row>
    <row r="11" spans="1:16" ht="15.75" x14ac:dyDescent="0.25">
      <c r="D11" s="11">
        <f>(D10-C10)/D10*100</f>
        <v>46.487196323046618</v>
      </c>
      <c r="E11" s="11">
        <f>(E10-C10)/E10*100</f>
        <v>35.506844979029836</v>
      </c>
      <c r="G11" s="20" t="s">
        <v>31</v>
      </c>
      <c r="H11" s="14" t="s">
        <v>32</v>
      </c>
      <c r="I11" s="14">
        <v>1500000</v>
      </c>
      <c r="J11" s="14">
        <v>1</v>
      </c>
      <c r="K11" s="14">
        <f>I11*J11</f>
        <v>1500000</v>
      </c>
      <c r="L11" s="20" t="s">
        <v>31</v>
      </c>
      <c r="M11" s="14" t="s">
        <v>32</v>
      </c>
      <c r="N11" s="14">
        <v>1200000</v>
      </c>
      <c r="O11" s="14">
        <v>1</v>
      </c>
      <c r="P11" s="14">
        <f>N11*O11</f>
        <v>1200000</v>
      </c>
    </row>
    <row r="12" spans="1:16" x14ac:dyDescent="0.25">
      <c r="D12" s="11">
        <f>(D10-E10)/D10*100</f>
        <v>17.025607353906764</v>
      </c>
      <c r="G12" s="14"/>
      <c r="H12" s="14" t="s">
        <v>33</v>
      </c>
      <c r="I12" s="14">
        <v>1000000</v>
      </c>
      <c r="J12" s="14">
        <v>6</v>
      </c>
      <c r="K12" s="14">
        <f t="shared" ref="K12:K14" si="3">I12*J12</f>
        <v>6000000</v>
      </c>
      <c r="L12" s="14"/>
      <c r="M12" s="14" t="s">
        <v>33</v>
      </c>
      <c r="N12" s="14">
        <v>800000</v>
      </c>
      <c r="O12" s="14">
        <v>6</v>
      </c>
      <c r="P12" s="14">
        <f t="shared" ref="P12:P14" si="4">N12*O12</f>
        <v>4800000</v>
      </c>
    </row>
    <row r="13" spans="1:16" ht="34.5" customHeight="1" x14ac:dyDescent="0.25">
      <c r="B13" s="128" t="s">
        <v>60</v>
      </c>
      <c r="C13" s="128"/>
      <c r="D13" s="128"/>
      <c r="E13" s="128"/>
      <c r="G13" s="14"/>
      <c r="H13" s="14" t="s">
        <v>34</v>
      </c>
      <c r="I13" s="14">
        <v>300000</v>
      </c>
      <c r="J13" s="14">
        <v>1</v>
      </c>
      <c r="K13" s="14">
        <f t="shared" si="3"/>
        <v>300000</v>
      </c>
      <c r="L13" s="14"/>
      <c r="M13" s="14" t="s">
        <v>34</v>
      </c>
      <c r="N13" s="14">
        <v>240000</v>
      </c>
      <c r="O13" s="14">
        <v>1</v>
      </c>
      <c r="P13" s="14">
        <f t="shared" si="4"/>
        <v>240000</v>
      </c>
    </row>
    <row r="14" spans="1:16" x14ac:dyDescent="0.25">
      <c r="G14" s="14"/>
      <c r="H14" s="14" t="s">
        <v>35</v>
      </c>
      <c r="I14" s="14">
        <v>200000</v>
      </c>
      <c r="J14" s="14">
        <v>4</v>
      </c>
      <c r="K14" s="14">
        <f t="shared" si="3"/>
        <v>800000</v>
      </c>
      <c r="L14" s="14"/>
      <c r="M14" s="14" t="s">
        <v>35</v>
      </c>
      <c r="N14" s="14">
        <v>160000</v>
      </c>
      <c r="O14" s="14">
        <v>4</v>
      </c>
      <c r="P14" s="14">
        <f t="shared" si="4"/>
        <v>640000</v>
      </c>
    </row>
    <row r="15" spans="1:16" ht="15.75" x14ac:dyDescent="0.25">
      <c r="G15" s="14"/>
      <c r="H15" s="14"/>
      <c r="I15" s="14"/>
      <c r="J15" s="14"/>
      <c r="K15" s="21">
        <f>SUM(K11:K14)</f>
        <v>8600000</v>
      </c>
      <c r="L15" s="14"/>
      <c r="M15" s="14"/>
      <c r="N15" s="14"/>
      <c r="O15" s="14"/>
      <c r="P15" s="21">
        <f>SUM(P11:P14)</f>
        <v>6880000</v>
      </c>
    </row>
    <row r="16" spans="1:16" ht="78.75" x14ac:dyDescent="0.25">
      <c r="B16" s="11">
        <f>(D5-C5)/D5*100</f>
        <v>41.860465116279073</v>
      </c>
      <c r="C16" s="11">
        <f>D5/C5*100</f>
        <v>172</v>
      </c>
      <c r="D16" s="31">
        <f>D10-C10</f>
        <v>283200000</v>
      </c>
      <c r="E16" s="11">
        <f>D5-C5</f>
        <v>21600000</v>
      </c>
      <c r="G16" s="22" t="s">
        <v>36</v>
      </c>
      <c r="H16" s="14"/>
      <c r="I16" s="14"/>
      <c r="J16" s="14"/>
      <c r="K16" s="14"/>
      <c r="L16" s="22" t="s">
        <v>36</v>
      </c>
      <c r="M16" s="14"/>
      <c r="N16" s="14"/>
      <c r="O16" s="14"/>
      <c r="P16" s="14"/>
    </row>
    <row r="17" spans="2:16" ht="15.75" x14ac:dyDescent="0.25">
      <c r="B17" s="11">
        <f>(D6-C6)/D6*100</f>
        <v>56.822107081174437</v>
      </c>
      <c r="C17" s="11">
        <f t="shared" ref="C17:C19" si="5">D6/C6*100</f>
        <v>231.6</v>
      </c>
      <c r="E17" s="11">
        <f t="shared" ref="E17:E20" si="6">D6-C6</f>
        <v>65800000</v>
      </c>
      <c r="G17" s="20" t="s">
        <v>37</v>
      </c>
      <c r="H17" s="14" t="s">
        <v>38</v>
      </c>
      <c r="I17" s="14"/>
      <c r="J17" s="14"/>
      <c r="K17" s="14">
        <v>800000</v>
      </c>
      <c r="L17" s="20" t="s">
        <v>37</v>
      </c>
      <c r="M17" s="14" t="s">
        <v>38</v>
      </c>
      <c r="N17" s="14"/>
      <c r="O17" s="14"/>
      <c r="P17" s="14">
        <v>800000</v>
      </c>
    </row>
    <row r="18" spans="2:16" ht="75" x14ac:dyDescent="0.25">
      <c r="B18" s="11">
        <f t="shared" ref="B18:B20" si="7">(D7-C7)/D7*100</f>
        <v>39.516129032258064</v>
      </c>
      <c r="C18" s="11">
        <f t="shared" si="5"/>
        <v>165.33333333333334</v>
      </c>
      <c r="E18" s="11">
        <f t="shared" si="6"/>
        <v>78400000</v>
      </c>
      <c r="G18" s="20" t="s">
        <v>39</v>
      </c>
      <c r="H18" s="15" t="s">
        <v>40</v>
      </c>
      <c r="I18" s="14"/>
      <c r="J18" s="14"/>
      <c r="K18" s="14">
        <v>2000000</v>
      </c>
      <c r="L18" s="20" t="s">
        <v>39</v>
      </c>
      <c r="M18" s="15" t="s">
        <v>40</v>
      </c>
      <c r="N18" s="14"/>
      <c r="O18" s="14"/>
      <c r="P18" s="14">
        <v>2000000</v>
      </c>
    </row>
    <row r="19" spans="2:16" ht="15.75" x14ac:dyDescent="0.25">
      <c r="B19" s="11">
        <f t="shared" si="7"/>
        <v>54.637096774193552</v>
      </c>
      <c r="C19" s="11">
        <f t="shared" si="5"/>
        <v>220.44444444444446</v>
      </c>
      <c r="E19" s="11">
        <f t="shared" si="6"/>
        <v>108400000</v>
      </c>
      <c r="G19" s="14"/>
      <c r="H19" s="14"/>
      <c r="I19" s="14"/>
      <c r="J19" s="14"/>
      <c r="K19" s="21">
        <f>SUM(K17:K18)</f>
        <v>2800000</v>
      </c>
      <c r="L19" s="14"/>
      <c r="M19" s="14"/>
      <c r="N19" s="14"/>
      <c r="O19" s="14"/>
      <c r="P19" s="21">
        <f>SUM(P17:P18)</f>
        <v>2800000</v>
      </c>
    </row>
    <row r="20" spans="2:16" ht="15.75" x14ac:dyDescent="0.25">
      <c r="B20" s="11">
        <f t="shared" si="7"/>
        <v>20</v>
      </c>
      <c r="C20" s="11">
        <f>D9/C9*100</f>
        <v>125</v>
      </c>
      <c r="E20" s="11">
        <f t="shared" si="6"/>
        <v>9000000</v>
      </c>
      <c r="G20" s="14"/>
      <c r="H20" s="14"/>
      <c r="I20" s="14"/>
      <c r="J20" s="14"/>
      <c r="K20" s="21"/>
      <c r="L20" s="14"/>
      <c r="M20" s="14"/>
      <c r="N20" s="14"/>
      <c r="O20" s="14"/>
      <c r="P20" s="21"/>
    </row>
    <row r="21" spans="2:16" ht="15.75" x14ac:dyDescent="0.25">
      <c r="G21" s="20" t="s">
        <v>41</v>
      </c>
      <c r="H21" s="14" t="s">
        <v>42</v>
      </c>
      <c r="I21" s="14"/>
      <c r="J21" s="14"/>
      <c r="K21" s="21">
        <v>180000</v>
      </c>
      <c r="L21" s="20" t="s">
        <v>41</v>
      </c>
      <c r="M21" s="14" t="s">
        <v>42</v>
      </c>
      <c r="N21" s="14"/>
      <c r="O21" s="14"/>
      <c r="P21" s="21">
        <v>180000</v>
      </c>
    </row>
    <row r="22" spans="2:16" x14ac:dyDescent="0.25">
      <c r="G22" s="14"/>
      <c r="H22" s="14"/>
      <c r="I22" s="14"/>
      <c r="J22" s="14"/>
      <c r="K22" s="14"/>
      <c r="L22" s="14"/>
      <c r="M22" s="14"/>
      <c r="N22" s="14"/>
      <c r="O22" s="14"/>
      <c r="P22" s="14"/>
    </row>
    <row r="23" spans="2:16" ht="15.75" x14ac:dyDescent="0.25">
      <c r="G23" s="21" t="s">
        <v>43</v>
      </c>
      <c r="H23" s="14"/>
      <c r="I23" s="14"/>
      <c r="J23" s="14"/>
      <c r="K23" s="23">
        <f>K15+K19+K21</f>
        <v>11580000</v>
      </c>
      <c r="L23" s="21" t="s">
        <v>43</v>
      </c>
      <c r="M23" s="14"/>
      <c r="N23" s="14"/>
      <c r="O23" s="14"/>
      <c r="P23" s="23">
        <f>P15+P19+P21</f>
        <v>9860000</v>
      </c>
    </row>
    <row r="24" spans="2:16" ht="15.75" x14ac:dyDescent="0.25">
      <c r="G24" s="14" t="s">
        <v>44</v>
      </c>
      <c r="H24" s="14" t="s">
        <v>45</v>
      </c>
      <c r="I24" s="14"/>
      <c r="J24" s="14"/>
      <c r="K24" s="23">
        <f>K23*10</f>
        <v>115800000</v>
      </c>
      <c r="L24" s="14" t="s">
        <v>44</v>
      </c>
      <c r="M24" s="14" t="s">
        <v>45</v>
      </c>
      <c r="N24" s="14"/>
      <c r="O24" s="14"/>
      <c r="P24" s="23">
        <f>P23*10</f>
        <v>98600000</v>
      </c>
    </row>
    <row r="27" spans="2:16" ht="15.75" x14ac:dyDescent="0.25">
      <c r="G27" s="21" t="s">
        <v>57</v>
      </c>
      <c r="H27" s="21"/>
      <c r="I27" s="14"/>
      <c r="J27" s="14"/>
      <c r="K27" s="14"/>
      <c r="L27" s="21" t="s">
        <v>58</v>
      </c>
      <c r="M27" s="21"/>
      <c r="N27" s="14"/>
      <c r="O27" s="14"/>
      <c r="P27" s="14"/>
    </row>
    <row r="28" spans="2:16" ht="15.75" x14ac:dyDescent="0.25">
      <c r="G28" s="14"/>
      <c r="H28" s="14"/>
      <c r="I28" s="14"/>
      <c r="J28" s="14"/>
      <c r="K28" s="24" t="s">
        <v>48</v>
      </c>
      <c r="L28" s="14"/>
      <c r="M28" s="14"/>
      <c r="N28" s="14"/>
      <c r="O28" s="14"/>
      <c r="P28" s="24" t="s">
        <v>48</v>
      </c>
    </row>
    <row r="29" spans="2:16" ht="15.75" x14ac:dyDescent="0.25">
      <c r="G29" s="25" t="s">
        <v>31</v>
      </c>
      <c r="H29" s="14"/>
      <c r="I29" s="14"/>
      <c r="J29" s="14"/>
      <c r="K29" s="14"/>
      <c r="L29" s="25" t="s">
        <v>31</v>
      </c>
      <c r="M29" s="14"/>
      <c r="N29" s="14"/>
      <c r="O29" s="14"/>
      <c r="P29" s="14"/>
    </row>
    <row r="30" spans="2:16" x14ac:dyDescent="0.25">
      <c r="G30" s="26"/>
      <c r="H30" s="14" t="s">
        <v>32</v>
      </c>
      <c r="I30" s="14">
        <v>1800000</v>
      </c>
      <c r="J30" s="14">
        <v>1</v>
      </c>
      <c r="K30" s="14">
        <f>I30*J30</f>
        <v>1800000</v>
      </c>
      <c r="L30" s="26"/>
      <c r="M30" s="14" t="s">
        <v>32</v>
      </c>
      <c r="N30" s="14">
        <v>1440000</v>
      </c>
      <c r="O30" s="14">
        <v>1</v>
      </c>
      <c r="P30" s="14">
        <f>N30*O30</f>
        <v>1440000</v>
      </c>
    </row>
    <row r="31" spans="2:16" x14ac:dyDescent="0.25">
      <c r="G31" s="26"/>
      <c r="H31" s="14" t="s">
        <v>49</v>
      </c>
      <c r="I31" s="14">
        <v>1500000</v>
      </c>
      <c r="J31" s="14">
        <v>6</v>
      </c>
      <c r="K31" s="14">
        <f t="shared" ref="K31:K35" si="8">I31*J31</f>
        <v>9000000</v>
      </c>
      <c r="L31" s="26"/>
      <c r="M31" s="14" t="s">
        <v>49</v>
      </c>
      <c r="N31" s="14">
        <v>1200000</v>
      </c>
      <c r="O31" s="14">
        <v>6</v>
      </c>
      <c r="P31" s="14">
        <f t="shared" ref="P31:P35" si="9">N31*O31</f>
        <v>7200000</v>
      </c>
    </row>
    <row r="32" spans="2:16" x14ac:dyDescent="0.25">
      <c r="G32" s="26"/>
      <c r="H32" s="14" t="s">
        <v>50</v>
      </c>
      <c r="I32" s="14">
        <v>1000000</v>
      </c>
      <c r="J32" s="14">
        <v>2</v>
      </c>
      <c r="K32" s="14">
        <f t="shared" si="8"/>
        <v>2000000</v>
      </c>
      <c r="L32" s="26"/>
      <c r="M32" s="14" t="s">
        <v>50</v>
      </c>
      <c r="N32" s="14">
        <v>800000</v>
      </c>
      <c r="O32" s="14">
        <v>2</v>
      </c>
      <c r="P32" s="14">
        <f t="shared" si="9"/>
        <v>1600000</v>
      </c>
    </row>
    <row r="33" spans="7:16" x14ac:dyDescent="0.25">
      <c r="G33" s="26"/>
      <c r="H33" s="14" t="s">
        <v>33</v>
      </c>
      <c r="I33" s="14">
        <v>700000</v>
      </c>
      <c r="J33" s="14">
        <v>3</v>
      </c>
      <c r="K33" s="14">
        <f t="shared" si="8"/>
        <v>2100000</v>
      </c>
      <c r="L33" s="26"/>
      <c r="M33" s="14" t="s">
        <v>33</v>
      </c>
      <c r="N33" s="14">
        <v>560000</v>
      </c>
      <c r="O33" s="14">
        <v>3</v>
      </c>
      <c r="P33" s="14">
        <f t="shared" si="9"/>
        <v>1680000</v>
      </c>
    </row>
    <row r="34" spans="7:16" x14ac:dyDescent="0.25">
      <c r="G34" s="26"/>
      <c r="H34" s="14" t="s">
        <v>34</v>
      </c>
      <c r="I34" s="14">
        <v>300000</v>
      </c>
      <c r="J34" s="14">
        <v>1</v>
      </c>
      <c r="K34" s="14">
        <f t="shared" si="8"/>
        <v>300000</v>
      </c>
      <c r="L34" s="26"/>
      <c r="M34" s="14" t="s">
        <v>34</v>
      </c>
      <c r="N34" s="14">
        <v>240000</v>
      </c>
      <c r="O34" s="14">
        <v>1</v>
      </c>
      <c r="P34" s="14">
        <f t="shared" si="9"/>
        <v>240000</v>
      </c>
    </row>
    <row r="35" spans="7:16" x14ac:dyDescent="0.25">
      <c r="G35" s="26"/>
      <c r="H35" s="14" t="s">
        <v>35</v>
      </c>
      <c r="I35" s="14">
        <v>200000</v>
      </c>
      <c r="J35" s="14">
        <v>8</v>
      </c>
      <c r="K35" s="14">
        <f t="shared" si="8"/>
        <v>1600000</v>
      </c>
      <c r="L35" s="26"/>
      <c r="M35" s="14" t="s">
        <v>35</v>
      </c>
      <c r="N35" s="14">
        <v>160000</v>
      </c>
      <c r="O35" s="14">
        <v>8</v>
      </c>
      <c r="P35" s="14">
        <f t="shared" si="9"/>
        <v>1280000</v>
      </c>
    </row>
    <row r="36" spans="7:16" ht="15.75" x14ac:dyDescent="0.25">
      <c r="G36" s="26"/>
      <c r="H36" s="14"/>
      <c r="I36" s="14"/>
      <c r="J36" s="14"/>
      <c r="K36" s="21">
        <f>SUM(K30:K35)</f>
        <v>16800000</v>
      </c>
      <c r="L36" s="26"/>
      <c r="M36" s="14"/>
      <c r="N36" s="14"/>
      <c r="O36" s="14"/>
      <c r="P36" s="21">
        <f>SUM(P30:P35)</f>
        <v>13440000</v>
      </c>
    </row>
    <row r="37" spans="7:16" x14ac:dyDescent="0.25">
      <c r="G37" s="26"/>
      <c r="H37" s="14"/>
      <c r="I37" s="14"/>
      <c r="J37" s="14"/>
      <c r="K37" s="14"/>
      <c r="L37" s="26"/>
      <c r="M37" s="14"/>
      <c r="N37" s="14"/>
      <c r="O37" s="14"/>
      <c r="P37" s="14"/>
    </row>
    <row r="38" spans="7:16" ht="78.75" x14ac:dyDescent="0.25">
      <c r="G38" s="27" t="s">
        <v>36</v>
      </c>
      <c r="H38" s="14"/>
      <c r="I38" s="14"/>
      <c r="J38" s="14"/>
      <c r="K38" s="14"/>
      <c r="L38" s="27" t="s">
        <v>36</v>
      </c>
      <c r="M38" s="14"/>
      <c r="N38" s="14"/>
      <c r="O38" s="14"/>
      <c r="P38" s="14"/>
    </row>
    <row r="39" spans="7:16" ht="15.75" x14ac:dyDescent="0.25">
      <c r="G39" s="25" t="s">
        <v>37</v>
      </c>
      <c r="H39" s="14" t="s">
        <v>38</v>
      </c>
      <c r="I39" s="14"/>
      <c r="J39" s="14"/>
      <c r="K39" s="14">
        <v>800000</v>
      </c>
      <c r="L39" s="25" t="s">
        <v>37</v>
      </c>
      <c r="M39" s="14" t="s">
        <v>38</v>
      </c>
      <c r="N39" s="14"/>
      <c r="O39" s="14"/>
      <c r="P39" s="14">
        <v>800000</v>
      </c>
    </row>
    <row r="40" spans="7:16" ht="75" x14ac:dyDescent="0.25">
      <c r="G40" s="25" t="s">
        <v>39</v>
      </c>
      <c r="H40" s="15" t="s">
        <v>40</v>
      </c>
      <c r="I40" s="14"/>
      <c r="J40" s="14"/>
      <c r="K40" s="14">
        <v>2000000</v>
      </c>
      <c r="L40" s="25" t="s">
        <v>39</v>
      </c>
      <c r="M40" s="15" t="s">
        <v>40</v>
      </c>
      <c r="N40" s="14"/>
      <c r="O40" s="14"/>
      <c r="P40" s="14">
        <v>2000000</v>
      </c>
    </row>
    <row r="41" spans="7:16" ht="15.75" x14ac:dyDescent="0.25">
      <c r="G41" s="26"/>
      <c r="H41" s="14"/>
      <c r="I41" s="14"/>
      <c r="J41" s="14"/>
      <c r="K41" s="21">
        <f>SUM(K39:K40)</f>
        <v>2800000</v>
      </c>
      <c r="L41" s="26"/>
      <c r="M41" s="14"/>
      <c r="N41" s="14"/>
      <c r="O41" s="14"/>
      <c r="P41" s="21">
        <f>SUM(P39:P40)</f>
        <v>2800000</v>
      </c>
    </row>
    <row r="42" spans="7:16" ht="15.75" x14ac:dyDescent="0.25">
      <c r="G42" s="26"/>
      <c r="H42" s="14"/>
      <c r="I42" s="14"/>
      <c r="J42" s="14"/>
      <c r="K42" s="21"/>
      <c r="L42" s="26"/>
      <c r="M42" s="14"/>
      <c r="N42" s="14"/>
      <c r="O42" s="14"/>
      <c r="P42" s="21"/>
    </row>
    <row r="43" spans="7:16" ht="15.75" x14ac:dyDescent="0.25">
      <c r="G43" s="25" t="s">
        <v>41</v>
      </c>
      <c r="H43" s="14" t="s">
        <v>51</v>
      </c>
      <c r="I43" s="14"/>
      <c r="J43" s="14"/>
      <c r="K43" s="21">
        <v>240000</v>
      </c>
      <c r="L43" s="25" t="s">
        <v>41</v>
      </c>
      <c r="M43" s="14" t="s">
        <v>51</v>
      </c>
      <c r="N43" s="14"/>
      <c r="O43" s="14"/>
      <c r="P43" s="21">
        <v>240000</v>
      </c>
    </row>
    <row r="44" spans="7:16" x14ac:dyDescent="0.25">
      <c r="G44" s="26"/>
      <c r="H44" s="14"/>
      <c r="I44" s="14"/>
      <c r="J44" s="14"/>
      <c r="K44" s="14"/>
      <c r="L44" s="26"/>
      <c r="M44" s="14"/>
      <c r="N44" s="14"/>
      <c r="O44" s="14"/>
      <c r="P44" s="14"/>
    </row>
    <row r="45" spans="7:16" ht="15.75" x14ac:dyDescent="0.25">
      <c r="G45" s="28" t="s">
        <v>52</v>
      </c>
      <c r="H45" s="14" t="s">
        <v>53</v>
      </c>
      <c r="I45" s="14"/>
      <c r="J45" s="14"/>
      <c r="K45" s="29">
        <f>K36+K41+K43</f>
        <v>19840000</v>
      </c>
      <c r="L45" s="28" t="s">
        <v>52</v>
      </c>
      <c r="M45" s="14" t="s">
        <v>53</v>
      </c>
      <c r="N45" s="14"/>
      <c r="O45" s="14"/>
      <c r="P45" s="29">
        <f>P36+P41+P43</f>
        <v>16480000</v>
      </c>
    </row>
    <row r="46" spans="7:16" ht="15.75" x14ac:dyDescent="0.25">
      <c r="G46" s="14"/>
      <c r="H46" s="14" t="s">
        <v>54</v>
      </c>
      <c r="I46" s="14"/>
      <c r="J46" s="14"/>
      <c r="K46" s="29">
        <f>K45*17</f>
        <v>337280000</v>
      </c>
      <c r="L46" s="14"/>
      <c r="M46" s="14" t="s">
        <v>54</v>
      </c>
      <c r="N46" s="14"/>
      <c r="O46" s="14"/>
      <c r="P46" s="29">
        <f>P45*17</f>
        <v>280160000</v>
      </c>
    </row>
    <row r="47" spans="7:16" x14ac:dyDescent="0.25">
      <c r="G47" s="14"/>
      <c r="H47" s="14"/>
      <c r="I47" s="14"/>
      <c r="J47" s="14"/>
      <c r="K47" s="14"/>
      <c r="L47" s="14"/>
      <c r="M47" s="14"/>
      <c r="N47" s="14"/>
      <c r="O47" s="14"/>
      <c r="P47" s="14"/>
    </row>
    <row r="48" spans="7:16" x14ac:dyDescent="0.25">
      <c r="G48" s="14"/>
      <c r="H48" s="14"/>
      <c r="I48" s="14"/>
      <c r="J48" s="14"/>
      <c r="K48" s="14"/>
      <c r="L48" s="14"/>
      <c r="M48" s="14"/>
      <c r="N48" s="14"/>
      <c r="O48" s="14"/>
      <c r="P48" s="14"/>
    </row>
    <row r="49" spans="7:16" ht="141.75" x14ac:dyDescent="0.25">
      <c r="G49" s="22" t="s">
        <v>55</v>
      </c>
      <c r="H49" s="14"/>
      <c r="I49" s="14"/>
      <c r="J49" s="14"/>
      <c r="K49" s="14">
        <v>18000000</v>
      </c>
      <c r="L49" s="22" t="s">
        <v>55</v>
      </c>
      <c r="M49" s="14"/>
      <c r="N49" s="14"/>
      <c r="O49" s="14"/>
      <c r="P49" s="14">
        <v>18000000</v>
      </c>
    </row>
    <row r="50" spans="7:16" ht="15.75" x14ac:dyDescent="0.25">
      <c r="G50" s="14"/>
      <c r="H50" s="14"/>
      <c r="I50" s="14"/>
      <c r="J50" s="14"/>
      <c r="K50" s="29">
        <f>K46-K49</f>
        <v>319280000</v>
      </c>
      <c r="L50" s="14"/>
      <c r="M50" s="14"/>
      <c r="N50" s="14"/>
      <c r="O50" s="14"/>
      <c r="P50" s="29">
        <f>P46-P49</f>
        <v>262160000</v>
      </c>
    </row>
  </sheetData>
  <mergeCells count="6">
    <mergeCell ref="B13:E13"/>
    <mergeCell ref="B2:E2"/>
    <mergeCell ref="G3:I3"/>
    <mergeCell ref="G10:I10"/>
    <mergeCell ref="L10:N10"/>
    <mergeCell ref="K3:M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tabSelected="1" topLeftCell="A19" workbookViewId="0">
      <selection activeCell="L19" sqref="L19"/>
    </sheetView>
  </sheetViews>
  <sheetFormatPr defaultRowHeight="15" x14ac:dyDescent="0.25"/>
  <cols>
    <col min="1" max="1" width="4.7109375" customWidth="1"/>
    <col min="2" max="2" width="16" customWidth="1"/>
    <col min="3" max="3" width="12.42578125" customWidth="1"/>
    <col min="4" max="5" width="12.5703125" hidden="1" customWidth="1"/>
    <col min="6" max="6" width="13.28515625" customWidth="1"/>
    <col min="7" max="8" width="12.140625" hidden="1" customWidth="1"/>
    <col min="9" max="9" width="13.28515625" customWidth="1"/>
    <col min="10" max="10" width="12.5703125" hidden="1" customWidth="1"/>
    <col min="11" max="11" width="13.28515625" hidden="1" customWidth="1"/>
    <col min="12" max="12" width="12.5703125" customWidth="1"/>
    <col min="13" max="14" width="12.5703125" hidden="1" customWidth="1"/>
  </cols>
  <sheetData>
    <row r="1" spans="1:14" ht="30" customHeight="1" x14ac:dyDescent="0.25">
      <c r="A1" s="136" t="s">
        <v>110</v>
      </c>
      <c r="B1" s="137"/>
      <c r="C1" s="137"/>
      <c r="D1" s="137"/>
      <c r="E1" s="137"/>
      <c r="F1" s="137"/>
      <c r="G1" s="137"/>
      <c r="H1" s="137"/>
      <c r="I1" s="137"/>
      <c r="J1" s="137"/>
      <c r="K1" s="137"/>
    </row>
    <row r="2" spans="1:14" ht="35.25" customHeight="1" x14ac:dyDescent="0.25">
      <c r="A2" s="142" t="s">
        <v>0</v>
      </c>
      <c r="B2" s="142" t="s">
        <v>67</v>
      </c>
      <c r="C2" s="139" t="s">
        <v>81</v>
      </c>
      <c r="D2" s="140"/>
      <c r="E2" s="141"/>
      <c r="F2" s="144" t="s">
        <v>70</v>
      </c>
      <c r="G2" s="145"/>
      <c r="H2" s="146"/>
      <c r="I2" s="139" t="s">
        <v>71</v>
      </c>
      <c r="J2" s="140"/>
      <c r="K2" s="141"/>
      <c r="L2" s="132" t="s">
        <v>111</v>
      </c>
      <c r="M2" s="133"/>
      <c r="N2" s="134"/>
    </row>
    <row r="3" spans="1:14" ht="28.5" customHeight="1" x14ac:dyDescent="0.25">
      <c r="A3" s="143"/>
      <c r="B3" s="143"/>
      <c r="C3" s="66" t="s">
        <v>80</v>
      </c>
      <c r="D3" s="67" t="s">
        <v>69</v>
      </c>
      <c r="E3" s="67" t="s">
        <v>66</v>
      </c>
      <c r="F3" s="66" t="s">
        <v>80</v>
      </c>
      <c r="G3" s="68" t="s">
        <v>87</v>
      </c>
      <c r="H3" s="68" t="s">
        <v>66</v>
      </c>
      <c r="I3" s="66" t="s">
        <v>80</v>
      </c>
      <c r="J3" s="68" t="s">
        <v>87</v>
      </c>
      <c r="K3" s="68" t="s">
        <v>66</v>
      </c>
      <c r="L3" s="41" t="s">
        <v>80</v>
      </c>
      <c r="M3" s="41" t="s">
        <v>87</v>
      </c>
      <c r="N3" s="41" t="s">
        <v>66</v>
      </c>
    </row>
    <row r="4" spans="1:14" ht="24" customHeight="1" x14ac:dyDescent="0.25">
      <c r="A4" s="33">
        <v>1</v>
      </c>
      <c r="B4" s="39" t="s">
        <v>68</v>
      </c>
      <c r="C4" s="63">
        <f>SUM(D4:E4)</f>
        <v>520000000</v>
      </c>
      <c r="D4" s="63">
        <f>'[1]Công lao động (hiện hành)'!$G$54</f>
        <v>284490000</v>
      </c>
      <c r="E4" s="63">
        <f>'[1]Chi khác (hiện hành)'!$G$47</f>
        <v>235510000</v>
      </c>
      <c r="F4" s="63">
        <f>SUM(G4:H4)</f>
        <v>793431818.18181825</v>
      </c>
      <c r="G4" s="63">
        <f>'[1]Thù lao = 100% TT03'!$G$54</f>
        <v>493381818.18181819</v>
      </c>
      <c r="H4" s="63">
        <f>'[1]Chi khác = 100% TT03'!$G$47</f>
        <v>300050000</v>
      </c>
      <c r="I4" s="63">
        <f>SUM(J4:K4)</f>
        <v>661275454.5454545</v>
      </c>
      <c r="J4" s="63">
        <f>'[1]Thù lao = 100% TT03'!$H$54</f>
        <v>394705454.5454545</v>
      </c>
      <c r="K4" s="63">
        <f>'[1]Chi khác = 100% TT03'!$H$47</f>
        <v>266570000</v>
      </c>
      <c r="L4" s="71">
        <f>SUM(M4:N4)</f>
        <v>658673863.63636363</v>
      </c>
      <c r="M4" s="71">
        <f>'[2]Thù lao = 100% TT03'!$I$54</f>
        <v>370036363.63636363</v>
      </c>
      <c r="N4" s="71">
        <f>'[2]Chi khác = 100% TT03'!$I$47</f>
        <v>288637500</v>
      </c>
    </row>
    <row r="5" spans="1:14" ht="24" customHeight="1" x14ac:dyDescent="0.25">
      <c r="A5" s="33">
        <v>2</v>
      </c>
      <c r="B5" s="39" t="s">
        <v>73</v>
      </c>
      <c r="C5" s="63">
        <f t="shared" ref="C5:C10" si="0">SUM(D5:E5)</f>
        <v>655000000</v>
      </c>
      <c r="D5" s="63">
        <f>'[3]Công lao động (hiện hành)'!$E$51</f>
        <v>171300000</v>
      </c>
      <c r="E5" s="63">
        <f>'[3]Chi khác (hiện hành)'!$G$58</f>
        <v>483700000</v>
      </c>
      <c r="F5" s="63">
        <f t="shared" ref="F5:F11" si="1">SUM(G5:H5)</f>
        <v>864298181.81818175</v>
      </c>
      <c r="G5" s="63">
        <f>'[3]Công lao động = 100% T03'!$D$49</f>
        <v>345018181.81818181</v>
      </c>
      <c r="H5" s="63">
        <f>'[3]Chi khác = 100% TT03'!$G$58</f>
        <v>519280000</v>
      </c>
      <c r="I5" s="63">
        <f t="shared" ref="I5:I10" si="2">SUM(J5:K5)</f>
        <v>765244545.4545455</v>
      </c>
      <c r="J5" s="63">
        <f>'[3]Công lao động = 100% T03'!$E$49</f>
        <v>276014545.4545455</v>
      </c>
      <c r="K5" s="63">
        <f>'[3]Chi khác = 100% TT03'!$H$58</f>
        <v>489230000</v>
      </c>
      <c r="L5" s="71">
        <f t="shared" ref="L5:L11" si="3">SUM(M5:N5)</f>
        <v>735026136.36363626</v>
      </c>
      <c r="M5" s="72">
        <f>'[4]Công lao động = 100% T03'!$F$49</f>
        <v>258763636.36363637</v>
      </c>
      <c r="N5" s="72">
        <f>'[4]Chi khác = 100% TT03'!$I$58</f>
        <v>476262499.99999994</v>
      </c>
    </row>
    <row r="6" spans="1:14" ht="24" customHeight="1" x14ac:dyDescent="0.25">
      <c r="A6" s="33">
        <v>3</v>
      </c>
      <c r="B6" s="39" t="s">
        <v>74</v>
      </c>
      <c r="C6" s="63">
        <f t="shared" si="0"/>
        <v>291000000</v>
      </c>
      <c r="D6" s="63">
        <f>'[5]Công lao động (hiện hành)'!$G$70</f>
        <v>83782700</v>
      </c>
      <c r="E6" s="63">
        <f>'[5]Chi khác (hiện hành)'!$G$74</f>
        <v>207217300</v>
      </c>
      <c r="F6" s="63">
        <f t="shared" si="1"/>
        <v>551145954.5454545</v>
      </c>
      <c r="G6" s="63">
        <f>'[5]Thù lao = 100% TT03'!$G$70</f>
        <v>300145454.54545456</v>
      </c>
      <c r="H6" s="63">
        <f>'[5]Chi khác = 100% TT03'!$G$74</f>
        <v>251000500</v>
      </c>
      <c r="I6" s="63">
        <f t="shared" si="2"/>
        <v>462060263.63636363</v>
      </c>
      <c r="J6" s="63">
        <f>'[5]Thù lao = 100% TT03'!$H$70</f>
        <v>240116363.63636363</v>
      </c>
      <c r="K6" s="63">
        <f>'[5]Chi khác = 100% TT03'!$H$74</f>
        <v>221943900</v>
      </c>
      <c r="L6" s="71">
        <f t="shared" si="3"/>
        <v>455632455.90909094</v>
      </c>
      <c r="M6" s="71">
        <f>'[6]Thù lao = 100% TT03'!$I$70</f>
        <v>225109090.90909094</v>
      </c>
      <c r="N6" s="72">
        <v>230523365</v>
      </c>
    </row>
    <row r="7" spans="1:14" ht="24" customHeight="1" x14ac:dyDescent="0.25">
      <c r="A7" s="33">
        <v>4</v>
      </c>
      <c r="B7" s="39" t="s">
        <v>95</v>
      </c>
      <c r="C7" s="63">
        <f t="shared" si="0"/>
        <v>1624476000</v>
      </c>
      <c r="D7" s="63">
        <f>'[7]K1. Lđ trực tiếp (Hiện hành)'!$G$314</f>
        <v>1060287000</v>
      </c>
      <c r="E7" s="63">
        <f>'[8]K5.Chi khác (hiện hành)'!$C$82</f>
        <v>564189000</v>
      </c>
      <c r="F7" s="63">
        <f t="shared" si="1"/>
        <v>2400043545.4545455</v>
      </c>
      <c r="G7" s="63">
        <f>'[7]Thù lao = 100% TT03)'!$G$314</f>
        <v>1757454545.4545455</v>
      </c>
      <c r="H7" s="63">
        <f>'[8]K5.Chi khác = 100% TT03)'!$E$82</f>
        <v>642589000</v>
      </c>
      <c r="I7" s="63">
        <f t="shared" si="2"/>
        <v>2034052636.3636363</v>
      </c>
      <c r="J7" s="63">
        <f>'[7]Thù lao = 100% TT03)'!$H$314</f>
        <v>1405963636.3636363</v>
      </c>
      <c r="K7" s="63">
        <f>'[8]K5.Chi khác = 100% TT03)'!$F$82</f>
        <v>628089000</v>
      </c>
      <c r="L7" s="71">
        <f t="shared" si="3"/>
        <v>1817002409.0909092</v>
      </c>
      <c r="M7" s="72">
        <f>'[7]Thù lao = 100% TT03)'!$I$314</f>
        <v>1318090909.0909092</v>
      </c>
      <c r="N7" s="72">
        <f>'[7]K5.Chi khác = 100% TT03)'!$G$82</f>
        <v>498911500.00000006</v>
      </c>
    </row>
    <row r="8" spans="1:14" ht="30" customHeight="1" x14ac:dyDescent="0.25">
      <c r="A8" s="33">
        <v>5</v>
      </c>
      <c r="B8" s="39" t="s">
        <v>76</v>
      </c>
      <c r="C8" s="63">
        <f t="shared" si="0"/>
        <v>389086000</v>
      </c>
      <c r="D8" s="63">
        <f>'[9]1 Công lao động (hiện hành) '!$C$41</f>
        <v>135501000</v>
      </c>
      <c r="E8" s="63">
        <f>'[9]2, Chi khác hiện hành'!$D$65</f>
        <v>253585000</v>
      </c>
      <c r="F8" s="63">
        <f t="shared" si="1"/>
        <v>661954000</v>
      </c>
      <c r="G8" s="63">
        <f>'[9]1. Thù lao = 100% TT03'!$D$41</f>
        <v>388509000</v>
      </c>
      <c r="H8" s="63">
        <f>'[9]2 Chi khác = 100% TT03 '!$D$65</f>
        <v>273445000</v>
      </c>
      <c r="I8" s="63">
        <f t="shared" si="2"/>
        <v>571486000</v>
      </c>
      <c r="J8" s="63">
        <f>'[9]1. Thù lao = 100% TT03'!$E$41</f>
        <v>310807000</v>
      </c>
      <c r="K8" s="63">
        <f>'[9]2 Chi khác = 100% TT03 '!$E$65</f>
        <v>260679000</v>
      </c>
      <c r="L8" s="71">
        <f t="shared" si="3"/>
        <v>558244318.18181825</v>
      </c>
      <c r="M8" s="72">
        <f>'[9]1. Thù lao = 100% TT03'!$F$41</f>
        <v>291381818.18181825</v>
      </c>
      <c r="N8" s="72">
        <f>'[9]2 Chi khác = 100% TT03 '!$F$65</f>
        <v>266862500</v>
      </c>
    </row>
    <row r="9" spans="1:14" ht="31.5" customHeight="1" x14ac:dyDescent="0.25">
      <c r="A9" s="33">
        <v>6</v>
      </c>
      <c r="B9" s="39" t="s">
        <v>77</v>
      </c>
      <c r="C9" s="63">
        <f t="shared" si="0"/>
        <v>1318016199.7272727</v>
      </c>
      <c r="D9" s="63">
        <f>'[10]Công (hiện hành)'!$D$56</f>
        <v>631175199.72727275</v>
      </c>
      <c r="E9" s="63">
        <f>'[10]Chi khác (hiện hành)'!$D$78</f>
        <v>686841000</v>
      </c>
      <c r="F9" s="63">
        <f t="shared" si="1"/>
        <v>1915958808.8181818</v>
      </c>
      <c r="G9" s="63">
        <f>'[10]Thù lao = 100% TT03)'!$E$56</f>
        <v>1137417808.8181818</v>
      </c>
      <c r="H9" s="63">
        <f>'[10]Chi khác = 100% TT03,)'!$D$78</f>
        <v>778541000</v>
      </c>
      <c r="I9" s="63">
        <f t="shared" si="2"/>
        <v>1607105247.0545454</v>
      </c>
      <c r="J9" s="63">
        <f>'[10]Thù lao = 100% TT03)'!$F$56</f>
        <v>909934247.05454552</v>
      </c>
      <c r="K9" s="63">
        <f>'[10]Chi khác = 100% TT03,)'!$E$78</f>
        <v>697171000</v>
      </c>
      <c r="L9" s="71">
        <f t="shared" si="3"/>
        <v>1557404356.6136363</v>
      </c>
      <c r="M9" s="72">
        <f>'[10]Thù lao = 100% TT03)'!$G$56</f>
        <v>853063356.61363626</v>
      </c>
      <c r="N9" s="72">
        <f>'[10]Chi khác = 100% TT03,)'!$F$78</f>
        <v>704341000</v>
      </c>
    </row>
    <row r="10" spans="1:14" ht="34.5" customHeight="1" x14ac:dyDescent="0.25">
      <c r="A10" s="33">
        <v>7</v>
      </c>
      <c r="B10" s="39" t="s">
        <v>78</v>
      </c>
      <c r="C10" s="63">
        <f t="shared" si="0"/>
        <v>1080840000</v>
      </c>
      <c r="D10" s="63">
        <f>'[11]CongLD (hiện hành) (2)'!$E$83</f>
        <v>365140000</v>
      </c>
      <c r="E10" s="63">
        <f>'[11]Chikhac (Hiện hành) '!$E$161</f>
        <v>715700000</v>
      </c>
      <c r="F10" s="63">
        <f t="shared" si="1"/>
        <v>1653383636.3636365</v>
      </c>
      <c r="G10" s="63">
        <f>'[11]Thù lao = 100% TT03)'!$E$84</f>
        <v>970763636.36363637</v>
      </c>
      <c r="H10" s="63">
        <v>682620000</v>
      </c>
      <c r="I10" s="63">
        <f t="shared" si="2"/>
        <v>1467058909.090909</v>
      </c>
      <c r="J10" s="63">
        <f>'[11]Thù lao = 100% TT03)'!$F$84</f>
        <v>868610909.09090912</v>
      </c>
      <c r="K10" s="63">
        <v>598448000</v>
      </c>
      <c r="L10" s="71">
        <f t="shared" si="3"/>
        <v>1436673409.090909</v>
      </c>
      <c r="M10" s="72">
        <f>'[11]Thù lao = 100% TT03)'!$G$84</f>
        <v>849890909.09090912</v>
      </c>
      <c r="N10" s="72">
        <f>'[11]Chikhac = 100% TT03)'!$G$161</f>
        <v>586782500</v>
      </c>
    </row>
    <row r="11" spans="1:14" ht="24" customHeight="1" x14ac:dyDescent="0.25">
      <c r="A11" s="33">
        <v>8</v>
      </c>
      <c r="B11" s="39" t="s">
        <v>79</v>
      </c>
      <c r="C11" s="63">
        <f>SUM(D11:E11)</f>
        <v>1844275000</v>
      </c>
      <c r="D11" s="63">
        <f>'[12]Công LĐ (hiện hành)'!$G$202</f>
        <v>1171317000</v>
      </c>
      <c r="E11" s="63">
        <f>'[12]Chi khác (hiện hành)'!$G$117</f>
        <v>672958000</v>
      </c>
      <c r="F11" s="63">
        <f t="shared" si="1"/>
        <v>2186683258.818182</v>
      </c>
      <c r="G11" s="63">
        <f>'[13]Thù lao = 100%TT03)'!$H$201</f>
        <v>1586155258.8181818</v>
      </c>
      <c r="H11" s="63">
        <f>'[13]Chi khác = 100% TT03)'!$G$117</f>
        <v>600528000</v>
      </c>
      <c r="I11" s="63">
        <f>SUM(J11:K11)</f>
        <v>1796567207.0545456</v>
      </c>
      <c r="J11" s="63">
        <f>'[13]Thù lao = 100%TT03)'!$I$201</f>
        <v>1268924207.0545456</v>
      </c>
      <c r="K11" s="63">
        <f>'[13]Chi khác = 100% TT03)'!$H$117</f>
        <v>527643000</v>
      </c>
      <c r="L11" s="71">
        <f t="shared" si="3"/>
        <v>1721761694.1136363</v>
      </c>
      <c r="M11" s="72">
        <f>'[12]Thù lao = 100%TT03)'!$J$201</f>
        <v>1189616444.1136363</v>
      </c>
      <c r="N11" s="72">
        <f>'[12]Chi khác = 100% TT03)'!$I$114</f>
        <v>532145250</v>
      </c>
    </row>
    <row r="12" spans="1:14" ht="20.25" customHeight="1" x14ac:dyDescent="0.25">
      <c r="A12" s="147" t="s">
        <v>72</v>
      </c>
      <c r="B12" s="148"/>
      <c r="C12" s="69">
        <f>SUM(C4:C11)</f>
        <v>7722693199.727273</v>
      </c>
      <c r="D12" s="69">
        <f t="shared" ref="D12:I12" si="4">SUM(D4:D11)</f>
        <v>3902992899.727273</v>
      </c>
      <c r="E12" s="69">
        <f t="shared" si="4"/>
        <v>3819700300</v>
      </c>
      <c r="F12" s="69">
        <f t="shared" si="4"/>
        <v>11026899204</v>
      </c>
      <c r="G12" s="69">
        <f t="shared" si="4"/>
        <v>6978845704</v>
      </c>
      <c r="H12" s="69">
        <f t="shared" si="4"/>
        <v>4048053500</v>
      </c>
      <c r="I12" s="69">
        <f t="shared" si="4"/>
        <v>9364850263.2000008</v>
      </c>
      <c r="J12" s="70">
        <f t="shared" ref="J12:K12" si="5">SUM(J4:J11)</f>
        <v>5675076363.1999998</v>
      </c>
      <c r="K12" s="70">
        <f t="shared" si="5"/>
        <v>3689773900</v>
      </c>
      <c r="L12" s="73">
        <f>SUM(L4:L11)</f>
        <v>8940418643</v>
      </c>
      <c r="M12" s="73">
        <f t="shared" ref="M12:N12" si="6">SUM(M4:M11)</f>
        <v>5355952527.999999</v>
      </c>
      <c r="N12" s="73">
        <f t="shared" si="6"/>
        <v>3584466115</v>
      </c>
    </row>
    <row r="13" spans="1:14" ht="18.75" customHeight="1" x14ac:dyDescent="0.25"/>
    <row r="14" spans="1:14" ht="61.5" customHeight="1" x14ac:dyDescent="0.25">
      <c r="A14" s="5">
        <v>1</v>
      </c>
      <c r="B14" s="34" t="s">
        <v>97</v>
      </c>
      <c r="C14" s="42">
        <f>C12/3</f>
        <v>2574231066.5757575</v>
      </c>
      <c r="D14" s="43"/>
      <c r="E14" s="43"/>
      <c r="F14" s="42">
        <f>F12/3</f>
        <v>3675633068</v>
      </c>
      <c r="G14" s="43"/>
      <c r="H14" s="43"/>
      <c r="I14" s="42">
        <f>I12/3</f>
        <v>3121616754.4000001</v>
      </c>
      <c r="J14" s="42"/>
      <c r="K14" s="42"/>
      <c r="L14" s="91">
        <f>L12/3</f>
        <v>2980139547.6666665</v>
      </c>
      <c r="M14" s="42"/>
      <c r="N14" s="42"/>
    </row>
    <row r="15" spans="1:14" ht="24" customHeight="1" x14ac:dyDescent="0.25">
      <c r="A15" s="35"/>
      <c r="B15" s="36"/>
      <c r="C15" s="37"/>
      <c r="D15" s="38"/>
      <c r="E15" s="38"/>
      <c r="F15" s="37"/>
      <c r="G15" s="38"/>
      <c r="H15" s="38"/>
      <c r="I15" s="37"/>
      <c r="L15" s="79"/>
    </row>
    <row r="16" spans="1:14" ht="51.75" customHeight="1" x14ac:dyDescent="0.25">
      <c r="A16" s="5" t="s">
        <v>0</v>
      </c>
      <c r="B16" s="149" t="s">
        <v>82</v>
      </c>
      <c r="C16" s="150"/>
      <c r="D16" s="5"/>
      <c r="E16" s="5"/>
      <c r="F16" s="2" t="s">
        <v>84</v>
      </c>
      <c r="G16" s="5"/>
      <c r="H16" s="5"/>
      <c r="I16" s="2" t="s">
        <v>83</v>
      </c>
      <c r="J16" s="88"/>
      <c r="K16" s="88"/>
      <c r="L16" s="78" t="s">
        <v>99</v>
      </c>
    </row>
    <row r="17" spans="1:14" ht="48.75" customHeight="1" x14ac:dyDescent="0.25">
      <c r="A17" s="33">
        <v>1</v>
      </c>
      <c r="B17" s="39" t="s">
        <v>89</v>
      </c>
      <c r="C17" s="82"/>
      <c r="D17" s="82"/>
      <c r="E17" s="82"/>
      <c r="F17" s="83">
        <f>F14-C14</f>
        <v>1101402001.4242425</v>
      </c>
      <c r="G17" s="82"/>
      <c r="H17" s="82"/>
      <c r="I17" s="83">
        <f>I14-C14</f>
        <v>547385687.82424259</v>
      </c>
      <c r="J17" s="88"/>
      <c r="K17" s="88"/>
      <c r="L17" s="80">
        <f>L14-C14</f>
        <v>405908481.090909</v>
      </c>
    </row>
    <row r="18" spans="1:14" ht="45.75" customHeight="1" x14ac:dyDescent="0.25">
      <c r="A18" s="84">
        <v>2</v>
      </c>
      <c r="B18" s="85" t="s">
        <v>90</v>
      </c>
      <c r="C18" s="86"/>
      <c r="D18" s="86"/>
      <c r="E18" s="86"/>
      <c r="F18" s="87">
        <f>D24</f>
        <v>189000000</v>
      </c>
      <c r="G18" s="86"/>
      <c r="H18" s="86"/>
      <c r="I18" s="87">
        <f>D25</f>
        <v>67200000</v>
      </c>
      <c r="J18" s="88"/>
      <c r="K18" s="88"/>
      <c r="L18" s="81">
        <f>D26</f>
        <v>58400000</v>
      </c>
    </row>
    <row r="19" spans="1:14" ht="26.25" customHeight="1" x14ac:dyDescent="0.25">
      <c r="A19" s="138" t="s">
        <v>109</v>
      </c>
      <c r="B19" s="138"/>
      <c r="C19" s="138"/>
      <c r="D19" s="138"/>
      <c r="E19" s="66"/>
      <c r="F19" s="47">
        <f>SUM(F17:F18)</f>
        <v>1290402001.4242425</v>
      </c>
      <c r="G19" s="66"/>
      <c r="H19" s="66"/>
      <c r="I19" s="47">
        <f>SUM(I17:I18)</f>
        <v>614585687.82424259</v>
      </c>
      <c r="J19" s="88"/>
      <c r="K19" s="88"/>
      <c r="L19" s="44">
        <f>SUM(L17:L18)</f>
        <v>464308481.090909</v>
      </c>
      <c r="M19" s="64"/>
      <c r="N19" s="64"/>
    </row>
    <row r="20" spans="1:14" ht="26.25" customHeight="1" x14ac:dyDescent="0.25">
      <c r="A20" s="151" t="s">
        <v>96</v>
      </c>
      <c r="B20" s="152"/>
      <c r="C20" s="152"/>
      <c r="D20" s="153"/>
      <c r="E20" s="66"/>
      <c r="F20" s="89">
        <f>F19/C14*100</f>
        <v>50.127667954094555</v>
      </c>
      <c r="G20" s="90"/>
      <c r="H20" s="90"/>
      <c r="I20" s="90">
        <f>I19/C14*100</f>
        <v>23.874534644699342</v>
      </c>
      <c r="J20" s="90"/>
      <c r="K20" s="90"/>
      <c r="L20" s="58">
        <f>L19/C14*100</f>
        <v>18.036783376580573</v>
      </c>
      <c r="M20" s="65"/>
      <c r="N20" s="65"/>
    </row>
    <row r="21" spans="1:14" ht="26.25" customHeight="1" x14ac:dyDescent="0.25">
      <c r="A21" s="54"/>
      <c r="B21" s="54"/>
      <c r="C21" s="54"/>
      <c r="D21" s="54"/>
      <c r="E21" s="55"/>
      <c r="F21" s="56"/>
      <c r="G21" s="56"/>
      <c r="H21" s="56"/>
      <c r="I21" s="56"/>
      <c r="J21" s="56"/>
      <c r="K21" s="56"/>
      <c r="L21" s="56"/>
      <c r="M21" s="56"/>
      <c r="N21" s="56"/>
    </row>
    <row r="22" spans="1:14" x14ac:dyDescent="0.25">
      <c r="A22" s="51"/>
      <c r="B22" s="135" t="s">
        <v>85</v>
      </c>
      <c r="C22" s="135"/>
      <c r="D22" s="5" t="s">
        <v>98</v>
      </c>
    </row>
    <row r="23" spans="1:14" ht="36" customHeight="1" x14ac:dyDescent="0.25">
      <c r="A23" s="5">
        <v>1</v>
      </c>
      <c r="B23" s="34" t="s">
        <v>86</v>
      </c>
      <c r="C23" s="52">
        <v>420000000</v>
      </c>
      <c r="D23" s="5"/>
      <c r="I23" s="7"/>
      <c r="J23" s="7"/>
      <c r="K23" s="7"/>
      <c r="L23" s="7"/>
    </row>
    <row r="24" spans="1:14" ht="35.25" customHeight="1" x14ac:dyDescent="0.25">
      <c r="A24" s="3">
        <v>2</v>
      </c>
      <c r="B24" s="40" t="s">
        <v>88</v>
      </c>
      <c r="C24" s="53">
        <v>609000000</v>
      </c>
      <c r="D24" s="57">
        <f>C24-C23</f>
        <v>189000000</v>
      </c>
      <c r="I24" s="7"/>
    </row>
    <row r="25" spans="1:14" ht="33.75" customHeight="1" x14ac:dyDescent="0.25">
      <c r="A25" s="3">
        <v>3</v>
      </c>
      <c r="B25" s="40" t="s">
        <v>94</v>
      </c>
      <c r="C25" s="53">
        <f>C24*80%</f>
        <v>487200000</v>
      </c>
      <c r="D25" s="57">
        <f>C25-C23</f>
        <v>67200000</v>
      </c>
    </row>
    <row r="26" spans="1:14" ht="46.5" customHeight="1" x14ac:dyDescent="0.25">
      <c r="A26" s="74">
        <v>4</v>
      </c>
      <c r="B26" s="75" t="s">
        <v>99</v>
      </c>
      <c r="C26" s="76">
        <v>478400000</v>
      </c>
      <c r="D26" s="77">
        <f>C26-C23</f>
        <v>58400000</v>
      </c>
    </row>
  </sheetData>
  <mergeCells count="12">
    <mergeCell ref="L2:N2"/>
    <mergeCell ref="B22:C22"/>
    <mergeCell ref="A1:K1"/>
    <mergeCell ref="A19:D19"/>
    <mergeCell ref="C2:E2"/>
    <mergeCell ref="B2:B3"/>
    <mergeCell ref="A2:A3"/>
    <mergeCell ref="I2:K2"/>
    <mergeCell ref="F2:H2"/>
    <mergeCell ref="A12:B12"/>
    <mergeCell ref="B16:C16"/>
    <mergeCell ref="A20:D20"/>
  </mergeCells>
  <pageMargins left="0.33" right="0.22" top="0.36" bottom="0.26" header="0.3" footer="0.3"/>
  <pageSetup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2:T45"/>
  <sheetViews>
    <sheetView zoomScale="99" zoomScaleNormal="85" workbookViewId="0">
      <selection activeCell="B12" sqref="B12"/>
    </sheetView>
  </sheetViews>
  <sheetFormatPr defaultColWidth="8.85546875" defaultRowHeight="15" x14ac:dyDescent="0.25"/>
  <cols>
    <col min="1" max="1" width="5.85546875" style="11" customWidth="1"/>
    <col min="2" max="2" width="38.28515625" style="11" customWidth="1"/>
    <col min="3" max="3" width="19.42578125" style="11" customWidth="1"/>
    <col min="4" max="4" width="16.140625" style="11" customWidth="1"/>
    <col min="5" max="5" width="16.28515625" style="11" customWidth="1"/>
    <col min="6" max="6" width="8.7109375" style="11" customWidth="1"/>
    <col min="7" max="7" width="17" style="11" customWidth="1"/>
    <col min="8" max="8" width="14.28515625" style="11" customWidth="1"/>
    <col min="9" max="9" width="9" style="11" bestFit="1" customWidth="1"/>
    <col min="10" max="10" width="12.7109375" style="11" customWidth="1"/>
    <col min="11" max="11" width="13.7109375" style="11" customWidth="1"/>
    <col min="12" max="12" width="9" style="11" bestFit="1" customWidth="1"/>
    <col min="13" max="13" width="13.85546875" style="11" customWidth="1"/>
    <col min="14" max="14" width="15.28515625" style="11" customWidth="1"/>
    <col min="15" max="15" width="9" style="11" bestFit="1" customWidth="1"/>
    <col min="16" max="16" width="13" style="11" bestFit="1" customWidth="1"/>
    <col min="17" max="17" width="13.42578125" style="11" customWidth="1"/>
    <col min="18" max="18" width="9" style="11" bestFit="1" customWidth="1"/>
    <col min="19" max="19" width="9" style="11" customWidth="1"/>
    <col min="20" max="20" width="15.42578125" style="11" customWidth="1"/>
    <col min="21" max="16384" width="8.85546875" style="11"/>
  </cols>
  <sheetData>
    <row r="2" spans="1:20" x14ac:dyDescent="0.25">
      <c r="B2" s="129" t="s">
        <v>64</v>
      </c>
      <c r="C2" s="129"/>
      <c r="D2" s="129"/>
      <c r="E2" s="129"/>
      <c r="F2" s="60"/>
      <c r="G2" s="14"/>
      <c r="H2" s="158" t="s">
        <v>100</v>
      </c>
      <c r="I2" s="158"/>
      <c r="J2" s="158"/>
      <c r="K2" s="158"/>
      <c r="M2" s="14"/>
      <c r="N2" s="158" t="s">
        <v>59</v>
      </c>
      <c r="O2" s="158"/>
      <c r="P2" s="158"/>
      <c r="Q2" s="158"/>
    </row>
    <row r="3" spans="1:20" ht="15" customHeight="1" x14ac:dyDescent="0.25">
      <c r="G3" s="14"/>
      <c r="H3" s="159" t="s">
        <v>101</v>
      </c>
      <c r="I3" s="160"/>
      <c r="J3" s="161"/>
      <c r="K3" s="92" t="s">
        <v>102</v>
      </c>
      <c r="M3" s="14"/>
      <c r="N3" s="159" t="s">
        <v>101</v>
      </c>
      <c r="O3" s="160"/>
      <c r="P3" s="161"/>
      <c r="Q3" s="92" t="s">
        <v>102</v>
      </c>
    </row>
    <row r="4" spans="1:20" ht="36" customHeight="1" x14ac:dyDescent="0.25">
      <c r="A4" s="12" t="s">
        <v>0</v>
      </c>
      <c r="B4" s="12" t="s">
        <v>20</v>
      </c>
      <c r="C4" s="12" t="s">
        <v>25</v>
      </c>
      <c r="D4" s="12" t="s">
        <v>23</v>
      </c>
      <c r="E4" s="117" t="s">
        <v>103</v>
      </c>
      <c r="F4" s="93"/>
      <c r="G4" s="14" t="s">
        <v>104</v>
      </c>
      <c r="H4" s="13">
        <v>1500000</v>
      </c>
      <c r="I4" s="14">
        <v>1</v>
      </c>
      <c r="J4" s="14">
        <f>H4*I4</f>
        <v>1500000</v>
      </c>
      <c r="K4" s="14">
        <f>I4*1100000</f>
        <v>1100000</v>
      </c>
      <c r="M4" s="14" t="s">
        <v>104</v>
      </c>
      <c r="N4" s="14">
        <v>1000000</v>
      </c>
      <c r="O4" s="14">
        <v>1</v>
      </c>
      <c r="P4" s="14">
        <f>N4*O4</f>
        <v>1000000</v>
      </c>
      <c r="Q4" s="14">
        <f>O4*700000</f>
        <v>700000</v>
      </c>
    </row>
    <row r="5" spans="1:20" ht="36.75" customHeight="1" x14ac:dyDescent="0.25">
      <c r="A5" s="61">
        <v>1</v>
      </c>
      <c r="B5" s="15" t="s">
        <v>26</v>
      </c>
      <c r="C5" s="16">
        <v>30000000</v>
      </c>
      <c r="D5" s="16">
        <f>J8*2</f>
        <v>51600000</v>
      </c>
      <c r="E5" s="94">
        <f>K8*2</f>
        <v>40800000</v>
      </c>
      <c r="F5" s="95"/>
      <c r="G5" s="14" t="s">
        <v>105</v>
      </c>
      <c r="H5" s="13">
        <v>1000000</v>
      </c>
      <c r="I5" s="14">
        <v>21</v>
      </c>
      <c r="J5" s="14">
        <f>H5*I5</f>
        <v>21000000</v>
      </c>
      <c r="K5" s="14">
        <f>I5*800000</f>
        <v>16800000</v>
      </c>
      <c r="M5" s="14" t="s">
        <v>105</v>
      </c>
      <c r="N5" s="14">
        <v>700000</v>
      </c>
      <c r="O5" s="14">
        <v>4</v>
      </c>
      <c r="P5" s="14">
        <f t="shared" ref="P5:P7" si="0">N5*O5</f>
        <v>2800000</v>
      </c>
      <c r="Q5" s="14">
        <f>O5*500000</f>
        <v>2000000</v>
      </c>
    </row>
    <row r="6" spans="1:20" ht="36.75" customHeight="1" x14ac:dyDescent="0.25">
      <c r="A6" s="61">
        <v>2</v>
      </c>
      <c r="B6" s="15" t="s">
        <v>27</v>
      </c>
      <c r="C6" s="16">
        <f>80000000</f>
        <v>80000000</v>
      </c>
      <c r="D6" s="16">
        <f>M24*10</f>
        <v>115800000</v>
      </c>
      <c r="E6" s="94">
        <f>N24*10</f>
        <v>97300000</v>
      </c>
      <c r="F6" s="95"/>
      <c r="G6" s="14" t="s">
        <v>34</v>
      </c>
      <c r="H6" s="13">
        <v>300000</v>
      </c>
      <c r="I6" s="14">
        <v>1</v>
      </c>
      <c r="J6" s="14">
        <f>H6*I6</f>
        <v>300000</v>
      </c>
      <c r="K6" s="14">
        <f>I6*250000</f>
        <v>250000</v>
      </c>
      <c r="M6" s="14" t="s">
        <v>34</v>
      </c>
      <c r="N6" s="14">
        <v>300000</v>
      </c>
      <c r="O6" s="14">
        <v>1</v>
      </c>
      <c r="P6" s="14">
        <f t="shared" si="0"/>
        <v>300000</v>
      </c>
      <c r="Q6" s="14">
        <f>O6*250000</f>
        <v>250000</v>
      </c>
    </row>
    <row r="7" spans="1:20" ht="24.75" customHeight="1" x14ac:dyDescent="0.25">
      <c r="A7" s="61">
        <v>3</v>
      </c>
      <c r="B7" s="14" t="s">
        <v>56</v>
      </c>
      <c r="C7" s="16">
        <v>143000000</v>
      </c>
      <c r="D7" s="16">
        <f>M45*10</f>
        <v>198400000</v>
      </c>
      <c r="E7" s="94">
        <f>N45*10</f>
        <v>153900000</v>
      </c>
      <c r="F7" s="95"/>
      <c r="G7" s="14" t="s">
        <v>35</v>
      </c>
      <c r="H7" s="13">
        <v>200000</v>
      </c>
      <c r="I7" s="14">
        <v>15</v>
      </c>
      <c r="J7" s="14">
        <f>H7*I7</f>
        <v>3000000</v>
      </c>
      <c r="K7" s="14">
        <f>I7*150000</f>
        <v>2250000</v>
      </c>
      <c r="M7" s="14" t="s">
        <v>35</v>
      </c>
      <c r="N7" s="14">
        <v>200000</v>
      </c>
      <c r="O7" s="14">
        <v>2</v>
      </c>
      <c r="P7" s="14">
        <f t="shared" si="0"/>
        <v>400000</v>
      </c>
      <c r="Q7" s="14">
        <f>O7*150000</f>
        <v>300000</v>
      </c>
    </row>
    <row r="8" spans="1:20" ht="24.75" customHeight="1" x14ac:dyDescent="0.25">
      <c r="A8" s="61">
        <v>4</v>
      </c>
      <c r="B8" s="14" t="s">
        <v>21</v>
      </c>
      <c r="C8" s="16">
        <v>137000000</v>
      </c>
      <c r="D8" s="16">
        <f>M45*10</f>
        <v>198400000</v>
      </c>
      <c r="E8" s="94">
        <f>N45*10</f>
        <v>153900000</v>
      </c>
      <c r="F8" s="95"/>
      <c r="G8" s="14"/>
      <c r="H8" s="14"/>
      <c r="I8" s="14"/>
      <c r="J8" s="17">
        <f>SUM(J4:J7)</f>
        <v>25800000</v>
      </c>
      <c r="K8" s="96">
        <f>SUM(K4:K7)</f>
        <v>20400000</v>
      </c>
      <c r="M8" s="14"/>
      <c r="N8" s="14"/>
      <c r="O8" s="14"/>
      <c r="P8" s="17">
        <f>SUM(P4:P7)</f>
        <v>4500000</v>
      </c>
      <c r="Q8" s="97">
        <f>SUM(Q4:Q7)</f>
        <v>3250000</v>
      </c>
    </row>
    <row r="9" spans="1:20" ht="24.75" customHeight="1" x14ac:dyDescent="0.25">
      <c r="A9" s="61">
        <v>5</v>
      </c>
      <c r="B9" s="14" t="s">
        <v>22</v>
      </c>
      <c r="C9" s="16">
        <v>30000000</v>
      </c>
      <c r="D9" s="16">
        <f>10*P8</f>
        <v>45000000</v>
      </c>
      <c r="E9" s="94">
        <f>Q8*10</f>
        <v>32500000</v>
      </c>
      <c r="F9" s="95"/>
    </row>
    <row r="10" spans="1:20" ht="31.5" customHeight="1" x14ac:dyDescent="0.25">
      <c r="A10" s="14"/>
      <c r="B10" s="18" t="s">
        <v>16</v>
      </c>
      <c r="C10" s="17">
        <f>SUM(C5:C9)</f>
        <v>420000000</v>
      </c>
      <c r="D10" s="17">
        <f t="shared" ref="D10:E10" si="1">SUM(D5:D9)</f>
        <v>609200000</v>
      </c>
      <c r="E10" s="96">
        <f t="shared" si="1"/>
        <v>478400000</v>
      </c>
      <c r="F10" s="98"/>
      <c r="H10" s="162" t="s">
        <v>46</v>
      </c>
      <c r="I10" s="163"/>
      <c r="J10" s="163"/>
      <c r="K10" s="163"/>
      <c r="L10" s="163"/>
      <c r="M10" s="163"/>
      <c r="N10" s="163"/>
      <c r="O10" s="164"/>
      <c r="P10" s="164"/>
      <c r="Q10" s="164"/>
      <c r="R10" s="99"/>
      <c r="S10" s="99"/>
      <c r="T10" s="99"/>
    </row>
    <row r="11" spans="1:20" ht="31.5" customHeight="1" x14ac:dyDescent="0.25">
      <c r="B11" s="100"/>
      <c r="C11" s="101"/>
      <c r="D11" s="101"/>
      <c r="E11" s="101"/>
      <c r="F11" s="101"/>
      <c r="H11" s="62"/>
      <c r="I11" s="62"/>
      <c r="J11" s="62"/>
      <c r="K11" s="154" t="s">
        <v>106</v>
      </c>
      <c r="L11" s="155"/>
      <c r="M11" s="156"/>
      <c r="N11" s="102" t="s">
        <v>102</v>
      </c>
      <c r="O11" s="103"/>
      <c r="P11" s="103"/>
      <c r="Q11" s="103"/>
      <c r="R11" s="99"/>
      <c r="S11" s="99"/>
      <c r="T11" s="99"/>
    </row>
    <row r="12" spans="1:20" ht="15.75" x14ac:dyDescent="0.25">
      <c r="H12" s="20" t="s">
        <v>31</v>
      </c>
      <c r="I12" s="14" t="s">
        <v>32</v>
      </c>
      <c r="J12" s="14"/>
      <c r="K12" s="14">
        <v>1500000</v>
      </c>
      <c r="L12" s="61">
        <v>1</v>
      </c>
      <c r="M12" s="14">
        <f>K12*L12</f>
        <v>1500000</v>
      </c>
      <c r="N12" s="14">
        <f>L12*1100000</f>
        <v>1100000</v>
      </c>
      <c r="O12" s="104"/>
    </row>
    <row r="13" spans="1:20" x14ac:dyDescent="0.25">
      <c r="H13" s="14"/>
      <c r="I13" s="14" t="s">
        <v>33</v>
      </c>
      <c r="J13" s="14"/>
      <c r="K13" s="14">
        <v>1000000</v>
      </c>
      <c r="L13" s="61">
        <v>6</v>
      </c>
      <c r="M13" s="14">
        <f t="shared" ref="M13:M15" si="2">K13*L13</f>
        <v>6000000</v>
      </c>
      <c r="N13" s="14">
        <f>L13*800000</f>
        <v>4800000</v>
      </c>
    </row>
    <row r="14" spans="1:20" ht="34.5" customHeight="1" x14ac:dyDescent="0.25">
      <c r="B14" s="128"/>
      <c r="C14" s="128"/>
      <c r="D14" s="128"/>
      <c r="E14" s="128"/>
      <c r="F14" s="59"/>
      <c r="H14" s="14"/>
      <c r="I14" s="14" t="s">
        <v>34</v>
      </c>
      <c r="J14" s="14"/>
      <c r="K14" s="14">
        <v>300000</v>
      </c>
      <c r="L14" s="61">
        <v>1</v>
      </c>
      <c r="M14" s="14">
        <f t="shared" si="2"/>
        <v>300000</v>
      </c>
      <c r="N14" s="14">
        <f>L14*250000</f>
        <v>250000</v>
      </c>
    </row>
    <row r="15" spans="1:20" x14ac:dyDescent="0.25">
      <c r="H15" s="14"/>
      <c r="I15" s="14" t="s">
        <v>35</v>
      </c>
      <c r="J15" s="14"/>
      <c r="K15" s="14">
        <v>200000</v>
      </c>
      <c r="L15" s="61">
        <v>4</v>
      </c>
      <c r="M15" s="14">
        <f t="shared" si="2"/>
        <v>800000</v>
      </c>
      <c r="N15" s="14">
        <f>L15*150000</f>
        <v>600000</v>
      </c>
    </row>
    <row r="16" spans="1:20" ht="15.75" x14ac:dyDescent="0.25">
      <c r="H16" s="14"/>
      <c r="I16" s="14"/>
      <c r="J16" s="14"/>
      <c r="K16" s="14"/>
      <c r="L16" s="14"/>
      <c r="M16" s="13">
        <f>SUM(M12:M15)</f>
        <v>8600000</v>
      </c>
      <c r="N16" s="21">
        <f>SUM(N12:N15)</f>
        <v>6750000</v>
      </c>
      <c r="T16" s="105"/>
    </row>
    <row r="17" spans="4:20" ht="47.25" x14ac:dyDescent="0.25">
      <c r="D17" s="30"/>
      <c r="H17" s="22" t="s">
        <v>36</v>
      </c>
      <c r="I17" s="14"/>
      <c r="J17" s="14"/>
      <c r="K17" s="14"/>
      <c r="L17" s="14"/>
      <c r="M17" s="14"/>
      <c r="N17" s="14"/>
      <c r="O17" s="106"/>
    </row>
    <row r="18" spans="4:20" ht="15.75" x14ac:dyDescent="0.25">
      <c r="H18" s="20" t="s">
        <v>37</v>
      </c>
      <c r="I18" s="14" t="s">
        <v>38</v>
      </c>
      <c r="J18" s="14"/>
      <c r="K18" s="14"/>
      <c r="L18" s="14"/>
      <c r="M18" s="14">
        <v>800000</v>
      </c>
      <c r="N18" s="14">
        <v>800000</v>
      </c>
      <c r="O18" s="104"/>
    </row>
    <row r="19" spans="4:20" ht="75" x14ac:dyDescent="0.25">
      <c r="H19" s="22" t="s">
        <v>39</v>
      </c>
      <c r="I19" s="15" t="s">
        <v>40</v>
      </c>
      <c r="J19" s="15"/>
      <c r="K19" s="14"/>
      <c r="L19" s="14"/>
      <c r="M19" s="14">
        <v>2000000</v>
      </c>
      <c r="N19" s="14">
        <v>2000000</v>
      </c>
      <c r="O19" s="104"/>
      <c r="P19" s="107"/>
    </row>
    <row r="20" spans="4:20" ht="15.75" x14ac:dyDescent="0.25">
      <c r="H20" s="14"/>
      <c r="I20" s="14"/>
      <c r="J20" s="14"/>
      <c r="K20" s="14"/>
      <c r="L20" s="14"/>
      <c r="M20" s="14">
        <f>SUM(M18:M19)</f>
        <v>2800000</v>
      </c>
      <c r="N20" s="21">
        <f>SUM(N18:N19)</f>
        <v>2800000</v>
      </c>
      <c r="T20" s="105"/>
    </row>
    <row r="21" spans="4:20" ht="15.75" x14ac:dyDescent="0.25">
      <c r="H21" s="14"/>
      <c r="I21" s="14"/>
      <c r="J21" s="14"/>
      <c r="K21" s="14"/>
      <c r="L21" s="14"/>
      <c r="M21" s="14"/>
      <c r="N21" s="21"/>
      <c r="T21" s="105"/>
    </row>
    <row r="22" spans="4:20" ht="15.75" x14ac:dyDescent="0.25">
      <c r="H22" s="20" t="s">
        <v>41</v>
      </c>
      <c r="I22" s="14" t="s">
        <v>42</v>
      </c>
      <c r="J22" s="14"/>
      <c r="K22" s="14"/>
      <c r="L22" s="14"/>
      <c r="M22" s="13">
        <v>180000</v>
      </c>
      <c r="N22" s="21">
        <v>180000</v>
      </c>
      <c r="O22" s="104"/>
      <c r="T22" s="105"/>
    </row>
    <row r="23" spans="4:20" x14ac:dyDescent="0.25">
      <c r="H23" s="14"/>
      <c r="I23" s="14"/>
      <c r="J23" s="14"/>
      <c r="K23" s="14"/>
      <c r="L23" s="14"/>
      <c r="M23" s="14"/>
      <c r="N23" s="14"/>
    </row>
    <row r="24" spans="4:20" ht="15.75" x14ac:dyDescent="0.25">
      <c r="H24" s="21" t="s">
        <v>43</v>
      </c>
      <c r="I24" s="14"/>
      <c r="J24" s="14"/>
      <c r="K24" s="14"/>
      <c r="L24" s="14"/>
      <c r="M24" s="23">
        <f>M16+M20+M22</f>
        <v>11580000</v>
      </c>
      <c r="N24" s="23">
        <f>N16+N20+N22</f>
        <v>9730000</v>
      </c>
      <c r="O24" s="105"/>
      <c r="T24" s="108"/>
    </row>
    <row r="27" spans="4:20" ht="15.75" x14ac:dyDescent="0.25">
      <c r="H27" s="157" t="s">
        <v>107</v>
      </c>
      <c r="I27" s="157"/>
      <c r="J27" s="157"/>
      <c r="K27" s="157"/>
      <c r="L27" s="157"/>
      <c r="M27" s="157"/>
      <c r="N27" s="157"/>
      <c r="O27" s="105"/>
      <c r="P27" s="105"/>
    </row>
    <row r="28" spans="4:20" ht="15.75" x14ac:dyDescent="0.25">
      <c r="H28" s="14"/>
      <c r="I28" s="14"/>
      <c r="J28" s="14"/>
      <c r="K28" s="154" t="s">
        <v>106</v>
      </c>
      <c r="L28" s="155"/>
      <c r="M28" s="156"/>
      <c r="N28" s="109" t="s">
        <v>102</v>
      </c>
      <c r="T28" s="110"/>
    </row>
    <row r="29" spans="4:20" ht="15.75" x14ac:dyDescent="0.25">
      <c r="H29" s="25" t="s">
        <v>31</v>
      </c>
      <c r="I29" s="14"/>
      <c r="J29" s="14"/>
      <c r="K29" s="14"/>
      <c r="L29" s="14"/>
      <c r="M29" s="14"/>
      <c r="N29" s="14"/>
      <c r="O29" s="111"/>
    </row>
    <row r="30" spans="4:20" x14ac:dyDescent="0.25">
      <c r="H30" s="26"/>
      <c r="I30" s="14" t="s">
        <v>32</v>
      </c>
      <c r="J30" s="14"/>
      <c r="K30" s="14">
        <v>1800000</v>
      </c>
      <c r="L30" s="14">
        <v>1</v>
      </c>
      <c r="M30" s="14">
        <f>K30*L30</f>
        <v>1800000</v>
      </c>
      <c r="N30" s="14">
        <f>L30*1300000</f>
        <v>1300000</v>
      </c>
      <c r="O30" s="112"/>
    </row>
    <row r="31" spans="4:20" x14ac:dyDescent="0.25">
      <c r="H31" s="26"/>
      <c r="I31" s="14" t="s">
        <v>49</v>
      </c>
      <c r="J31" s="14"/>
      <c r="K31" s="14">
        <v>1500000</v>
      </c>
      <c r="L31" s="14">
        <v>6</v>
      </c>
      <c r="M31" s="14">
        <f t="shared" ref="M31:M35" si="3">K31*L31</f>
        <v>9000000</v>
      </c>
      <c r="N31" s="14">
        <f>L31*1100000</f>
        <v>6600000</v>
      </c>
      <c r="O31" s="112"/>
    </row>
    <row r="32" spans="4:20" x14ac:dyDescent="0.25">
      <c r="H32" s="26"/>
      <c r="I32" s="113" t="s">
        <v>108</v>
      </c>
      <c r="J32" s="113"/>
      <c r="K32" s="113">
        <v>1000000</v>
      </c>
      <c r="L32" s="113">
        <v>2</v>
      </c>
      <c r="M32" s="113">
        <f t="shared" si="3"/>
        <v>2000000</v>
      </c>
      <c r="N32" s="113">
        <f>L32*750000</f>
        <v>1500000</v>
      </c>
      <c r="O32" s="112"/>
    </row>
    <row r="33" spans="8:20" x14ac:dyDescent="0.25">
      <c r="H33" s="26"/>
      <c r="I33" s="14" t="s">
        <v>33</v>
      </c>
      <c r="J33" s="14"/>
      <c r="K33" s="14">
        <v>700000</v>
      </c>
      <c r="L33" s="14">
        <v>3</v>
      </c>
      <c r="M33" s="14">
        <f t="shared" si="3"/>
        <v>2100000</v>
      </c>
      <c r="N33" s="14">
        <f>L33*500000</f>
        <v>1500000</v>
      </c>
      <c r="O33" s="112"/>
    </row>
    <row r="34" spans="8:20" x14ac:dyDescent="0.25">
      <c r="H34" s="26"/>
      <c r="I34" s="14" t="s">
        <v>34</v>
      </c>
      <c r="J34" s="14"/>
      <c r="K34" s="14">
        <v>300000</v>
      </c>
      <c r="L34" s="14">
        <v>1</v>
      </c>
      <c r="M34" s="14">
        <f t="shared" si="3"/>
        <v>300000</v>
      </c>
      <c r="N34" s="14">
        <f>L34*250000</f>
        <v>250000</v>
      </c>
      <c r="O34" s="112"/>
    </row>
    <row r="35" spans="8:20" x14ac:dyDescent="0.25">
      <c r="H35" s="26"/>
      <c r="I35" s="14" t="s">
        <v>35</v>
      </c>
      <c r="J35" s="14"/>
      <c r="K35" s="14">
        <v>200000</v>
      </c>
      <c r="L35" s="14">
        <v>8</v>
      </c>
      <c r="M35" s="14">
        <f t="shared" si="3"/>
        <v>1600000</v>
      </c>
      <c r="N35" s="14">
        <f>L35*150000</f>
        <v>1200000</v>
      </c>
      <c r="O35" s="112"/>
    </row>
    <row r="36" spans="8:20" ht="15.75" x14ac:dyDescent="0.25">
      <c r="H36" s="26"/>
      <c r="I36" s="14"/>
      <c r="J36" s="14"/>
      <c r="K36" s="14"/>
      <c r="L36" s="14"/>
      <c r="M36" s="13">
        <f>SUM(M30:M35)</f>
        <v>16800000</v>
      </c>
      <c r="N36" s="21">
        <f>SUM(N30:N35)</f>
        <v>12350000</v>
      </c>
      <c r="O36" s="112"/>
      <c r="T36" s="105"/>
    </row>
    <row r="37" spans="8:20" x14ac:dyDescent="0.25">
      <c r="H37" s="26"/>
      <c r="I37" s="14"/>
      <c r="J37" s="14"/>
      <c r="K37" s="14"/>
      <c r="L37" s="14"/>
      <c r="M37" s="14"/>
      <c r="N37" s="14"/>
      <c r="O37" s="112"/>
    </row>
    <row r="38" spans="8:20" ht="47.25" x14ac:dyDescent="0.25">
      <c r="H38" s="27" t="s">
        <v>36</v>
      </c>
      <c r="I38" s="14"/>
      <c r="J38" s="14"/>
      <c r="K38" s="14"/>
      <c r="L38" s="14"/>
      <c r="M38" s="14"/>
      <c r="N38" s="14"/>
      <c r="O38" s="114"/>
    </row>
    <row r="39" spans="8:20" ht="40.5" customHeight="1" x14ac:dyDescent="0.25">
      <c r="H39" s="27" t="s">
        <v>37</v>
      </c>
      <c r="I39" s="14" t="s">
        <v>38</v>
      </c>
      <c r="J39" s="14"/>
      <c r="K39" s="14"/>
      <c r="L39" s="14"/>
      <c r="M39" s="14">
        <v>800000</v>
      </c>
      <c r="N39" s="14">
        <v>800000</v>
      </c>
      <c r="O39" s="111"/>
    </row>
    <row r="40" spans="8:20" ht="75" x14ac:dyDescent="0.25">
      <c r="H40" s="25" t="s">
        <v>39</v>
      </c>
      <c r="I40" s="15" t="s">
        <v>40</v>
      </c>
      <c r="J40" s="15"/>
      <c r="K40" s="14"/>
      <c r="L40" s="14"/>
      <c r="M40" s="14">
        <v>2000000</v>
      </c>
      <c r="N40" s="14">
        <v>2000000</v>
      </c>
      <c r="O40" s="111"/>
      <c r="P40" s="107"/>
    </row>
    <row r="41" spans="8:20" ht="15.75" x14ac:dyDescent="0.25">
      <c r="H41" s="26"/>
      <c r="I41" s="14"/>
      <c r="J41" s="14"/>
      <c r="K41" s="14"/>
      <c r="L41" s="14"/>
      <c r="M41" s="21">
        <f>SUM(M39:M40)</f>
        <v>2800000</v>
      </c>
      <c r="N41" s="21">
        <f>SUM(N39:N40)</f>
        <v>2800000</v>
      </c>
      <c r="O41" s="112"/>
      <c r="T41" s="105"/>
    </row>
    <row r="42" spans="8:20" ht="15.75" x14ac:dyDescent="0.25">
      <c r="H42" s="26"/>
      <c r="I42" s="14"/>
      <c r="J42" s="14"/>
      <c r="K42" s="14"/>
      <c r="L42" s="14"/>
      <c r="M42" s="14"/>
      <c r="N42" s="21"/>
      <c r="O42" s="112"/>
      <c r="T42" s="105"/>
    </row>
    <row r="43" spans="8:20" ht="15.75" x14ac:dyDescent="0.25">
      <c r="H43" s="25" t="s">
        <v>41</v>
      </c>
      <c r="I43" s="14" t="s">
        <v>51</v>
      </c>
      <c r="J43" s="14"/>
      <c r="K43" s="14"/>
      <c r="L43" s="14"/>
      <c r="M43" s="13">
        <v>240000</v>
      </c>
      <c r="N43" s="21">
        <v>240000</v>
      </c>
      <c r="O43" s="111"/>
      <c r="T43" s="105"/>
    </row>
    <row r="44" spans="8:20" x14ac:dyDescent="0.25">
      <c r="H44" s="26"/>
      <c r="I44" s="14"/>
      <c r="J44" s="14"/>
      <c r="K44" s="14"/>
      <c r="L44" s="14"/>
      <c r="M44" s="14"/>
      <c r="N44" s="14"/>
      <c r="O44" s="112"/>
    </row>
    <row r="45" spans="8:20" ht="15.75" x14ac:dyDescent="0.25">
      <c r="H45" s="28" t="s">
        <v>52</v>
      </c>
      <c r="I45" s="14" t="s">
        <v>53</v>
      </c>
      <c r="J45" s="14"/>
      <c r="K45" s="14"/>
      <c r="L45" s="14"/>
      <c r="M45" s="29">
        <f>M36+M41+M43</f>
        <v>19840000</v>
      </c>
      <c r="N45" s="29">
        <f>N36+N41+N43</f>
        <v>15390000</v>
      </c>
      <c r="O45" s="115"/>
      <c r="T45" s="116"/>
    </row>
  </sheetData>
  <mergeCells count="11">
    <mergeCell ref="K11:M11"/>
    <mergeCell ref="B14:E14"/>
    <mergeCell ref="H27:N27"/>
    <mergeCell ref="K28:M28"/>
    <mergeCell ref="B2:E2"/>
    <mergeCell ref="H2:K2"/>
    <mergeCell ref="N2:Q2"/>
    <mergeCell ref="H3:J3"/>
    <mergeCell ref="N3:P3"/>
    <mergeCell ref="H10:N10"/>
    <mergeCell ref="O10:Q10"/>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4"/>
  <sheetViews>
    <sheetView topLeftCell="A13" workbookViewId="0">
      <selection activeCell="K15" sqref="K15"/>
    </sheetView>
  </sheetViews>
  <sheetFormatPr defaultRowHeight="15" x14ac:dyDescent="0.25"/>
  <cols>
    <col min="2" max="2" width="24.5703125" customWidth="1"/>
    <col min="3" max="3" width="23.140625" customWidth="1"/>
  </cols>
  <sheetData>
    <row r="2" spans="1:3" x14ac:dyDescent="0.25">
      <c r="A2" s="165" t="s">
        <v>93</v>
      </c>
      <c r="B2" s="165"/>
      <c r="C2" s="165"/>
    </row>
    <row r="3" spans="1:3" ht="30" customHeight="1" x14ac:dyDescent="0.25">
      <c r="A3" s="5" t="s">
        <v>0</v>
      </c>
      <c r="B3" s="5" t="s">
        <v>67</v>
      </c>
      <c r="C3" s="5" t="s">
        <v>91</v>
      </c>
    </row>
    <row r="4" spans="1:3" x14ac:dyDescent="0.25">
      <c r="A4" s="45">
        <v>1</v>
      </c>
      <c r="B4" s="39" t="s">
        <v>68</v>
      </c>
      <c r="C4" s="46">
        <v>2</v>
      </c>
    </row>
    <row r="5" spans="1:3" x14ac:dyDescent="0.25">
      <c r="A5" s="45">
        <v>2</v>
      </c>
      <c r="B5" s="39" t="s">
        <v>73</v>
      </c>
      <c r="C5" s="46">
        <v>3</v>
      </c>
    </row>
    <row r="6" spans="1:3" x14ac:dyDescent="0.25">
      <c r="A6" s="45">
        <v>3</v>
      </c>
      <c r="B6" s="39" t="s">
        <v>74</v>
      </c>
      <c r="C6" s="46">
        <v>2</v>
      </c>
    </row>
    <row r="7" spans="1:3" x14ac:dyDescent="0.25">
      <c r="A7" s="45">
        <v>4</v>
      </c>
      <c r="B7" s="39" t="s">
        <v>75</v>
      </c>
      <c r="C7" s="46">
        <v>5</v>
      </c>
    </row>
    <row r="8" spans="1:3" x14ac:dyDescent="0.25">
      <c r="A8" s="45">
        <v>5</v>
      </c>
      <c r="B8" s="39" t="s">
        <v>76</v>
      </c>
      <c r="C8" s="46">
        <v>3</v>
      </c>
    </row>
    <row r="9" spans="1:3" x14ac:dyDescent="0.25">
      <c r="A9" s="45">
        <v>6</v>
      </c>
      <c r="B9" s="39" t="s">
        <v>77</v>
      </c>
      <c r="C9" s="46">
        <v>3</v>
      </c>
    </row>
    <row r="10" spans="1:3" x14ac:dyDescent="0.25">
      <c r="A10" s="45">
        <v>7</v>
      </c>
      <c r="B10" s="39" t="s">
        <v>78</v>
      </c>
      <c r="C10" s="46">
        <v>3</v>
      </c>
    </row>
    <row r="11" spans="1:3" x14ac:dyDescent="0.25">
      <c r="A11" s="45">
        <v>8</v>
      </c>
      <c r="B11" s="39" t="s">
        <v>79</v>
      </c>
      <c r="C11" s="46">
        <v>4</v>
      </c>
    </row>
    <row r="12" spans="1:3" ht="21" customHeight="1" x14ac:dyDescent="0.25">
      <c r="A12" s="147" t="s">
        <v>80</v>
      </c>
      <c r="B12" s="148"/>
      <c r="C12" s="47">
        <f>SUM(C4:C11)</f>
        <v>25</v>
      </c>
    </row>
    <row r="14" spans="1:3" ht="27" customHeight="1" x14ac:dyDescent="0.25">
      <c r="A14" s="48"/>
      <c r="B14" s="49" t="s">
        <v>92</v>
      </c>
      <c r="C14" s="50">
        <f>C12/8</f>
        <v>3.125</v>
      </c>
    </row>
  </sheetData>
  <mergeCells count="2">
    <mergeCell ref="A12:B12"/>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575e56fb88e0dc4d</MaTinBai>
    <_dlc_DocId xmlns="ae4e42cd-c673-4541-a17d-d353a4125f5e">DDYPFUVZ5X6F-6-6596</_dlc_DocId>
    <_dlc_DocIdUrl xmlns="ae4e42cd-c673-4541-a17d-d353a4125f5e">
      <Url>https://dbdc.backan.gov.vn/_layouts/15/DocIdRedir.aspx?ID=DDYPFUVZ5X6F-6-6596</Url>
      <Description>DDYPFUVZ5X6F-6-6596</Description>
    </_dlc_DocIdUrl>
  </documentManagement>
</p:properties>
</file>

<file path=customXml/itemProps1.xml><?xml version="1.0" encoding="utf-8"?>
<ds:datastoreItem xmlns:ds="http://schemas.openxmlformats.org/officeDocument/2006/customXml" ds:itemID="{E98E95A8-D165-464D-B626-F5B0D56A8678}"/>
</file>

<file path=customXml/itemProps2.xml><?xml version="1.0" encoding="utf-8"?>
<ds:datastoreItem xmlns:ds="http://schemas.openxmlformats.org/officeDocument/2006/customXml" ds:itemID="{DBB49779-6599-4841-9DFE-FDE8AF5BA942}"/>
</file>

<file path=customXml/itemProps3.xml><?xml version="1.0" encoding="utf-8"?>
<ds:datastoreItem xmlns:ds="http://schemas.openxmlformats.org/officeDocument/2006/customXml" ds:itemID="{0E87B109-6C11-4D07-ACAA-58569A7D5065}"/>
</file>

<file path=customXml/itemProps4.xml><?xml version="1.0" encoding="utf-8"?>
<ds:datastoreItem xmlns:ds="http://schemas.openxmlformats.org/officeDocument/2006/customXml" ds:itemID="{570DD800-3DD9-4070-8601-4E3527EBB6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Công-Thù lao</vt:lpstr>
      <vt:lpstr>Chi khác (CTP, HT)</vt:lpstr>
      <vt:lpstr>Chi quản lý</vt:lpstr>
      <vt:lpstr>So sánh</vt:lpstr>
      <vt:lpstr>Chi Quản lý nhiệm vụ</vt:lpstr>
      <vt:lpstr>Thời gian thực hiện đề tài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MSSTUYEN</dc:creator>
  <cp:lastModifiedBy>Nông Thu Huyền - C2 Bắc Kạn</cp:lastModifiedBy>
  <cp:lastPrinted>2023-12-28T11:50:42Z</cp:lastPrinted>
  <dcterms:created xsi:type="dcterms:W3CDTF">2023-10-15T02:39:39Z</dcterms:created>
  <dcterms:modified xsi:type="dcterms:W3CDTF">2024-02-29T09:33:09Z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a8070173-4be7-4815-b570-a83490b5c794</vt:lpwstr>
  </property>
</Properties>
</file>