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24\BIÊN CHẾ\NQ biên chế 2024\Tờ trình\"/>
    </mc:Choice>
  </mc:AlternateContent>
  <xr:revisionPtr revIDLastSave="0" documentId="13_ncr:1_{2BD2EFF9-7A30-473E-8309-AC47EED33579}" xr6:coauthVersionLast="47" xr6:coauthVersionMax="47" xr10:uidLastSave="{00000000-0000-0000-0000-000000000000}"/>
  <bookViews>
    <workbookView xWindow="-120" yWindow="-120" windowWidth="29040" windowHeight="15840" tabRatio="836" firstSheet="1" activeTab="2" xr2:uid="{00000000-000D-0000-FFFF-FFFF00000000}"/>
  </bookViews>
  <sheets>
    <sheet name="Sheet1" sheetId="7" state="hidden" r:id="rId1"/>
    <sheet name="PL1_CC" sheetId="20" r:id="rId2"/>
    <sheet name="PL2_VC NSNN" sheetId="19" r:id="rId3"/>
    <sheet name="PL3. Hoi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9" l="1"/>
  <c r="E8" i="19"/>
  <c r="F8" i="19"/>
  <c r="G8" i="19"/>
  <c r="C8" i="19"/>
  <c r="H9" i="19"/>
  <c r="C20" i="15" l="1"/>
  <c r="H10" i="19" l="1"/>
  <c r="C6" i="20" l="1"/>
  <c r="C29" i="20"/>
  <c r="H11" i="19" l="1"/>
  <c r="H12" i="19"/>
  <c r="H13" i="19"/>
  <c r="H14" i="19"/>
  <c r="H15" i="19"/>
  <c r="H16" i="19"/>
  <c r="H17" i="19"/>
  <c r="H18" i="19"/>
  <c r="H19" i="19"/>
  <c r="H20" i="19"/>
  <c r="H21" i="19"/>
  <c r="H22" i="19"/>
  <c r="H24" i="19"/>
  <c r="H25" i="19"/>
  <c r="H26" i="19"/>
  <c r="H28" i="19"/>
  <c r="H29" i="19"/>
  <c r="H30" i="19"/>
  <c r="H31" i="19"/>
  <c r="H32" i="19"/>
  <c r="H33" i="19"/>
  <c r="H34" i="19"/>
  <c r="H35" i="19"/>
  <c r="H8" i="19" l="1"/>
  <c r="G27" i="19"/>
  <c r="F27" i="19"/>
  <c r="E27" i="19"/>
  <c r="D27" i="19"/>
  <c r="C27" i="19"/>
  <c r="G23" i="19"/>
  <c r="F23" i="19"/>
  <c r="E23" i="19"/>
  <c r="D23" i="19"/>
  <c r="C23" i="19"/>
  <c r="C7" i="19" l="1"/>
  <c r="G7" i="19"/>
  <c r="H23" i="19"/>
  <c r="H27" i="19"/>
  <c r="F7" i="19"/>
  <c r="D7" i="19"/>
  <c r="E7" i="19"/>
  <c r="H7" i="19" l="1"/>
  <c r="C7" i="15"/>
  <c r="C6" i="15" l="1"/>
  <c r="G206" i="7"/>
  <c r="I205" i="7"/>
  <c r="G204" i="7"/>
  <c r="F204" i="7"/>
  <c r="E204" i="7"/>
  <c r="E205" i="7" s="1"/>
  <c r="H203" i="7"/>
  <c r="G203" i="7"/>
  <c r="F203" i="7"/>
  <c r="F199" i="7" s="1"/>
  <c r="E201" i="7"/>
  <c r="E202" i="7" s="1"/>
  <c r="E199" i="7"/>
  <c r="D199" i="7"/>
  <c r="C199" i="7"/>
  <c r="G195" i="7"/>
  <c r="G191" i="7"/>
  <c r="G190" i="7" s="1"/>
  <c r="F190" i="7"/>
  <c r="F196" i="7" s="1"/>
  <c r="E190" i="7"/>
  <c r="E196" i="7" s="1"/>
  <c r="D190" i="7"/>
  <c r="D196" i="7" s="1"/>
  <c r="D198" i="7" s="1"/>
  <c r="C190" i="7"/>
  <c r="C196" i="7" s="1"/>
  <c r="C198" i="7" s="1"/>
  <c r="G179" i="7"/>
  <c r="G178" i="7"/>
  <c r="G177" i="7"/>
  <c r="F177" i="7"/>
  <c r="F173" i="7" s="1"/>
  <c r="E173" i="7"/>
  <c r="D173" i="7"/>
  <c r="C173" i="7"/>
  <c r="G169" i="7"/>
  <c r="G164" i="7"/>
  <c r="F164" i="7"/>
  <c r="F170" i="7" s="1"/>
  <c r="F171" i="7" s="1"/>
  <c r="E164" i="7"/>
  <c r="E170" i="7" s="1"/>
  <c r="D164" i="7"/>
  <c r="D170" i="7" s="1"/>
  <c r="D172" i="7" s="1"/>
  <c r="C164" i="7"/>
  <c r="C170" i="7" s="1"/>
  <c r="G152" i="7"/>
  <c r="F152" i="7"/>
  <c r="H151" i="7"/>
  <c r="G151" i="7"/>
  <c r="F151" i="7"/>
  <c r="F147" i="7" s="1"/>
  <c r="E151" i="7"/>
  <c r="D151" i="7"/>
  <c r="C151" i="7"/>
  <c r="F149" i="7"/>
  <c r="F150" i="7" s="1"/>
  <c r="E148" i="7"/>
  <c r="D148" i="7"/>
  <c r="C148" i="7"/>
  <c r="G143" i="7"/>
  <c r="G138" i="7"/>
  <c r="F138" i="7"/>
  <c r="F144" i="7" s="1"/>
  <c r="E138" i="7"/>
  <c r="E144" i="7" s="1"/>
  <c r="D138" i="7"/>
  <c r="D144" i="7" s="1"/>
  <c r="C138" i="7"/>
  <c r="C144" i="7" s="1"/>
  <c r="E131" i="7"/>
  <c r="D131" i="7"/>
  <c r="C131" i="7"/>
  <c r="I126" i="7"/>
  <c r="G126" i="7"/>
  <c r="F126" i="7"/>
  <c r="G125" i="7"/>
  <c r="F125" i="7"/>
  <c r="F121" i="7" s="1"/>
  <c r="E125" i="7"/>
  <c r="E121" i="7" s="1"/>
  <c r="D125" i="7"/>
  <c r="D121" i="7" s="1"/>
  <c r="C125" i="7"/>
  <c r="F123" i="7"/>
  <c r="F124" i="7" s="1"/>
  <c r="G117" i="7"/>
  <c r="G112" i="7"/>
  <c r="F112" i="7"/>
  <c r="F118" i="7" s="1"/>
  <c r="E112" i="7"/>
  <c r="E118" i="7" s="1"/>
  <c r="D112" i="7"/>
  <c r="D118" i="7" s="1"/>
  <c r="C112" i="7"/>
  <c r="C118" i="7" s="1"/>
  <c r="C120" i="7" s="1"/>
  <c r="G102" i="7"/>
  <c r="D102" i="7"/>
  <c r="C102" i="7"/>
  <c r="E101" i="7"/>
  <c r="C101" i="7"/>
  <c r="I100" i="7"/>
  <c r="G100" i="7"/>
  <c r="F100" i="7"/>
  <c r="E100" i="7"/>
  <c r="D100" i="7"/>
  <c r="C100" i="7"/>
  <c r="I99" i="7"/>
  <c r="H99" i="7"/>
  <c r="G99" i="7"/>
  <c r="F99" i="7"/>
  <c r="F95" i="7" s="1"/>
  <c r="E99" i="7"/>
  <c r="E95" i="7" s="1"/>
  <c r="D99" i="7"/>
  <c r="C99" i="7"/>
  <c r="I97" i="7"/>
  <c r="F97" i="7"/>
  <c r="F98" i="7" s="1"/>
  <c r="E97" i="7"/>
  <c r="E98" i="7" s="1"/>
  <c r="D97" i="7"/>
  <c r="D98" i="7" s="1"/>
  <c r="C97" i="7"/>
  <c r="C98" i="7" s="1"/>
  <c r="G91" i="7"/>
  <c r="G86" i="7"/>
  <c r="F86" i="7"/>
  <c r="F92" i="7" s="1"/>
  <c r="E86" i="7"/>
  <c r="E92" i="7" s="1"/>
  <c r="E94" i="7" s="1"/>
  <c r="D86" i="7"/>
  <c r="D92" i="7" s="1"/>
  <c r="D94" i="7" s="1"/>
  <c r="C86" i="7"/>
  <c r="C92" i="7" s="1"/>
  <c r="G76" i="7"/>
  <c r="G75" i="7"/>
  <c r="G74" i="7"/>
  <c r="F74" i="7"/>
  <c r="E74" i="7"/>
  <c r="D74" i="7"/>
  <c r="C74" i="7"/>
  <c r="G73" i="7"/>
  <c r="F73" i="7"/>
  <c r="E73" i="7"/>
  <c r="D73" i="7"/>
  <c r="C73" i="7"/>
  <c r="I72" i="7"/>
  <c r="F71" i="7"/>
  <c r="E71" i="7"/>
  <c r="D71" i="7"/>
  <c r="C71" i="7"/>
  <c r="F70" i="7"/>
  <c r="E70" i="7"/>
  <c r="D70" i="7"/>
  <c r="C70" i="7"/>
  <c r="I75" i="7" s="1"/>
  <c r="G65" i="7"/>
  <c r="G60" i="7"/>
  <c r="G66" i="7" s="1"/>
  <c r="F60" i="7"/>
  <c r="F66" i="7" s="1"/>
  <c r="E60" i="7"/>
  <c r="E66" i="7" s="1"/>
  <c r="E68" i="7" s="1"/>
  <c r="D60" i="7"/>
  <c r="D66" i="7" s="1"/>
  <c r="D68" i="7" s="1"/>
  <c r="C60" i="7"/>
  <c r="C66" i="7" s="1"/>
  <c r="H50" i="7"/>
  <c r="G49" i="7"/>
  <c r="F49" i="7"/>
  <c r="G48" i="7"/>
  <c r="F48" i="7"/>
  <c r="G47" i="7"/>
  <c r="F47" i="7"/>
  <c r="F43" i="7" s="1"/>
  <c r="G44" i="7"/>
  <c r="E43" i="7"/>
  <c r="D43" i="7"/>
  <c r="C43" i="7"/>
  <c r="G39" i="7"/>
  <c r="F39" i="7"/>
  <c r="E39" i="7"/>
  <c r="D39" i="7"/>
  <c r="C39" i="7"/>
  <c r="G34" i="7"/>
  <c r="F34" i="7"/>
  <c r="E34" i="7"/>
  <c r="D34" i="7"/>
  <c r="C34" i="7"/>
  <c r="G24" i="7"/>
  <c r="F24" i="7"/>
  <c r="E24" i="7"/>
  <c r="E17" i="7" s="1"/>
  <c r="G23" i="7"/>
  <c r="F23" i="7"/>
  <c r="G22" i="7"/>
  <c r="F22" i="7"/>
  <c r="G21" i="7"/>
  <c r="F21" i="7"/>
  <c r="G18" i="7"/>
  <c r="F18" i="7"/>
  <c r="D17" i="7"/>
  <c r="C17" i="7"/>
  <c r="G13" i="7"/>
  <c r="G8" i="7"/>
  <c r="F8" i="7"/>
  <c r="F14" i="7" s="1"/>
  <c r="E8" i="7"/>
  <c r="E14" i="7" s="1"/>
  <c r="E16" i="7" s="1"/>
  <c r="D8" i="7"/>
  <c r="D14" i="7" s="1"/>
  <c r="C8" i="7"/>
  <c r="C14" i="7" s="1"/>
  <c r="C147" i="7" l="1"/>
  <c r="E147" i="7"/>
  <c r="C29" i="7"/>
  <c r="C28" i="7" s="1"/>
  <c r="C30" i="7" s="1"/>
  <c r="E72" i="7"/>
  <c r="F72" i="7"/>
  <c r="D147" i="7"/>
  <c r="D159" i="7" s="1"/>
  <c r="D158" i="7" s="1"/>
  <c r="D160" i="7" s="1"/>
  <c r="G14" i="7"/>
  <c r="G25" i="7" s="1"/>
  <c r="G17" i="7" s="1"/>
  <c r="G29" i="7" s="1"/>
  <c r="G28" i="7" s="1"/>
  <c r="G30" i="7" s="1"/>
  <c r="G40" i="7"/>
  <c r="G51" i="7" s="1"/>
  <c r="G43" i="7" s="1"/>
  <c r="G55" i="7" s="1"/>
  <c r="G54" i="7" s="1"/>
  <c r="G92" i="7"/>
  <c r="G93" i="7" s="1"/>
  <c r="G94" i="7" s="1"/>
  <c r="F205" i="7"/>
  <c r="C40" i="7"/>
  <c r="C55" i="7" s="1"/>
  <c r="C54" i="7" s="1"/>
  <c r="C56" i="7" s="1"/>
  <c r="F17" i="7"/>
  <c r="C159" i="7"/>
  <c r="C158" i="7" s="1"/>
  <c r="C160" i="7" s="1"/>
  <c r="D95" i="7"/>
  <c r="G205" i="7"/>
  <c r="D29" i="7"/>
  <c r="D28" i="7" s="1"/>
  <c r="D30" i="7" s="1"/>
  <c r="G170" i="7"/>
  <c r="G181" i="7" s="1"/>
  <c r="F40" i="7"/>
  <c r="F41" i="7" s="1"/>
  <c r="E40" i="7"/>
  <c r="E55" i="7" s="1"/>
  <c r="E54" i="7" s="1"/>
  <c r="E56" i="7" s="1"/>
  <c r="C69" i="7"/>
  <c r="C81" i="7" s="1"/>
  <c r="C80" i="7" s="1"/>
  <c r="C82" i="7" s="1"/>
  <c r="G144" i="7"/>
  <c r="G145" i="7" s="1"/>
  <c r="G146" i="7" s="1"/>
  <c r="F69" i="7"/>
  <c r="F81" i="7" s="1"/>
  <c r="F80" i="7" s="1"/>
  <c r="F82" i="7" s="1"/>
  <c r="D40" i="7"/>
  <c r="D55" i="7" s="1"/>
  <c r="D54" i="7" s="1"/>
  <c r="D56" i="7" s="1"/>
  <c r="C95" i="7"/>
  <c r="G196" i="7"/>
  <c r="F197" i="7"/>
  <c r="F198" i="7" s="1"/>
  <c r="F119" i="7"/>
  <c r="F120" i="7" s="1"/>
  <c r="D16" i="7"/>
  <c r="D75" i="7"/>
  <c r="I73" i="7"/>
  <c r="C72" i="7"/>
  <c r="E75" i="7"/>
  <c r="E185" i="7"/>
  <c r="E184" i="7" s="1"/>
  <c r="E186" i="7" s="1"/>
  <c r="D146" i="7"/>
  <c r="E29" i="7"/>
  <c r="E28" i="7" s="1"/>
  <c r="E30" i="7" s="1"/>
  <c r="F67" i="7"/>
  <c r="F68" i="7" s="1"/>
  <c r="C172" i="7"/>
  <c r="C185" i="7"/>
  <c r="C184" i="7" s="1"/>
  <c r="C186" i="7" s="1"/>
  <c r="E198" i="7"/>
  <c r="E211" i="7"/>
  <c r="E210" i="7" s="1"/>
  <c r="E212" i="7" s="1"/>
  <c r="G67" i="7"/>
  <c r="G68" i="7" s="1"/>
  <c r="D69" i="7"/>
  <c r="I74" i="7"/>
  <c r="D72" i="7"/>
  <c r="G77" i="7"/>
  <c r="C94" i="7"/>
  <c r="D107" i="7"/>
  <c r="D106" i="7" s="1"/>
  <c r="D108" i="7" s="1"/>
  <c r="G118" i="7"/>
  <c r="C146" i="7"/>
  <c r="F172" i="7"/>
  <c r="F185" i="7"/>
  <c r="F184" i="7" s="1"/>
  <c r="F186" i="7" s="1"/>
  <c r="D185" i="7"/>
  <c r="D184" i="7" s="1"/>
  <c r="D186" i="7" s="1"/>
  <c r="E172" i="7"/>
  <c r="F93" i="7"/>
  <c r="F94" i="7" s="1"/>
  <c r="F107" i="7"/>
  <c r="F106" i="7" s="1"/>
  <c r="F108" i="7" s="1"/>
  <c r="E133" i="7"/>
  <c r="E132" i="7" s="1"/>
  <c r="E134" i="7" s="1"/>
  <c r="E120" i="7"/>
  <c r="F159" i="7"/>
  <c r="F158" i="7" s="1"/>
  <c r="F160" i="7" s="1"/>
  <c r="F145" i="7"/>
  <c r="F146" i="7" s="1"/>
  <c r="F29" i="7"/>
  <c r="F28" i="7" s="1"/>
  <c r="F30" i="7" s="1"/>
  <c r="F15" i="7"/>
  <c r="F16" i="7" s="1"/>
  <c r="C16" i="7"/>
  <c r="C68" i="7"/>
  <c r="E69" i="7"/>
  <c r="E81" i="7" s="1"/>
  <c r="E80" i="7" s="1"/>
  <c r="C75" i="7"/>
  <c r="E107" i="7"/>
  <c r="E106" i="7" s="1"/>
  <c r="E108" i="7" s="1"/>
  <c r="D133" i="7"/>
  <c r="D132" i="7" s="1"/>
  <c r="D134" i="7" s="1"/>
  <c r="D120" i="7"/>
  <c r="C121" i="7"/>
  <c r="C133" i="7" s="1"/>
  <c r="C132" i="7" s="1"/>
  <c r="F133" i="7"/>
  <c r="F132" i="7" s="1"/>
  <c r="F134" i="7" s="1"/>
  <c r="E159" i="7"/>
  <c r="E158" i="7" s="1"/>
  <c r="E160" i="7" s="1"/>
  <c r="E146" i="7"/>
  <c r="F211" i="7"/>
  <c r="F210" i="7" s="1"/>
  <c r="F212" i="7" s="1"/>
  <c r="C42" i="7" l="1"/>
  <c r="G155" i="7"/>
  <c r="G103" i="7"/>
  <c r="G41" i="7"/>
  <c r="G42" i="7" s="1"/>
  <c r="G15" i="7"/>
  <c r="G16" i="7" s="1"/>
  <c r="F55" i="7"/>
  <c r="F54" i="7" s="1"/>
  <c r="F56" i="7" s="1"/>
  <c r="G171" i="7"/>
  <c r="G172" i="7" s="1"/>
  <c r="F42" i="7"/>
  <c r="D42" i="7"/>
  <c r="G197" i="7"/>
  <c r="G198" i="7" s="1"/>
  <c r="G207" i="7"/>
  <c r="E42" i="7"/>
  <c r="C107" i="7"/>
  <c r="C106" i="7" s="1"/>
  <c r="C108" i="7" s="1"/>
  <c r="D81" i="7"/>
  <c r="D80" i="7" s="1"/>
  <c r="D82" i="7" s="1"/>
  <c r="C134" i="7"/>
  <c r="G56" i="7"/>
  <c r="G129" i="7"/>
  <c r="G119" i="7"/>
  <c r="G120" i="7" s="1"/>
  <c r="E82" i="7"/>
  <c r="G148" i="7" l="1"/>
  <c r="G147" i="7" l="1"/>
  <c r="G159" i="7" s="1"/>
  <c r="G158" i="7" s="1"/>
  <c r="G160" i="7" s="1"/>
  <c r="G71" i="7" l="1"/>
  <c r="G83" i="7" s="1"/>
  <c r="G70" i="7"/>
  <c r="G69" i="7" s="1"/>
  <c r="G81" i="7" s="1"/>
  <c r="G80" i="7" s="1"/>
  <c r="G82" i="7" s="1"/>
  <c r="H82" i="7" s="1"/>
  <c r="H83" i="7"/>
  <c r="C83" i="7"/>
  <c r="D83" i="7"/>
  <c r="E83" i="7"/>
  <c r="G149" i="7"/>
  <c r="G161" i="7" s="1"/>
  <c r="G162" i="7" s="1"/>
  <c r="G72" i="7" l="1"/>
  <c r="G84" i="7"/>
  <c r="G150" i="7"/>
  <c r="G123" i="7"/>
  <c r="G135" i="7" s="1"/>
  <c r="H161" i="7"/>
  <c r="G122" i="7"/>
  <c r="H160" i="7"/>
  <c r="H135" i="7" l="1"/>
  <c r="G96" i="7"/>
  <c r="G124" i="7"/>
  <c r="G121" i="7"/>
  <c r="G133" i="7" s="1"/>
  <c r="G132" i="7" s="1"/>
  <c r="G134" i="7" s="1"/>
  <c r="G97" i="7"/>
  <c r="G109" i="7" s="1"/>
  <c r="G201" i="7" l="1"/>
  <c r="G213" i="7" s="1"/>
  <c r="F201" i="7"/>
  <c r="F202" i="7" s="1"/>
  <c r="G200" i="7"/>
  <c r="H134" i="7"/>
  <c r="G136" i="7"/>
  <c r="C109" i="7"/>
  <c r="H109" i="7"/>
  <c r="D109" i="7"/>
  <c r="E109" i="7"/>
  <c r="G175" i="7"/>
  <c r="G187" i="7" s="1"/>
  <c r="G98" i="7"/>
  <c r="G95" i="7"/>
  <c r="G174" i="7" l="1"/>
  <c r="G107" i="7"/>
  <c r="G106" i="7" s="1"/>
  <c r="G108" i="7" s="1"/>
  <c r="H213" i="7"/>
  <c r="H214" i="7"/>
  <c r="G202" i="7"/>
  <c r="G199" i="7"/>
  <c r="G211" i="7" s="1"/>
  <c r="G210" i="7" s="1"/>
  <c r="G212" i="7" s="1"/>
  <c r="G110" i="7" l="1"/>
  <c r="H108" i="7"/>
  <c r="H212" i="7"/>
  <c r="G214" i="7"/>
  <c r="G176" i="7"/>
  <c r="G173" i="7"/>
  <c r="G45" i="7" l="1"/>
  <c r="G46" i="7" s="1"/>
  <c r="F45" i="7"/>
  <c r="F46" i="7" s="1"/>
  <c r="G19" i="7"/>
  <c r="F19" i="7"/>
  <c r="F20" i="7" s="1"/>
  <c r="G185" i="7"/>
  <c r="G184" i="7" s="1"/>
  <c r="G186" i="7" s="1"/>
  <c r="H56" i="7" l="1"/>
  <c r="H57" i="7"/>
  <c r="G57" i="7"/>
  <c r="G58" i="7" s="1"/>
  <c r="G188" i="7"/>
  <c r="H186" i="7"/>
  <c r="H31" i="7"/>
  <c r="H30" i="7"/>
  <c r="G31" i="7"/>
  <c r="G32" i="7" s="1"/>
  <c r="G20" i="7"/>
  <c r="C5" i="20"/>
</calcChain>
</file>

<file path=xl/sharedStrings.xml><?xml version="1.0" encoding="utf-8"?>
<sst xmlns="http://schemas.openxmlformats.org/spreadsheetml/2006/main" count="480" uniqueCount="144">
  <si>
    <t>STT</t>
  </si>
  <si>
    <t>Đơn vị</t>
  </si>
  <si>
    <t>Ghi chú</t>
  </si>
  <si>
    <t>Đơn vị: Triệu đồng</t>
  </si>
  <si>
    <t>TT</t>
  </si>
  <si>
    <t>Nội dung</t>
  </si>
  <si>
    <t>Ba năm trước liền kề</t>
  </si>
  <si>
    <t>Dự kiến năm đầu thời kỳ ổn định phân loại</t>
  </si>
  <si>
    <t>Thực hiện năm 2019</t>
  </si>
  <si>
    <t>Thực hiện năm 2020</t>
  </si>
  <si>
    <t>Thực hiện năm 2021</t>
  </si>
  <si>
    <t>I</t>
  </si>
  <si>
    <t>  </t>
  </si>
  <si>
    <t>Nguồn thu từ hoạt động dịch vụ sự nghiệp công, dịch vụ khác</t>
  </si>
  <si>
    <t>Nguồn NSNN đặt hàng hoặc đấu thầu (nếu có)</t>
  </si>
  <si>
    <t>Nguồn thu phí theo Luật phí và lệ phí (Phần được để lại chi thường xuyên theo quy định)</t>
  </si>
  <si>
    <t>Nguồn thu từ hoạt động khác (nếu có)</t>
  </si>
  <si>
    <t>II</t>
  </si>
  <si>
    <t>Trích khấu hao tài sản cố định</t>
  </si>
  <si>
    <t>Chi thường xuyên khác</t>
  </si>
  <si>
    <t>III</t>
  </si>
  <si>
    <t>Mức độ tự bảo đảm chi thường xuyên (%)</t>
  </si>
  <si>
    <t>IV</t>
  </si>
  <si>
    <t>V</t>
  </si>
  <si>
    <t>Biểu số 01: BIỂU SỐ LIỆU KÈM THEO PHƯƠNG ÁN TỰ CHỦ TÀI CHÍNH ĐƠN VỊ SỰ NGHIỆP CÔNG LẬP</t>
  </si>
  <si>
    <t>Tổng nguồn thu</t>
  </si>
  <si>
    <t>Tổng chi thường xuyên</t>
  </si>
  <si>
    <t>Chi hoạt động phục vụ (tính theo định mức)</t>
  </si>
  <si>
    <t>Số thu nộp NSNN theo quy định</t>
  </si>
  <si>
    <t>Số thu trích CCTL theo quy định</t>
  </si>
  <si>
    <t>Số thu để lại đơn vị chi theo quy định</t>
  </si>
  <si>
    <t>Số thu để thực hiện các nhiệm vụ</t>
  </si>
  <si>
    <t>Quỹ tiền lương, các khoản tính theo lương</t>
  </si>
  <si>
    <t>VI</t>
  </si>
  <si>
    <t>Chi thực hiện cải cách tiền lương</t>
  </si>
  <si>
    <t>[= Mục III/Mục IV] lưu ý các nội dung nguồn thu và nội dung chi đưa vào công thức xác định tỷ lệ %</t>
  </si>
  <si>
    <t>Dự toán năm 2022</t>
  </si>
  <si>
    <t>A</t>
  </si>
  <si>
    <t>B</t>
  </si>
  <si>
    <t>Số kinh phí NSNN hỗ trợ</t>
  </si>
  <si>
    <t xml:space="preserve"> -</t>
  </si>
  <si>
    <t>Chi lương từ nguồn NSNN</t>
  </si>
  <si>
    <t>Chi lương từ nguồn thu</t>
  </si>
  <si>
    <t>Chi phục vụ hoạt động từ nguồn NSNN</t>
  </si>
  <si>
    <t>Chi phục vụ hoạt động từ nguồn thu</t>
  </si>
  <si>
    <t>Chi phục vụ hoạt động thu</t>
  </si>
  <si>
    <t>Đơn vị:</t>
  </si>
  <si>
    <t>Chi lương và chi phục vụ hoạt động đối với biên chế hưởng lương từ NSNN</t>
  </si>
  <si>
    <t>Hỗ trợ chi phục vụ hoạt động thu</t>
  </si>
  <si>
    <t>Văn phòng UBND tỉnh (Nhà khác tỉnh)</t>
  </si>
  <si>
    <t>Sở Công Thương (Trung tâm Khuyến Công)</t>
  </si>
  <si>
    <t>Trường Cao đẳng Bắc Kạn</t>
  </si>
  <si>
    <t>Đài Phát thanh và Truyền hình</t>
  </si>
  <si>
    <t>Sở Tư pháp (Phòng Công chứng số 3)</t>
  </si>
  <si>
    <t>Sở Tư pháp (Phòng Công chứng số 2)</t>
  </si>
  <si>
    <t>Sở Tư pháp (Trung tâm dịch vụ đấu giá)</t>
  </si>
  <si>
    <t>Sở Tư pháp (Phòng Công chứng số 1)</t>
  </si>
  <si>
    <t>Nộp 40% theo Thông tư 257/2016/TT-BTC</t>
  </si>
  <si>
    <t>Sở Y tế</t>
  </si>
  <si>
    <t>Sở Tư pháp</t>
  </si>
  <si>
    <t>Tổng</t>
  </si>
  <si>
    <t>Sự nghiệp Khoa học</t>
  </si>
  <si>
    <t>Sự nghiệp khác</t>
  </si>
  <si>
    <t>TỔNG CỘNG</t>
  </si>
  <si>
    <t>Sở Nội vụ</t>
  </si>
  <si>
    <t>Sở Kế hoạch và Đầu tư</t>
  </si>
  <si>
    <t>Sở Nông nghiệp và Phát triển nông thôn</t>
  </si>
  <si>
    <t>Sở Tài nguyên và Môi trường</t>
  </si>
  <si>
    <t>Sở Thông tin và Truyền thông</t>
  </si>
  <si>
    <t>Sở Lao động - Thương binh và Xã hội</t>
  </si>
  <si>
    <t>Sở Văn hóa, Thể thao và Du lịch</t>
  </si>
  <si>
    <t>Sở Khoa học và Công nghệ</t>
  </si>
  <si>
    <t>Sở Giáo dục và Đào tạo</t>
  </si>
  <si>
    <t>Văn phòng UBND tỉnh</t>
  </si>
  <si>
    <t>Ban Quản lý các khu công nghiệp tỉnh</t>
  </si>
  <si>
    <t>Ban Quản lý Vườn Quốc gia Ba Bể</t>
  </si>
  <si>
    <t>C</t>
  </si>
  <si>
    <t>UBND huyện Ba Bể</t>
  </si>
  <si>
    <t>UBND huyện Ngân Sơn</t>
  </si>
  <si>
    <t>UBND huyện Chợ Đồn</t>
  </si>
  <si>
    <t>UBND huyện Na Rì</t>
  </si>
  <si>
    <t>UBND huyện Bạch Thông</t>
  </si>
  <si>
    <t>UBND huyện Chợ Mới</t>
  </si>
  <si>
    <t>UBND huyện Pác Nặm</t>
  </si>
  <si>
    <t xml:space="preserve">I </t>
  </si>
  <si>
    <t>CẤP TỈNH</t>
  </si>
  <si>
    <t>Hội Khuyến học tỉnh</t>
  </si>
  <si>
    <t>Sở Tài chính</t>
  </si>
  <si>
    <t>Sở Giao thông vận tải</t>
  </si>
  <si>
    <t>Sở Xây dựng</t>
  </si>
  <si>
    <t>Thanh tra tỉnh</t>
  </si>
  <si>
    <t>2</t>
  </si>
  <si>
    <t>4</t>
  </si>
  <si>
    <t>5</t>
  </si>
  <si>
    <t>6</t>
  </si>
  <si>
    <t>Hội Văn  học nghệ thuật tỉnh</t>
  </si>
  <si>
    <t>Hội Đông y tỉnh</t>
  </si>
  <si>
    <t>Hội Chữ thập đỏ tỉnh</t>
  </si>
  <si>
    <t>Hội Nhà báo tỉnh</t>
  </si>
  <si>
    <t>Hội Cựu thanh niên xung phong tỉnh</t>
  </si>
  <si>
    <t>Hội Bảo trợ người tàn tật và trẻ em mồ côi tỉnh</t>
  </si>
  <si>
    <t>Hội Luật gia tỉnh</t>
  </si>
  <si>
    <t>Ban Đại diện Người cao tuổi tỉnh</t>
  </si>
  <si>
    <t>Liên hiệp các Hội khoa học kỹ thuật tỉnh</t>
  </si>
  <si>
    <t>Hội Nạn nhân chất độc da cam/DIOXIN tỉnh</t>
  </si>
  <si>
    <t>CẤP HUYỆN</t>
  </si>
  <si>
    <t>PHỤ LỤC 01</t>
  </si>
  <si>
    <t>Đài Phát thanh và Truyền hình Bắc Kạn</t>
  </si>
  <si>
    <t>Số lượng người làm việc</t>
  </si>
  <si>
    <t>Sự nghiệp Y tế</t>
  </si>
  <si>
    <t>1</t>
  </si>
  <si>
    <t>7</t>
  </si>
  <si>
    <t>Hội Chữ thập đỏ cấp huyện</t>
  </si>
  <si>
    <t>UBND thành phố Bắc Kạn</t>
  </si>
  <si>
    <t>Văn phòng Đoàn ĐBQH và HĐND tỉnh</t>
  </si>
  <si>
    <t>PHỤ LỤC 02</t>
  </si>
  <si>
    <t>Tổ chức hội cấp tỉnh</t>
  </si>
  <si>
    <t>CÁC SỞ, NGÀNH VÀ TƯƠNG ĐƯƠNG</t>
  </si>
  <si>
    <t>UBND CÁC HUYỆN, THÀNH PHỐ</t>
  </si>
  <si>
    <t>CÁC ĐƠN VỊ SỰ NGHIỆP CÔNG LẬP THUỘC UBND TỈNH</t>
  </si>
  <si>
    <t>PHỤ LỤC 03</t>
  </si>
  <si>
    <t>Sự nghiệp GD&amp;ĐT</t>
  </si>
  <si>
    <t>Sự nghiệp Văn hóa, TT&amp;TT</t>
  </si>
  <si>
    <t>Số lượng người làm việc hưởng lương từ NSNN</t>
  </si>
  <si>
    <t>Biên chế giao</t>
  </si>
  <si>
    <t>- Đại biểu Quốc hội và Đại biểu HĐND tỉnh hoạt động chuyên trách</t>
  </si>
  <si>
    <t>08</t>
  </si>
  <si>
    <t>- Công chức Văn phòng Đoàn ĐBQH và HĐND tỉnh</t>
  </si>
  <si>
    <t>Ban Dân tộc tỉnh</t>
  </si>
  <si>
    <t>3</t>
  </si>
  <si>
    <t>8=3+4+5+6+7</t>
  </si>
  <si>
    <t>Sở Công thương</t>
  </si>
  <si>
    <t>Liên minh Hợp tác xã tỉnh</t>
  </si>
  <si>
    <t>QUYẾT ĐỊNH TẠM THỜI BIÊN CHẾ CÔNG CHỨC NĂM 2024</t>
  </si>
  <si>
    <t>8</t>
  </si>
  <si>
    <t>9</t>
  </si>
  <si>
    <t>10</t>
  </si>
  <si>
    <t>11</t>
  </si>
  <si>
    <t>12</t>
  </si>
  <si>
    <t>13</t>
  </si>
  <si>
    <t>15</t>
  </si>
  <si>
    <t>(Kèm theo Nghị quyết số ... /NQ-HĐND ngày ... tháng ... năm 2024 của HĐND tỉnh Bắc Kạn)</t>
  </si>
  <si>
    <t>PHÊ DUYỆT TỔNG SỐ LƯỢNG NGƯỜI LÀM VIỆC HƯỞNG LƯƠNG TỪ NGÂN SÁCH NHÀ NƯỚC TRONG CÁC ĐƠN VỊ SỰ NGHIỆP CÔNG LẬP NĂM 2024</t>
  </si>
  <si>
    <t>PHÊ DUYỆT SỐ LƯỢNG NGƯỜI LÀM VIỆC TRONG CÁC HỘI QUẦN CHÚNG ĐƯỢC ĐẢNG, NHÀ NƯỚC GIAO NHIỆM VỤ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</si>
</sst>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_-* #,##0.0_-;\-* #,##0.0_-;_-* &quot;-&quot;??_-;_-@_-"/>
    <numFmt numFmtId="168" formatCode="_(* #,##0.0_);_(* \(#,##0.0\);_(* &quot;-&quot;?_);_(@_)"/>
  </numFmts>
  <fonts count="34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sz val="10"/>
      <name val="Arial"/>
      <family val="2"/>
    </font>
    <font>
      <sz val="14"/>
      <name val="Times New Roman"/>
      <family val="1"/>
    </font>
    <font>
      <sz val="10"/>
      <name val="Arial"/>
      <family val="2"/>
      <charset val="163"/>
    </font>
    <font>
      <sz val="12"/>
      <name val=".VnArial Narrow"/>
      <family val="2"/>
    </font>
    <font>
      <sz val="12"/>
      <color indexed="8"/>
      <name val="Times New Roman"/>
      <family val="2"/>
    </font>
    <font>
      <sz val="12"/>
      <name val=".VnArial Narrow"/>
      <family val="2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2"/>
    </font>
    <font>
      <sz val="8"/>
      <name val="Times New Roman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.5"/>
      <name val="Times New Roman"/>
      <family val="1"/>
    </font>
    <font>
      <b/>
      <sz val="13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9" fillId="0" borderId="0"/>
    <xf numFmtId="0" fontId="12" fillId="0" borderId="0"/>
    <xf numFmtId="0" fontId="11" fillId="0" borderId="0"/>
    <xf numFmtId="0" fontId="10" fillId="0" borderId="0"/>
    <xf numFmtId="0" fontId="16" fillId="0" borderId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0" fillId="0" borderId="0"/>
    <xf numFmtId="0" fontId="12" fillId="0" borderId="0"/>
    <xf numFmtId="0" fontId="18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7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0" borderId="0"/>
  </cellStyleXfs>
  <cellXfs count="138">
    <xf numFmtId="0" fontId="0" fillId="0" borderId="0" xfId="0"/>
    <xf numFmtId="0" fontId="3" fillId="0" borderId="0" xfId="0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6" fillId="2" borderId="4" xfId="50" applyFont="1" applyFill="1" applyBorder="1" applyAlignment="1">
      <alignment vertical="center" wrapText="1"/>
    </xf>
    <xf numFmtId="9" fontId="5" fillId="2" borderId="11" xfId="50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3" fontId="19" fillId="2" borderId="4" xfId="0" applyNumberFormat="1" applyFont="1" applyFill="1" applyBorder="1" applyAlignment="1">
      <alignment vertical="center" wrapText="1"/>
    </xf>
    <xf numFmtId="3" fontId="19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0" fillId="0" borderId="4" xfId="0" applyNumberForma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10" fillId="0" borderId="4" xfId="0" applyNumberFormat="1" applyFont="1" applyBorder="1" applyAlignment="1">
      <alignment horizontal="right" vertical="center"/>
    </xf>
    <xf numFmtId="3" fontId="6" fillId="2" borderId="11" xfId="0" applyNumberFormat="1" applyFont="1" applyFill="1" applyBorder="1" applyAlignment="1">
      <alignment vertical="center" wrapText="1"/>
    </xf>
    <xf numFmtId="1" fontId="6" fillId="2" borderId="11" xfId="0" applyNumberFormat="1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3" fontId="5" fillId="4" borderId="4" xfId="0" applyNumberFormat="1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0" fillId="4" borderId="0" xfId="0" applyFill="1" applyAlignment="1">
      <alignment vertical="center"/>
    </xf>
    <xf numFmtId="166" fontId="5" fillId="2" borderId="4" xfId="51" applyNumberFormat="1" applyFont="1" applyFill="1" applyBorder="1" applyAlignment="1">
      <alignment vertical="center" wrapText="1"/>
    </xf>
    <xf numFmtId="167" fontId="5" fillId="2" borderId="4" xfId="51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3" fontId="23" fillId="0" borderId="6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vertical="center" wrapText="1"/>
    </xf>
    <xf numFmtId="0" fontId="24" fillId="0" borderId="1" xfId="52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9" fillId="0" borderId="4" xfId="0" quotePrefix="1" applyFont="1" applyBorder="1" applyAlignment="1">
      <alignment horizontal="left" vertical="center" wrapText="1"/>
    </xf>
    <xf numFmtId="3" fontId="29" fillId="0" borderId="4" xfId="0" quotePrefix="1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5" xfId="0" quotePrefix="1" applyFont="1" applyBorder="1" applyAlignment="1">
      <alignment horizontal="left" vertical="center" wrapText="1"/>
    </xf>
    <xf numFmtId="3" fontId="29" fillId="0" borderId="5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" fontId="23" fillId="0" borderId="1" xfId="0" applyNumberFormat="1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center" vertical="center" wrapText="1"/>
    </xf>
    <xf numFmtId="0" fontId="23" fillId="0" borderId="1" xfId="0" quotePrefix="1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3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3" fillId="0" borderId="1" xfId="0" applyFont="1" applyBorder="1" applyAlignment="1">
      <alignment horizontal="left" vertical="center"/>
    </xf>
    <xf numFmtId="0" fontId="24" fillId="0" borderId="1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2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" fillId="0" borderId="15" xfId="0" quotePrefix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</cellXfs>
  <cellStyles count="53">
    <cellStyle name="Chuẩn 2" xfId="2" xr:uid="{00000000-0005-0000-0000-000000000000}"/>
    <cellStyle name="Chuẩn 2 2 2" xfId="3" xr:uid="{00000000-0005-0000-0000-000001000000}"/>
    <cellStyle name="Chuẩn 3" xfId="4" xr:uid="{00000000-0005-0000-0000-000002000000}"/>
    <cellStyle name="Chuẩn 5" xfId="52" xr:uid="{00000000-0005-0000-0000-000003000000}"/>
    <cellStyle name="Chuẩn 7" xfId="5" xr:uid="{00000000-0005-0000-0000-000004000000}"/>
    <cellStyle name="Comma" xfId="51" builtinId="3"/>
    <cellStyle name="Comma 2" xfId="7" xr:uid="{00000000-0005-0000-0000-000006000000}"/>
    <cellStyle name="Comma 2 2" xfId="8" xr:uid="{00000000-0005-0000-0000-000007000000}"/>
    <cellStyle name="Comma 2 3" xfId="9" xr:uid="{00000000-0005-0000-0000-000008000000}"/>
    <cellStyle name="Comma 3" xfId="10" xr:uid="{00000000-0005-0000-0000-000009000000}"/>
    <cellStyle name="Comma 3 2" xfId="11" xr:uid="{00000000-0005-0000-0000-00000A000000}"/>
    <cellStyle name="Comma 3 2 2" xfId="12" xr:uid="{00000000-0005-0000-0000-00000B000000}"/>
    <cellStyle name="Comma 3 2 3" xfId="13" xr:uid="{00000000-0005-0000-0000-00000C000000}"/>
    <cellStyle name="Comma 3 3" xfId="14" xr:uid="{00000000-0005-0000-0000-00000D000000}"/>
    <cellStyle name="Comma 4" xfId="15" xr:uid="{00000000-0005-0000-0000-00000E000000}"/>
    <cellStyle name="Comma 4 2" xfId="16" xr:uid="{00000000-0005-0000-0000-00000F000000}"/>
    <cellStyle name="Comma 5" xfId="17" xr:uid="{00000000-0005-0000-0000-000010000000}"/>
    <cellStyle name="Comma 6" xfId="18" xr:uid="{00000000-0005-0000-0000-000011000000}"/>
    <cellStyle name="Comma 7" xfId="19" xr:uid="{00000000-0005-0000-0000-000012000000}"/>
    <cellStyle name="Comma 8" xfId="20" xr:uid="{00000000-0005-0000-0000-000013000000}"/>
    <cellStyle name="Comma 9" xfId="6" xr:uid="{00000000-0005-0000-0000-000014000000}"/>
    <cellStyle name="Dấu phảy 2" xfId="21" xr:uid="{00000000-0005-0000-0000-000015000000}"/>
    <cellStyle name="Dấu phảy 3" xfId="22" xr:uid="{00000000-0005-0000-0000-000016000000}"/>
    <cellStyle name="Normal" xfId="0" builtinId="0"/>
    <cellStyle name="Normal - Style1" xfId="23" xr:uid="{00000000-0005-0000-0000-000018000000}"/>
    <cellStyle name="Normal 10" xfId="24" xr:uid="{00000000-0005-0000-0000-000019000000}"/>
    <cellStyle name="Normal 11" xfId="1" xr:uid="{00000000-0005-0000-0000-00001A000000}"/>
    <cellStyle name="Normal 2" xfId="25" xr:uid="{00000000-0005-0000-0000-00001B000000}"/>
    <cellStyle name="Normal 2 2" xfId="26" xr:uid="{00000000-0005-0000-0000-00001C000000}"/>
    <cellStyle name="Normal 2 2 2" xfId="27" xr:uid="{00000000-0005-0000-0000-00001D000000}"/>
    <cellStyle name="Normal 2 3" xfId="28" xr:uid="{00000000-0005-0000-0000-00001E000000}"/>
    <cellStyle name="Normal 2 3 2" xfId="29" xr:uid="{00000000-0005-0000-0000-00001F000000}"/>
    <cellStyle name="Normal 2 3 3" xfId="30" xr:uid="{00000000-0005-0000-0000-000020000000}"/>
    <cellStyle name="Normal 2 4" xfId="31" xr:uid="{00000000-0005-0000-0000-000021000000}"/>
    <cellStyle name="Normal 2 5" xfId="32" xr:uid="{00000000-0005-0000-0000-000022000000}"/>
    <cellStyle name="Normal 2 5 2" xfId="33" xr:uid="{00000000-0005-0000-0000-000023000000}"/>
    <cellStyle name="Normal 2 5 3" xfId="34" xr:uid="{00000000-0005-0000-0000-000024000000}"/>
    <cellStyle name="Normal 2 6" xfId="35" xr:uid="{00000000-0005-0000-0000-000025000000}"/>
    <cellStyle name="Normal 3" xfId="36" xr:uid="{00000000-0005-0000-0000-000026000000}"/>
    <cellStyle name="Normal 3 2" xfId="37" xr:uid="{00000000-0005-0000-0000-000027000000}"/>
    <cellStyle name="Normal 4" xfId="38" xr:uid="{00000000-0005-0000-0000-000028000000}"/>
    <cellStyle name="Normal 4 2" xfId="39" xr:uid="{00000000-0005-0000-0000-000029000000}"/>
    <cellStyle name="Normal 5" xfId="40" xr:uid="{00000000-0005-0000-0000-00002A000000}"/>
    <cellStyle name="Normal 5 2" xfId="41" xr:uid="{00000000-0005-0000-0000-00002B000000}"/>
    <cellStyle name="Normal 6" xfId="42" xr:uid="{00000000-0005-0000-0000-00002C000000}"/>
    <cellStyle name="Normal 6 2" xfId="43" xr:uid="{00000000-0005-0000-0000-00002D000000}"/>
    <cellStyle name="Normal 7" xfId="44" xr:uid="{00000000-0005-0000-0000-00002E000000}"/>
    <cellStyle name="Normal 8" xfId="45" xr:uid="{00000000-0005-0000-0000-00002F000000}"/>
    <cellStyle name="Normal 9" xfId="46" xr:uid="{00000000-0005-0000-0000-000030000000}"/>
    <cellStyle name="Percent" xfId="50" builtinId="5"/>
    <cellStyle name="Percent 2" xfId="47" xr:uid="{00000000-0005-0000-0000-000032000000}"/>
    <cellStyle name="Percent 2 2" xfId="48" xr:uid="{00000000-0005-0000-0000-000033000000}"/>
    <cellStyle name="Percent 3" xfId="49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1276350</xdr:colOff>
      <xdr:row>28</xdr:row>
      <xdr:rowOff>171450</xdr:rowOff>
    </xdr:from>
    <xdr:to>
      <xdr:col>2</xdr:col>
      <xdr:colOff>666750</xdr:colOff>
      <xdr:row>28</xdr:row>
      <xdr:rowOff>171450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9F1C0FD1-F7D3-4FB5-8A90-2C62663C7996}"/>
            </a:ext>
          </a:extLst>
        </xdr:cNvPr>
        <xdr:cNvCxnSpPr/>
      </xdr:nvCxnSpPr>
      <xdr:spPr>
        <a:xfrm>
          <a:off x="1733550" y="8943975"/>
          <a:ext cx="40290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4"/>
  <sheetViews>
    <sheetView workbookViewId="0">
      <selection activeCell="F25" sqref="F25"/>
    </sheetView>
  </sheetViews>
  <sheetFormatPr defaultColWidth="9" defaultRowHeight="15.75"/>
  <cols>
    <col min="1" max="1" width="5.5" style="31" customWidth="1"/>
    <col min="2" max="2" width="42.75" style="40" customWidth="1"/>
    <col min="3" max="3" width="10.375" style="31" customWidth="1"/>
    <col min="4" max="4" width="10.125" style="31" customWidth="1"/>
    <col min="5" max="5" width="11.25" style="31" customWidth="1"/>
    <col min="6" max="6" width="8.125" style="31" customWidth="1"/>
    <col min="7" max="7" width="10.75" style="31" customWidth="1"/>
    <col min="8" max="8" width="11.75" style="31" customWidth="1"/>
    <col min="9" max="16384" width="9" style="31"/>
  </cols>
  <sheetData>
    <row r="1" spans="1:8">
      <c r="A1" s="4" t="s">
        <v>46</v>
      </c>
    </row>
    <row r="2" spans="1:8">
      <c r="A2" s="114" t="s">
        <v>24</v>
      </c>
      <c r="B2" s="114"/>
      <c r="C2" s="114"/>
      <c r="D2" s="114"/>
      <c r="E2" s="114"/>
      <c r="F2" s="114"/>
      <c r="G2" s="114"/>
    </row>
    <row r="3" spans="1:8">
      <c r="A3" s="1"/>
      <c r="E3" s="115" t="s">
        <v>3</v>
      </c>
      <c r="F3" s="115"/>
      <c r="G3" s="115"/>
    </row>
    <row r="4" spans="1:8">
      <c r="A4" s="116" t="s">
        <v>4</v>
      </c>
      <c r="B4" s="117" t="s">
        <v>5</v>
      </c>
      <c r="C4" s="116" t="s">
        <v>6</v>
      </c>
      <c r="D4" s="116"/>
      <c r="E4" s="116"/>
      <c r="F4" s="116" t="s">
        <v>36</v>
      </c>
      <c r="G4" s="116" t="s">
        <v>7</v>
      </c>
      <c r="H4" s="113" t="s">
        <v>2</v>
      </c>
    </row>
    <row r="5" spans="1:8" ht="31.5">
      <c r="A5" s="116"/>
      <c r="B5" s="118"/>
      <c r="C5" s="53" t="s">
        <v>8</v>
      </c>
      <c r="D5" s="53" t="s">
        <v>9</v>
      </c>
      <c r="E5" s="53" t="s">
        <v>10</v>
      </c>
      <c r="F5" s="116"/>
      <c r="G5" s="116"/>
      <c r="H5" s="113"/>
    </row>
    <row r="6" spans="1:8">
      <c r="A6" s="7" t="s">
        <v>37</v>
      </c>
      <c r="B6" s="7" t="s">
        <v>38</v>
      </c>
      <c r="C6" s="7">
        <v>1</v>
      </c>
      <c r="D6" s="7">
        <v>2</v>
      </c>
      <c r="E6" s="7">
        <v>3</v>
      </c>
      <c r="F6" s="7">
        <v>4</v>
      </c>
      <c r="G6" s="7">
        <v>5</v>
      </c>
    </row>
    <row r="7" spans="1:8">
      <c r="A7" s="7"/>
      <c r="B7" s="22" t="s">
        <v>49</v>
      </c>
      <c r="C7" s="7"/>
      <c r="D7" s="7"/>
      <c r="E7" s="7"/>
      <c r="F7" s="7"/>
      <c r="G7" s="7"/>
    </row>
    <row r="8" spans="1:8" s="32" customFormat="1">
      <c r="A8" s="6" t="s">
        <v>11</v>
      </c>
      <c r="B8" s="14" t="s">
        <v>25</v>
      </c>
      <c r="C8" s="25">
        <f>SUM(C9:C12)</f>
        <v>5925</v>
      </c>
      <c r="D8" s="25">
        <f t="shared" ref="D8:G8" si="0">SUM(D9:D12)</f>
        <v>6200</v>
      </c>
      <c r="E8" s="25">
        <f t="shared" si="0"/>
        <v>3631</v>
      </c>
      <c r="F8" s="25">
        <f t="shared" si="0"/>
        <v>6200</v>
      </c>
      <c r="G8" s="25">
        <f t="shared" si="0"/>
        <v>6200</v>
      </c>
    </row>
    <row r="9" spans="1:8" ht="31.5">
      <c r="A9" s="2">
        <v>1</v>
      </c>
      <c r="B9" s="10" t="s">
        <v>13</v>
      </c>
      <c r="C9" s="26">
        <v>5925</v>
      </c>
      <c r="D9" s="26">
        <v>6200</v>
      </c>
      <c r="E9" s="26">
        <v>3631</v>
      </c>
      <c r="F9" s="26">
        <v>6200</v>
      </c>
      <c r="G9" s="26">
        <v>6200</v>
      </c>
    </row>
    <row r="10" spans="1:8">
      <c r="A10" s="2">
        <v>2</v>
      </c>
      <c r="B10" s="10" t="s">
        <v>14</v>
      </c>
      <c r="C10" s="26"/>
      <c r="D10" s="26"/>
      <c r="E10" s="26" t="s">
        <v>12</v>
      </c>
      <c r="F10" s="26"/>
      <c r="G10" s="33"/>
    </row>
    <row r="11" spans="1:8" ht="31.5">
      <c r="A11" s="2">
        <v>3</v>
      </c>
      <c r="B11" s="10" t="s">
        <v>15</v>
      </c>
      <c r="C11" s="26"/>
      <c r="D11" s="26"/>
      <c r="E11" s="26" t="s">
        <v>12</v>
      </c>
      <c r="F11" s="26"/>
      <c r="G11" s="33"/>
    </row>
    <row r="12" spans="1:8">
      <c r="A12" s="2">
        <v>4</v>
      </c>
      <c r="B12" s="10" t="s">
        <v>16</v>
      </c>
      <c r="C12" s="26"/>
      <c r="D12" s="26"/>
      <c r="E12" s="26" t="s">
        <v>12</v>
      </c>
      <c r="F12" s="26"/>
      <c r="G12" s="33"/>
    </row>
    <row r="13" spans="1:8" s="4" customFormat="1">
      <c r="A13" s="8" t="s">
        <v>17</v>
      </c>
      <c r="B13" s="9" t="s">
        <v>28</v>
      </c>
      <c r="C13" s="27"/>
      <c r="D13" s="27"/>
      <c r="E13" s="27"/>
      <c r="F13" s="27"/>
      <c r="G13" s="27">
        <f>G9*8%+1</f>
        <v>497</v>
      </c>
    </row>
    <row r="14" spans="1:8" s="4" customFormat="1">
      <c r="A14" s="8" t="s">
        <v>20</v>
      </c>
      <c r="B14" s="9" t="s">
        <v>30</v>
      </c>
      <c r="C14" s="27">
        <f>C8-C13</f>
        <v>5925</v>
      </c>
      <c r="D14" s="27">
        <f t="shared" ref="D14:F14" si="1">D8-D13</f>
        <v>6200</v>
      </c>
      <c r="E14" s="27">
        <f t="shared" si="1"/>
        <v>3631</v>
      </c>
      <c r="F14" s="27">
        <f t="shared" si="1"/>
        <v>6200</v>
      </c>
      <c r="G14" s="27">
        <f>G8-G13</f>
        <v>5703</v>
      </c>
    </row>
    <row r="15" spans="1:8" s="4" customFormat="1">
      <c r="A15" s="8">
        <v>1</v>
      </c>
      <c r="B15" s="9" t="s">
        <v>29</v>
      </c>
      <c r="C15" s="27"/>
      <c r="D15" s="27"/>
      <c r="E15" s="27"/>
      <c r="F15" s="27">
        <f>(F14-F24)*40%</f>
        <v>66</v>
      </c>
      <c r="G15" s="34">
        <f>(G14-G24)*40%</f>
        <v>66</v>
      </c>
    </row>
    <row r="16" spans="1:8" s="4" customFormat="1">
      <c r="A16" s="8">
        <v>2</v>
      </c>
      <c r="B16" s="9" t="s">
        <v>31</v>
      </c>
      <c r="C16" s="27">
        <f>C14-C15</f>
        <v>5925</v>
      </c>
      <c r="D16" s="27">
        <f t="shared" ref="D16:G16" si="2">D14-D15</f>
        <v>6200</v>
      </c>
      <c r="E16" s="27">
        <f t="shared" si="2"/>
        <v>3631</v>
      </c>
      <c r="F16" s="27">
        <f t="shared" si="2"/>
        <v>6134</v>
      </c>
      <c r="G16" s="27">
        <f t="shared" si="2"/>
        <v>5637</v>
      </c>
    </row>
    <row r="17" spans="1:8">
      <c r="A17" s="3" t="s">
        <v>22</v>
      </c>
      <c r="B17" s="11" t="s">
        <v>26</v>
      </c>
      <c r="C17" s="28">
        <f>SUM(C18,C21,C24,C25,C26,C27)</f>
        <v>5882.5</v>
      </c>
      <c r="D17" s="28">
        <f t="shared" ref="D17:G17" si="3">SUM(D18,D21,D24,D25,D26,D27)</f>
        <v>89</v>
      </c>
      <c r="E17" s="28">
        <f t="shared" si="3"/>
        <v>4683</v>
      </c>
      <c r="F17" s="28">
        <f t="shared" si="3"/>
        <v>6578</v>
      </c>
      <c r="G17" s="28">
        <f t="shared" si="3"/>
        <v>6130.98</v>
      </c>
    </row>
    <row r="18" spans="1:8" s="5" customFormat="1">
      <c r="A18" s="2">
        <v>1</v>
      </c>
      <c r="B18" s="10" t="s">
        <v>32</v>
      </c>
      <c r="C18" s="26">
        <v>587</v>
      </c>
      <c r="D18" s="26"/>
      <c r="E18" s="26"/>
      <c r="F18" s="26">
        <f>222+241</f>
        <v>463</v>
      </c>
      <c r="G18" s="35">
        <f>439.98</f>
        <v>439.98</v>
      </c>
    </row>
    <row r="19" spans="1:8" s="48" customFormat="1">
      <c r="A19" s="44" t="s">
        <v>40</v>
      </c>
      <c r="B19" s="45" t="s">
        <v>41</v>
      </c>
      <c r="C19" s="46"/>
      <c r="D19" s="46"/>
      <c r="E19" s="46"/>
      <c r="F19" s="46" t="e">
        <f>3*#REF!+#REF!</f>
        <v>#REF!</v>
      </c>
      <c r="G19" s="47" t="e">
        <f>3*#REF!+#REF!</f>
        <v>#REF!</v>
      </c>
      <c r="H19" s="32"/>
    </row>
    <row r="20" spans="1:8" s="48" customFormat="1">
      <c r="A20" s="44" t="s">
        <v>40</v>
      </c>
      <c r="B20" s="45" t="s">
        <v>42</v>
      </c>
      <c r="C20" s="46"/>
      <c r="D20" s="46"/>
      <c r="E20" s="46"/>
      <c r="F20" s="46" t="e">
        <f>F18-F19</f>
        <v>#REF!</v>
      </c>
      <c r="G20" s="47" t="e">
        <f>G18-G19</f>
        <v>#REF!</v>
      </c>
    </row>
    <row r="21" spans="1:8">
      <c r="A21" s="2">
        <v>2</v>
      </c>
      <c r="B21" s="10" t="s">
        <v>27</v>
      </c>
      <c r="C21" s="26">
        <v>178.5</v>
      </c>
      <c r="D21" s="26">
        <v>89</v>
      </c>
      <c r="E21" s="26">
        <v>89</v>
      </c>
      <c r="F21" s="26">
        <f>3*22+2*7</f>
        <v>80</v>
      </c>
      <c r="G21" s="26">
        <f>3*22+3*7</f>
        <v>87</v>
      </c>
    </row>
    <row r="22" spans="1:8" s="50" customFormat="1">
      <c r="A22" s="44" t="s">
        <v>40</v>
      </c>
      <c r="B22" s="45" t="s">
        <v>43</v>
      </c>
      <c r="C22" s="46"/>
      <c r="D22" s="46"/>
      <c r="E22" s="46"/>
      <c r="F22" s="46">
        <f>3*22+7</f>
        <v>73</v>
      </c>
      <c r="G22" s="49">
        <f>3*22+7</f>
        <v>73</v>
      </c>
    </row>
    <row r="23" spans="1:8" s="50" customFormat="1">
      <c r="A23" s="44" t="s">
        <v>40</v>
      </c>
      <c r="B23" s="45" t="s">
        <v>44</v>
      </c>
      <c r="C23" s="46"/>
      <c r="D23" s="46"/>
      <c r="E23" s="46"/>
      <c r="F23" s="46">
        <f>7</f>
        <v>7</v>
      </c>
      <c r="G23" s="49">
        <f>2*7</f>
        <v>14</v>
      </c>
    </row>
    <row r="24" spans="1:8">
      <c r="A24" s="2">
        <v>3</v>
      </c>
      <c r="B24" s="10" t="s">
        <v>45</v>
      </c>
      <c r="C24" s="26">
        <v>5117</v>
      </c>
      <c r="D24" s="26"/>
      <c r="E24" s="26">
        <f>563+3200+460+369+2</f>
        <v>4594</v>
      </c>
      <c r="F24" s="26">
        <f>658+4340+538+497+2</f>
        <v>6035</v>
      </c>
      <c r="G24" s="33">
        <f>658+4340+540</f>
        <v>5538</v>
      </c>
    </row>
    <row r="25" spans="1:8">
      <c r="A25" s="2">
        <v>4</v>
      </c>
      <c r="B25" s="10" t="s">
        <v>34</v>
      </c>
      <c r="C25" s="26"/>
      <c r="D25" s="26"/>
      <c r="E25" s="26"/>
      <c r="F25" s="26"/>
      <c r="G25" s="33">
        <f>(G14-G24)*40%</f>
        <v>66</v>
      </c>
    </row>
    <row r="26" spans="1:8">
      <c r="A26" s="2">
        <v>5</v>
      </c>
      <c r="B26" s="10" t="s">
        <v>18</v>
      </c>
      <c r="C26" s="26"/>
      <c r="D26" s="26"/>
      <c r="E26" s="26" t="s">
        <v>12</v>
      </c>
      <c r="F26" s="26"/>
      <c r="G26" s="33"/>
    </row>
    <row r="27" spans="1:8">
      <c r="A27" s="2">
        <v>6</v>
      </c>
      <c r="B27" s="10" t="s">
        <v>19</v>
      </c>
      <c r="C27" s="26"/>
      <c r="D27" s="26"/>
      <c r="E27" s="26" t="s">
        <v>12</v>
      </c>
      <c r="F27" s="26"/>
      <c r="G27" s="33"/>
    </row>
    <row r="28" spans="1:8">
      <c r="A28" s="3" t="s">
        <v>23</v>
      </c>
      <c r="B28" s="11" t="s">
        <v>21</v>
      </c>
      <c r="C28" s="23">
        <f>C29</f>
        <v>1.0072248193795155</v>
      </c>
      <c r="D28" s="23">
        <f t="shared" ref="D28:G28" si="4">D29</f>
        <v>69.662921348314612</v>
      </c>
      <c r="E28" s="23">
        <f t="shared" si="4"/>
        <v>0.77535767670296818</v>
      </c>
      <c r="F28" s="23">
        <f t="shared" si="4"/>
        <v>0.94253572514442074</v>
      </c>
      <c r="G28" s="23">
        <f t="shared" si="4"/>
        <v>0.93019386786451763</v>
      </c>
    </row>
    <row r="29" spans="1:8" ht="31.5">
      <c r="A29" s="12"/>
      <c r="B29" s="13" t="s">
        <v>35</v>
      </c>
      <c r="C29" s="24">
        <f t="shared" ref="C29:E29" si="5">C14/C17</f>
        <v>1.0072248193795155</v>
      </c>
      <c r="D29" s="24">
        <f t="shared" si="5"/>
        <v>69.662921348314612</v>
      </c>
      <c r="E29" s="24">
        <f t="shared" si="5"/>
        <v>0.77535767670296818</v>
      </c>
      <c r="F29" s="24">
        <f>F14/F17</f>
        <v>0.94253572514442074</v>
      </c>
      <c r="G29" s="24">
        <f>G14/G17</f>
        <v>0.93019386786451763</v>
      </c>
    </row>
    <row r="30" spans="1:8" s="32" customFormat="1">
      <c r="A30" s="15" t="s">
        <v>33</v>
      </c>
      <c r="B30" s="16" t="s">
        <v>39</v>
      </c>
      <c r="C30" s="17">
        <f>C17*(100%-C28)</f>
        <v>-42.499999999999744</v>
      </c>
      <c r="D30" s="17">
        <f t="shared" ref="D30:G30" si="6">D17*(100%-D28)</f>
        <v>-6111</v>
      </c>
      <c r="E30" s="17">
        <f t="shared" si="6"/>
        <v>1052</v>
      </c>
      <c r="F30" s="17">
        <f t="shared" si="6"/>
        <v>378.00000000000034</v>
      </c>
      <c r="G30" s="17">
        <f t="shared" si="6"/>
        <v>427.97999999999968</v>
      </c>
      <c r="H30" s="32" t="e">
        <f>G30/#REF!</f>
        <v>#REF!</v>
      </c>
    </row>
    <row r="31" spans="1:8" s="37" customFormat="1" ht="31.5">
      <c r="A31" s="18">
        <v>1</v>
      </c>
      <c r="B31" s="19" t="s">
        <v>47</v>
      </c>
      <c r="C31" s="29"/>
      <c r="D31" s="29"/>
      <c r="E31" s="29"/>
      <c r="F31" s="29"/>
      <c r="G31" s="36" t="e">
        <f>G19+G22</f>
        <v>#REF!</v>
      </c>
      <c r="H31" s="37" t="e">
        <f>F30/#REF!</f>
        <v>#REF!</v>
      </c>
    </row>
    <row r="32" spans="1:8" s="37" customFormat="1">
      <c r="A32" s="20">
        <v>2</v>
      </c>
      <c r="B32" s="21" t="s">
        <v>48</v>
      </c>
      <c r="C32" s="30"/>
      <c r="D32" s="30"/>
      <c r="E32" s="30"/>
      <c r="F32" s="30"/>
      <c r="G32" s="38" t="e">
        <f>G30-G31</f>
        <v>#REF!</v>
      </c>
    </row>
    <row r="33" spans="1:7">
      <c r="A33" s="39"/>
      <c r="B33" s="39" t="s">
        <v>50</v>
      </c>
      <c r="C33" s="39"/>
      <c r="D33" s="39"/>
      <c r="E33" s="39"/>
      <c r="F33" s="39"/>
      <c r="G33" s="39"/>
    </row>
    <row r="34" spans="1:7" s="32" customFormat="1">
      <c r="A34" s="6" t="s">
        <v>11</v>
      </c>
      <c r="B34" s="14" t="s">
        <v>25</v>
      </c>
      <c r="C34" s="25">
        <f>SUM(C35:C38)</f>
        <v>97.876000000000005</v>
      </c>
      <c r="D34" s="25">
        <f t="shared" ref="D34:G34" si="7">SUM(D35:D38)</f>
        <v>21.206</v>
      </c>
      <c r="E34" s="25">
        <f t="shared" si="7"/>
        <v>96</v>
      </c>
      <c r="F34" s="25">
        <f t="shared" si="7"/>
        <v>215</v>
      </c>
      <c r="G34" s="25">
        <f t="shared" si="7"/>
        <v>200</v>
      </c>
    </row>
    <row r="35" spans="1:7" ht="31.5">
      <c r="A35" s="2">
        <v>1</v>
      </c>
      <c r="B35" s="10" t="s">
        <v>13</v>
      </c>
      <c r="C35" s="26">
        <v>97.876000000000005</v>
      </c>
      <c r="D35" s="26">
        <v>21.206</v>
      </c>
      <c r="E35" s="26">
        <v>96</v>
      </c>
      <c r="F35" s="26">
        <v>215</v>
      </c>
      <c r="G35" s="26">
        <v>200</v>
      </c>
    </row>
    <row r="36" spans="1:7">
      <c r="A36" s="2">
        <v>2</v>
      </c>
      <c r="B36" s="10" t="s">
        <v>14</v>
      </c>
      <c r="C36" s="26"/>
      <c r="D36" s="26"/>
      <c r="E36" s="26" t="s">
        <v>12</v>
      </c>
      <c r="F36" s="26"/>
      <c r="G36" s="33"/>
    </row>
    <row r="37" spans="1:7" ht="31.5">
      <c r="A37" s="2">
        <v>3</v>
      </c>
      <c r="B37" s="10" t="s">
        <v>15</v>
      </c>
      <c r="C37" s="26"/>
      <c r="D37" s="26"/>
      <c r="E37" s="26" t="s">
        <v>12</v>
      </c>
      <c r="F37" s="26"/>
      <c r="G37" s="33"/>
    </row>
    <row r="38" spans="1:7">
      <c r="A38" s="2">
        <v>4</v>
      </c>
      <c r="B38" s="10" t="s">
        <v>16</v>
      </c>
      <c r="C38" s="26"/>
      <c r="D38" s="26"/>
      <c r="E38" s="26" t="s">
        <v>12</v>
      </c>
      <c r="F38" s="26"/>
      <c r="G38" s="33"/>
    </row>
    <row r="39" spans="1:7" s="4" customFormat="1">
      <c r="A39" s="8" t="s">
        <v>17</v>
      </c>
      <c r="B39" s="9" t="s">
        <v>28</v>
      </c>
      <c r="C39" s="27">
        <f t="shared" ref="C39:F39" si="8">C35*10%</f>
        <v>9.7876000000000012</v>
      </c>
      <c r="D39" s="27">
        <f t="shared" si="8"/>
        <v>2.1206</v>
      </c>
      <c r="E39" s="27">
        <f t="shared" si="8"/>
        <v>9.6000000000000014</v>
      </c>
      <c r="F39" s="27">
        <f t="shared" si="8"/>
        <v>21.5</v>
      </c>
      <c r="G39" s="27">
        <f>G35*10%</f>
        <v>20</v>
      </c>
    </row>
    <row r="40" spans="1:7" s="4" customFormat="1">
      <c r="A40" s="8" t="s">
        <v>20</v>
      </c>
      <c r="B40" s="9" t="s">
        <v>30</v>
      </c>
      <c r="C40" s="27">
        <f>C34-C39</f>
        <v>88.088400000000007</v>
      </c>
      <c r="D40" s="27">
        <f t="shared" ref="D40:F40" si="9">D34-D39</f>
        <v>19.0854</v>
      </c>
      <c r="E40" s="27">
        <f t="shared" si="9"/>
        <v>86.4</v>
      </c>
      <c r="F40" s="27">
        <f t="shared" si="9"/>
        <v>193.5</v>
      </c>
      <c r="G40" s="27">
        <f>G34-G39</f>
        <v>180</v>
      </c>
    </row>
    <row r="41" spans="1:7" s="4" customFormat="1">
      <c r="A41" s="8">
        <v>1</v>
      </c>
      <c r="B41" s="9" t="s">
        <v>29</v>
      </c>
      <c r="C41" s="27"/>
      <c r="D41" s="27"/>
      <c r="E41" s="27"/>
      <c r="F41" s="27">
        <f>(F40-F50)*40%</f>
        <v>46.2</v>
      </c>
      <c r="G41" s="34">
        <f>(G40-G50)*40%</f>
        <v>60</v>
      </c>
    </row>
    <row r="42" spans="1:7" s="4" customFormat="1">
      <c r="A42" s="8">
        <v>2</v>
      </c>
      <c r="B42" s="9" t="s">
        <v>31</v>
      </c>
      <c r="C42" s="27">
        <f>C40-C41</f>
        <v>88.088400000000007</v>
      </c>
      <c r="D42" s="27">
        <f t="shared" ref="D42:G42" si="10">D40-D41</f>
        <v>19.0854</v>
      </c>
      <c r="E42" s="27">
        <f t="shared" si="10"/>
        <v>86.4</v>
      </c>
      <c r="F42" s="27">
        <f t="shared" si="10"/>
        <v>147.30000000000001</v>
      </c>
      <c r="G42" s="27">
        <f t="shared" si="10"/>
        <v>120</v>
      </c>
    </row>
    <row r="43" spans="1:7">
      <c r="A43" s="3" t="s">
        <v>22</v>
      </c>
      <c r="B43" s="11" t="s">
        <v>26</v>
      </c>
      <c r="C43" s="28">
        <f>SUM(C44,C47,C50,C51,C52,C53)</f>
        <v>1316.97</v>
      </c>
      <c r="D43" s="28">
        <f t="shared" ref="D43:G43" si="11">SUM(D44,D47,D50,D51,D52,D53)</f>
        <v>1269.97</v>
      </c>
      <c r="E43" s="28">
        <f t="shared" si="11"/>
        <v>1286.0519999999999</v>
      </c>
      <c r="F43" s="28">
        <f t="shared" si="11"/>
        <v>1532</v>
      </c>
      <c r="G43" s="28">
        <f t="shared" si="11"/>
        <v>1629.965526</v>
      </c>
    </row>
    <row r="44" spans="1:7" s="5" customFormat="1">
      <c r="A44" s="2">
        <v>1</v>
      </c>
      <c r="B44" s="10" t="s">
        <v>32</v>
      </c>
      <c r="C44" s="51">
        <v>1198</v>
      </c>
      <c r="D44" s="51">
        <v>1189</v>
      </c>
      <c r="E44" s="51">
        <v>1161</v>
      </c>
      <c r="F44" s="26">
        <v>1146</v>
      </c>
      <c r="G44" s="41">
        <f>((47.23+1.5+4.2+0.1+2.34+0.3)+(47.23+1.5+2.34)*23.5%)*1.49*12</f>
        <v>1209.965526</v>
      </c>
    </row>
    <row r="45" spans="1:7" s="5" customFormat="1">
      <c r="A45" s="2" t="s">
        <v>40</v>
      </c>
      <c r="B45" s="10" t="s">
        <v>41</v>
      </c>
      <c r="C45" s="26"/>
      <c r="D45" s="26"/>
      <c r="E45" s="26"/>
      <c r="F45" s="26" t="e">
        <f>13*#REF!</f>
        <v>#REF!</v>
      </c>
      <c r="G45" s="35" t="e">
        <f>14*#REF!</f>
        <v>#REF!</v>
      </c>
    </row>
    <row r="46" spans="1:7" s="5" customFormat="1">
      <c r="A46" s="2" t="s">
        <v>40</v>
      </c>
      <c r="B46" s="10" t="s">
        <v>42</v>
      </c>
      <c r="C46" s="26"/>
      <c r="D46" s="26"/>
      <c r="E46" s="26"/>
      <c r="F46" s="26" t="e">
        <f>F44-F45</f>
        <v>#REF!</v>
      </c>
      <c r="G46" s="35" t="e">
        <f>G44-G45</f>
        <v>#REF!</v>
      </c>
    </row>
    <row r="47" spans="1:7">
      <c r="A47" s="2">
        <v>2</v>
      </c>
      <c r="B47" s="10" t="s">
        <v>27</v>
      </c>
      <c r="C47" s="51">
        <v>84.38</v>
      </c>
      <c r="D47" s="52">
        <v>69.2</v>
      </c>
      <c r="E47" s="52">
        <v>77.099999999999994</v>
      </c>
      <c r="F47" s="26">
        <f>14*22</f>
        <v>308</v>
      </c>
      <c r="G47" s="26">
        <f>15*22</f>
        <v>330</v>
      </c>
    </row>
    <row r="48" spans="1:7">
      <c r="A48" s="2" t="s">
        <v>40</v>
      </c>
      <c r="B48" s="10" t="s">
        <v>43</v>
      </c>
      <c r="C48" s="26"/>
      <c r="D48" s="26"/>
      <c r="E48" s="26"/>
      <c r="F48" s="26">
        <f>13*22</f>
        <v>286</v>
      </c>
      <c r="G48" s="33">
        <f>14*22</f>
        <v>308</v>
      </c>
    </row>
    <row r="49" spans="1:8">
      <c r="A49" s="2" t="s">
        <v>40</v>
      </c>
      <c r="B49" s="10" t="s">
        <v>44</v>
      </c>
      <c r="C49" s="26"/>
      <c r="D49" s="26"/>
      <c r="E49" s="26"/>
      <c r="F49" s="26">
        <f>1*22</f>
        <v>22</v>
      </c>
      <c r="G49" s="33">
        <f>22</f>
        <v>22</v>
      </c>
    </row>
    <row r="50" spans="1:8">
      <c r="A50" s="2">
        <v>3</v>
      </c>
      <c r="B50" s="10" t="s">
        <v>45</v>
      </c>
      <c r="C50" s="52">
        <v>34.590000000000003</v>
      </c>
      <c r="D50" s="52">
        <v>11.77</v>
      </c>
      <c r="E50" s="51">
        <v>47.951999999999998</v>
      </c>
      <c r="F50" s="26">
        <v>78</v>
      </c>
      <c r="G50" s="33">
        <v>30</v>
      </c>
      <c r="H50" s="54">
        <f>(C50+D50+E50)/3</f>
        <v>31.437333333333331</v>
      </c>
    </row>
    <row r="51" spans="1:8">
      <c r="A51" s="2">
        <v>4</v>
      </c>
      <c r="B51" s="10" t="s">
        <v>34</v>
      </c>
      <c r="C51" s="26"/>
      <c r="D51" s="26"/>
      <c r="E51" s="26"/>
      <c r="F51" s="26"/>
      <c r="G51" s="33">
        <f>(G40-G50)*40%</f>
        <v>60</v>
      </c>
    </row>
    <row r="52" spans="1:8">
      <c r="A52" s="2">
        <v>5</v>
      </c>
      <c r="B52" s="10" t="s">
        <v>18</v>
      </c>
      <c r="C52" s="26"/>
      <c r="D52" s="26"/>
      <c r="E52" s="26" t="s">
        <v>12</v>
      </c>
      <c r="F52" s="26"/>
      <c r="G52" s="33"/>
    </row>
    <row r="53" spans="1:8">
      <c r="A53" s="2">
        <v>6</v>
      </c>
      <c r="B53" s="10" t="s">
        <v>19</v>
      </c>
      <c r="C53" s="26"/>
      <c r="D53" s="26"/>
      <c r="E53" s="26" t="s">
        <v>12</v>
      </c>
      <c r="F53" s="26"/>
      <c r="G53" s="33"/>
    </row>
    <row r="54" spans="1:8">
      <c r="A54" s="3" t="s">
        <v>23</v>
      </c>
      <c r="B54" s="11" t="s">
        <v>21</v>
      </c>
      <c r="C54" s="23">
        <f>C55</f>
        <v>6.6887172828538233E-2</v>
      </c>
      <c r="D54" s="23">
        <f t="shared" ref="D54:G54" si="12">D55</f>
        <v>1.5028229013283777E-2</v>
      </c>
      <c r="E54" s="23">
        <f t="shared" si="12"/>
        <v>6.7182353435164377E-2</v>
      </c>
      <c r="F54" s="23">
        <f t="shared" si="12"/>
        <v>0.12630548302872063</v>
      </c>
      <c r="G54" s="23">
        <f t="shared" si="12"/>
        <v>0.11043178345110595</v>
      </c>
    </row>
    <row r="55" spans="1:8" ht="31.5">
      <c r="A55" s="12"/>
      <c r="B55" s="13" t="s">
        <v>35</v>
      </c>
      <c r="C55" s="24">
        <f t="shared" ref="C55:F55" si="13">C40/C43</f>
        <v>6.6887172828538233E-2</v>
      </c>
      <c r="D55" s="24">
        <f t="shared" si="13"/>
        <v>1.5028229013283777E-2</v>
      </c>
      <c r="E55" s="24">
        <f t="shared" si="13"/>
        <v>6.7182353435164377E-2</v>
      </c>
      <c r="F55" s="24">
        <f t="shared" si="13"/>
        <v>0.12630548302872063</v>
      </c>
      <c r="G55" s="24">
        <f>G40/G43</f>
        <v>0.11043178345110595</v>
      </c>
    </row>
    <row r="56" spans="1:8" s="32" customFormat="1">
      <c r="A56" s="15" t="s">
        <v>33</v>
      </c>
      <c r="B56" s="16" t="s">
        <v>39</v>
      </c>
      <c r="C56" s="42">
        <f>C43*(100%-C54)</f>
        <v>1228.8815999999999</v>
      </c>
      <c r="D56" s="42">
        <f t="shared" ref="D56:G56" si="14">D43*(100%-D54)</f>
        <v>1250.8845999999999</v>
      </c>
      <c r="E56" s="42">
        <f t="shared" si="14"/>
        <v>1199.652</v>
      </c>
      <c r="F56" s="42">
        <f t="shared" si="14"/>
        <v>1338.5</v>
      </c>
      <c r="G56" s="42">
        <f t="shared" si="14"/>
        <v>1449.965526</v>
      </c>
      <c r="H56" s="32" t="e">
        <f>G56/#REF!</f>
        <v>#REF!</v>
      </c>
    </row>
    <row r="57" spans="1:8" s="37" customFormat="1" ht="31.5">
      <c r="A57" s="18">
        <v>1</v>
      </c>
      <c r="B57" s="19" t="s">
        <v>47</v>
      </c>
      <c r="C57" s="29"/>
      <c r="D57" s="29"/>
      <c r="E57" s="29"/>
      <c r="F57" s="29"/>
      <c r="G57" s="36" t="e">
        <f>G45+G48</f>
        <v>#REF!</v>
      </c>
      <c r="H57" s="37" t="e">
        <f>F56/#REF!</f>
        <v>#REF!</v>
      </c>
    </row>
    <row r="58" spans="1:8" s="37" customFormat="1">
      <c r="A58" s="20">
        <v>2</v>
      </c>
      <c r="B58" s="21" t="s">
        <v>48</v>
      </c>
      <c r="C58" s="30"/>
      <c r="D58" s="30"/>
      <c r="E58" s="30"/>
      <c r="F58" s="30"/>
      <c r="G58" s="38" t="e">
        <f>G56-G57</f>
        <v>#REF!</v>
      </c>
    </row>
    <row r="59" spans="1:8" ht="32.25" customHeight="1">
      <c r="A59" s="39"/>
      <c r="B59" s="39" t="s">
        <v>55</v>
      </c>
      <c r="C59" s="39"/>
      <c r="D59" s="39"/>
      <c r="E59" s="39"/>
      <c r="F59" s="39"/>
      <c r="G59" s="39"/>
    </row>
    <row r="60" spans="1:8" s="32" customFormat="1">
      <c r="A60" s="6" t="s">
        <v>11</v>
      </c>
      <c r="B60" s="14" t="s">
        <v>25</v>
      </c>
      <c r="C60" s="25">
        <f>SUM(C61:C64)</f>
        <v>480.6</v>
      </c>
      <c r="D60" s="25">
        <f t="shared" ref="D60:G60" si="15">SUM(D61:D64)</f>
        <v>803.5</v>
      </c>
      <c r="E60" s="25">
        <f t="shared" si="15"/>
        <v>641.70000000000005</v>
      </c>
      <c r="F60" s="25">
        <f t="shared" si="15"/>
        <v>425</v>
      </c>
      <c r="G60" s="25">
        <f t="shared" si="15"/>
        <v>600</v>
      </c>
    </row>
    <row r="61" spans="1:8" ht="31.5">
      <c r="A61" s="2">
        <v>1</v>
      </c>
      <c r="B61" s="10" t="s">
        <v>13</v>
      </c>
      <c r="C61" s="26">
        <v>480.6</v>
      </c>
      <c r="D61" s="26">
        <v>803.5</v>
      </c>
      <c r="E61" s="26">
        <v>641.70000000000005</v>
      </c>
      <c r="F61" s="26">
        <v>425</v>
      </c>
      <c r="G61" s="26">
        <v>600</v>
      </c>
    </row>
    <row r="62" spans="1:8">
      <c r="A62" s="2">
        <v>2</v>
      </c>
      <c r="B62" s="10" t="s">
        <v>14</v>
      </c>
      <c r="C62" s="26"/>
      <c r="D62" s="26"/>
      <c r="E62" s="26" t="s">
        <v>12</v>
      </c>
      <c r="F62" s="26"/>
      <c r="G62" s="33"/>
    </row>
    <row r="63" spans="1:8" ht="31.5">
      <c r="A63" s="2">
        <v>3</v>
      </c>
      <c r="B63" s="10" t="s">
        <v>15</v>
      </c>
      <c r="C63" s="26"/>
      <c r="D63" s="26"/>
      <c r="E63" s="26" t="s">
        <v>12</v>
      </c>
      <c r="F63" s="26"/>
      <c r="G63" s="33"/>
    </row>
    <row r="64" spans="1:8">
      <c r="A64" s="2">
        <v>4</v>
      </c>
      <c r="B64" s="10" t="s">
        <v>16</v>
      </c>
      <c r="C64" s="26"/>
      <c r="D64" s="26"/>
      <c r="E64" s="26" t="s">
        <v>12</v>
      </c>
      <c r="F64" s="26"/>
      <c r="G64" s="33"/>
    </row>
    <row r="65" spans="1:9" s="4" customFormat="1">
      <c r="A65" s="8" t="s">
        <v>17</v>
      </c>
      <c r="B65" s="9" t="s">
        <v>28</v>
      </c>
      <c r="C65" s="27"/>
      <c r="D65" s="27"/>
      <c r="E65" s="27"/>
      <c r="F65" s="27"/>
      <c r="G65" s="27">
        <f>G61*10%</f>
        <v>60</v>
      </c>
    </row>
    <row r="66" spans="1:9" s="4" customFormat="1">
      <c r="A66" s="8" t="s">
        <v>20</v>
      </c>
      <c r="B66" s="9" t="s">
        <v>30</v>
      </c>
      <c r="C66" s="27">
        <f>C60-C65</f>
        <v>480.6</v>
      </c>
      <c r="D66" s="27">
        <f t="shared" ref="D66:F66" si="16">D60-D65</f>
        <v>803.5</v>
      </c>
      <c r="E66" s="27">
        <f t="shared" si="16"/>
        <v>641.70000000000005</v>
      </c>
      <c r="F66" s="27">
        <f t="shared" si="16"/>
        <v>425</v>
      </c>
      <c r="G66" s="27">
        <f>G60-G65</f>
        <v>540</v>
      </c>
    </row>
    <row r="67" spans="1:9" s="4" customFormat="1">
      <c r="A67" s="8">
        <v>1</v>
      </c>
      <c r="B67" s="9" t="s">
        <v>29</v>
      </c>
      <c r="C67" s="27"/>
      <c r="D67" s="27"/>
      <c r="E67" s="27"/>
      <c r="F67" s="27">
        <f>(F66-F76)*40%</f>
        <v>5.6000000000000005</v>
      </c>
      <c r="G67" s="34">
        <f>(G66-G76)*40%</f>
        <v>99.600000000000009</v>
      </c>
    </row>
    <row r="68" spans="1:9" s="4" customFormat="1">
      <c r="A68" s="8">
        <v>2</v>
      </c>
      <c r="B68" s="9" t="s">
        <v>31</v>
      </c>
      <c r="C68" s="27">
        <f>C66-C67</f>
        <v>480.6</v>
      </c>
      <c r="D68" s="27">
        <f t="shared" ref="D68:G68" si="17">D66-D67</f>
        <v>803.5</v>
      </c>
      <c r="E68" s="27">
        <f t="shared" si="17"/>
        <v>641.70000000000005</v>
      </c>
      <c r="F68" s="27">
        <f t="shared" si="17"/>
        <v>419.4</v>
      </c>
      <c r="G68" s="27">
        <f t="shared" si="17"/>
        <v>440.4</v>
      </c>
    </row>
    <row r="69" spans="1:9">
      <c r="A69" s="3" t="s">
        <v>22</v>
      </c>
      <c r="B69" s="11" t="s">
        <v>26</v>
      </c>
      <c r="C69" s="28">
        <f>SUM(C70,C73,C76,C77,C78,C79)</f>
        <v>886.99999999999989</v>
      </c>
      <c r="D69" s="28">
        <f t="shared" ref="D69:G69" si="18">SUM(D70,D73,D76,D77,D78,D79)</f>
        <v>1299.8</v>
      </c>
      <c r="E69" s="28">
        <f t="shared" si="18"/>
        <v>1064.0999999999999</v>
      </c>
      <c r="F69" s="28">
        <f t="shared" si="18"/>
        <v>980.28892399999995</v>
      </c>
      <c r="G69" s="28" t="e">
        <f t="shared" si="18"/>
        <v>#REF!</v>
      </c>
    </row>
    <row r="70" spans="1:9" s="5" customFormat="1">
      <c r="A70" s="2">
        <v>1</v>
      </c>
      <c r="B70" s="10" t="s">
        <v>32</v>
      </c>
      <c r="C70" s="26">
        <f>(368.3+119.7+93.3)</f>
        <v>581.29999999999995</v>
      </c>
      <c r="D70" s="26">
        <f>(368.3+119.7+93.3)</f>
        <v>581.29999999999995</v>
      </c>
      <c r="E70" s="26">
        <f>(298+125+86.4)</f>
        <v>509.4</v>
      </c>
      <c r="F70" s="41">
        <f>((17.53+3.65)+(17.53+1.65)*23.5%)*1.49*12</f>
        <v>459.28892399999995</v>
      </c>
      <c r="G70" s="41" t="e">
        <f>#REF!</f>
        <v>#REF!</v>
      </c>
    </row>
    <row r="71" spans="1:9" s="5" customFormat="1">
      <c r="A71" s="2" t="s">
        <v>40</v>
      </c>
      <c r="B71" s="10" t="s">
        <v>41</v>
      </c>
      <c r="C71" s="26">
        <f>4*116</f>
        <v>464</v>
      </c>
      <c r="D71" s="26">
        <f>4*116</f>
        <v>464</v>
      </c>
      <c r="E71" s="26">
        <f>4*101.88</f>
        <v>407.52</v>
      </c>
      <c r="F71" s="26">
        <f>4*91.8</f>
        <v>367.2</v>
      </c>
      <c r="G71" s="35" t="e">
        <f>5*#REF!</f>
        <v>#REF!</v>
      </c>
    </row>
    <row r="72" spans="1:9" s="5" customFormat="1">
      <c r="A72" s="2" t="s">
        <v>40</v>
      </c>
      <c r="B72" s="10" t="s">
        <v>42</v>
      </c>
      <c r="C72" s="26">
        <f>C70-C71</f>
        <v>117.29999999999995</v>
      </c>
      <c r="D72" s="26">
        <f>D70-D71</f>
        <v>117.29999999999995</v>
      </c>
      <c r="E72" s="26">
        <f>E70-E71</f>
        <v>101.88</v>
      </c>
      <c r="F72" s="26">
        <f>F70-F71</f>
        <v>92.088923999999963</v>
      </c>
      <c r="G72" s="35" t="e">
        <f>G70-G71</f>
        <v>#REF!</v>
      </c>
      <c r="I72" s="5">
        <f>459/5</f>
        <v>91.8</v>
      </c>
    </row>
    <row r="73" spans="1:9">
      <c r="A73" s="2">
        <v>2</v>
      </c>
      <c r="B73" s="10" t="s">
        <v>27</v>
      </c>
      <c r="C73" s="26">
        <f t="shared" ref="C73:D73" si="19">5*22.5</f>
        <v>112.5</v>
      </c>
      <c r="D73" s="26">
        <f t="shared" si="19"/>
        <v>112.5</v>
      </c>
      <c r="E73" s="26">
        <f>5*22.5</f>
        <v>112.5</v>
      </c>
      <c r="F73" s="26">
        <f>5*22</f>
        <v>110</v>
      </c>
      <c r="G73" s="26">
        <f>6*22</f>
        <v>132</v>
      </c>
      <c r="I73" s="31">
        <f>E70/5</f>
        <v>101.88</v>
      </c>
    </row>
    <row r="74" spans="1:9">
      <c r="A74" s="2" t="s">
        <v>40</v>
      </c>
      <c r="B74" s="10" t="s">
        <v>43</v>
      </c>
      <c r="C74" s="26">
        <f>4*22.5</f>
        <v>90</v>
      </c>
      <c r="D74" s="26">
        <f>4*22.5</f>
        <v>90</v>
      </c>
      <c r="E74" s="26">
        <f>4*22.5</f>
        <v>90</v>
      </c>
      <c r="F74" s="26">
        <f>4*22</f>
        <v>88</v>
      </c>
      <c r="G74" s="33">
        <f>5*22</f>
        <v>110</v>
      </c>
      <c r="I74" s="31">
        <f>D70/5</f>
        <v>116.25999999999999</v>
      </c>
    </row>
    <row r="75" spans="1:9">
      <c r="A75" s="2" t="s">
        <v>40</v>
      </c>
      <c r="B75" s="10" t="s">
        <v>44</v>
      </c>
      <c r="C75" s="26">
        <f t="shared" ref="C75:D75" si="20">C73-C74</f>
        <v>22.5</v>
      </c>
      <c r="D75" s="26">
        <f t="shared" si="20"/>
        <v>22.5</v>
      </c>
      <c r="E75" s="26">
        <f>E73-E74</f>
        <v>22.5</v>
      </c>
      <c r="F75" s="26">
        <v>22</v>
      </c>
      <c r="G75" s="33">
        <f>1*22</f>
        <v>22</v>
      </c>
      <c r="I75" s="31">
        <f>C70/5</f>
        <v>116.25999999999999</v>
      </c>
    </row>
    <row r="76" spans="1:9">
      <c r="A76" s="2">
        <v>3</v>
      </c>
      <c r="B76" s="10" t="s">
        <v>45</v>
      </c>
      <c r="C76" s="26">
        <v>132.4</v>
      </c>
      <c r="D76" s="26">
        <v>500</v>
      </c>
      <c r="E76" s="26">
        <v>344.2</v>
      </c>
      <c r="F76" s="26">
        <v>411</v>
      </c>
      <c r="G76" s="33">
        <f>(30+55+65+65+20+6)+50</f>
        <v>291</v>
      </c>
    </row>
    <row r="77" spans="1:9">
      <c r="A77" s="2">
        <v>4</v>
      </c>
      <c r="B77" s="10" t="s">
        <v>34</v>
      </c>
      <c r="C77" s="26"/>
      <c r="D77" s="26"/>
      <c r="E77" s="26"/>
      <c r="F77" s="26"/>
      <c r="G77" s="33">
        <f>(G66-G76)*40%</f>
        <v>99.600000000000009</v>
      </c>
    </row>
    <row r="78" spans="1:9">
      <c r="A78" s="2">
        <v>5</v>
      </c>
      <c r="B78" s="10" t="s">
        <v>18</v>
      </c>
      <c r="C78" s="26"/>
      <c r="D78" s="26"/>
      <c r="E78" s="26" t="s">
        <v>12</v>
      </c>
      <c r="F78" s="26"/>
      <c r="G78" s="33"/>
    </row>
    <row r="79" spans="1:9">
      <c r="A79" s="2">
        <v>6</v>
      </c>
      <c r="B79" s="10" t="s">
        <v>19</v>
      </c>
      <c r="C79" s="52">
        <v>60.8</v>
      </c>
      <c r="D79" s="52">
        <v>106</v>
      </c>
      <c r="E79" s="52">
        <v>98</v>
      </c>
      <c r="F79" s="26"/>
      <c r="G79" s="33"/>
    </row>
    <row r="80" spans="1:9">
      <c r="A80" s="3" t="s">
        <v>23</v>
      </c>
      <c r="B80" s="11" t="s">
        <v>21</v>
      </c>
      <c r="C80" s="23">
        <f>C81</f>
        <v>0.54182638105975212</v>
      </c>
      <c r="D80" s="23">
        <f t="shared" ref="D80:G80" si="21">D81</f>
        <v>0.61817202646561009</v>
      </c>
      <c r="E80" s="23">
        <f t="shared" si="21"/>
        <v>0.60304482661404013</v>
      </c>
      <c r="F80" s="23">
        <f t="shared" si="21"/>
        <v>0.43354565128188677</v>
      </c>
      <c r="G80" s="23" t="e">
        <f t="shared" si="21"/>
        <v>#REF!</v>
      </c>
    </row>
    <row r="81" spans="1:8" ht="31.5">
      <c r="A81" s="12"/>
      <c r="B81" s="13" t="s">
        <v>35</v>
      </c>
      <c r="C81" s="24">
        <f t="shared" ref="C81:F81" si="22">C66/C69</f>
        <v>0.54182638105975212</v>
      </c>
      <c r="D81" s="24">
        <f t="shared" si="22"/>
        <v>0.61817202646561009</v>
      </c>
      <c r="E81" s="24">
        <f t="shared" si="22"/>
        <v>0.60304482661404013</v>
      </c>
      <c r="F81" s="24">
        <f t="shared" si="22"/>
        <v>0.43354565128188677</v>
      </c>
      <c r="G81" s="24" t="e">
        <f>G66/G69</f>
        <v>#REF!</v>
      </c>
    </row>
    <row r="82" spans="1:8" s="32" customFormat="1">
      <c r="A82" s="15" t="s">
        <v>33</v>
      </c>
      <c r="B82" s="16" t="s">
        <v>39</v>
      </c>
      <c r="C82" s="42">
        <f>C69*(100%-C80)</f>
        <v>406.39999999999981</v>
      </c>
      <c r="D82" s="42">
        <f t="shared" ref="D82:G82" si="23">D69*(100%-D80)</f>
        <v>496.3</v>
      </c>
      <c r="E82" s="42">
        <f t="shared" si="23"/>
        <v>422.39999999999986</v>
      </c>
      <c r="F82" s="42">
        <f t="shared" si="23"/>
        <v>555.28892400000007</v>
      </c>
      <c r="G82" s="42" t="e">
        <f t="shared" si="23"/>
        <v>#REF!</v>
      </c>
      <c r="H82" s="32" t="e">
        <f>G82/#REF!</f>
        <v>#REF!</v>
      </c>
    </row>
    <row r="83" spans="1:8" s="37" customFormat="1" ht="31.5">
      <c r="A83" s="18">
        <v>1</v>
      </c>
      <c r="B83" s="19" t="s">
        <v>47</v>
      </c>
      <c r="C83" s="29" t="e">
        <f>C82/#REF!</f>
        <v>#REF!</v>
      </c>
      <c r="D83" s="29" t="e">
        <f>D82/#REF!</f>
        <v>#REF!</v>
      </c>
      <c r="E83" s="29" t="e">
        <f>E82/#REF!</f>
        <v>#REF!</v>
      </c>
      <c r="F83" s="29"/>
      <c r="G83" s="36" t="e">
        <f>G71+G74</f>
        <v>#REF!</v>
      </c>
      <c r="H83" s="37" t="e">
        <f>F82/#REF!</f>
        <v>#REF!</v>
      </c>
    </row>
    <row r="84" spans="1:8" s="37" customFormat="1">
      <c r="A84" s="20">
        <v>2</v>
      </c>
      <c r="B84" s="21" t="s">
        <v>48</v>
      </c>
      <c r="C84" s="30"/>
      <c r="D84" s="30"/>
      <c r="E84" s="30"/>
      <c r="F84" s="30"/>
      <c r="G84" s="38" t="e">
        <f>G82-G83</f>
        <v>#REF!</v>
      </c>
    </row>
    <row r="85" spans="1:8">
      <c r="A85" s="39"/>
      <c r="B85" s="39" t="s">
        <v>56</v>
      </c>
      <c r="C85" s="39"/>
      <c r="D85" s="39"/>
      <c r="E85" s="39"/>
      <c r="F85" s="39"/>
      <c r="G85" s="39"/>
    </row>
    <row r="86" spans="1:8" s="32" customFormat="1">
      <c r="A86" s="6" t="s">
        <v>11</v>
      </c>
      <c r="B86" s="14" t="s">
        <v>25</v>
      </c>
      <c r="C86" s="25">
        <f>SUM(C87:C90)</f>
        <v>411.8</v>
      </c>
      <c r="D86" s="25">
        <f t="shared" ref="D86:G86" si="24">SUM(D87:D90)</f>
        <v>419.5</v>
      </c>
      <c r="E86" s="25">
        <f t="shared" si="24"/>
        <v>524</v>
      </c>
      <c r="F86" s="25">
        <f t="shared" si="24"/>
        <v>382</v>
      </c>
      <c r="G86" s="25">
        <f t="shared" si="24"/>
        <v>780</v>
      </c>
    </row>
    <row r="87" spans="1:8" ht="31.5">
      <c r="A87" s="2">
        <v>1</v>
      </c>
      <c r="B87" s="10" t="s">
        <v>13</v>
      </c>
      <c r="C87" s="26">
        <v>411.8</v>
      </c>
      <c r="D87" s="26">
        <v>419.5</v>
      </c>
      <c r="E87" s="26">
        <v>524</v>
      </c>
      <c r="F87" s="26">
        <v>382</v>
      </c>
      <c r="G87" s="26">
        <v>700</v>
      </c>
    </row>
    <row r="88" spans="1:8">
      <c r="A88" s="2">
        <v>2</v>
      </c>
      <c r="B88" s="10" t="s">
        <v>14</v>
      </c>
      <c r="C88" s="26"/>
      <c r="D88" s="26"/>
      <c r="E88" s="26" t="s">
        <v>12</v>
      </c>
      <c r="F88" s="26"/>
      <c r="G88" s="33"/>
    </row>
    <row r="89" spans="1:8" ht="31.5">
      <c r="A89" s="2">
        <v>3</v>
      </c>
      <c r="B89" s="10" t="s">
        <v>15</v>
      </c>
      <c r="C89" s="26"/>
      <c r="D89" s="26"/>
      <c r="E89" s="26" t="s">
        <v>12</v>
      </c>
      <c r="F89" s="26"/>
      <c r="G89" s="33"/>
    </row>
    <row r="90" spans="1:8">
      <c r="A90" s="2">
        <v>4</v>
      </c>
      <c r="B90" s="10" t="s">
        <v>16</v>
      </c>
      <c r="C90" s="26"/>
      <c r="D90" s="26"/>
      <c r="E90" s="26" t="s">
        <v>12</v>
      </c>
      <c r="F90" s="26"/>
      <c r="G90" s="33">
        <v>80</v>
      </c>
    </row>
    <row r="91" spans="1:8" s="4" customFormat="1">
      <c r="A91" s="8" t="s">
        <v>17</v>
      </c>
      <c r="B91" s="9" t="s">
        <v>28</v>
      </c>
      <c r="C91" s="27"/>
      <c r="D91" s="27"/>
      <c r="E91" s="27"/>
      <c r="F91" s="27"/>
      <c r="G91" s="27">
        <f>G87*40%</f>
        <v>280</v>
      </c>
      <c r="H91" s="4" t="s">
        <v>57</v>
      </c>
    </row>
    <row r="92" spans="1:8" s="4" customFormat="1">
      <c r="A92" s="8" t="s">
        <v>20</v>
      </c>
      <c r="B92" s="9" t="s">
        <v>30</v>
      </c>
      <c r="C92" s="27">
        <f>C86-C91</f>
        <v>411.8</v>
      </c>
      <c r="D92" s="27">
        <f t="shared" ref="D92:F92" si="25">D86-D91</f>
        <v>419.5</v>
      </c>
      <c r="E92" s="27">
        <f t="shared" si="25"/>
        <v>524</v>
      </c>
      <c r="F92" s="27">
        <f t="shared" si="25"/>
        <v>382</v>
      </c>
      <c r="G92" s="27">
        <f>G86-G91</f>
        <v>500</v>
      </c>
    </row>
    <row r="93" spans="1:8" s="4" customFormat="1">
      <c r="A93" s="8">
        <v>1</v>
      </c>
      <c r="B93" s="9" t="s">
        <v>29</v>
      </c>
      <c r="C93" s="27"/>
      <c r="D93" s="27"/>
      <c r="E93" s="27"/>
      <c r="F93" s="27">
        <f>(F92-F102)*40%</f>
        <v>30</v>
      </c>
      <c r="G93" s="34">
        <f>(G92-G102)*40%</f>
        <v>84</v>
      </c>
    </row>
    <row r="94" spans="1:8" s="4" customFormat="1">
      <c r="A94" s="8">
        <v>2</v>
      </c>
      <c r="B94" s="9" t="s">
        <v>31</v>
      </c>
      <c r="C94" s="27">
        <f>C92-C93</f>
        <v>411.8</v>
      </c>
      <c r="D94" s="27">
        <f t="shared" ref="D94:G94" si="26">D92-D93</f>
        <v>419.5</v>
      </c>
      <c r="E94" s="27">
        <f t="shared" si="26"/>
        <v>524</v>
      </c>
      <c r="F94" s="27">
        <f t="shared" si="26"/>
        <v>352</v>
      </c>
      <c r="G94" s="27">
        <f t="shared" si="26"/>
        <v>416</v>
      </c>
    </row>
    <row r="95" spans="1:8">
      <c r="A95" s="3" t="s">
        <v>22</v>
      </c>
      <c r="B95" s="11" t="s">
        <v>26</v>
      </c>
      <c r="C95" s="28">
        <f>SUM(C96,C99,C102,C103,C104,C105)</f>
        <v>723.5</v>
      </c>
      <c r="D95" s="28">
        <f t="shared" ref="D95:G95" si="27">SUM(D96,D99,D102,D103,D104,D105)</f>
        <v>802.5</v>
      </c>
      <c r="E95" s="28">
        <f t="shared" si="27"/>
        <v>832.5</v>
      </c>
      <c r="F95" s="28">
        <f t="shared" si="27"/>
        <v>797</v>
      </c>
      <c r="G95" s="28" t="e">
        <f t="shared" si="27"/>
        <v>#REF!</v>
      </c>
    </row>
    <row r="96" spans="1:8" s="5" customFormat="1">
      <c r="A96" s="2">
        <v>1</v>
      </c>
      <c r="B96" s="10" t="s">
        <v>32</v>
      </c>
      <c r="C96" s="26">
        <v>335</v>
      </c>
      <c r="D96" s="26">
        <v>335</v>
      </c>
      <c r="E96" s="26">
        <v>370</v>
      </c>
      <c r="F96" s="26">
        <v>380</v>
      </c>
      <c r="G96" s="41" t="e">
        <f>#REF!</f>
        <v>#REF!</v>
      </c>
    </row>
    <row r="97" spans="1:9" s="5" customFormat="1">
      <c r="A97" s="2" t="s">
        <v>40</v>
      </c>
      <c r="B97" s="10" t="s">
        <v>41</v>
      </c>
      <c r="C97" s="26">
        <f>3*67</f>
        <v>201</v>
      </c>
      <c r="D97" s="26">
        <f>4*67</f>
        <v>268</v>
      </c>
      <c r="E97" s="26">
        <f>3*74</f>
        <v>222</v>
      </c>
      <c r="F97" s="26">
        <f>4*76</f>
        <v>304</v>
      </c>
      <c r="G97" s="35" t="e">
        <f>4*#REF!</f>
        <v>#REF!</v>
      </c>
      <c r="I97" s="5">
        <f>E96/5</f>
        <v>74</v>
      </c>
    </row>
    <row r="98" spans="1:9" s="5" customFormat="1">
      <c r="A98" s="2" t="s">
        <v>40</v>
      </c>
      <c r="B98" s="10" t="s">
        <v>42</v>
      </c>
      <c r="C98" s="26">
        <f>C96-C97</f>
        <v>134</v>
      </c>
      <c r="D98" s="26">
        <f>D96-D97</f>
        <v>67</v>
      </c>
      <c r="E98" s="26">
        <f>E96-E97</f>
        <v>148</v>
      </c>
      <c r="F98" s="26">
        <f>F96-F97</f>
        <v>76</v>
      </c>
      <c r="G98" s="35" t="e">
        <f>G96-G97</f>
        <v>#REF!</v>
      </c>
    </row>
    <row r="99" spans="1:9">
      <c r="A99" s="2">
        <v>2</v>
      </c>
      <c r="B99" s="10" t="s">
        <v>27</v>
      </c>
      <c r="C99" s="26">
        <f t="shared" ref="C99:D99" si="28">5*22.5</f>
        <v>112.5</v>
      </c>
      <c r="D99" s="26">
        <f t="shared" si="28"/>
        <v>112.5</v>
      </c>
      <c r="E99" s="26">
        <f>5*22.5</f>
        <v>112.5</v>
      </c>
      <c r="F99" s="26">
        <f>5*22</f>
        <v>110</v>
      </c>
      <c r="G99" s="26">
        <f>5*22</f>
        <v>110</v>
      </c>
      <c r="H99" s="31">
        <f>380/5</f>
        <v>76</v>
      </c>
      <c r="I99" s="31">
        <f>D96/5</f>
        <v>67</v>
      </c>
    </row>
    <row r="100" spans="1:9">
      <c r="A100" s="2" t="s">
        <v>40</v>
      </c>
      <c r="B100" s="10" t="s">
        <v>43</v>
      </c>
      <c r="C100" s="26">
        <f>3*22.5</f>
        <v>67.5</v>
      </c>
      <c r="D100" s="26">
        <f>4*22.5</f>
        <v>90</v>
      </c>
      <c r="E100" s="26">
        <f>3*22.5</f>
        <v>67.5</v>
      </c>
      <c r="F100" s="33">
        <f>4*22</f>
        <v>88</v>
      </c>
      <c r="G100" s="33">
        <f>4*22</f>
        <v>88</v>
      </c>
      <c r="I100" s="31">
        <f>C96/5</f>
        <v>67</v>
      </c>
    </row>
    <row r="101" spans="1:9">
      <c r="A101" s="2" t="s">
        <v>40</v>
      </c>
      <c r="B101" s="10" t="s">
        <v>44</v>
      </c>
      <c r="C101" s="26">
        <f>2*22.5</f>
        <v>45</v>
      </c>
      <c r="D101" s="26">
        <v>22.5</v>
      </c>
      <c r="E101" s="26">
        <f>2*22.5</f>
        <v>45</v>
      </c>
      <c r="F101" s="33">
        <v>22</v>
      </c>
      <c r="G101" s="33">
        <v>22</v>
      </c>
    </row>
    <row r="102" spans="1:9">
      <c r="A102" s="2">
        <v>3</v>
      </c>
      <c r="B102" s="10" t="s">
        <v>45</v>
      </c>
      <c r="C102" s="26">
        <f>166+34+76</f>
        <v>276</v>
      </c>
      <c r="D102" s="26">
        <f>355</f>
        <v>355</v>
      </c>
      <c r="E102" s="26">
        <v>350</v>
      </c>
      <c r="F102" s="26">
        <v>307</v>
      </c>
      <c r="G102" s="33">
        <f>80+210</f>
        <v>290</v>
      </c>
    </row>
    <row r="103" spans="1:9">
      <c r="A103" s="2">
        <v>4</v>
      </c>
      <c r="B103" s="10" t="s">
        <v>34</v>
      </c>
      <c r="C103" s="26"/>
      <c r="D103" s="26"/>
      <c r="E103" s="26"/>
      <c r="F103" s="26"/>
      <c r="G103" s="33">
        <f>(G92-G102)*40%</f>
        <v>84</v>
      </c>
    </row>
    <row r="104" spans="1:9">
      <c r="A104" s="2">
        <v>5</v>
      </c>
      <c r="B104" s="10" t="s">
        <v>18</v>
      </c>
      <c r="C104" s="26"/>
      <c r="D104" s="26"/>
      <c r="E104" s="26" t="s">
        <v>12</v>
      </c>
      <c r="F104" s="26"/>
      <c r="G104" s="33"/>
    </row>
    <row r="105" spans="1:9">
      <c r="A105" s="2">
        <v>6</v>
      </c>
      <c r="B105" s="10" t="s">
        <v>19</v>
      </c>
      <c r="C105" s="26"/>
      <c r="D105" s="26"/>
      <c r="E105" s="26"/>
      <c r="F105" s="26"/>
      <c r="G105" s="33"/>
    </row>
    <row r="106" spans="1:9">
      <c r="A106" s="3" t="s">
        <v>23</v>
      </c>
      <c r="B106" s="11" t="s">
        <v>21</v>
      </c>
      <c r="C106" s="23">
        <f>C107</f>
        <v>0.56917760884588808</v>
      </c>
      <c r="D106" s="23">
        <f t="shared" ref="D106:G106" si="29">D107</f>
        <v>0.52274143302180687</v>
      </c>
      <c r="E106" s="23">
        <f t="shared" si="29"/>
        <v>0.62942942942942948</v>
      </c>
      <c r="F106" s="23">
        <f t="shared" si="29"/>
        <v>0.47929736511919702</v>
      </c>
      <c r="G106" s="23" t="e">
        <f t="shared" si="29"/>
        <v>#REF!</v>
      </c>
    </row>
    <row r="107" spans="1:9" ht="31.5">
      <c r="A107" s="12"/>
      <c r="B107" s="13" t="s">
        <v>35</v>
      </c>
      <c r="C107" s="24">
        <f t="shared" ref="C107:F107" si="30">C92/C95</f>
        <v>0.56917760884588808</v>
      </c>
      <c r="D107" s="24">
        <f t="shared" si="30"/>
        <v>0.52274143302180687</v>
      </c>
      <c r="E107" s="24">
        <f t="shared" si="30"/>
        <v>0.62942942942942948</v>
      </c>
      <c r="F107" s="24">
        <f t="shared" si="30"/>
        <v>0.47929736511919702</v>
      </c>
      <c r="G107" s="24" t="e">
        <f>G92/G95</f>
        <v>#REF!</v>
      </c>
    </row>
    <row r="108" spans="1:9" s="32" customFormat="1">
      <c r="A108" s="15" t="s">
        <v>33</v>
      </c>
      <c r="B108" s="16" t="s">
        <v>39</v>
      </c>
      <c r="C108" s="17">
        <f>C95*(100%-C106)</f>
        <v>311.7</v>
      </c>
      <c r="D108" s="17">
        <f t="shared" ref="D108:G108" si="31">D95*(100%-D106)</f>
        <v>383</v>
      </c>
      <c r="E108" s="17">
        <f t="shared" si="31"/>
        <v>308.49999999999994</v>
      </c>
      <c r="F108" s="17">
        <f t="shared" si="31"/>
        <v>415</v>
      </c>
      <c r="G108" s="43" t="e">
        <f t="shared" si="31"/>
        <v>#REF!</v>
      </c>
      <c r="H108" s="32" t="e">
        <f>G108/#REF!</f>
        <v>#REF!</v>
      </c>
    </row>
    <row r="109" spans="1:9" s="37" customFormat="1" ht="31.5">
      <c r="A109" s="18">
        <v>1</v>
      </c>
      <c r="B109" s="19" t="s">
        <v>47</v>
      </c>
      <c r="C109" s="29" t="e">
        <f>C108/#REF!</f>
        <v>#REF!</v>
      </c>
      <c r="D109" s="29" t="e">
        <f>D108/#REF!</f>
        <v>#REF!</v>
      </c>
      <c r="E109" s="29" t="e">
        <f>E108/#REF!</f>
        <v>#REF!</v>
      </c>
      <c r="F109" s="29"/>
      <c r="G109" s="36" t="e">
        <f>G97+G100</f>
        <v>#REF!</v>
      </c>
      <c r="H109" s="37" t="e">
        <f>F108/#REF!</f>
        <v>#REF!</v>
      </c>
    </row>
    <row r="110" spans="1:9" s="37" customFormat="1">
      <c r="A110" s="20">
        <v>2</v>
      </c>
      <c r="B110" s="21" t="s">
        <v>48</v>
      </c>
      <c r="C110" s="30"/>
      <c r="D110" s="30"/>
      <c r="E110" s="30"/>
      <c r="F110" s="30"/>
      <c r="G110" s="38" t="e">
        <f>G108-G109</f>
        <v>#REF!</v>
      </c>
    </row>
    <row r="111" spans="1:9">
      <c r="A111" s="39"/>
      <c r="B111" s="39" t="s">
        <v>54</v>
      </c>
      <c r="C111" s="39"/>
      <c r="D111" s="39"/>
      <c r="E111" s="39"/>
      <c r="F111" s="39"/>
      <c r="G111" s="39"/>
    </row>
    <row r="112" spans="1:9" s="32" customFormat="1">
      <c r="A112" s="6" t="s">
        <v>11</v>
      </c>
      <c r="B112" s="14" t="s">
        <v>25</v>
      </c>
      <c r="C112" s="25">
        <f>SUM(C113:C116)</f>
        <v>46.4</v>
      </c>
      <c r="D112" s="25">
        <f t="shared" ref="D112:G112" si="32">SUM(D113:D116)</f>
        <v>55.6</v>
      </c>
      <c r="E112" s="25">
        <f t="shared" si="32"/>
        <v>93.2</v>
      </c>
      <c r="F112" s="25">
        <f t="shared" si="32"/>
        <v>54</v>
      </c>
      <c r="G112" s="25">
        <f t="shared" si="32"/>
        <v>120</v>
      </c>
    </row>
    <row r="113" spans="1:9" ht="31.5">
      <c r="A113" s="2">
        <v>1</v>
      </c>
      <c r="B113" s="10" t="s">
        <v>13</v>
      </c>
      <c r="C113" s="26">
        <v>46.4</v>
      </c>
      <c r="D113" s="26">
        <v>55.6</v>
      </c>
      <c r="E113" s="26">
        <v>93.2</v>
      </c>
      <c r="F113" s="26">
        <v>54</v>
      </c>
      <c r="G113" s="26">
        <v>120</v>
      </c>
    </row>
    <row r="114" spans="1:9">
      <c r="A114" s="2">
        <v>2</v>
      </c>
      <c r="B114" s="10" t="s">
        <v>14</v>
      </c>
      <c r="C114" s="26"/>
      <c r="D114" s="26"/>
      <c r="E114" s="26" t="s">
        <v>12</v>
      </c>
      <c r="F114" s="26"/>
      <c r="G114" s="33"/>
    </row>
    <row r="115" spans="1:9" ht="31.5">
      <c r="A115" s="2">
        <v>3</v>
      </c>
      <c r="B115" s="10" t="s">
        <v>15</v>
      </c>
      <c r="C115" s="26"/>
      <c r="D115" s="26"/>
      <c r="E115" s="26" t="s">
        <v>12</v>
      </c>
      <c r="F115" s="26"/>
      <c r="G115" s="33"/>
    </row>
    <row r="116" spans="1:9">
      <c r="A116" s="2">
        <v>4</v>
      </c>
      <c r="B116" s="10" t="s">
        <v>16</v>
      </c>
      <c r="C116" s="26"/>
      <c r="D116" s="26"/>
      <c r="E116" s="26" t="s">
        <v>12</v>
      </c>
      <c r="F116" s="26"/>
      <c r="G116" s="33"/>
    </row>
    <row r="117" spans="1:9" s="4" customFormat="1">
      <c r="A117" s="8" t="s">
        <v>17</v>
      </c>
      <c r="B117" s="9" t="s">
        <v>28</v>
      </c>
      <c r="C117" s="27"/>
      <c r="D117" s="27"/>
      <c r="E117" s="27"/>
      <c r="F117" s="27"/>
      <c r="G117" s="27">
        <f>G113*40%</f>
        <v>48</v>
      </c>
    </row>
    <row r="118" spans="1:9" s="4" customFormat="1">
      <c r="A118" s="8" t="s">
        <v>20</v>
      </c>
      <c r="B118" s="9" t="s">
        <v>30</v>
      </c>
      <c r="C118" s="27">
        <f>C112-C117</f>
        <v>46.4</v>
      </c>
      <c r="D118" s="27">
        <f t="shared" ref="D118:F118" si="33">D112-D117</f>
        <v>55.6</v>
      </c>
      <c r="E118" s="27">
        <f t="shared" si="33"/>
        <v>93.2</v>
      </c>
      <c r="F118" s="27">
        <f t="shared" si="33"/>
        <v>54</v>
      </c>
      <c r="G118" s="27">
        <f>G112-G117</f>
        <v>72</v>
      </c>
    </row>
    <row r="119" spans="1:9" s="4" customFormat="1">
      <c r="A119" s="8">
        <v>1</v>
      </c>
      <c r="B119" s="9" t="s">
        <v>29</v>
      </c>
      <c r="C119" s="27"/>
      <c r="D119" s="27"/>
      <c r="E119" s="27"/>
      <c r="F119" s="27">
        <f>(F118-F128)*40%</f>
        <v>21.6</v>
      </c>
      <c r="G119" s="34">
        <f>(G118-G128)*40%</f>
        <v>28.8</v>
      </c>
    </row>
    <row r="120" spans="1:9" s="4" customFormat="1">
      <c r="A120" s="8">
        <v>2</v>
      </c>
      <c r="B120" s="9" t="s">
        <v>31</v>
      </c>
      <c r="C120" s="27">
        <f>C118-C119</f>
        <v>46.4</v>
      </c>
      <c r="D120" s="27">
        <f t="shared" ref="D120:G120" si="34">D118-D119</f>
        <v>55.6</v>
      </c>
      <c r="E120" s="27">
        <f t="shared" si="34"/>
        <v>93.2</v>
      </c>
      <c r="F120" s="27">
        <f t="shared" si="34"/>
        <v>32.4</v>
      </c>
      <c r="G120" s="27">
        <f t="shared" si="34"/>
        <v>43.2</v>
      </c>
    </row>
    <row r="121" spans="1:9">
      <c r="A121" s="3" t="s">
        <v>22</v>
      </c>
      <c r="B121" s="11" t="s">
        <v>26</v>
      </c>
      <c r="C121" s="28">
        <f>SUM(C122,C125,C128,C129,C130,C131)</f>
        <v>514.5</v>
      </c>
      <c r="D121" s="28">
        <f t="shared" ref="D121:G121" si="35">SUM(D122,D125,D128,D129,D130,D131)</f>
        <v>554.5</v>
      </c>
      <c r="E121" s="28">
        <f t="shared" si="35"/>
        <v>586.5</v>
      </c>
      <c r="F121" s="28">
        <f t="shared" si="35"/>
        <v>525</v>
      </c>
      <c r="G121" s="28" t="e">
        <f t="shared" si="35"/>
        <v>#REF!</v>
      </c>
    </row>
    <row r="122" spans="1:9" s="5" customFormat="1">
      <c r="A122" s="2">
        <v>1</v>
      </c>
      <c r="B122" s="10" t="s">
        <v>32</v>
      </c>
      <c r="C122" s="26">
        <v>270</v>
      </c>
      <c r="D122" s="26">
        <v>306</v>
      </c>
      <c r="E122" s="26">
        <v>289</v>
      </c>
      <c r="F122" s="26">
        <v>415</v>
      </c>
      <c r="G122" s="41" t="e">
        <f>#REF!</f>
        <v>#REF!</v>
      </c>
    </row>
    <row r="123" spans="1:9" s="5" customFormat="1">
      <c r="A123" s="2" t="s">
        <v>40</v>
      </c>
      <c r="B123" s="10" t="s">
        <v>41</v>
      </c>
      <c r="C123" s="26"/>
      <c r="D123" s="26"/>
      <c r="E123" s="26"/>
      <c r="F123" s="26">
        <f>4*83</f>
        <v>332</v>
      </c>
      <c r="G123" s="35" t="e">
        <f>4*#REF!</f>
        <v>#REF!</v>
      </c>
    </row>
    <row r="124" spans="1:9" s="5" customFormat="1">
      <c r="A124" s="2" t="s">
        <v>40</v>
      </c>
      <c r="B124" s="10" t="s">
        <v>42</v>
      </c>
      <c r="C124" s="26"/>
      <c r="D124" s="26"/>
      <c r="E124" s="26"/>
      <c r="F124" s="26">
        <f>F122-F123</f>
        <v>83</v>
      </c>
      <c r="G124" s="35" t="e">
        <f>G122-G123</f>
        <v>#REF!</v>
      </c>
    </row>
    <row r="125" spans="1:9">
      <c r="A125" s="2">
        <v>2</v>
      </c>
      <c r="B125" s="10" t="s">
        <v>27</v>
      </c>
      <c r="C125" s="26">
        <f t="shared" ref="C125:D125" si="36">5*22.5</f>
        <v>112.5</v>
      </c>
      <c r="D125" s="26">
        <f t="shared" si="36"/>
        <v>112.5</v>
      </c>
      <c r="E125" s="26">
        <f>5*22.5</f>
        <v>112.5</v>
      </c>
      <c r="F125" s="26">
        <f>5*22</f>
        <v>110</v>
      </c>
      <c r="G125" s="26">
        <f>5*22</f>
        <v>110</v>
      </c>
    </row>
    <row r="126" spans="1:9">
      <c r="A126" s="2" t="s">
        <v>40</v>
      </c>
      <c r="B126" s="10" t="s">
        <v>43</v>
      </c>
      <c r="C126" s="26"/>
      <c r="D126" s="26"/>
      <c r="E126" s="26"/>
      <c r="F126" s="33">
        <f>4*22</f>
        <v>88</v>
      </c>
      <c r="G126" s="33">
        <f>4*22</f>
        <v>88</v>
      </c>
      <c r="I126" s="31">
        <f>415/5</f>
        <v>83</v>
      </c>
    </row>
    <row r="127" spans="1:9">
      <c r="A127" s="2" t="s">
        <v>40</v>
      </c>
      <c r="B127" s="10" t="s">
        <v>44</v>
      </c>
      <c r="C127" s="26"/>
      <c r="D127" s="26"/>
      <c r="E127" s="26"/>
      <c r="F127" s="33">
        <v>22</v>
      </c>
      <c r="G127" s="33">
        <v>22</v>
      </c>
    </row>
    <row r="128" spans="1:9">
      <c r="A128" s="2">
        <v>3</v>
      </c>
      <c r="B128" s="10" t="s">
        <v>45</v>
      </c>
      <c r="C128" s="26"/>
      <c r="D128" s="26"/>
      <c r="E128" s="26" t="s">
        <v>12</v>
      </c>
      <c r="F128" s="26"/>
      <c r="G128" s="33"/>
    </row>
    <row r="129" spans="1:8">
      <c r="A129" s="2">
        <v>4</v>
      </c>
      <c r="B129" s="10" t="s">
        <v>34</v>
      </c>
      <c r="C129" s="26"/>
      <c r="D129" s="26"/>
      <c r="E129" s="26"/>
      <c r="F129" s="26"/>
      <c r="G129" s="33">
        <f>(G118-G128)*40%</f>
        <v>28.8</v>
      </c>
    </row>
    <row r="130" spans="1:8">
      <c r="A130" s="2">
        <v>5</v>
      </c>
      <c r="B130" s="10" t="s">
        <v>18</v>
      </c>
      <c r="C130" s="26"/>
      <c r="D130" s="26"/>
      <c r="E130" s="26" t="s">
        <v>12</v>
      </c>
      <c r="F130" s="26"/>
      <c r="G130" s="33"/>
    </row>
    <row r="131" spans="1:8">
      <c r="A131" s="2">
        <v>6</v>
      </c>
      <c r="B131" s="10" t="s">
        <v>19</v>
      </c>
      <c r="C131" s="26">
        <f>242-110</f>
        <v>132</v>
      </c>
      <c r="D131" s="26">
        <f>246-110</f>
        <v>136</v>
      </c>
      <c r="E131" s="26">
        <f>295-110</f>
        <v>185</v>
      </c>
      <c r="F131" s="26"/>
      <c r="G131" s="33"/>
    </row>
    <row r="132" spans="1:8">
      <c r="A132" s="3" t="s">
        <v>23</v>
      </c>
      <c r="B132" s="11" t="s">
        <v>21</v>
      </c>
      <c r="C132" s="23">
        <f>C133</f>
        <v>9.0184645286686099E-2</v>
      </c>
      <c r="D132" s="23">
        <f t="shared" ref="D132:G132" si="37">D133</f>
        <v>0.10027051397655545</v>
      </c>
      <c r="E132" s="23">
        <f t="shared" si="37"/>
        <v>0.15890878090366581</v>
      </c>
      <c r="F132" s="23">
        <f t="shared" si="37"/>
        <v>0.10285714285714286</v>
      </c>
      <c r="G132" s="23" t="e">
        <f t="shared" si="37"/>
        <v>#REF!</v>
      </c>
    </row>
    <row r="133" spans="1:8" ht="31.5">
      <c r="A133" s="12"/>
      <c r="B133" s="13" t="s">
        <v>35</v>
      </c>
      <c r="C133" s="24">
        <f t="shared" ref="C133:F133" si="38">C118/C121</f>
        <v>9.0184645286686099E-2</v>
      </c>
      <c r="D133" s="24">
        <f t="shared" si="38"/>
        <v>0.10027051397655545</v>
      </c>
      <c r="E133" s="24">
        <f t="shared" si="38"/>
        <v>0.15890878090366581</v>
      </c>
      <c r="F133" s="24">
        <f t="shared" si="38"/>
        <v>0.10285714285714286</v>
      </c>
      <c r="G133" s="24" t="e">
        <f>G118/G121</f>
        <v>#REF!</v>
      </c>
    </row>
    <row r="134" spans="1:8" s="32" customFormat="1">
      <c r="A134" s="15" t="s">
        <v>33</v>
      </c>
      <c r="B134" s="16" t="s">
        <v>39</v>
      </c>
      <c r="C134" s="17">
        <f>C121*(100%-C132)</f>
        <v>468.09999999999997</v>
      </c>
      <c r="D134" s="17">
        <f t="shared" ref="D134:G134" si="39">D121*(100%-D132)</f>
        <v>498.90000000000003</v>
      </c>
      <c r="E134" s="17">
        <f t="shared" si="39"/>
        <v>493.3</v>
      </c>
      <c r="F134" s="17">
        <f t="shared" si="39"/>
        <v>471</v>
      </c>
      <c r="G134" s="43" t="e">
        <f t="shared" si="39"/>
        <v>#REF!</v>
      </c>
      <c r="H134" s="32" t="e">
        <f>G134/#REF!</f>
        <v>#REF!</v>
      </c>
    </row>
    <row r="135" spans="1:8" s="37" customFormat="1" ht="31.5">
      <c r="A135" s="18">
        <v>1</v>
      </c>
      <c r="B135" s="19" t="s">
        <v>47</v>
      </c>
      <c r="C135" s="29"/>
      <c r="D135" s="29"/>
      <c r="E135" s="29"/>
      <c r="F135" s="29"/>
      <c r="G135" s="36" t="e">
        <f>G123+G126</f>
        <v>#REF!</v>
      </c>
      <c r="H135" s="37" t="e">
        <f>F134/#REF!</f>
        <v>#REF!</v>
      </c>
    </row>
    <row r="136" spans="1:8" s="37" customFormat="1">
      <c r="A136" s="20">
        <v>2</v>
      </c>
      <c r="B136" s="21" t="s">
        <v>48</v>
      </c>
      <c r="C136" s="30"/>
      <c r="D136" s="30"/>
      <c r="E136" s="30"/>
      <c r="F136" s="30"/>
      <c r="G136" s="38" t="e">
        <f>G134-G135</f>
        <v>#REF!</v>
      </c>
    </row>
    <row r="137" spans="1:8">
      <c r="A137" s="39"/>
      <c r="B137" s="39" t="s">
        <v>53</v>
      </c>
      <c r="C137" s="39"/>
      <c r="D137" s="39"/>
      <c r="E137" s="39"/>
      <c r="F137" s="39"/>
      <c r="G137" s="39"/>
    </row>
    <row r="138" spans="1:8" s="32" customFormat="1">
      <c r="A138" s="6" t="s">
        <v>11</v>
      </c>
      <c r="B138" s="14" t="s">
        <v>25</v>
      </c>
      <c r="C138" s="25">
        <f>SUM(C139:C142)</f>
        <v>85</v>
      </c>
      <c r="D138" s="25">
        <f t="shared" ref="D138:G138" si="40">SUM(D139:D142)</f>
        <v>100</v>
      </c>
      <c r="E138" s="25">
        <f t="shared" si="40"/>
        <v>118</v>
      </c>
      <c r="F138" s="25">
        <f t="shared" si="40"/>
        <v>93</v>
      </c>
      <c r="G138" s="25">
        <f t="shared" si="40"/>
        <v>200</v>
      </c>
    </row>
    <row r="139" spans="1:8" ht="31.5">
      <c r="A139" s="2">
        <v>1</v>
      </c>
      <c r="B139" s="10" t="s">
        <v>13</v>
      </c>
      <c r="C139" s="26">
        <v>85</v>
      </c>
      <c r="D139" s="26">
        <v>100</v>
      </c>
      <c r="E139" s="26">
        <v>118</v>
      </c>
      <c r="F139" s="26">
        <v>93</v>
      </c>
      <c r="G139" s="26">
        <v>200</v>
      </c>
    </row>
    <row r="140" spans="1:8">
      <c r="A140" s="2">
        <v>2</v>
      </c>
      <c r="B140" s="10" t="s">
        <v>14</v>
      </c>
      <c r="C140" s="26"/>
      <c r="D140" s="26"/>
      <c r="E140" s="26" t="s">
        <v>12</v>
      </c>
      <c r="F140" s="26"/>
      <c r="G140" s="33"/>
    </row>
    <row r="141" spans="1:8" ht="31.5">
      <c r="A141" s="2">
        <v>3</v>
      </c>
      <c r="B141" s="10" t="s">
        <v>15</v>
      </c>
      <c r="C141" s="26"/>
      <c r="D141" s="26"/>
      <c r="E141" s="26" t="s">
        <v>12</v>
      </c>
      <c r="F141" s="26"/>
      <c r="G141" s="33"/>
    </row>
    <row r="142" spans="1:8">
      <c r="A142" s="2">
        <v>4</v>
      </c>
      <c r="B142" s="10" t="s">
        <v>16</v>
      </c>
      <c r="C142" s="26"/>
      <c r="D142" s="26"/>
      <c r="E142" s="26" t="s">
        <v>12</v>
      </c>
      <c r="F142" s="26"/>
      <c r="G142" s="33"/>
    </row>
    <row r="143" spans="1:8" s="4" customFormat="1">
      <c r="A143" s="8" t="s">
        <v>17</v>
      </c>
      <c r="B143" s="9" t="s">
        <v>28</v>
      </c>
      <c r="C143" s="27"/>
      <c r="D143" s="27"/>
      <c r="E143" s="27"/>
      <c r="F143" s="27"/>
      <c r="G143" s="27">
        <f>G139*40%</f>
        <v>80</v>
      </c>
    </row>
    <row r="144" spans="1:8" s="4" customFormat="1">
      <c r="A144" s="8" t="s">
        <v>20</v>
      </c>
      <c r="B144" s="9" t="s">
        <v>30</v>
      </c>
      <c r="C144" s="27">
        <f>C138-C143</f>
        <v>85</v>
      </c>
      <c r="D144" s="27">
        <f t="shared" ref="D144:F144" si="41">D138-D143</f>
        <v>100</v>
      </c>
      <c r="E144" s="27">
        <f t="shared" si="41"/>
        <v>118</v>
      </c>
      <c r="F144" s="27">
        <f t="shared" si="41"/>
        <v>93</v>
      </c>
      <c r="G144" s="27">
        <f>G138-G143</f>
        <v>120</v>
      </c>
    </row>
    <row r="145" spans="1:8" s="4" customFormat="1">
      <c r="A145" s="8">
        <v>1</v>
      </c>
      <c r="B145" s="9" t="s">
        <v>29</v>
      </c>
      <c r="C145" s="27"/>
      <c r="D145" s="27"/>
      <c r="E145" s="27"/>
      <c r="F145" s="27">
        <f>(F144-F154)*40%</f>
        <v>4.4000000000000004</v>
      </c>
      <c r="G145" s="34">
        <f>(G144-G154)*40%</f>
        <v>40</v>
      </c>
    </row>
    <row r="146" spans="1:8" s="4" customFormat="1">
      <c r="A146" s="8">
        <v>2</v>
      </c>
      <c r="B146" s="9" t="s">
        <v>31</v>
      </c>
      <c r="C146" s="27">
        <f>C144-C145</f>
        <v>85</v>
      </c>
      <c r="D146" s="27">
        <f t="shared" ref="D146:G146" si="42">D144-D145</f>
        <v>100</v>
      </c>
      <c r="E146" s="27">
        <f t="shared" si="42"/>
        <v>118</v>
      </c>
      <c r="F146" s="27">
        <f t="shared" si="42"/>
        <v>88.6</v>
      </c>
      <c r="G146" s="27">
        <f t="shared" si="42"/>
        <v>80</v>
      </c>
    </row>
    <row r="147" spans="1:8">
      <c r="A147" s="3" t="s">
        <v>22</v>
      </c>
      <c r="B147" s="11" t="s">
        <v>26</v>
      </c>
      <c r="C147" s="28">
        <f>SUM(C148,C151,C154,C155,C156,C157)</f>
        <v>540.1</v>
      </c>
      <c r="D147" s="28">
        <f t="shared" ref="D147:G147" si="43">SUM(D148,D151,D154,D155,D156,D157)</f>
        <v>554.5</v>
      </c>
      <c r="E147" s="28">
        <f t="shared" si="43"/>
        <v>549.5</v>
      </c>
      <c r="F147" s="28">
        <f t="shared" si="43"/>
        <v>615</v>
      </c>
      <c r="G147" s="28" t="e">
        <f t="shared" si="43"/>
        <v>#REF!</v>
      </c>
    </row>
    <row r="148" spans="1:8" s="5" customFormat="1">
      <c r="A148" s="2">
        <v>1</v>
      </c>
      <c r="B148" s="10" t="s">
        <v>32</v>
      </c>
      <c r="C148" s="26">
        <f>358+69.6</f>
        <v>427.6</v>
      </c>
      <c r="D148" s="26">
        <f>307+60</f>
        <v>367</v>
      </c>
      <c r="E148" s="26">
        <f>315+66</f>
        <v>381</v>
      </c>
      <c r="F148" s="26">
        <v>423</v>
      </c>
      <c r="G148" s="41" t="e">
        <f>#REF!</f>
        <v>#REF!</v>
      </c>
    </row>
    <row r="149" spans="1:8" s="5" customFormat="1">
      <c r="A149" s="2" t="s">
        <v>40</v>
      </c>
      <c r="B149" s="10" t="s">
        <v>41</v>
      </c>
      <c r="C149" s="26"/>
      <c r="D149" s="26"/>
      <c r="E149" s="26"/>
      <c r="F149" s="26">
        <f>4*84.6</f>
        <v>338.4</v>
      </c>
      <c r="G149" s="35" t="e">
        <f>4*#REF!</f>
        <v>#REF!</v>
      </c>
    </row>
    <row r="150" spans="1:8" s="5" customFormat="1">
      <c r="A150" s="2" t="s">
        <v>40</v>
      </c>
      <c r="B150" s="10" t="s">
        <v>42</v>
      </c>
      <c r="C150" s="26"/>
      <c r="D150" s="26"/>
      <c r="E150" s="26"/>
      <c r="F150" s="26">
        <f>F148-F149</f>
        <v>84.600000000000023</v>
      </c>
      <c r="G150" s="35" t="e">
        <f>G148-G149</f>
        <v>#REF!</v>
      </c>
    </row>
    <row r="151" spans="1:8">
      <c r="A151" s="2">
        <v>2</v>
      </c>
      <c r="B151" s="10" t="s">
        <v>27</v>
      </c>
      <c r="C151" s="26">
        <f t="shared" ref="C151:D151" si="44">5*22.5</f>
        <v>112.5</v>
      </c>
      <c r="D151" s="26">
        <f t="shared" si="44"/>
        <v>112.5</v>
      </c>
      <c r="E151" s="26">
        <f>5*22.5</f>
        <v>112.5</v>
      </c>
      <c r="F151" s="26">
        <f>5*22</f>
        <v>110</v>
      </c>
      <c r="G151" s="26">
        <f>5*22</f>
        <v>110</v>
      </c>
      <c r="H151" s="31">
        <f>423/5</f>
        <v>84.6</v>
      </c>
    </row>
    <row r="152" spans="1:8">
      <c r="A152" s="2" t="s">
        <v>40</v>
      </c>
      <c r="B152" s="10" t="s">
        <v>43</v>
      </c>
      <c r="C152" s="26"/>
      <c r="D152" s="26"/>
      <c r="E152" s="26"/>
      <c r="F152" s="33">
        <f>4*22</f>
        <v>88</v>
      </c>
      <c r="G152" s="33">
        <f>4*22</f>
        <v>88</v>
      </c>
    </row>
    <row r="153" spans="1:8">
      <c r="A153" s="2" t="s">
        <v>40</v>
      </c>
      <c r="B153" s="10" t="s">
        <v>44</v>
      </c>
      <c r="C153" s="26"/>
      <c r="D153" s="26"/>
      <c r="E153" s="26"/>
      <c r="F153" s="33">
        <v>22</v>
      </c>
      <c r="G153" s="33">
        <v>22</v>
      </c>
    </row>
    <row r="154" spans="1:8">
      <c r="A154" s="2">
        <v>3</v>
      </c>
      <c r="B154" s="10" t="s">
        <v>45</v>
      </c>
      <c r="C154" s="26"/>
      <c r="D154" s="26"/>
      <c r="E154" s="26"/>
      <c r="F154" s="26">
        <v>82</v>
      </c>
      <c r="G154" s="33">
        <v>20</v>
      </c>
    </row>
    <row r="155" spans="1:8">
      <c r="A155" s="2">
        <v>4</v>
      </c>
      <c r="B155" s="10" t="s">
        <v>34</v>
      </c>
      <c r="C155" s="26"/>
      <c r="D155" s="26"/>
      <c r="E155" s="26"/>
      <c r="F155" s="26"/>
      <c r="G155" s="33">
        <f>(G144-G154)*40%</f>
        <v>40</v>
      </c>
    </row>
    <row r="156" spans="1:8">
      <c r="A156" s="2">
        <v>5</v>
      </c>
      <c r="B156" s="10" t="s">
        <v>18</v>
      </c>
      <c r="C156" s="26"/>
      <c r="D156" s="26"/>
      <c r="E156" s="26"/>
      <c r="F156" s="26"/>
      <c r="G156" s="33"/>
    </row>
    <row r="157" spans="1:8">
      <c r="A157" s="2">
        <v>6</v>
      </c>
      <c r="B157" s="10" t="s">
        <v>19</v>
      </c>
      <c r="C157" s="26"/>
      <c r="D157" s="26">
        <v>75</v>
      </c>
      <c r="E157" s="26">
        <v>56</v>
      </c>
      <c r="F157" s="26"/>
      <c r="G157" s="33"/>
    </row>
    <row r="158" spans="1:8">
      <c r="A158" s="3" t="s">
        <v>23</v>
      </c>
      <c r="B158" s="11" t="s">
        <v>21</v>
      </c>
      <c r="C158" s="23">
        <f>C159</f>
        <v>0.15737826328457694</v>
      </c>
      <c r="D158" s="23">
        <f t="shared" ref="D158:G158" si="45">D159</f>
        <v>0.18034265103697025</v>
      </c>
      <c r="E158" s="23">
        <f t="shared" si="45"/>
        <v>0.21474067333939945</v>
      </c>
      <c r="F158" s="23">
        <f t="shared" si="45"/>
        <v>0.15121951219512195</v>
      </c>
      <c r="G158" s="23" t="e">
        <f t="shared" si="45"/>
        <v>#REF!</v>
      </c>
    </row>
    <row r="159" spans="1:8" ht="31.5">
      <c r="A159" s="12"/>
      <c r="B159" s="13" t="s">
        <v>35</v>
      </c>
      <c r="C159" s="24">
        <f t="shared" ref="C159:F159" si="46">C144/C147</f>
        <v>0.15737826328457694</v>
      </c>
      <c r="D159" s="24">
        <f t="shared" si="46"/>
        <v>0.18034265103697025</v>
      </c>
      <c r="E159" s="24">
        <f t="shared" si="46"/>
        <v>0.21474067333939945</v>
      </c>
      <c r="F159" s="24">
        <f t="shared" si="46"/>
        <v>0.15121951219512195</v>
      </c>
      <c r="G159" s="24" t="e">
        <f>G144/G147</f>
        <v>#REF!</v>
      </c>
    </row>
    <row r="160" spans="1:8" s="32" customFormat="1">
      <c r="A160" s="15" t="s">
        <v>33</v>
      </c>
      <c r="B160" s="16" t="s">
        <v>39</v>
      </c>
      <c r="C160" s="17">
        <f>C147*(100%-C158)</f>
        <v>455.1</v>
      </c>
      <c r="D160" s="17">
        <f t="shared" ref="D160:G160" si="47">D147*(100%-D158)</f>
        <v>454.5</v>
      </c>
      <c r="E160" s="17">
        <f t="shared" si="47"/>
        <v>431.5</v>
      </c>
      <c r="F160" s="17">
        <f t="shared" si="47"/>
        <v>522</v>
      </c>
      <c r="G160" s="43" t="e">
        <f t="shared" si="47"/>
        <v>#REF!</v>
      </c>
      <c r="H160" s="32" t="e">
        <f>G160/#REF!</f>
        <v>#REF!</v>
      </c>
    </row>
    <row r="161" spans="1:11" s="37" customFormat="1" ht="31.5">
      <c r="A161" s="18">
        <v>1</v>
      </c>
      <c r="B161" s="19" t="s">
        <v>47</v>
      </c>
      <c r="C161" s="29"/>
      <c r="D161" s="29"/>
      <c r="E161" s="29"/>
      <c r="F161" s="29"/>
      <c r="G161" s="36" t="e">
        <f>G149+G152</f>
        <v>#REF!</v>
      </c>
      <c r="H161" s="37" t="e">
        <f>F160/#REF!</f>
        <v>#REF!</v>
      </c>
    </row>
    <row r="162" spans="1:11" s="37" customFormat="1">
      <c r="A162" s="20">
        <v>2</v>
      </c>
      <c r="B162" s="21" t="s">
        <v>48</v>
      </c>
      <c r="C162" s="30"/>
      <c r="D162" s="30"/>
      <c r="E162" s="30"/>
      <c r="F162" s="30"/>
      <c r="G162" s="38" t="e">
        <f>G160-G161</f>
        <v>#REF!</v>
      </c>
    </row>
    <row r="163" spans="1:11">
      <c r="A163" s="39"/>
      <c r="B163" s="39" t="s">
        <v>52</v>
      </c>
      <c r="C163" s="39"/>
      <c r="D163" s="39"/>
      <c r="E163" s="39"/>
      <c r="F163" s="39"/>
      <c r="G163" s="39"/>
    </row>
    <row r="164" spans="1:11" s="32" customFormat="1">
      <c r="A164" s="6" t="s">
        <v>11</v>
      </c>
      <c r="B164" s="14" t="s">
        <v>25</v>
      </c>
      <c r="C164" s="25">
        <f>SUM(C165:C168)</f>
        <v>6006</v>
      </c>
      <c r="D164" s="25">
        <f t="shared" ref="D164:G164" si="48">SUM(D165:D168)</f>
        <v>5417</v>
      </c>
      <c r="E164" s="25">
        <f t="shared" si="48"/>
        <v>5300</v>
      </c>
      <c r="F164" s="25">
        <f t="shared" si="48"/>
        <v>3050</v>
      </c>
      <c r="G164" s="25">
        <f t="shared" si="48"/>
        <v>3050</v>
      </c>
    </row>
    <row r="165" spans="1:11" ht="31.5">
      <c r="A165" s="2">
        <v>1</v>
      </c>
      <c r="B165" s="10" t="s">
        <v>13</v>
      </c>
      <c r="C165" s="26">
        <v>6006</v>
      </c>
      <c r="D165" s="26">
        <v>5417</v>
      </c>
      <c r="E165" s="26">
        <v>5300</v>
      </c>
      <c r="F165" s="26">
        <v>3050</v>
      </c>
      <c r="G165" s="26">
        <v>3050</v>
      </c>
      <c r="I165" s="26">
        <v>6006</v>
      </c>
      <c r="J165" s="26">
        <v>5417</v>
      </c>
      <c r="K165" s="26">
        <v>5300</v>
      </c>
    </row>
    <row r="166" spans="1:11">
      <c r="A166" s="2">
        <v>2</v>
      </c>
      <c r="B166" s="10" t="s">
        <v>14</v>
      </c>
      <c r="C166" s="26"/>
      <c r="D166" s="26"/>
      <c r="E166" s="26" t="s">
        <v>12</v>
      </c>
      <c r="F166" s="26"/>
      <c r="G166" s="33"/>
    </row>
    <row r="167" spans="1:11" ht="31.5">
      <c r="A167" s="2">
        <v>3</v>
      </c>
      <c r="B167" s="10" t="s">
        <v>15</v>
      </c>
      <c r="C167" s="26"/>
      <c r="D167" s="26"/>
      <c r="E167" s="26" t="s">
        <v>12</v>
      </c>
      <c r="F167" s="26"/>
      <c r="G167" s="33"/>
    </row>
    <row r="168" spans="1:11">
      <c r="A168" s="2">
        <v>4</v>
      </c>
      <c r="B168" s="10" t="s">
        <v>16</v>
      </c>
      <c r="C168" s="26"/>
      <c r="D168" s="26"/>
      <c r="E168" s="26" t="s">
        <v>12</v>
      </c>
      <c r="F168" s="26"/>
      <c r="G168" s="33"/>
    </row>
    <row r="169" spans="1:11" s="4" customFormat="1">
      <c r="A169" s="8" t="s">
        <v>17</v>
      </c>
      <c r="B169" s="9" t="s">
        <v>28</v>
      </c>
      <c r="C169" s="27"/>
      <c r="D169" s="27"/>
      <c r="E169" s="27"/>
      <c r="F169" s="27"/>
      <c r="G169" s="27">
        <f>G165*10%+1</f>
        <v>306</v>
      </c>
    </row>
    <row r="170" spans="1:11" s="4" customFormat="1">
      <c r="A170" s="8" t="s">
        <v>20</v>
      </c>
      <c r="B170" s="9" t="s">
        <v>30</v>
      </c>
      <c r="C170" s="27">
        <f>C164-C169</f>
        <v>6006</v>
      </c>
      <c r="D170" s="27">
        <f t="shared" ref="D170:F170" si="49">D164-D169</f>
        <v>5417</v>
      </c>
      <c r="E170" s="27">
        <f t="shared" si="49"/>
        <v>5300</v>
      </c>
      <c r="F170" s="27">
        <f t="shared" si="49"/>
        <v>3050</v>
      </c>
      <c r="G170" s="27">
        <f>G164-G169</f>
        <v>2744</v>
      </c>
    </row>
    <row r="171" spans="1:11" s="4" customFormat="1">
      <c r="A171" s="8">
        <v>1</v>
      </c>
      <c r="B171" s="9" t="s">
        <v>29</v>
      </c>
      <c r="C171" s="27"/>
      <c r="D171" s="27"/>
      <c r="E171" s="27"/>
      <c r="F171" s="27">
        <f>(F170-F180)*40%</f>
        <v>240</v>
      </c>
      <c r="G171" s="34">
        <f>(G170-G180)*40%</f>
        <v>324.8</v>
      </c>
    </row>
    <row r="172" spans="1:11" s="4" customFormat="1">
      <c r="A172" s="8">
        <v>2</v>
      </c>
      <c r="B172" s="9" t="s">
        <v>31</v>
      </c>
      <c r="C172" s="27">
        <f>C170-C171</f>
        <v>6006</v>
      </c>
      <c r="D172" s="27">
        <f t="shared" ref="D172:G172" si="50">D170-D171</f>
        <v>5417</v>
      </c>
      <c r="E172" s="27">
        <f t="shared" si="50"/>
        <v>5300</v>
      </c>
      <c r="F172" s="27">
        <f t="shared" si="50"/>
        <v>2810</v>
      </c>
      <c r="G172" s="27">
        <f t="shared" si="50"/>
        <v>2419.1999999999998</v>
      </c>
    </row>
    <row r="173" spans="1:11">
      <c r="A173" s="3" t="s">
        <v>22</v>
      </c>
      <c r="B173" s="11" t="s">
        <v>26</v>
      </c>
      <c r="C173" s="28">
        <f>SUM(C174,C177,C180,C181,C182,C183)</f>
        <v>21318</v>
      </c>
      <c r="D173" s="28">
        <f t="shared" ref="D173:G173" si="51">SUM(D174,D177,D180,D181,D182,D183)</f>
        <v>21318</v>
      </c>
      <c r="E173" s="28">
        <f t="shared" si="51"/>
        <v>21318</v>
      </c>
      <c r="F173" s="28">
        <f t="shared" si="51"/>
        <v>20205</v>
      </c>
      <c r="G173" s="28" t="e">
        <f t="shared" si="51"/>
        <v>#REF!</v>
      </c>
    </row>
    <row r="174" spans="1:11" s="5" customFormat="1">
      <c r="A174" s="2">
        <v>1</v>
      </c>
      <c r="B174" s="10" t="s">
        <v>32</v>
      </c>
      <c r="C174" s="26">
        <v>5228</v>
      </c>
      <c r="D174" s="26">
        <v>5228</v>
      </c>
      <c r="E174" s="26">
        <v>5228</v>
      </c>
      <c r="F174" s="26">
        <v>5670</v>
      </c>
      <c r="G174" s="35" t="e">
        <f>#REF!</f>
        <v>#REF!</v>
      </c>
    </row>
    <row r="175" spans="1:11" s="5" customFormat="1">
      <c r="A175" s="2" t="s">
        <v>40</v>
      </c>
      <c r="B175" s="10" t="s">
        <v>41</v>
      </c>
      <c r="C175" s="26"/>
      <c r="D175" s="26"/>
      <c r="E175" s="26"/>
      <c r="F175" s="26"/>
      <c r="G175" s="35" t="e">
        <f>56*#REF!</f>
        <v>#REF!</v>
      </c>
    </row>
    <row r="176" spans="1:11" s="5" customFormat="1">
      <c r="A176" s="2" t="s">
        <v>40</v>
      </c>
      <c r="B176" s="10" t="s">
        <v>42</v>
      </c>
      <c r="C176" s="26"/>
      <c r="D176" s="26"/>
      <c r="E176" s="26"/>
      <c r="F176" s="26"/>
      <c r="G176" s="35" t="e">
        <f>G174-G175</f>
        <v>#REF!</v>
      </c>
    </row>
    <row r="177" spans="1:8">
      <c r="A177" s="2">
        <v>2</v>
      </c>
      <c r="B177" s="10" t="s">
        <v>27</v>
      </c>
      <c r="C177" s="26">
        <v>1287</v>
      </c>
      <c r="D177" s="26">
        <v>1287</v>
      </c>
      <c r="E177" s="26">
        <v>1287</v>
      </c>
      <c r="F177" s="26">
        <f>58*20+3*15+7</f>
        <v>1212</v>
      </c>
      <c r="G177" s="26">
        <f>58*20+3*15+7</f>
        <v>1212</v>
      </c>
    </row>
    <row r="178" spans="1:8">
      <c r="A178" s="2" t="s">
        <v>40</v>
      </c>
      <c r="B178" s="10" t="s">
        <v>43</v>
      </c>
      <c r="C178" s="26"/>
      <c r="D178" s="26"/>
      <c r="E178" s="26"/>
      <c r="F178" s="26"/>
      <c r="G178" s="33">
        <f>56*20</f>
        <v>1120</v>
      </c>
    </row>
    <row r="179" spans="1:8">
      <c r="A179" s="2" t="s">
        <v>40</v>
      </c>
      <c r="B179" s="10" t="s">
        <v>44</v>
      </c>
      <c r="C179" s="26"/>
      <c r="D179" s="26"/>
      <c r="E179" s="26"/>
      <c r="F179" s="26"/>
      <c r="G179" s="33">
        <f>2*20+3*15+7</f>
        <v>92</v>
      </c>
    </row>
    <row r="180" spans="1:8">
      <c r="A180" s="2">
        <v>3</v>
      </c>
      <c r="B180" s="10" t="s">
        <v>45</v>
      </c>
      <c r="C180" s="26">
        <v>4660</v>
      </c>
      <c r="D180" s="26">
        <v>4660</v>
      </c>
      <c r="E180" s="26">
        <v>4660</v>
      </c>
      <c r="F180" s="26">
        <v>2450</v>
      </c>
      <c r="G180" s="33">
        <v>1932</v>
      </c>
    </row>
    <row r="181" spans="1:8">
      <c r="A181" s="2">
        <v>4</v>
      </c>
      <c r="B181" s="10" t="s">
        <v>34</v>
      </c>
      <c r="C181" s="26"/>
      <c r="D181" s="26"/>
      <c r="E181" s="26"/>
      <c r="F181" s="26"/>
      <c r="G181" s="33">
        <f>(G170-G180)*40%</f>
        <v>324.8</v>
      </c>
    </row>
    <row r="182" spans="1:8">
      <c r="A182" s="2">
        <v>5</v>
      </c>
      <c r="B182" s="10" t="s">
        <v>18</v>
      </c>
      <c r="C182" s="26"/>
      <c r="D182" s="26"/>
      <c r="E182" s="26" t="s">
        <v>12</v>
      </c>
      <c r="F182" s="26"/>
      <c r="G182" s="33"/>
    </row>
    <row r="183" spans="1:8">
      <c r="A183" s="2">
        <v>6</v>
      </c>
      <c r="B183" s="10" t="s">
        <v>19</v>
      </c>
      <c r="C183" s="26">
        <v>10143</v>
      </c>
      <c r="D183" s="26">
        <v>10143</v>
      </c>
      <c r="E183" s="26">
        <v>10143</v>
      </c>
      <c r="F183" s="26">
        <v>10873</v>
      </c>
      <c r="G183" s="26"/>
    </row>
    <row r="184" spans="1:8">
      <c r="A184" s="3" t="s">
        <v>23</v>
      </c>
      <c r="B184" s="11" t="s">
        <v>21</v>
      </c>
      <c r="C184" s="23">
        <f>C185</f>
        <v>0.28173374613003094</v>
      </c>
      <c r="D184" s="23">
        <f t="shared" ref="D184:G184" si="52">D185</f>
        <v>0.25410451261844452</v>
      </c>
      <c r="E184" s="23">
        <f t="shared" si="52"/>
        <v>0.2486161928886387</v>
      </c>
      <c r="F184" s="23">
        <f t="shared" si="52"/>
        <v>0.15095273447166543</v>
      </c>
      <c r="G184" s="23" t="e">
        <f t="shared" si="52"/>
        <v>#REF!</v>
      </c>
    </row>
    <row r="185" spans="1:8" ht="31.5">
      <c r="A185" s="12"/>
      <c r="B185" s="13" t="s">
        <v>35</v>
      </c>
      <c r="C185" s="24">
        <f t="shared" ref="C185:F185" si="53">C170/C173</f>
        <v>0.28173374613003094</v>
      </c>
      <c r="D185" s="24">
        <f t="shared" si="53"/>
        <v>0.25410451261844452</v>
      </c>
      <c r="E185" s="24">
        <f t="shared" si="53"/>
        <v>0.2486161928886387</v>
      </c>
      <c r="F185" s="24">
        <f t="shared" si="53"/>
        <v>0.15095273447166543</v>
      </c>
      <c r="G185" s="24" t="e">
        <f>G170/G173</f>
        <v>#REF!</v>
      </c>
    </row>
    <row r="186" spans="1:8" s="32" customFormat="1">
      <c r="A186" s="15" t="s">
        <v>33</v>
      </c>
      <c r="B186" s="16" t="s">
        <v>39</v>
      </c>
      <c r="C186" s="42">
        <f>C173*(100%-C184)</f>
        <v>15312.000000000002</v>
      </c>
      <c r="D186" s="42">
        <f t="shared" ref="D186:G186" si="54">D173*(100%-D184)</f>
        <v>15901</v>
      </c>
      <c r="E186" s="42">
        <f t="shared" si="54"/>
        <v>16018</v>
      </c>
      <c r="F186" s="42">
        <f t="shared" si="54"/>
        <v>17155</v>
      </c>
      <c r="G186" s="42" t="e">
        <f t="shared" si="54"/>
        <v>#REF!</v>
      </c>
      <c r="H186" s="32" t="e">
        <f>G186/#REF!</f>
        <v>#REF!</v>
      </c>
    </row>
    <row r="187" spans="1:8" s="37" customFormat="1" ht="31.5">
      <c r="A187" s="18">
        <v>1</v>
      </c>
      <c r="B187" s="19" t="s">
        <v>47</v>
      </c>
      <c r="C187" s="29"/>
      <c r="D187" s="29"/>
      <c r="E187" s="29"/>
      <c r="F187" s="29"/>
      <c r="G187" s="36" t="e">
        <f>G175+G178</f>
        <v>#REF!</v>
      </c>
    </row>
    <row r="188" spans="1:8" s="37" customFormat="1">
      <c r="A188" s="20">
        <v>2</v>
      </c>
      <c r="B188" s="21" t="s">
        <v>48</v>
      </c>
      <c r="C188" s="30"/>
      <c r="D188" s="30"/>
      <c r="E188" s="30"/>
      <c r="F188" s="30"/>
      <c r="G188" s="38" t="e">
        <f>G186-G187</f>
        <v>#REF!</v>
      </c>
    </row>
    <row r="189" spans="1:8">
      <c r="A189" s="39"/>
      <c r="B189" s="39" t="s">
        <v>51</v>
      </c>
      <c r="C189" s="39"/>
      <c r="D189" s="39"/>
      <c r="E189" s="39"/>
      <c r="F189" s="39"/>
      <c r="G189" s="39"/>
    </row>
    <row r="190" spans="1:8" s="32" customFormat="1">
      <c r="A190" s="6" t="s">
        <v>11</v>
      </c>
      <c r="B190" s="14" t="s">
        <v>25</v>
      </c>
      <c r="C190" s="25">
        <f>SUM(C191:C194)</f>
        <v>0</v>
      </c>
      <c r="D190" s="25">
        <f t="shared" ref="D190:G190" si="55">SUM(D191:D194)</f>
        <v>0</v>
      </c>
      <c r="E190" s="25">
        <f t="shared" si="55"/>
        <v>6600</v>
      </c>
      <c r="F190" s="25">
        <f t="shared" si="55"/>
        <v>7050</v>
      </c>
      <c r="G190" s="25">
        <f t="shared" si="55"/>
        <v>8647.7999999999993</v>
      </c>
    </row>
    <row r="191" spans="1:8" ht="31.5">
      <c r="A191" s="2">
        <v>1</v>
      </c>
      <c r="B191" s="10" t="s">
        <v>13</v>
      </c>
      <c r="C191" s="26"/>
      <c r="D191" s="26"/>
      <c r="E191" s="26">
        <v>6600</v>
      </c>
      <c r="F191" s="26">
        <v>7050</v>
      </c>
      <c r="G191" s="26">
        <f>7050+(2663-2663*40%)</f>
        <v>8647.7999999999993</v>
      </c>
    </row>
    <row r="192" spans="1:8">
      <c r="A192" s="2">
        <v>2</v>
      </c>
      <c r="B192" s="10" t="s">
        <v>14</v>
      </c>
      <c r="C192" s="26"/>
      <c r="D192" s="26"/>
      <c r="E192" s="26" t="s">
        <v>12</v>
      </c>
      <c r="F192" s="26"/>
      <c r="G192" s="33"/>
    </row>
    <row r="193" spans="1:9" ht="31.5">
      <c r="A193" s="2">
        <v>3</v>
      </c>
      <c r="B193" s="10" t="s">
        <v>15</v>
      </c>
      <c r="C193" s="26"/>
      <c r="D193" s="26"/>
      <c r="E193" s="26" t="s">
        <v>12</v>
      </c>
      <c r="F193" s="26"/>
      <c r="G193" s="33"/>
    </row>
    <row r="194" spans="1:9">
      <c r="A194" s="2">
        <v>4</v>
      </c>
      <c r="B194" s="10" t="s">
        <v>16</v>
      </c>
      <c r="C194" s="26"/>
      <c r="D194" s="26"/>
      <c r="E194" s="26" t="s">
        <v>12</v>
      </c>
      <c r="F194" s="26"/>
      <c r="G194" s="33"/>
    </row>
    <row r="195" spans="1:9" s="4" customFormat="1">
      <c r="A195" s="8" t="s">
        <v>17</v>
      </c>
      <c r="B195" s="9" t="s">
        <v>28</v>
      </c>
      <c r="C195" s="27"/>
      <c r="D195" s="27"/>
      <c r="E195" s="27"/>
      <c r="F195" s="27"/>
      <c r="G195" s="27">
        <f>(5500+600+350)*10%</f>
        <v>645</v>
      </c>
    </row>
    <row r="196" spans="1:9" s="4" customFormat="1">
      <c r="A196" s="8" t="s">
        <v>20</v>
      </c>
      <c r="B196" s="9" t="s">
        <v>30</v>
      </c>
      <c r="C196" s="27">
        <f>C190-C195</f>
        <v>0</v>
      </c>
      <c r="D196" s="27">
        <f t="shared" ref="D196:F196" si="56">D190-D195</f>
        <v>0</v>
      </c>
      <c r="E196" s="27">
        <f t="shared" si="56"/>
        <v>6600</v>
      </c>
      <c r="F196" s="27">
        <f t="shared" si="56"/>
        <v>7050</v>
      </c>
      <c r="G196" s="27">
        <f>G190-G195</f>
        <v>8002.7999999999993</v>
      </c>
    </row>
    <row r="197" spans="1:9" s="4" customFormat="1">
      <c r="A197" s="8">
        <v>1</v>
      </c>
      <c r="B197" s="9" t="s">
        <v>29</v>
      </c>
      <c r="C197" s="27"/>
      <c r="D197" s="27"/>
      <c r="E197" s="27"/>
      <c r="F197" s="27">
        <f>(F196-F206)*40%</f>
        <v>424</v>
      </c>
      <c r="G197" s="34">
        <f>(G196-G206)*40%</f>
        <v>805.11999999999978</v>
      </c>
    </row>
    <row r="198" spans="1:9" s="4" customFormat="1">
      <c r="A198" s="8">
        <v>2</v>
      </c>
      <c r="B198" s="9" t="s">
        <v>31</v>
      </c>
      <c r="C198" s="27">
        <f>C196-C197</f>
        <v>0</v>
      </c>
      <c r="D198" s="27">
        <f t="shared" ref="D198:G198" si="57">D196-D197</f>
        <v>0</v>
      </c>
      <c r="E198" s="27">
        <f t="shared" si="57"/>
        <v>6600</v>
      </c>
      <c r="F198" s="27">
        <f t="shared" si="57"/>
        <v>6626</v>
      </c>
      <c r="G198" s="27">
        <f t="shared" si="57"/>
        <v>7197.6799999999994</v>
      </c>
    </row>
    <row r="199" spans="1:9">
      <c r="A199" s="3" t="s">
        <v>22</v>
      </c>
      <c r="B199" s="11" t="s">
        <v>26</v>
      </c>
      <c r="C199" s="28">
        <f>SUM(C200,C203,C206,C207,C208,C209)</f>
        <v>0</v>
      </c>
      <c r="D199" s="28">
        <f t="shared" ref="D199:G199" si="58">SUM(D200,D203,D206,D207,D208,D209)</f>
        <v>0</v>
      </c>
      <c r="E199" s="28">
        <f t="shared" si="58"/>
        <v>21450</v>
      </c>
      <c r="F199" s="28">
        <f t="shared" si="58"/>
        <v>21131</v>
      </c>
      <c r="G199" s="28" t="e">
        <f t="shared" si="58"/>
        <v>#REF!</v>
      </c>
    </row>
    <row r="200" spans="1:9" s="5" customFormat="1">
      <c r="A200" s="2">
        <v>1</v>
      </c>
      <c r="B200" s="10" t="s">
        <v>32</v>
      </c>
      <c r="C200" s="26"/>
      <c r="D200" s="26"/>
      <c r="E200" s="26">
        <v>12337</v>
      </c>
      <c r="F200" s="26">
        <v>11548</v>
      </c>
      <c r="G200" s="41" t="e">
        <f>#REF!</f>
        <v>#REF!</v>
      </c>
    </row>
    <row r="201" spans="1:9" s="5" customFormat="1">
      <c r="A201" s="2" t="s">
        <v>40</v>
      </c>
      <c r="B201" s="10" t="s">
        <v>41</v>
      </c>
      <c r="C201" s="26"/>
      <c r="D201" s="26"/>
      <c r="E201" s="26">
        <f>96*120</f>
        <v>11520</v>
      </c>
      <c r="F201" s="26" t="e">
        <f>91*#REF!</f>
        <v>#REF!</v>
      </c>
      <c r="G201" s="35" t="e">
        <f>89*#REF!</f>
        <v>#REF!</v>
      </c>
    </row>
    <row r="202" spans="1:9" s="5" customFormat="1">
      <c r="A202" s="2" t="s">
        <v>40</v>
      </c>
      <c r="B202" s="10" t="s">
        <v>42</v>
      </c>
      <c r="C202" s="26"/>
      <c r="D202" s="26"/>
      <c r="E202" s="26">
        <f>E200-E201</f>
        <v>817</v>
      </c>
      <c r="F202" s="26" t="e">
        <f>F200-F201</f>
        <v>#REF!</v>
      </c>
      <c r="G202" s="35" t="e">
        <f>G200-G201</f>
        <v>#REF!</v>
      </c>
    </row>
    <row r="203" spans="1:9">
      <c r="A203" s="2">
        <v>2</v>
      </c>
      <c r="B203" s="10" t="s">
        <v>27</v>
      </c>
      <c r="C203" s="26"/>
      <c r="D203" s="26"/>
      <c r="E203" s="26">
        <v>3515</v>
      </c>
      <c r="F203" s="26">
        <f>3543+50</f>
        <v>3593</v>
      </c>
      <c r="G203" s="26">
        <f>3543+50</f>
        <v>3593</v>
      </c>
      <c r="H203" s="31">
        <f>11778/98</f>
        <v>120.18367346938776</v>
      </c>
    </row>
    <row r="204" spans="1:9">
      <c r="A204" s="2" t="s">
        <v>40</v>
      </c>
      <c r="B204" s="10" t="s">
        <v>43</v>
      </c>
      <c r="C204" s="26"/>
      <c r="D204" s="26"/>
      <c r="E204" s="26">
        <f>96*35.86</f>
        <v>3442.56</v>
      </c>
      <c r="F204" s="26">
        <f>91*37.69</f>
        <v>3429.79</v>
      </c>
      <c r="G204" s="33">
        <f>89*37.69</f>
        <v>3354.41</v>
      </c>
    </row>
    <row r="205" spans="1:9">
      <c r="A205" s="2" t="s">
        <v>40</v>
      </c>
      <c r="B205" s="10" t="s">
        <v>44</v>
      </c>
      <c r="C205" s="26"/>
      <c r="D205" s="26"/>
      <c r="E205" s="26">
        <f>E203-E204</f>
        <v>72.440000000000055</v>
      </c>
      <c r="F205" s="26">
        <f>F203-F204</f>
        <v>163.21000000000004</v>
      </c>
      <c r="G205" s="33">
        <f>G203-G204</f>
        <v>238.59000000000015</v>
      </c>
      <c r="I205" s="31">
        <f>E203/98</f>
        <v>35.867346938775512</v>
      </c>
    </row>
    <row r="206" spans="1:9">
      <c r="A206" s="2">
        <v>3</v>
      </c>
      <c r="B206" s="10" t="s">
        <v>45</v>
      </c>
      <c r="C206" s="26"/>
      <c r="D206" s="26"/>
      <c r="E206" s="26">
        <v>5598</v>
      </c>
      <c r="F206" s="26">
        <v>5990</v>
      </c>
      <c r="G206" s="26">
        <f>5990</f>
        <v>5990</v>
      </c>
    </row>
    <row r="207" spans="1:9">
      <c r="A207" s="2">
        <v>4</v>
      </c>
      <c r="B207" s="10" t="s">
        <v>34</v>
      </c>
      <c r="C207" s="26"/>
      <c r="D207" s="26"/>
      <c r="E207" s="26"/>
      <c r="F207" s="26"/>
      <c r="G207" s="33">
        <f>(G196-G206)*40%</f>
        <v>805.11999999999978</v>
      </c>
    </row>
    <row r="208" spans="1:9">
      <c r="A208" s="2">
        <v>5</v>
      </c>
      <c r="B208" s="10" t="s">
        <v>18</v>
      </c>
      <c r="C208" s="26"/>
      <c r="D208" s="26"/>
      <c r="E208" s="26" t="s">
        <v>12</v>
      </c>
      <c r="F208" s="26"/>
      <c r="G208" s="33"/>
    </row>
    <row r="209" spans="1:8">
      <c r="A209" s="2">
        <v>6</v>
      </c>
      <c r="B209" s="10" t="s">
        <v>19</v>
      </c>
      <c r="C209" s="26"/>
      <c r="D209" s="26"/>
      <c r="E209" s="26" t="s">
        <v>12</v>
      </c>
      <c r="F209" s="26"/>
      <c r="G209" s="33"/>
    </row>
    <row r="210" spans="1:8">
      <c r="A210" s="3" t="s">
        <v>23</v>
      </c>
      <c r="B210" s="11" t="s">
        <v>21</v>
      </c>
      <c r="C210" s="23"/>
      <c r="D210" s="23"/>
      <c r="E210" s="23">
        <f t="shared" ref="E210:G210" si="59">E211</f>
        <v>0.30769230769230771</v>
      </c>
      <c r="F210" s="23">
        <f t="shared" si="59"/>
        <v>0.33363305096777246</v>
      </c>
      <c r="G210" s="23" t="e">
        <f t="shared" si="59"/>
        <v>#REF!</v>
      </c>
    </row>
    <row r="211" spans="1:8" ht="31.5">
      <c r="A211" s="12"/>
      <c r="B211" s="13" t="s">
        <v>35</v>
      </c>
      <c r="C211" s="24"/>
      <c r="D211" s="24"/>
      <c r="E211" s="24">
        <f t="shared" ref="E211:F211" si="60">E196/E199</f>
        <v>0.30769230769230771</v>
      </c>
      <c r="F211" s="24">
        <f t="shared" si="60"/>
        <v>0.33363305096777246</v>
      </c>
      <c r="G211" s="24" t="e">
        <f>G196/G199</f>
        <v>#REF!</v>
      </c>
    </row>
    <row r="212" spans="1:8" s="32" customFormat="1">
      <c r="A212" s="15" t="s">
        <v>33</v>
      </c>
      <c r="B212" s="16" t="s">
        <v>39</v>
      </c>
      <c r="C212" s="42"/>
      <c r="D212" s="42"/>
      <c r="E212" s="42">
        <f t="shared" ref="E212:G212" si="61">E199*(100%-E210)</f>
        <v>14850</v>
      </c>
      <c r="F212" s="42">
        <f t="shared" si="61"/>
        <v>14080.999999999998</v>
      </c>
      <c r="G212" s="42" t="e">
        <f t="shared" si="61"/>
        <v>#REF!</v>
      </c>
      <c r="H212" s="32" t="e">
        <f>G212/#REF!</f>
        <v>#REF!</v>
      </c>
    </row>
    <row r="213" spans="1:8" s="37" customFormat="1" ht="31.5">
      <c r="A213" s="18">
        <v>1</v>
      </c>
      <c r="B213" s="19" t="s">
        <v>47</v>
      </c>
      <c r="C213" s="29"/>
      <c r="D213" s="29"/>
      <c r="E213" s="29"/>
      <c r="F213" s="29"/>
      <c r="G213" s="36" t="e">
        <f>G201+G204</f>
        <v>#REF!</v>
      </c>
      <c r="H213" s="37" t="e">
        <f>F212/#REF!</f>
        <v>#REF!</v>
      </c>
    </row>
    <row r="214" spans="1:8" s="37" customFormat="1">
      <c r="A214" s="20">
        <v>2</v>
      </c>
      <c r="B214" s="21" t="s">
        <v>48</v>
      </c>
      <c r="C214" s="30"/>
      <c r="D214" s="30"/>
      <c r="E214" s="30"/>
      <c r="F214" s="30"/>
      <c r="G214" s="38" t="e">
        <f>G212-G213</f>
        <v>#REF!</v>
      </c>
      <c r="H214" s="37" t="e">
        <f>E212/#REF!</f>
        <v>#REF!</v>
      </c>
    </row>
  </sheetData>
  <mergeCells count="8">
    <mergeCell ref="H4:H5"/>
    <mergeCell ref="A2:G2"/>
    <mergeCell ref="E3:G3"/>
    <mergeCell ref="A4:A5"/>
    <mergeCell ref="B4:B5"/>
    <mergeCell ref="C4:E4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topLeftCell="A23" zoomScaleNormal="100" zoomScaleSheetLayoutView="106" workbookViewId="0">
      <selection activeCell="C29" sqref="C29"/>
    </sheetView>
  </sheetViews>
  <sheetFormatPr defaultRowHeight="21.95" customHeight="1"/>
  <cols>
    <col min="1" max="1" width="5.25" style="57" customWidth="1"/>
    <col min="2" max="2" width="63.875" style="81" customWidth="1"/>
    <col min="3" max="3" width="15.625" style="57" customWidth="1"/>
    <col min="4" max="4" width="10.375" style="56" bestFit="1" customWidth="1"/>
    <col min="5" max="256" width="9" style="56"/>
    <col min="257" max="257" width="5.25" style="56" customWidth="1"/>
    <col min="258" max="258" width="58.75" style="56" customWidth="1"/>
    <col min="259" max="259" width="18.625" style="56" customWidth="1"/>
    <col min="260" max="260" width="10.375" style="56" bestFit="1" customWidth="1"/>
    <col min="261" max="512" width="9" style="56"/>
    <col min="513" max="513" width="5.25" style="56" customWidth="1"/>
    <col min="514" max="514" width="58.75" style="56" customWidth="1"/>
    <col min="515" max="515" width="18.625" style="56" customWidth="1"/>
    <col min="516" max="516" width="10.375" style="56" bestFit="1" customWidth="1"/>
    <col min="517" max="768" width="9" style="56"/>
    <col min="769" max="769" width="5.25" style="56" customWidth="1"/>
    <col min="770" max="770" width="58.75" style="56" customWidth="1"/>
    <col min="771" max="771" width="18.625" style="56" customWidth="1"/>
    <col min="772" max="772" width="10.375" style="56" bestFit="1" customWidth="1"/>
    <col min="773" max="1024" width="9" style="56"/>
    <col min="1025" max="1025" width="5.25" style="56" customWidth="1"/>
    <col min="1026" max="1026" width="58.75" style="56" customWidth="1"/>
    <col min="1027" max="1027" width="18.625" style="56" customWidth="1"/>
    <col min="1028" max="1028" width="10.375" style="56" bestFit="1" customWidth="1"/>
    <col min="1029" max="1280" width="9" style="56"/>
    <col min="1281" max="1281" width="5.25" style="56" customWidth="1"/>
    <col min="1282" max="1282" width="58.75" style="56" customWidth="1"/>
    <col min="1283" max="1283" width="18.625" style="56" customWidth="1"/>
    <col min="1284" max="1284" width="10.375" style="56" bestFit="1" customWidth="1"/>
    <col min="1285" max="1536" width="9" style="56"/>
    <col min="1537" max="1537" width="5.25" style="56" customWidth="1"/>
    <col min="1538" max="1538" width="58.75" style="56" customWidth="1"/>
    <col min="1539" max="1539" width="18.625" style="56" customWidth="1"/>
    <col min="1540" max="1540" width="10.375" style="56" bestFit="1" customWidth="1"/>
    <col min="1541" max="1792" width="9" style="56"/>
    <col min="1793" max="1793" width="5.25" style="56" customWidth="1"/>
    <col min="1794" max="1794" width="58.75" style="56" customWidth="1"/>
    <col min="1795" max="1795" width="18.625" style="56" customWidth="1"/>
    <col min="1796" max="1796" width="10.375" style="56" bestFit="1" customWidth="1"/>
    <col min="1797" max="2048" width="9" style="56"/>
    <col min="2049" max="2049" width="5.25" style="56" customWidth="1"/>
    <col min="2050" max="2050" width="58.75" style="56" customWidth="1"/>
    <col min="2051" max="2051" width="18.625" style="56" customWidth="1"/>
    <col min="2052" max="2052" width="10.375" style="56" bestFit="1" customWidth="1"/>
    <col min="2053" max="2304" width="9" style="56"/>
    <col min="2305" max="2305" width="5.25" style="56" customWidth="1"/>
    <col min="2306" max="2306" width="58.75" style="56" customWidth="1"/>
    <col min="2307" max="2307" width="18.625" style="56" customWidth="1"/>
    <col min="2308" max="2308" width="10.375" style="56" bestFit="1" customWidth="1"/>
    <col min="2309" max="2560" width="9" style="56"/>
    <col min="2561" max="2561" width="5.25" style="56" customWidth="1"/>
    <col min="2562" max="2562" width="58.75" style="56" customWidth="1"/>
    <col min="2563" max="2563" width="18.625" style="56" customWidth="1"/>
    <col min="2564" max="2564" width="10.375" style="56" bestFit="1" customWidth="1"/>
    <col min="2565" max="2816" width="9" style="56"/>
    <col min="2817" max="2817" width="5.25" style="56" customWidth="1"/>
    <col min="2818" max="2818" width="58.75" style="56" customWidth="1"/>
    <col min="2819" max="2819" width="18.625" style="56" customWidth="1"/>
    <col min="2820" max="2820" width="10.375" style="56" bestFit="1" customWidth="1"/>
    <col min="2821" max="3072" width="9" style="56"/>
    <col min="3073" max="3073" width="5.25" style="56" customWidth="1"/>
    <col min="3074" max="3074" width="58.75" style="56" customWidth="1"/>
    <col min="3075" max="3075" width="18.625" style="56" customWidth="1"/>
    <col min="3076" max="3076" width="10.375" style="56" bestFit="1" customWidth="1"/>
    <col min="3077" max="3328" width="9" style="56"/>
    <col min="3329" max="3329" width="5.25" style="56" customWidth="1"/>
    <col min="3330" max="3330" width="58.75" style="56" customWidth="1"/>
    <col min="3331" max="3331" width="18.625" style="56" customWidth="1"/>
    <col min="3332" max="3332" width="10.375" style="56" bestFit="1" customWidth="1"/>
    <col min="3333" max="3584" width="9" style="56"/>
    <col min="3585" max="3585" width="5.25" style="56" customWidth="1"/>
    <col min="3586" max="3586" width="58.75" style="56" customWidth="1"/>
    <col min="3587" max="3587" width="18.625" style="56" customWidth="1"/>
    <col min="3588" max="3588" width="10.375" style="56" bestFit="1" customWidth="1"/>
    <col min="3589" max="3840" width="9" style="56"/>
    <col min="3841" max="3841" width="5.25" style="56" customWidth="1"/>
    <col min="3842" max="3842" width="58.75" style="56" customWidth="1"/>
    <col min="3843" max="3843" width="18.625" style="56" customWidth="1"/>
    <col min="3844" max="3844" width="10.375" style="56" bestFit="1" customWidth="1"/>
    <col min="3845" max="4096" width="9" style="56"/>
    <col min="4097" max="4097" width="5.25" style="56" customWidth="1"/>
    <col min="4098" max="4098" width="58.75" style="56" customWidth="1"/>
    <col min="4099" max="4099" width="18.625" style="56" customWidth="1"/>
    <col min="4100" max="4100" width="10.375" style="56" bestFit="1" customWidth="1"/>
    <col min="4101" max="4352" width="9" style="56"/>
    <col min="4353" max="4353" width="5.25" style="56" customWidth="1"/>
    <col min="4354" max="4354" width="58.75" style="56" customWidth="1"/>
    <col min="4355" max="4355" width="18.625" style="56" customWidth="1"/>
    <col min="4356" max="4356" width="10.375" style="56" bestFit="1" customWidth="1"/>
    <col min="4357" max="4608" width="9" style="56"/>
    <col min="4609" max="4609" width="5.25" style="56" customWidth="1"/>
    <col min="4610" max="4610" width="58.75" style="56" customWidth="1"/>
    <col min="4611" max="4611" width="18.625" style="56" customWidth="1"/>
    <col min="4612" max="4612" width="10.375" style="56" bestFit="1" customWidth="1"/>
    <col min="4613" max="4864" width="9" style="56"/>
    <col min="4865" max="4865" width="5.25" style="56" customWidth="1"/>
    <col min="4866" max="4866" width="58.75" style="56" customWidth="1"/>
    <col min="4867" max="4867" width="18.625" style="56" customWidth="1"/>
    <col min="4868" max="4868" width="10.375" style="56" bestFit="1" customWidth="1"/>
    <col min="4869" max="5120" width="9" style="56"/>
    <col min="5121" max="5121" width="5.25" style="56" customWidth="1"/>
    <col min="5122" max="5122" width="58.75" style="56" customWidth="1"/>
    <col min="5123" max="5123" width="18.625" style="56" customWidth="1"/>
    <col min="5124" max="5124" width="10.375" style="56" bestFit="1" customWidth="1"/>
    <col min="5125" max="5376" width="9" style="56"/>
    <col min="5377" max="5377" width="5.25" style="56" customWidth="1"/>
    <col min="5378" max="5378" width="58.75" style="56" customWidth="1"/>
    <col min="5379" max="5379" width="18.625" style="56" customWidth="1"/>
    <col min="5380" max="5380" width="10.375" style="56" bestFit="1" customWidth="1"/>
    <col min="5381" max="5632" width="9" style="56"/>
    <col min="5633" max="5633" width="5.25" style="56" customWidth="1"/>
    <col min="5634" max="5634" width="58.75" style="56" customWidth="1"/>
    <col min="5635" max="5635" width="18.625" style="56" customWidth="1"/>
    <col min="5636" max="5636" width="10.375" style="56" bestFit="1" customWidth="1"/>
    <col min="5637" max="5888" width="9" style="56"/>
    <col min="5889" max="5889" width="5.25" style="56" customWidth="1"/>
    <col min="5890" max="5890" width="58.75" style="56" customWidth="1"/>
    <col min="5891" max="5891" width="18.625" style="56" customWidth="1"/>
    <col min="5892" max="5892" width="10.375" style="56" bestFit="1" customWidth="1"/>
    <col min="5893" max="6144" width="9" style="56"/>
    <col min="6145" max="6145" width="5.25" style="56" customWidth="1"/>
    <col min="6146" max="6146" width="58.75" style="56" customWidth="1"/>
    <col min="6147" max="6147" width="18.625" style="56" customWidth="1"/>
    <col min="6148" max="6148" width="10.375" style="56" bestFit="1" customWidth="1"/>
    <col min="6149" max="6400" width="9" style="56"/>
    <col min="6401" max="6401" width="5.25" style="56" customWidth="1"/>
    <col min="6402" max="6402" width="58.75" style="56" customWidth="1"/>
    <col min="6403" max="6403" width="18.625" style="56" customWidth="1"/>
    <col min="6404" max="6404" width="10.375" style="56" bestFit="1" customWidth="1"/>
    <col min="6405" max="6656" width="9" style="56"/>
    <col min="6657" max="6657" width="5.25" style="56" customWidth="1"/>
    <col min="6658" max="6658" width="58.75" style="56" customWidth="1"/>
    <col min="6659" max="6659" width="18.625" style="56" customWidth="1"/>
    <col min="6660" max="6660" width="10.375" style="56" bestFit="1" customWidth="1"/>
    <col min="6661" max="6912" width="9" style="56"/>
    <col min="6913" max="6913" width="5.25" style="56" customWidth="1"/>
    <col min="6914" max="6914" width="58.75" style="56" customWidth="1"/>
    <col min="6915" max="6915" width="18.625" style="56" customWidth="1"/>
    <col min="6916" max="6916" width="10.375" style="56" bestFit="1" customWidth="1"/>
    <col min="6917" max="7168" width="9" style="56"/>
    <col min="7169" max="7169" width="5.25" style="56" customWidth="1"/>
    <col min="7170" max="7170" width="58.75" style="56" customWidth="1"/>
    <col min="7171" max="7171" width="18.625" style="56" customWidth="1"/>
    <col min="7172" max="7172" width="10.375" style="56" bestFit="1" customWidth="1"/>
    <col min="7173" max="7424" width="9" style="56"/>
    <col min="7425" max="7425" width="5.25" style="56" customWidth="1"/>
    <col min="7426" max="7426" width="58.75" style="56" customWidth="1"/>
    <col min="7427" max="7427" width="18.625" style="56" customWidth="1"/>
    <col min="7428" max="7428" width="10.375" style="56" bestFit="1" customWidth="1"/>
    <col min="7429" max="7680" width="9" style="56"/>
    <col min="7681" max="7681" width="5.25" style="56" customWidth="1"/>
    <col min="7682" max="7682" width="58.75" style="56" customWidth="1"/>
    <col min="7683" max="7683" width="18.625" style="56" customWidth="1"/>
    <col min="7684" max="7684" width="10.375" style="56" bestFit="1" customWidth="1"/>
    <col min="7685" max="7936" width="9" style="56"/>
    <col min="7937" max="7937" width="5.25" style="56" customWidth="1"/>
    <col min="7938" max="7938" width="58.75" style="56" customWidth="1"/>
    <col min="7939" max="7939" width="18.625" style="56" customWidth="1"/>
    <col min="7940" max="7940" width="10.375" style="56" bestFit="1" customWidth="1"/>
    <col min="7941" max="8192" width="9" style="56"/>
    <col min="8193" max="8193" width="5.25" style="56" customWidth="1"/>
    <col min="8194" max="8194" width="58.75" style="56" customWidth="1"/>
    <col min="8195" max="8195" width="18.625" style="56" customWidth="1"/>
    <col min="8196" max="8196" width="10.375" style="56" bestFit="1" customWidth="1"/>
    <col min="8197" max="8448" width="9" style="56"/>
    <col min="8449" max="8449" width="5.25" style="56" customWidth="1"/>
    <col min="8450" max="8450" width="58.75" style="56" customWidth="1"/>
    <col min="8451" max="8451" width="18.625" style="56" customWidth="1"/>
    <col min="8452" max="8452" width="10.375" style="56" bestFit="1" customWidth="1"/>
    <col min="8453" max="8704" width="9" style="56"/>
    <col min="8705" max="8705" width="5.25" style="56" customWidth="1"/>
    <col min="8706" max="8706" width="58.75" style="56" customWidth="1"/>
    <col min="8707" max="8707" width="18.625" style="56" customWidth="1"/>
    <col min="8708" max="8708" width="10.375" style="56" bestFit="1" customWidth="1"/>
    <col min="8709" max="8960" width="9" style="56"/>
    <col min="8961" max="8961" width="5.25" style="56" customWidth="1"/>
    <col min="8962" max="8962" width="58.75" style="56" customWidth="1"/>
    <col min="8963" max="8963" width="18.625" style="56" customWidth="1"/>
    <col min="8964" max="8964" width="10.375" style="56" bestFit="1" customWidth="1"/>
    <col min="8965" max="9216" width="9" style="56"/>
    <col min="9217" max="9217" width="5.25" style="56" customWidth="1"/>
    <col min="9218" max="9218" width="58.75" style="56" customWidth="1"/>
    <col min="9219" max="9219" width="18.625" style="56" customWidth="1"/>
    <col min="9220" max="9220" width="10.375" style="56" bestFit="1" customWidth="1"/>
    <col min="9221" max="9472" width="9" style="56"/>
    <col min="9473" max="9473" width="5.25" style="56" customWidth="1"/>
    <col min="9474" max="9474" width="58.75" style="56" customWidth="1"/>
    <col min="9475" max="9475" width="18.625" style="56" customWidth="1"/>
    <col min="9476" max="9476" width="10.375" style="56" bestFit="1" customWidth="1"/>
    <col min="9477" max="9728" width="9" style="56"/>
    <col min="9729" max="9729" width="5.25" style="56" customWidth="1"/>
    <col min="9730" max="9730" width="58.75" style="56" customWidth="1"/>
    <col min="9731" max="9731" width="18.625" style="56" customWidth="1"/>
    <col min="9732" max="9732" width="10.375" style="56" bestFit="1" customWidth="1"/>
    <col min="9733" max="9984" width="9" style="56"/>
    <col min="9985" max="9985" width="5.25" style="56" customWidth="1"/>
    <col min="9986" max="9986" width="58.75" style="56" customWidth="1"/>
    <col min="9987" max="9987" width="18.625" style="56" customWidth="1"/>
    <col min="9988" max="9988" width="10.375" style="56" bestFit="1" customWidth="1"/>
    <col min="9989" max="10240" width="9" style="56"/>
    <col min="10241" max="10241" width="5.25" style="56" customWidth="1"/>
    <col min="10242" max="10242" width="58.75" style="56" customWidth="1"/>
    <col min="10243" max="10243" width="18.625" style="56" customWidth="1"/>
    <col min="10244" max="10244" width="10.375" style="56" bestFit="1" customWidth="1"/>
    <col min="10245" max="10496" width="9" style="56"/>
    <col min="10497" max="10497" width="5.25" style="56" customWidth="1"/>
    <col min="10498" max="10498" width="58.75" style="56" customWidth="1"/>
    <col min="10499" max="10499" width="18.625" style="56" customWidth="1"/>
    <col min="10500" max="10500" width="10.375" style="56" bestFit="1" customWidth="1"/>
    <col min="10501" max="10752" width="9" style="56"/>
    <col min="10753" max="10753" width="5.25" style="56" customWidth="1"/>
    <col min="10754" max="10754" width="58.75" style="56" customWidth="1"/>
    <col min="10755" max="10755" width="18.625" style="56" customWidth="1"/>
    <col min="10756" max="10756" width="10.375" style="56" bestFit="1" customWidth="1"/>
    <col min="10757" max="11008" width="9" style="56"/>
    <col min="11009" max="11009" width="5.25" style="56" customWidth="1"/>
    <col min="11010" max="11010" width="58.75" style="56" customWidth="1"/>
    <col min="11011" max="11011" width="18.625" style="56" customWidth="1"/>
    <col min="11012" max="11012" width="10.375" style="56" bestFit="1" customWidth="1"/>
    <col min="11013" max="11264" width="9" style="56"/>
    <col min="11265" max="11265" width="5.25" style="56" customWidth="1"/>
    <col min="11266" max="11266" width="58.75" style="56" customWidth="1"/>
    <col min="11267" max="11267" width="18.625" style="56" customWidth="1"/>
    <col min="11268" max="11268" width="10.375" style="56" bestFit="1" customWidth="1"/>
    <col min="11269" max="11520" width="9" style="56"/>
    <col min="11521" max="11521" width="5.25" style="56" customWidth="1"/>
    <col min="11522" max="11522" width="58.75" style="56" customWidth="1"/>
    <col min="11523" max="11523" width="18.625" style="56" customWidth="1"/>
    <col min="11524" max="11524" width="10.375" style="56" bestFit="1" customWidth="1"/>
    <col min="11525" max="11776" width="9" style="56"/>
    <col min="11777" max="11777" width="5.25" style="56" customWidth="1"/>
    <col min="11778" max="11778" width="58.75" style="56" customWidth="1"/>
    <col min="11779" max="11779" width="18.625" style="56" customWidth="1"/>
    <col min="11780" max="11780" width="10.375" style="56" bestFit="1" customWidth="1"/>
    <col min="11781" max="12032" width="9" style="56"/>
    <col min="12033" max="12033" width="5.25" style="56" customWidth="1"/>
    <col min="12034" max="12034" width="58.75" style="56" customWidth="1"/>
    <col min="12035" max="12035" width="18.625" style="56" customWidth="1"/>
    <col min="12036" max="12036" width="10.375" style="56" bestFit="1" customWidth="1"/>
    <col min="12037" max="12288" width="9" style="56"/>
    <col min="12289" max="12289" width="5.25" style="56" customWidth="1"/>
    <col min="12290" max="12290" width="58.75" style="56" customWidth="1"/>
    <col min="12291" max="12291" width="18.625" style="56" customWidth="1"/>
    <col min="12292" max="12292" width="10.375" style="56" bestFit="1" customWidth="1"/>
    <col min="12293" max="12544" width="9" style="56"/>
    <col min="12545" max="12545" width="5.25" style="56" customWidth="1"/>
    <col min="12546" max="12546" width="58.75" style="56" customWidth="1"/>
    <col min="12547" max="12547" width="18.625" style="56" customWidth="1"/>
    <col min="12548" max="12548" width="10.375" style="56" bestFit="1" customWidth="1"/>
    <col min="12549" max="12800" width="9" style="56"/>
    <col min="12801" max="12801" width="5.25" style="56" customWidth="1"/>
    <col min="12802" max="12802" width="58.75" style="56" customWidth="1"/>
    <col min="12803" max="12803" width="18.625" style="56" customWidth="1"/>
    <col min="12804" max="12804" width="10.375" style="56" bestFit="1" customWidth="1"/>
    <col min="12805" max="13056" width="9" style="56"/>
    <col min="13057" max="13057" width="5.25" style="56" customWidth="1"/>
    <col min="13058" max="13058" width="58.75" style="56" customWidth="1"/>
    <col min="13059" max="13059" width="18.625" style="56" customWidth="1"/>
    <col min="13060" max="13060" width="10.375" style="56" bestFit="1" customWidth="1"/>
    <col min="13061" max="13312" width="9" style="56"/>
    <col min="13313" max="13313" width="5.25" style="56" customWidth="1"/>
    <col min="13314" max="13314" width="58.75" style="56" customWidth="1"/>
    <col min="13315" max="13315" width="18.625" style="56" customWidth="1"/>
    <col min="13316" max="13316" width="10.375" style="56" bestFit="1" customWidth="1"/>
    <col min="13317" max="13568" width="9" style="56"/>
    <col min="13569" max="13569" width="5.25" style="56" customWidth="1"/>
    <col min="13570" max="13570" width="58.75" style="56" customWidth="1"/>
    <col min="13571" max="13571" width="18.625" style="56" customWidth="1"/>
    <col min="13572" max="13572" width="10.375" style="56" bestFit="1" customWidth="1"/>
    <col min="13573" max="13824" width="9" style="56"/>
    <col min="13825" max="13825" width="5.25" style="56" customWidth="1"/>
    <col min="13826" max="13826" width="58.75" style="56" customWidth="1"/>
    <col min="13827" max="13827" width="18.625" style="56" customWidth="1"/>
    <col min="13828" max="13828" width="10.375" style="56" bestFit="1" customWidth="1"/>
    <col min="13829" max="14080" width="9" style="56"/>
    <col min="14081" max="14081" width="5.25" style="56" customWidth="1"/>
    <col min="14082" max="14082" width="58.75" style="56" customWidth="1"/>
    <col min="14083" max="14083" width="18.625" style="56" customWidth="1"/>
    <col min="14084" max="14084" width="10.375" style="56" bestFit="1" customWidth="1"/>
    <col min="14085" max="14336" width="9" style="56"/>
    <col min="14337" max="14337" width="5.25" style="56" customWidth="1"/>
    <col min="14338" max="14338" width="58.75" style="56" customWidth="1"/>
    <col min="14339" max="14339" width="18.625" style="56" customWidth="1"/>
    <col min="14340" max="14340" width="10.375" style="56" bestFit="1" customWidth="1"/>
    <col min="14341" max="14592" width="9" style="56"/>
    <col min="14593" max="14593" width="5.25" style="56" customWidth="1"/>
    <col min="14594" max="14594" width="58.75" style="56" customWidth="1"/>
    <col min="14595" max="14595" width="18.625" style="56" customWidth="1"/>
    <col min="14596" max="14596" width="10.375" style="56" bestFit="1" customWidth="1"/>
    <col min="14597" max="14848" width="9" style="56"/>
    <col min="14849" max="14849" width="5.25" style="56" customWidth="1"/>
    <col min="14850" max="14850" width="58.75" style="56" customWidth="1"/>
    <col min="14851" max="14851" width="18.625" style="56" customWidth="1"/>
    <col min="14852" max="14852" width="10.375" style="56" bestFit="1" customWidth="1"/>
    <col min="14853" max="15104" width="9" style="56"/>
    <col min="15105" max="15105" width="5.25" style="56" customWidth="1"/>
    <col min="15106" max="15106" width="58.75" style="56" customWidth="1"/>
    <col min="15107" max="15107" width="18.625" style="56" customWidth="1"/>
    <col min="15108" max="15108" width="10.375" style="56" bestFit="1" customWidth="1"/>
    <col min="15109" max="15360" width="9" style="56"/>
    <col min="15361" max="15361" width="5.25" style="56" customWidth="1"/>
    <col min="15362" max="15362" width="58.75" style="56" customWidth="1"/>
    <col min="15363" max="15363" width="18.625" style="56" customWidth="1"/>
    <col min="15364" max="15364" width="10.375" style="56" bestFit="1" customWidth="1"/>
    <col min="15365" max="15616" width="9" style="56"/>
    <col min="15617" max="15617" width="5.25" style="56" customWidth="1"/>
    <col min="15618" max="15618" width="58.75" style="56" customWidth="1"/>
    <col min="15619" max="15619" width="18.625" style="56" customWidth="1"/>
    <col min="15620" max="15620" width="10.375" style="56" bestFit="1" customWidth="1"/>
    <col min="15621" max="15872" width="9" style="56"/>
    <col min="15873" max="15873" width="5.25" style="56" customWidth="1"/>
    <col min="15874" max="15874" width="58.75" style="56" customWidth="1"/>
    <col min="15875" max="15875" width="18.625" style="56" customWidth="1"/>
    <col min="15876" max="15876" width="10.375" style="56" bestFit="1" customWidth="1"/>
    <col min="15877" max="16128" width="9" style="56"/>
    <col min="16129" max="16129" width="5.25" style="56" customWidth="1"/>
    <col min="16130" max="16130" width="58.75" style="56" customWidth="1"/>
    <col min="16131" max="16131" width="18.625" style="56" customWidth="1"/>
    <col min="16132" max="16132" width="10.375" style="56" bestFit="1" customWidth="1"/>
    <col min="16133" max="16384" width="9" style="56"/>
  </cols>
  <sheetData>
    <row r="1" spans="1:3" ht="18" customHeight="1">
      <c r="A1" s="119" t="s">
        <v>106</v>
      </c>
      <c r="B1" s="119"/>
      <c r="C1" s="119"/>
    </row>
    <row r="2" spans="1:3" s="55" customFormat="1" ht="21.95" customHeight="1">
      <c r="A2" s="120" t="s">
        <v>133</v>
      </c>
      <c r="B2" s="120"/>
      <c r="C2" s="120"/>
    </row>
    <row r="3" spans="1:3" s="55" customFormat="1" ht="21.95" customHeight="1">
      <c r="A3" s="121" t="s">
        <v>141</v>
      </c>
      <c r="B3" s="121"/>
      <c r="C3" s="121"/>
    </row>
    <row r="4" spans="1:3" s="55" customFormat="1" ht="21.95" customHeight="1">
      <c r="A4" s="68" t="s">
        <v>0</v>
      </c>
      <c r="B4" s="67" t="s">
        <v>1</v>
      </c>
      <c r="C4" s="67" t="s">
        <v>124</v>
      </c>
    </row>
    <row r="5" spans="1:3" s="55" customFormat="1" ht="21.95" customHeight="1">
      <c r="A5" s="69"/>
      <c r="B5" s="70" t="s">
        <v>63</v>
      </c>
      <c r="C5" s="71">
        <f>SUM(C6,C29)</f>
        <v>1459</v>
      </c>
    </row>
    <row r="6" spans="1:3" s="55" customFormat="1" ht="21.95" customHeight="1">
      <c r="A6" s="68" t="s">
        <v>37</v>
      </c>
      <c r="B6" s="72" t="s">
        <v>85</v>
      </c>
      <c r="C6" s="59">
        <f>SUM(C7,C10:C28)</f>
        <v>879</v>
      </c>
    </row>
    <row r="7" spans="1:3" s="55" customFormat="1" ht="21.95" customHeight="1">
      <c r="A7" s="62">
        <v>1</v>
      </c>
      <c r="B7" s="83" t="s">
        <v>114</v>
      </c>
      <c r="C7" s="84">
        <v>31</v>
      </c>
    </row>
    <row r="8" spans="1:3" s="82" customFormat="1" ht="21.95" customHeight="1">
      <c r="A8" s="85"/>
      <c r="B8" s="86" t="s">
        <v>125</v>
      </c>
      <c r="C8" s="87" t="s">
        <v>126</v>
      </c>
    </row>
    <row r="9" spans="1:3" s="82" customFormat="1" ht="21.95" customHeight="1">
      <c r="A9" s="88"/>
      <c r="B9" s="89" t="s">
        <v>127</v>
      </c>
      <c r="C9" s="90">
        <v>23</v>
      </c>
    </row>
    <row r="10" spans="1:3" s="55" customFormat="1" ht="21.95" customHeight="1">
      <c r="A10" s="63">
        <v>2</v>
      </c>
      <c r="B10" s="76" t="s">
        <v>73</v>
      </c>
      <c r="C10" s="74">
        <v>41</v>
      </c>
    </row>
    <row r="11" spans="1:3" s="55" customFormat="1" ht="21.95" customHeight="1">
      <c r="A11" s="63">
        <v>3</v>
      </c>
      <c r="B11" s="76" t="s">
        <v>64</v>
      </c>
      <c r="C11" s="74">
        <v>47</v>
      </c>
    </row>
    <row r="12" spans="1:3" s="55" customFormat="1" ht="21.95" customHeight="1">
      <c r="A12" s="63">
        <v>4</v>
      </c>
      <c r="B12" s="77" t="s">
        <v>59</v>
      </c>
      <c r="C12" s="74">
        <v>26</v>
      </c>
    </row>
    <row r="13" spans="1:3" s="55" customFormat="1" ht="21.95" customHeight="1">
      <c r="A13" s="63">
        <v>5</v>
      </c>
      <c r="B13" s="76" t="s">
        <v>65</v>
      </c>
      <c r="C13" s="74">
        <v>32</v>
      </c>
    </row>
    <row r="14" spans="1:3" ht="21.95" customHeight="1">
      <c r="A14" s="63">
        <v>6</v>
      </c>
      <c r="B14" s="73" t="s">
        <v>87</v>
      </c>
      <c r="C14" s="74">
        <v>40</v>
      </c>
    </row>
    <row r="15" spans="1:3" ht="21.95" customHeight="1">
      <c r="A15" s="63">
        <v>7</v>
      </c>
      <c r="B15" s="76" t="s">
        <v>131</v>
      </c>
      <c r="C15" s="74">
        <v>28</v>
      </c>
    </row>
    <row r="16" spans="1:3" ht="21.95" customHeight="1">
      <c r="A16" s="63">
        <v>8</v>
      </c>
      <c r="B16" s="73" t="s">
        <v>66</v>
      </c>
      <c r="C16" s="74">
        <v>259</v>
      </c>
    </row>
    <row r="17" spans="1:4" ht="21.95" customHeight="1">
      <c r="A17" s="63">
        <v>9</v>
      </c>
      <c r="B17" s="78" t="s">
        <v>88</v>
      </c>
      <c r="C17" s="74">
        <v>45</v>
      </c>
    </row>
    <row r="18" spans="1:4" ht="21.95" customHeight="1">
      <c r="A18" s="63">
        <v>10</v>
      </c>
      <c r="B18" s="76" t="s">
        <v>89</v>
      </c>
      <c r="C18" s="74">
        <v>34</v>
      </c>
    </row>
    <row r="19" spans="1:4" ht="21.95" customHeight="1">
      <c r="A19" s="63">
        <v>11</v>
      </c>
      <c r="B19" s="73" t="s">
        <v>67</v>
      </c>
      <c r="C19" s="74">
        <v>37</v>
      </c>
    </row>
    <row r="20" spans="1:4" ht="21.95" customHeight="1">
      <c r="A20" s="63">
        <v>12</v>
      </c>
      <c r="B20" s="76" t="s">
        <v>68</v>
      </c>
      <c r="C20" s="74">
        <v>24</v>
      </c>
    </row>
    <row r="21" spans="1:4" ht="21.95" customHeight="1">
      <c r="A21" s="63">
        <v>13</v>
      </c>
      <c r="B21" s="78" t="s">
        <v>69</v>
      </c>
      <c r="C21" s="74">
        <v>33</v>
      </c>
    </row>
    <row r="22" spans="1:4" ht="21.95" customHeight="1">
      <c r="A22" s="63">
        <v>14</v>
      </c>
      <c r="B22" s="76" t="s">
        <v>70</v>
      </c>
      <c r="C22" s="74">
        <v>36</v>
      </c>
    </row>
    <row r="23" spans="1:4" ht="21.95" customHeight="1">
      <c r="A23" s="63">
        <v>15</v>
      </c>
      <c r="B23" s="76" t="s">
        <v>71</v>
      </c>
      <c r="C23" s="74">
        <v>26</v>
      </c>
    </row>
    <row r="24" spans="1:4" ht="21.95" customHeight="1">
      <c r="A24" s="63">
        <v>16</v>
      </c>
      <c r="B24" s="76" t="s">
        <v>72</v>
      </c>
      <c r="C24" s="74">
        <v>38</v>
      </c>
    </row>
    <row r="25" spans="1:4" ht="21.95" customHeight="1">
      <c r="A25" s="63">
        <v>17</v>
      </c>
      <c r="B25" s="76" t="s">
        <v>58</v>
      </c>
      <c r="C25" s="74">
        <v>50</v>
      </c>
    </row>
    <row r="26" spans="1:4" ht="21.95" customHeight="1">
      <c r="A26" s="63">
        <v>18</v>
      </c>
      <c r="B26" s="73" t="s">
        <v>90</v>
      </c>
      <c r="C26" s="74">
        <v>26</v>
      </c>
    </row>
    <row r="27" spans="1:4" ht="21.95" customHeight="1">
      <c r="A27" s="63">
        <v>19</v>
      </c>
      <c r="B27" s="73" t="s">
        <v>128</v>
      </c>
      <c r="C27" s="74">
        <v>14</v>
      </c>
    </row>
    <row r="28" spans="1:4" ht="21.95" customHeight="1">
      <c r="A28" s="63">
        <v>20</v>
      </c>
      <c r="B28" s="75" t="s">
        <v>74</v>
      </c>
      <c r="C28" s="74">
        <v>12</v>
      </c>
    </row>
    <row r="29" spans="1:4" ht="21.95" customHeight="1">
      <c r="A29" s="68" t="s">
        <v>38</v>
      </c>
      <c r="B29" s="79" t="s">
        <v>105</v>
      </c>
      <c r="C29" s="59">
        <f>SUM(C30:C37)</f>
        <v>580</v>
      </c>
    </row>
    <row r="30" spans="1:4" ht="21.95" customHeight="1">
      <c r="A30" s="63">
        <v>1</v>
      </c>
      <c r="B30" s="76" t="s">
        <v>113</v>
      </c>
      <c r="C30" s="61">
        <v>77</v>
      </c>
    </row>
    <row r="31" spans="1:4" ht="21.95" customHeight="1">
      <c r="A31" s="63">
        <v>2</v>
      </c>
      <c r="B31" s="76" t="s">
        <v>77</v>
      </c>
      <c r="C31" s="61">
        <v>73</v>
      </c>
    </row>
    <row r="32" spans="1:4" s="55" customFormat="1" ht="21.95" customHeight="1">
      <c r="A32" s="63">
        <v>3</v>
      </c>
      <c r="B32" s="76" t="s">
        <v>78</v>
      </c>
      <c r="C32" s="61">
        <v>70</v>
      </c>
      <c r="D32" s="56"/>
    </row>
    <row r="33" spans="1:4" s="55" customFormat="1" ht="21.95" customHeight="1">
      <c r="A33" s="63">
        <v>4</v>
      </c>
      <c r="B33" s="76" t="s">
        <v>79</v>
      </c>
      <c r="C33" s="61">
        <v>74</v>
      </c>
      <c r="D33" s="56"/>
    </row>
    <row r="34" spans="1:4" s="55" customFormat="1" ht="21.95" customHeight="1">
      <c r="A34" s="63">
        <v>5</v>
      </c>
      <c r="B34" s="76" t="s">
        <v>80</v>
      </c>
      <c r="C34" s="61">
        <v>73</v>
      </c>
      <c r="D34" s="56"/>
    </row>
    <row r="35" spans="1:4" s="55" customFormat="1" ht="21.95" customHeight="1">
      <c r="A35" s="63">
        <v>6</v>
      </c>
      <c r="B35" s="76" t="s">
        <v>81</v>
      </c>
      <c r="C35" s="61">
        <v>71</v>
      </c>
      <c r="D35" s="56"/>
    </row>
    <row r="36" spans="1:4" ht="21.95" customHeight="1">
      <c r="A36" s="63">
        <v>7</v>
      </c>
      <c r="B36" s="76" t="s">
        <v>82</v>
      </c>
      <c r="C36" s="61">
        <v>71</v>
      </c>
    </row>
    <row r="37" spans="1:4" s="55" customFormat="1" ht="21.95" customHeight="1">
      <c r="A37" s="63">
        <v>8</v>
      </c>
      <c r="B37" s="80" t="s">
        <v>83</v>
      </c>
      <c r="C37" s="61">
        <v>71</v>
      </c>
      <c r="D37" s="56"/>
    </row>
    <row r="38" spans="1:4" s="55" customFormat="1" ht="21.95" customHeight="1">
      <c r="A38" s="57"/>
      <c r="B38" s="81"/>
      <c r="C38" s="57"/>
      <c r="D38" s="56"/>
    </row>
    <row r="39" spans="1:4" s="55" customFormat="1" ht="21.95" customHeight="1">
      <c r="A39" s="57"/>
      <c r="B39" s="81"/>
      <c r="C39" s="57"/>
      <c r="D39" s="56"/>
    </row>
  </sheetData>
  <mergeCells count="3">
    <mergeCell ref="A1:C1"/>
    <mergeCell ref="A2:C2"/>
    <mergeCell ref="A3:C3"/>
  </mergeCells>
  <pageMargins left="0.62" right="0.196850393700787" top="0.27559055118110198" bottom="0.4" header="0.32" footer="0.196850393700787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5"/>
  <sheetViews>
    <sheetView showZeros="0" tabSelected="1" view="pageBreakPreview" topLeftCell="A4" zoomScale="130" zoomScaleNormal="100" zoomScaleSheetLayoutView="130" workbookViewId="0">
      <pane xSplit="4" ySplit="4" topLeftCell="E31" activePane="bottomRight" state="frozen"/>
      <selection activeCell="A4" sqref="A4"/>
      <selection pane="topRight" activeCell="E4" sqref="E4"/>
      <selection pane="bottomLeft" activeCell="A8" sqref="A8"/>
      <selection pane="bottomRight" activeCell="H35" sqref="H35"/>
    </sheetView>
  </sheetViews>
  <sheetFormatPr defaultColWidth="9" defaultRowHeight="15.75"/>
  <cols>
    <col min="1" max="1" width="4.5" style="31" bestFit="1" customWidth="1"/>
    <col min="2" max="2" width="39.25" style="31" customWidth="1"/>
    <col min="3" max="3" width="8.5" style="64" customWidth="1"/>
    <col min="4" max="4" width="7.5" style="64" customWidth="1"/>
    <col min="5" max="5" width="9.625" style="64" customWidth="1"/>
    <col min="6" max="6" width="9" style="64" customWidth="1"/>
    <col min="7" max="7" width="7.25" style="64" customWidth="1"/>
    <col min="8" max="8" width="11.125" style="31" customWidth="1"/>
    <col min="9" max="16384" width="9" style="31"/>
  </cols>
  <sheetData>
    <row r="1" spans="1:8" ht="20.100000000000001" customHeight="1">
      <c r="A1" s="122" t="s">
        <v>115</v>
      </c>
      <c r="B1" s="122"/>
      <c r="C1" s="122"/>
      <c r="D1" s="122"/>
      <c r="E1" s="122"/>
      <c r="F1" s="122"/>
      <c r="G1" s="122"/>
      <c r="H1" s="122"/>
    </row>
    <row r="2" spans="1:8" ht="42" customHeight="1">
      <c r="A2" s="126" t="s">
        <v>142</v>
      </c>
      <c r="B2" s="127"/>
      <c r="C2" s="127"/>
      <c r="D2" s="127"/>
      <c r="E2" s="127"/>
      <c r="F2" s="127"/>
      <c r="G2" s="127"/>
      <c r="H2" s="128"/>
    </row>
    <row r="3" spans="1:8" ht="20.100000000000001" customHeight="1">
      <c r="A3" s="129" t="s">
        <v>141</v>
      </c>
      <c r="B3" s="130"/>
      <c r="C3" s="130"/>
      <c r="D3" s="130"/>
      <c r="E3" s="130"/>
      <c r="F3" s="130"/>
      <c r="G3" s="130"/>
      <c r="H3" s="131"/>
    </row>
    <row r="4" spans="1:8" ht="21" customHeight="1">
      <c r="A4" s="124" t="s">
        <v>0</v>
      </c>
      <c r="B4" s="125" t="s">
        <v>1</v>
      </c>
      <c r="C4" s="125" t="s">
        <v>123</v>
      </c>
      <c r="D4" s="125"/>
      <c r="E4" s="125"/>
      <c r="F4" s="125"/>
      <c r="G4" s="125"/>
      <c r="H4" s="125"/>
    </row>
    <row r="5" spans="1:8" ht="51.75" customHeight="1">
      <c r="A5" s="124"/>
      <c r="B5" s="125"/>
      <c r="C5" s="91" t="s">
        <v>121</v>
      </c>
      <c r="D5" s="91" t="s">
        <v>109</v>
      </c>
      <c r="E5" s="91" t="s">
        <v>122</v>
      </c>
      <c r="F5" s="91" t="s">
        <v>61</v>
      </c>
      <c r="G5" s="91" t="s">
        <v>62</v>
      </c>
      <c r="H5" s="60" t="s">
        <v>60</v>
      </c>
    </row>
    <row r="6" spans="1:8" s="66" customFormat="1" ht="15.75" customHeight="1">
      <c r="A6" s="65" t="s">
        <v>110</v>
      </c>
      <c r="B6" s="65" t="s">
        <v>91</v>
      </c>
      <c r="C6" s="65" t="s">
        <v>129</v>
      </c>
      <c r="D6" s="65" t="s">
        <v>92</v>
      </c>
      <c r="E6" s="65" t="s">
        <v>93</v>
      </c>
      <c r="F6" s="65" t="s">
        <v>94</v>
      </c>
      <c r="G6" s="65" t="s">
        <v>111</v>
      </c>
      <c r="H6" s="65" t="s">
        <v>130</v>
      </c>
    </row>
    <row r="7" spans="1:8" ht="21" customHeight="1">
      <c r="A7" s="123" t="s">
        <v>63</v>
      </c>
      <c r="B7" s="123"/>
      <c r="C7" s="59">
        <f t="shared" ref="C7:H7" si="0">SUM(C8,C27,C23)</f>
        <v>7047</v>
      </c>
      <c r="D7" s="59">
        <f t="shared" si="0"/>
        <v>991</v>
      </c>
      <c r="E7" s="59">
        <f t="shared" si="0"/>
        <v>272</v>
      </c>
      <c r="F7" s="59">
        <f t="shared" si="0"/>
        <v>15</v>
      </c>
      <c r="G7" s="59">
        <f t="shared" si="0"/>
        <v>497</v>
      </c>
      <c r="H7" s="59">
        <f t="shared" si="0"/>
        <v>8822</v>
      </c>
    </row>
    <row r="8" spans="1:8" ht="35.25" customHeight="1">
      <c r="A8" s="68" t="s">
        <v>37</v>
      </c>
      <c r="B8" s="72" t="s">
        <v>117</v>
      </c>
      <c r="C8" s="59">
        <f>SUM(C9:C22)</f>
        <v>695</v>
      </c>
      <c r="D8" s="59">
        <f t="shared" ref="D8:H8" si="1">SUM(D9:D22)</f>
        <v>990</v>
      </c>
      <c r="E8" s="59">
        <f t="shared" si="1"/>
        <v>109</v>
      </c>
      <c r="F8" s="59">
        <f t="shared" si="1"/>
        <v>15</v>
      </c>
      <c r="G8" s="59">
        <f t="shared" si="1"/>
        <v>338</v>
      </c>
      <c r="H8" s="59">
        <f t="shared" si="1"/>
        <v>2147</v>
      </c>
    </row>
    <row r="9" spans="1:8" ht="16.5">
      <c r="A9" s="112" t="s">
        <v>110</v>
      </c>
      <c r="B9" s="73" t="s">
        <v>73</v>
      </c>
      <c r="C9" s="74">
        <v>0</v>
      </c>
      <c r="D9" s="74">
        <v>0</v>
      </c>
      <c r="E9" s="74">
        <v>0</v>
      </c>
      <c r="F9" s="74">
        <v>0</v>
      </c>
      <c r="G9" s="74">
        <v>17</v>
      </c>
      <c r="H9" s="93">
        <f>SUM(C9:G9)</f>
        <v>17</v>
      </c>
    </row>
    <row r="10" spans="1:8" ht="21" customHeight="1">
      <c r="A10" s="112" t="s">
        <v>91</v>
      </c>
      <c r="B10" s="73" t="s">
        <v>64</v>
      </c>
      <c r="C10" s="74">
        <v>0</v>
      </c>
      <c r="D10" s="74">
        <v>0</v>
      </c>
      <c r="E10" s="74">
        <v>0</v>
      </c>
      <c r="F10" s="74">
        <v>0</v>
      </c>
      <c r="G10" s="74">
        <v>14</v>
      </c>
      <c r="H10" s="93">
        <f>SUM(C10:G10)</f>
        <v>14</v>
      </c>
    </row>
    <row r="11" spans="1:8" ht="21" customHeight="1">
      <c r="A11" s="112" t="s">
        <v>129</v>
      </c>
      <c r="B11" s="76" t="s">
        <v>59</v>
      </c>
      <c r="C11" s="74">
        <v>0</v>
      </c>
      <c r="D11" s="74">
        <v>0</v>
      </c>
      <c r="E11" s="74">
        <v>0</v>
      </c>
      <c r="F11" s="74">
        <v>0</v>
      </c>
      <c r="G11" s="74">
        <v>35</v>
      </c>
      <c r="H11" s="93">
        <f t="shared" ref="H11:H35" si="2">SUM(C11:G11)</f>
        <v>35</v>
      </c>
    </row>
    <row r="12" spans="1:8" ht="21" customHeight="1">
      <c r="A12" s="112" t="s">
        <v>92</v>
      </c>
      <c r="B12" s="77" t="s">
        <v>65</v>
      </c>
      <c r="C12" s="74">
        <v>0</v>
      </c>
      <c r="D12" s="74">
        <v>0</v>
      </c>
      <c r="E12" s="74">
        <v>0</v>
      </c>
      <c r="F12" s="74">
        <v>0</v>
      </c>
      <c r="G12" s="74">
        <v>10</v>
      </c>
      <c r="H12" s="93">
        <f t="shared" si="2"/>
        <v>10</v>
      </c>
    </row>
    <row r="13" spans="1:8" ht="21" customHeight="1">
      <c r="A13" s="112" t="s">
        <v>93</v>
      </c>
      <c r="B13" s="73" t="s">
        <v>131</v>
      </c>
      <c r="C13" s="74">
        <v>0</v>
      </c>
      <c r="D13" s="74">
        <v>0</v>
      </c>
      <c r="E13" s="74">
        <v>0</v>
      </c>
      <c r="F13" s="74">
        <v>0</v>
      </c>
      <c r="G13" s="74">
        <v>14</v>
      </c>
      <c r="H13" s="93">
        <f t="shared" si="2"/>
        <v>14</v>
      </c>
    </row>
    <row r="14" spans="1:8" ht="21" customHeight="1">
      <c r="A14" s="112" t="s">
        <v>94</v>
      </c>
      <c r="B14" s="76" t="s">
        <v>66</v>
      </c>
      <c r="C14" s="74">
        <v>0</v>
      </c>
      <c r="D14" s="74">
        <v>0</v>
      </c>
      <c r="E14" s="74">
        <v>0</v>
      </c>
      <c r="F14" s="74">
        <v>0</v>
      </c>
      <c r="G14" s="74">
        <v>85</v>
      </c>
      <c r="H14" s="93">
        <f t="shared" si="2"/>
        <v>85</v>
      </c>
    </row>
    <row r="15" spans="1:8" ht="21" customHeight="1">
      <c r="A15" s="112" t="s">
        <v>111</v>
      </c>
      <c r="B15" s="76" t="s">
        <v>67</v>
      </c>
      <c r="C15" s="74">
        <v>0</v>
      </c>
      <c r="D15" s="74">
        <v>0</v>
      </c>
      <c r="E15" s="74">
        <v>0</v>
      </c>
      <c r="F15" s="74">
        <v>0</v>
      </c>
      <c r="G15" s="74">
        <v>52</v>
      </c>
      <c r="H15" s="93">
        <f t="shared" si="2"/>
        <v>52</v>
      </c>
    </row>
    <row r="16" spans="1:8" ht="21" customHeight="1">
      <c r="A16" s="112" t="s">
        <v>134</v>
      </c>
      <c r="B16" s="73" t="s">
        <v>68</v>
      </c>
      <c r="C16" s="74">
        <v>0</v>
      </c>
      <c r="D16" s="74">
        <v>0</v>
      </c>
      <c r="E16" s="74">
        <v>0</v>
      </c>
      <c r="F16" s="74">
        <v>0</v>
      </c>
      <c r="G16" s="74">
        <v>19</v>
      </c>
      <c r="H16" s="93">
        <f t="shared" si="2"/>
        <v>19</v>
      </c>
    </row>
    <row r="17" spans="1:8" s="50" customFormat="1" ht="21" customHeight="1">
      <c r="A17" s="112" t="s">
        <v>135</v>
      </c>
      <c r="B17" s="94" t="s">
        <v>69</v>
      </c>
      <c r="C17" s="95">
        <v>3</v>
      </c>
      <c r="D17" s="95">
        <v>23</v>
      </c>
      <c r="E17" s="95">
        <v>0</v>
      </c>
      <c r="F17" s="95">
        <v>0</v>
      </c>
      <c r="G17" s="95">
        <v>42</v>
      </c>
      <c r="H17" s="93">
        <f t="shared" si="2"/>
        <v>68</v>
      </c>
    </row>
    <row r="18" spans="1:8" ht="21" customHeight="1">
      <c r="A18" s="112" t="s">
        <v>136</v>
      </c>
      <c r="B18" s="78" t="s">
        <v>70</v>
      </c>
      <c r="C18" s="74">
        <v>0</v>
      </c>
      <c r="D18" s="74">
        <v>0</v>
      </c>
      <c r="E18" s="74">
        <v>109</v>
      </c>
      <c r="F18" s="74">
        <v>0</v>
      </c>
      <c r="G18" s="74">
        <v>3</v>
      </c>
      <c r="H18" s="93">
        <f t="shared" si="2"/>
        <v>112</v>
      </c>
    </row>
    <row r="19" spans="1:8" ht="21" customHeight="1">
      <c r="A19" s="112" t="s">
        <v>137</v>
      </c>
      <c r="B19" s="76" t="s">
        <v>71</v>
      </c>
      <c r="C19" s="74">
        <v>0</v>
      </c>
      <c r="D19" s="74">
        <v>0</v>
      </c>
      <c r="E19" s="74">
        <v>0</v>
      </c>
      <c r="F19" s="74">
        <v>15</v>
      </c>
      <c r="G19" s="74">
        <v>0</v>
      </c>
      <c r="H19" s="93">
        <f t="shared" si="2"/>
        <v>15</v>
      </c>
    </row>
    <row r="20" spans="1:8" ht="21" customHeight="1">
      <c r="A20" s="112" t="s">
        <v>138</v>
      </c>
      <c r="B20" s="76" t="s">
        <v>72</v>
      </c>
      <c r="C20" s="74">
        <v>692</v>
      </c>
      <c r="D20" s="74">
        <v>0</v>
      </c>
      <c r="E20" s="74">
        <v>0</v>
      </c>
      <c r="F20" s="74">
        <v>0</v>
      </c>
      <c r="G20" s="74">
        <v>0</v>
      </c>
      <c r="H20" s="93">
        <f t="shared" si="2"/>
        <v>692</v>
      </c>
    </row>
    <row r="21" spans="1:8" s="50" customFormat="1" ht="21" customHeight="1">
      <c r="A21" s="112" t="s">
        <v>139</v>
      </c>
      <c r="B21" s="94" t="s">
        <v>58</v>
      </c>
      <c r="C21" s="95">
        <v>0</v>
      </c>
      <c r="D21" s="95">
        <v>967</v>
      </c>
      <c r="E21" s="95">
        <v>0</v>
      </c>
      <c r="F21" s="95">
        <v>0</v>
      </c>
      <c r="G21" s="95">
        <v>37</v>
      </c>
      <c r="H21" s="93">
        <f t="shared" si="2"/>
        <v>1004</v>
      </c>
    </row>
    <row r="22" spans="1:8" ht="21" customHeight="1">
      <c r="A22" s="112" t="s">
        <v>140</v>
      </c>
      <c r="B22" s="73" t="s">
        <v>74</v>
      </c>
      <c r="C22" s="74">
        <v>0</v>
      </c>
      <c r="D22" s="74">
        <v>0</v>
      </c>
      <c r="E22" s="74">
        <v>0</v>
      </c>
      <c r="F22" s="74">
        <v>0</v>
      </c>
      <c r="G22" s="74">
        <v>10</v>
      </c>
      <c r="H22" s="93">
        <f t="shared" si="2"/>
        <v>10</v>
      </c>
    </row>
    <row r="23" spans="1:8" ht="33.75" customHeight="1">
      <c r="A23" s="68" t="s">
        <v>38</v>
      </c>
      <c r="B23" s="72" t="s">
        <v>119</v>
      </c>
      <c r="C23" s="93">
        <f t="shared" ref="C23:G23" si="3">SUM(C24:C26)</f>
        <v>85</v>
      </c>
      <c r="D23" s="93">
        <f t="shared" si="3"/>
        <v>1</v>
      </c>
      <c r="E23" s="93">
        <f t="shared" si="3"/>
        <v>56</v>
      </c>
      <c r="F23" s="93">
        <f t="shared" si="3"/>
        <v>0</v>
      </c>
      <c r="G23" s="93">
        <f t="shared" si="3"/>
        <v>64</v>
      </c>
      <c r="H23" s="93">
        <f t="shared" si="2"/>
        <v>206</v>
      </c>
    </row>
    <row r="24" spans="1:8" ht="21" customHeight="1">
      <c r="A24" s="63">
        <v>1</v>
      </c>
      <c r="B24" s="73" t="s">
        <v>75</v>
      </c>
      <c r="C24" s="74">
        <v>0</v>
      </c>
      <c r="D24" s="74">
        <v>0</v>
      </c>
      <c r="E24" s="74">
        <v>0</v>
      </c>
      <c r="F24" s="74">
        <v>0</v>
      </c>
      <c r="G24" s="74">
        <v>64</v>
      </c>
      <c r="H24" s="93">
        <f t="shared" si="2"/>
        <v>64</v>
      </c>
    </row>
    <row r="25" spans="1:8" ht="21" customHeight="1">
      <c r="A25" s="63">
        <v>2</v>
      </c>
      <c r="B25" s="73" t="s">
        <v>51</v>
      </c>
      <c r="C25" s="74">
        <v>85</v>
      </c>
      <c r="D25" s="74">
        <v>1</v>
      </c>
      <c r="E25" s="74">
        <v>0</v>
      </c>
      <c r="F25" s="74">
        <v>0</v>
      </c>
      <c r="G25" s="74">
        <v>0</v>
      </c>
      <c r="H25" s="93">
        <f t="shared" si="2"/>
        <v>86</v>
      </c>
    </row>
    <row r="26" spans="1:8" ht="21" customHeight="1">
      <c r="A26" s="63">
        <v>3</v>
      </c>
      <c r="B26" s="73" t="s">
        <v>107</v>
      </c>
      <c r="C26" s="74">
        <v>0</v>
      </c>
      <c r="D26" s="74">
        <v>0</v>
      </c>
      <c r="E26" s="74">
        <v>56</v>
      </c>
      <c r="F26" s="74">
        <v>0</v>
      </c>
      <c r="G26" s="74">
        <v>0</v>
      </c>
      <c r="H26" s="93">
        <f t="shared" si="2"/>
        <v>56</v>
      </c>
    </row>
    <row r="27" spans="1:8" ht="21" customHeight="1">
      <c r="A27" s="68" t="s">
        <v>76</v>
      </c>
      <c r="B27" s="96" t="s">
        <v>118</v>
      </c>
      <c r="C27" s="93">
        <f t="shared" ref="C27:G27" si="4">SUM(C28:C35)</f>
        <v>6267</v>
      </c>
      <c r="D27" s="93">
        <f t="shared" si="4"/>
        <v>0</v>
      </c>
      <c r="E27" s="93">
        <f t="shared" si="4"/>
        <v>107</v>
      </c>
      <c r="F27" s="93">
        <f t="shared" si="4"/>
        <v>0</v>
      </c>
      <c r="G27" s="93">
        <f t="shared" si="4"/>
        <v>95</v>
      </c>
      <c r="H27" s="93">
        <f t="shared" si="2"/>
        <v>6469</v>
      </c>
    </row>
    <row r="28" spans="1:8" ht="21" customHeight="1">
      <c r="A28" s="63">
        <v>1</v>
      </c>
      <c r="B28" s="76" t="s">
        <v>113</v>
      </c>
      <c r="C28" s="74">
        <v>632</v>
      </c>
      <c r="D28" s="74">
        <v>0</v>
      </c>
      <c r="E28" s="74">
        <v>14</v>
      </c>
      <c r="F28" s="74">
        <v>0</v>
      </c>
      <c r="G28" s="74">
        <v>18</v>
      </c>
      <c r="H28" s="93">
        <f t="shared" si="2"/>
        <v>664</v>
      </c>
    </row>
    <row r="29" spans="1:8" ht="21" customHeight="1">
      <c r="A29" s="63">
        <v>2</v>
      </c>
      <c r="B29" s="76" t="s">
        <v>77</v>
      </c>
      <c r="C29" s="74">
        <v>979</v>
      </c>
      <c r="D29" s="74">
        <v>0</v>
      </c>
      <c r="E29" s="74">
        <v>14</v>
      </c>
      <c r="F29" s="74">
        <v>0</v>
      </c>
      <c r="G29" s="74">
        <v>11</v>
      </c>
      <c r="H29" s="93">
        <f t="shared" si="2"/>
        <v>1004</v>
      </c>
    </row>
    <row r="30" spans="1:8" ht="21" customHeight="1">
      <c r="A30" s="63">
        <v>3</v>
      </c>
      <c r="B30" s="76" t="s">
        <v>78</v>
      </c>
      <c r="C30" s="74">
        <v>647</v>
      </c>
      <c r="D30" s="74">
        <v>0</v>
      </c>
      <c r="E30" s="74">
        <v>13</v>
      </c>
      <c r="F30" s="74">
        <v>0</v>
      </c>
      <c r="G30" s="74">
        <v>10</v>
      </c>
      <c r="H30" s="93">
        <f t="shared" si="2"/>
        <v>670</v>
      </c>
    </row>
    <row r="31" spans="1:8" ht="21" customHeight="1">
      <c r="A31" s="63">
        <v>4</v>
      </c>
      <c r="B31" s="76" t="s">
        <v>79</v>
      </c>
      <c r="C31" s="74">
        <v>980</v>
      </c>
      <c r="D31" s="74">
        <v>0</v>
      </c>
      <c r="E31" s="74">
        <v>14</v>
      </c>
      <c r="F31" s="74">
        <v>0</v>
      </c>
      <c r="G31" s="74">
        <v>13</v>
      </c>
      <c r="H31" s="93">
        <f t="shared" si="2"/>
        <v>1007</v>
      </c>
    </row>
    <row r="32" spans="1:8" ht="21" customHeight="1">
      <c r="A32" s="63">
        <v>5</v>
      </c>
      <c r="B32" s="76" t="s">
        <v>80</v>
      </c>
      <c r="C32" s="74">
        <v>912</v>
      </c>
      <c r="D32" s="74">
        <v>0</v>
      </c>
      <c r="E32" s="74">
        <v>12</v>
      </c>
      <c r="F32" s="74">
        <v>0</v>
      </c>
      <c r="G32" s="74">
        <v>11</v>
      </c>
      <c r="H32" s="93">
        <f t="shared" si="2"/>
        <v>935</v>
      </c>
    </row>
    <row r="33" spans="1:8" ht="21" customHeight="1">
      <c r="A33" s="63">
        <v>6</v>
      </c>
      <c r="B33" s="76" t="s">
        <v>81</v>
      </c>
      <c r="C33" s="74">
        <v>605</v>
      </c>
      <c r="D33" s="74">
        <v>0</v>
      </c>
      <c r="E33" s="74">
        <v>14</v>
      </c>
      <c r="F33" s="74">
        <v>0</v>
      </c>
      <c r="G33" s="74">
        <v>11</v>
      </c>
      <c r="H33" s="93">
        <f t="shared" si="2"/>
        <v>630</v>
      </c>
    </row>
    <row r="34" spans="1:8" ht="21" customHeight="1">
      <c r="A34" s="63">
        <v>7</v>
      </c>
      <c r="B34" s="76" t="s">
        <v>82</v>
      </c>
      <c r="C34" s="74">
        <v>712</v>
      </c>
      <c r="D34" s="74">
        <v>0</v>
      </c>
      <c r="E34" s="74">
        <v>14</v>
      </c>
      <c r="F34" s="74">
        <v>0</v>
      </c>
      <c r="G34" s="74">
        <v>10</v>
      </c>
      <c r="H34" s="93">
        <f t="shared" si="2"/>
        <v>736</v>
      </c>
    </row>
    <row r="35" spans="1:8" ht="21" customHeight="1">
      <c r="A35" s="63">
        <v>8</v>
      </c>
      <c r="B35" s="76" t="s">
        <v>83</v>
      </c>
      <c r="C35" s="74">
        <v>800</v>
      </c>
      <c r="D35" s="74">
        <v>0</v>
      </c>
      <c r="E35" s="74">
        <v>12</v>
      </c>
      <c r="F35" s="74">
        <v>0</v>
      </c>
      <c r="G35" s="74">
        <v>11</v>
      </c>
      <c r="H35" s="93">
        <f t="shared" si="2"/>
        <v>823</v>
      </c>
    </row>
  </sheetData>
  <mergeCells count="7">
    <mergeCell ref="A1:H1"/>
    <mergeCell ref="A7:B7"/>
    <mergeCell ref="A4:A5"/>
    <mergeCell ref="B4:B5"/>
    <mergeCell ref="C4:H4"/>
    <mergeCell ref="A2:H2"/>
    <mergeCell ref="A3:H3"/>
  </mergeCells>
  <phoneticPr fontId="21" type="noConversion"/>
  <pageMargins left="0.31496062992126" right="0.196850393700787" top="0.46" bottom="0.31" header="0.51" footer="0.2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8"/>
  <sheetViews>
    <sheetView showZeros="0" zoomScaleNormal="100" zoomScaleSheetLayoutView="55" workbookViewId="0">
      <selection activeCell="C20" sqref="C20"/>
    </sheetView>
  </sheetViews>
  <sheetFormatPr defaultRowHeight="21" customHeight="1"/>
  <cols>
    <col min="1" max="1" width="6" style="57" customWidth="1"/>
    <col min="2" max="2" width="47.125" style="56" customWidth="1"/>
    <col min="3" max="3" width="15.375" style="57" customWidth="1"/>
    <col min="4" max="4" width="20.625" style="57" customWidth="1"/>
    <col min="5" max="251" width="9" style="56"/>
    <col min="252" max="252" width="5.75" style="56" customWidth="1"/>
    <col min="253" max="253" width="40.625" style="56" customWidth="1"/>
    <col min="254" max="254" width="9.375" style="56" customWidth="1"/>
    <col min="255" max="255" width="8.5" style="56" customWidth="1"/>
    <col min="256" max="256" width="12.375" style="56" customWidth="1"/>
    <col min="257" max="257" width="0" style="56" hidden="1" customWidth="1"/>
    <col min="258" max="258" width="8.375" style="56" customWidth="1"/>
    <col min="259" max="259" width="8.875" style="56" customWidth="1"/>
    <col min="260" max="507" width="9" style="56"/>
    <col min="508" max="508" width="5.75" style="56" customWidth="1"/>
    <col min="509" max="509" width="40.625" style="56" customWidth="1"/>
    <col min="510" max="510" width="9.375" style="56" customWidth="1"/>
    <col min="511" max="511" width="8.5" style="56" customWidth="1"/>
    <col min="512" max="512" width="12.375" style="56" customWidth="1"/>
    <col min="513" max="513" width="0" style="56" hidden="1" customWidth="1"/>
    <col min="514" max="514" width="8.375" style="56" customWidth="1"/>
    <col min="515" max="515" width="8.875" style="56" customWidth="1"/>
    <col min="516" max="763" width="9" style="56"/>
    <col min="764" max="764" width="5.75" style="56" customWidth="1"/>
    <col min="765" max="765" width="40.625" style="56" customWidth="1"/>
    <col min="766" max="766" width="9.375" style="56" customWidth="1"/>
    <col min="767" max="767" width="8.5" style="56" customWidth="1"/>
    <col min="768" max="768" width="12.375" style="56" customWidth="1"/>
    <col min="769" max="769" width="0" style="56" hidden="1" customWidth="1"/>
    <col min="770" max="770" width="8.375" style="56" customWidth="1"/>
    <col min="771" max="771" width="8.875" style="56" customWidth="1"/>
    <col min="772" max="1019" width="9" style="56"/>
    <col min="1020" max="1020" width="5.75" style="56" customWidth="1"/>
    <col min="1021" max="1021" width="40.625" style="56" customWidth="1"/>
    <col min="1022" max="1022" width="9.375" style="56" customWidth="1"/>
    <col min="1023" max="1023" width="8.5" style="56" customWidth="1"/>
    <col min="1024" max="1024" width="12.375" style="56" customWidth="1"/>
    <col min="1025" max="1025" width="0" style="56" hidden="1" customWidth="1"/>
    <col min="1026" max="1026" width="8.375" style="56" customWidth="1"/>
    <col min="1027" max="1027" width="8.875" style="56" customWidth="1"/>
    <col min="1028" max="1275" width="9" style="56"/>
    <col min="1276" max="1276" width="5.75" style="56" customWidth="1"/>
    <col min="1277" max="1277" width="40.625" style="56" customWidth="1"/>
    <col min="1278" max="1278" width="9.375" style="56" customWidth="1"/>
    <col min="1279" max="1279" width="8.5" style="56" customWidth="1"/>
    <col min="1280" max="1280" width="12.375" style="56" customWidth="1"/>
    <col min="1281" max="1281" width="0" style="56" hidden="1" customWidth="1"/>
    <col min="1282" max="1282" width="8.375" style="56" customWidth="1"/>
    <col min="1283" max="1283" width="8.875" style="56" customWidth="1"/>
    <col min="1284" max="1531" width="9" style="56"/>
    <col min="1532" max="1532" width="5.75" style="56" customWidth="1"/>
    <col min="1533" max="1533" width="40.625" style="56" customWidth="1"/>
    <col min="1534" max="1534" width="9.375" style="56" customWidth="1"/>
    <col min="1535" max="1535" width="8.5" style="56" customWidth="1"/>
    <col min="1536" max="1536" width="12.375" style="56" customWidth="1"/>
    <col min="1537" max="1537" width="0" style="56" hidden="1" customWidth="1"/>
    <col min="1538" max="1538" width="8.375" style="56" customWidth="1"/>
    <col min="1539" max="1539" width="8.875" style="56" customWidth="1"/>
    <col min="1540" max="1787" width="9" style="56"/>
    <col min="1788" max="1788" width="5.75" style="56" customWidth="1"/>
    <col min="1789" max="1789" width="40.625" style="56" customWidth="1"/>
    <col min="1790" max="1790" width="9.375" style="56" customWidth="1"/>
    <col min="1791" max="1791" width="8.5" style="56" customWidth="1"/>
    <col min="1792" max="1792" width="12.375" style="56" customWidth="1"/>
    <col min="1793" max="1793" width="0" style="56" hidden="1" customWidth="1"/>
    <col min="1794" max="1794" width="8.375" style="56" customWidth="1"/>
    <col min="1795" max="1795" width="8.875" style="56" customWidth="1"/>
    <col min="1796" max="2043" width="9" style="56"/>
    <col min="2044" max="2044" width="5.75" style="56" customWidth="1"/>
    <col min="2045" max="2045" width="40.625" style="56" customWidth="1"/>
    <col min="2046" max="2046" width="9.375" style="56" customWidth="1"/>
    <col min="2047" max="2047" width="8.5" style="56" customWidth="1"/>
    <col min="2048" max="2048" width="12.375" style="56" customWidth="1"/>
    <col min="2049" max="2049" width="0" style="56" hidden="1" customWidth="1"/>
    <col min="2050" max="2050" width="8.375" style="56" customWidth="1"/>
    <col min="2051" max="2051" width="8.875" style="56" customWidth="1"/>
    <col min="2052" max="2299" width="9" style="56"/>
    <col min="2300" max="2300" width="5.75" style="56" customWidth="1"/>
    <col min="2301" max="2301" width="40.625" style="56" customWidth="1"/>
    <col min="2302" max="2302" width="9.375" style="56" customWidth="1"/>
    <col min="2303" max="2303" width="8.5" style="56" customWidth="1"/>
    <col min="2304" max="2304" width="12.375" style="56" customWidth="1"/>
    <col min="2305" max="2305" width="0" style="56" hidden="1" customWidth="1"/>
    <col min="2306" max="2306" width="8.375" style="56" customWidth="1"/>
    <col min="2307" max="2307" width="8.875" style="56" customWidth="1"/>
    <col min="2308" max="2555" width="9" style="56"/>
    <col min="2556" max="2556" width="5.75" style="56" customWidth="1"/>
    <col min="2557" max="2557" width="40.625" style="56" customWidth="1"/>
    <col min="2558" max="2558" width="9.375" style="56" customWidth="1"/>
    <col min="2559" max="2559" width="8.5" style="56" customWidth="1"/>
    <col min="2560" max="2560" width="12.375" style="56" customWidth="1"/>
    <col min="2561" max="2561" width="0" style="56" hidden="1" customWidth="1"/>
    <col min="2562" max="2562" width="8.375" style="56" customWidth="1"/>
    <col min="2563" max="2563" width="8.875" style="56" customWidth="1"/>
    <col min="2564" max="2811" width="9" style="56"/>
    <col min="2812" max="2812" width="5.75" style="56" customWidth="1"/>
    <col min="2813" max="2813" width="40.625" style="56" customWidth="1"/>
    <col min="2814" max="2814" width="9.375" style="56" customWidth="1"/>
    <col min="2815" max="2815" width="8.5" style="56" customWidth="1"/>
    <col min="2816" max="2816" width="12.375" style="56" customWidth="1"/>
    <col min="2817" max="2817" width="0" style="56" hidden="1" customWidth="1"/>
    <col min="2818" max="2818" width="8.375" style="56" customWidth="1"/>
    <col min="2819" max="2819" width="8.875" style="56" customWidth="1"/>
    <col min="2820" max="3067" width="9" style="56"/>
    <col min="3068" max="3068" width="5.75" style="56" customWidth="1"/>
    <col min="3069" max="3069" width="40.625" style="56" customWidth="1"/>
    <col min="3070" max="3070" width="9.375" style="56" customWidth="1"/>
    <col min="3071" max="3071" width="8.5" style="56" customWidth="1"/>
    <col min="3072" max="3072" width="12.375" style="56" customWidth="1"/>
    <col min="3073" max="3073" width="0" style="56" hidden="1" customWidth="1"/>
    <col min="3074" max="3074" width="8.375" style="56" customWidth="1"/>
    <col min="3075" max="3075" width="8.875" style="56" customWidth="1"/>
    <col min="3076" max="3323" width="9" style="56"/>
    <col min="3324" max="3324" width="5.75" style="56" customWidth="1"/>
    <col min="3325" max="3325" width="40.625" style="56" customWidth="1"/>
    <col min="3326" max="3326" width="9.375" style="56" customWidth="1"/>
    <col min="3327" max="3327" width="8.5" style="56" customWidth="1"/>
    <col min="3328" max="3328" width="12.375" style="56" customWidth="1"/>
    <col min="3329" max="3329" width="0" style="56" hidden="1" customWidth="1"/>
    <col min="3330" max="3330" width="8.375" style="56" customWidth="1"/>
    <col min="3331" max="3331" width="8.875" style="56" customWidth="1"/>
    <col min="3332" max="3579" width="9" style="56"/>
    <col min="3580" max="3580" width="5.75" style="56" customWidth="1"/>
    <col min="3581" max="3581" width="40.625" style="56" customWidth="1"/>
    <col min="3582" max="3582" width="9.375" style="56" customWidth="1"/>
    <col min="3583" max="3583" width="8.5" style="56" customWidth="1"/>
    <col min="3584" max="3584" width="12.375" style="56" customWidth="1"/>
    <col min="3585" max="3585" width="0" style="56" hidden="1" customWidth="1"/>
    <col min="3586" max="3586" width="8.375" style="56" customWidth="1"/>
    <col min="3587" max="3587" width="8.875" style="56" customWidth="1"/>
    <col min="3588" max="3835" width="9" style="56"/>
    <col min="3836" max="3836" width="5.75" style="56" customWidth="1"/>
    <col min="3837" max="3837" width="40.625" style="56" customWidth="1"/>
    <col min="3838" max="3838" width="9.375" style="56" customWidth="1"/>
    <col min="3839" max="3839" width="8.5" style="56" customWidth="1"/>
    <col min="3840" max="3840" width="12.375" style="56" customWidth="1"/>
    <col min="3841" max="3841" width="0" style="56" hidden="1" customWidth="1"/>
    <col min="3842" max="3842" width="8.375" style="56" customWidth="1"/>
    <col min="3843" max="3843" width="8.875" style="56" customWidth="1"/>
    <col min="3844" max="4091" width="9" style="56"/>
    <col min="4092" max="4092" width="5.75" style="56" customWidth="1"/>
    <col min="4093" max="4093" width="40.625" style="56" customWidth="1"/>
    <col min="4094" max="4094" width="9.375" style="56" customWidth="1"/>
    <col min="4095" max="4095" width="8.5" style="56" customWidth="1"/>
    <col min="4096" max="4096" width="12.375" style="56" customWidth="1"/>
    <col min="4097" max="4097" width="0" style="56" hidden="1" customWidth="1"/>
    <col min="4098" max="4098" width="8.375" style="56" customWidth="1"/>
    <col min="4099" max="4099" width="8.875" style="56" customWidth="1"/>
    <col min="4100" max="4347" width="9" style="56"/>
    <col min="4348" max="4348" width="5.75" style="56" customWidth="1"/>
    <col min="4349" max="4349" width="40.625" style="56" customWidth="1"/>
    <col min="4350" max="4350" width="9.375" style="56" customWidth="1"/>
    <col min="4351" max="4351" width="8.5" style="56" customWidth="1"/>
    <col min="4352" max="4352" width="12.375" style="56" customWidth="1"/>
    <col min="4353" max="4353" width="0" style="56" hidden="1" customWidth="1"/>
    <col min="4354" max="4354" width="8.375" style="56" customWidth="1"/>
    <col min="4355" max="4355" width="8.875" style="56" customWidth="1"/>
    <col min="4356" max="4603" width="9" style="56"/>
    <col min="4604" max="4604" width="5.75" style="56" customWidth="1"/>
    <col min="4605" max="4605" width="40.625" style="56" customWidth="1"/>
    <col min="4606" max="4606" width="9.375" style="56" customWidth="1"/>
    <col min="4607" max="4607" width="8.5" style="56" customWidth="1"/>
    <col min="4608" max="4608" width="12.375" style="56" customWidth="1"/>
    <col min="4609" max="4609" width="0" style="56" hidden="1" customWidth="1"/>
    <col min="4610" max="4610" width="8.375" style="56" customWidth="1"/>
    <col min="4611" max="4611" width="8.875" style="56" customWidth="1"/>
    <col min="4612" max="4859" width="9" style="56"/>
    <col min="4860" max="4860" width="5.75" style="56" customWidth="1"/>
    <col min="4861" max="4861" width="40.625" style="56" customWidth="1"/>
    <col min="4862" max="4862" width="9.375" style="56" customWidth="1"/>
    <col min="4863" max="4863" width="8.5" style="56" customWidth="1"/>
    <col min="4864" max="4864" width="12.375" style="56" customWidth="1"/>
    <col min="4865" max="4865" width="0" style="56" hidden="1" customWidth="1"/>
    <col min="4866" max="4866" width="8.375" style="56" customWidth="1"/>
    <col min="4867" max="4867" width="8.875" style="56" customWidth="1"/>
    <col min="4868" max="5115" width="9" style="56"/>
    <col min="5116" max="5116" width="5.75" style="56" customWidth="1"/>
    <col min="5117" max="5117" width="40.625" style="56" customWidth="1"/>
    <col min="5118" max="5118" width="9.375" style="56" customWidth="1"/>
    <col min="5119" max="5119" width="8.5" style="56" customWidth="1"/>
    <col min="5120" max="5120" width="12.375" style="56" customWidth="1"/>
    <col min="5121" max="5121" width="0" style="56" hidden="1" customWidth="1"/>
    <col min="5122" max="5122" width="8.375" style="56" customWidth="1"/>
    <col min="5123" max="5123" width="8.875" style="56" customWidth="1"/>
    <col min="5124" max="5371" width="9" style="56"/>
    <col min="5372" max="5372" width="5.75" style="56" customWidth="1"/>
    <col min="5373" max="5373" width="40.625" style="56" customWidth="1"/>
    <col min="5374" max="5374" width="9.375" style="56" customWidth="1"/>
    <col min="5375" max="5375" width="8.5" style="56" customWidth="1"/>
    <col min="5376" max="5376" width="12.375" style="56" customWidth="1"/>
    <col min="5377" max="5377" width="0" style="56" hidden="1" customWidth="1"/>
    <col min="5378" max="5378" width="8.375" style="56" customWidth="1"/>
    <col min="5379" max="5379" width="8.875" style="56" customWidth="1"/>
    <col min="5380" max="5627" width="9" style="56"/>
    <col min="5628" max="5628" width="5.75" style="56" customWidth="1"/>
    <col min="5629" max="5629" width="40.625" style="56" customWidth="1"/>
    <col min="5630" max="5630" width="9.375" style="56" customWidth="1"/>
    <col min="5631" max="5631" width="8.5" style="56" customWidth="1"/>
    <col min="5632" max="5632" width="12.375" style="56" customWidth="1"/>
    <col min="5633" max="5633" width="0" style="56" hidden="1" customWidth="1"/>
    <col min="5634" max="5634" width="8.375" style="56" customWidth="1"/>
    <col min="5635" max="5635" width="8.875" style="56" customWidth="1"/>
    <col min="5636" max="5883" width="9" style="56"/>
    <col min="5884" max="5884" width="5.75" style="56" customWidth="1"/>
    <col min="5885" max="5885" width="40.625" style="56" customWidth="1"/>
    <col min="5886" max="5886" width="9.375" style="56" customWidth="1"/>
    <col min="5887" max="5887" width="8.5" style="56" customWidth="1"/>
    <col min="5888" max="5888" width="12.375" style="56" customWidth="1"/>
    <col min="5889" max="5889" width="0" style="56" hidden="1" customWidth="1"/>
    <col min="5890" max="5890" width="8.375" style="56" customWidth="1"/>
    <col min="5891" max="5891" width="8.875" style="56" customWidth="1"/>
    <col min="5892" max="6139" width="9" style="56"/>
    <col min="6140" max="6140" width="5.75" style="56" customWidth="1"/>
    <col min="6141" max="6141" width="40.625" style="56" customWidth="1"/>
    <col min="6142" max="6142" width="9.375" style="56" customWidth="1"/>
    <col min="6143" max="6143" width="8.5" style="56" customWidth="1"/>
    <col min="6144" max="6144" width="12.375" style="56" customWidth="1"/>
    <col min="6145" max="6145" width="0" style="56" hidden="1" customWidth="1"/>
    <col min="6146" max="6146" width="8.375" style="56" customWidth="1"/>
    <col min="6147" max="6147" width="8.875" style="56" customWidth="1"/>
    <col min="6148" max="6395" width="9" style="56"/>
    <col min="6396" max="6396" width="5.75" style="56" customWidth="1"/>
    <col min="6397" max="6397" width="40.625" style="56" customWidth="1"/>
    <col min="6398" max="6398" width="9.375" style="56" customWidth="1"/>
    <col min="6399" max="6399" width="8.5" style="56" customWidth="1"/>
    <col min="6400" max="6400" width="12.375" style="56" customWidth="1"/>
    <col min="6401" max="6401" width="0" style="56" hidden="1" customWidth="1"/>
    <col min="6402" max="6402" width="8.375" style="56" customWidth="1"/>
    <col min="6403" max="6403" width="8.875" style="56" customWidth="1"/>
    <col min="6404" max="6651" width="9" style="56"/>
    <col min="6652" max="6652" width="5.75" style="56" customWidth="1"/>
    <col min="6653" max="6653" width="40.625" style="56" customWidth="1"/>
    <col min="6654" max="6654" width="9.375" style="56" customWidth="1"/>
    <col min="6655" max="6655" width="8.5" style="56" customWidth="1"/>
    <col min="6656" max="6656" width="12.375" style="56" customWidth="1"/>
    <col min="6657" max="6657" width="0" style="56" hidden="1" customWidth="1"/>
    <col min="6658" max="6658" width="8.375" style="56" customWidth="1"/>
    <col min="6659" max="6659" width="8.875" style="56" customWidth="1"/>
    <col min="6660" max="6907" width="9" style="56"/>
    <col min="6908" max="6908" width="5.75" style="56" customWidth="1"/>
    <col min="6909" max="6909" width="40.625" style="56" customWidth="1"/>
    <col min="6910" max="6910" width="9.375" style="56" customWidth="1"/>
    <col min="6911" max="6911" width="8.5" style="56" customWidth="1"/>
    <col min="6912" max="6912" width="12.375" style="56" customWidth="1"/>
    <col min="6913" max="6913" width="0" style="56" hidden="1" customWidth="1"/>
    <col min="6914" max="6914" width="8.375" style="56" customWidth="1"/>
    <col min="6915" max="6915" width="8.875" style="56" customWidth="1"/>
    <col min="6916" max="7163" width="9" style="56"/>
    <col min="7164" max="7164" width="5.75" style="56" customWidth="1"/>
    <col min="7165" max="7165" width="40.625" style="56" customWidth="1"/>
    <col min="7166" max="7166" width="9.375" style="56" customWidth="1"/>
    <col min="7167" max="7167" width="8.5" style="56" customWidth="1"/>
    <col min="7168" max="7168" width="12.375" style="56" customWidth="1"/>
    <col min="7169" max="7169" width="0" style="56" hidden="1" customWidth="1"/>
    <col min="7170" max="7170" width="8.375" style="56" customWidth="1"/>
    <col min="7171" max="7171" width="8.875" style="56" customWidth="1"/>
    <col min="7172" max="7419" width="9" style="56"/>
    <col min="7420" max="7420" width="5.75" style="56" customWidth="1"/>
    <col min="7421" max="7421" width="40.625" style="56" customWidth="1"/>
    <col min="7422" max="7422" width="9.375" style="56" customWidth="1"/>
    <col min="7423" max="7423" width="8.5" style="56" customWidth="1"/>
    <col min="7424" max="7424" width="12.375" style="56" customWidth="1"/>
    <col min="7425" max="7425" width="0" style="56" hidden="1" customWidth="1"/>
    <col min="7426" max="7426" width="8.375" style="56" customWidth="1"/>
    <col min="7427" max="7427" width="8.875" style="56" customWidth="1"/>
    <col min="7428" max="7675" width="9" style="56"/>
    <col min="7676" max="7676" width="5.75" style="56" customWidth="1"/>
    <col min="7677" max="7677" width="40.625" style="56" customWidth="1"/>
    <col min="7678" max="7678" width="9.375" style="56" customWidth="1"/>
    <col min="7679" max="7679" width="8.5" style="56" customWidth="1"/>
    <col min="7680" max="7680" width="12.375" style="56" customWidth="1"/>
    <col min="7681" max="7681" width="0" style="56" hidden="1" customWidth="1"/>
    <col min="7682" max="7682" width="8.375" style="56" customWidth="1"/>
    <col min="7683" max="7683" width="8.875" style="56" customWidth="1"/>
    <col min="7684" max="7931" width="9" style="56"/>
    <col min="7932" max="7932" width="5.75" style="56" customWidth="1"/>
    <col min="7933" max="7933" width="40.625" style="56" customWidth="1"/>
    <col min="7934" max="7934" width="9.375" style="56" customWidth="1"/>
    <col min="7935" max="7935" width="8.5" style="56" customWidth="1"/>
    <col min="7936" max="7936" width="12.375" style="56" customWidth="1"/>
    <col min="7937" max="7937" width="0" style="56" hidden="1" customWidth="1"/>
    <col min="7938" max="7938" width="8.375" style="56" customWidth="1"/>
    <col min="7939" max="7939" width="8.875" style="56" customWidth="1"/>
    <col min="7940" max="8187" width="9" style="56"/>
    <col min="8188" max="8188" width="5.75" style="56" customWidth="1"/>
    <col min="8189" max="8189" width="40.625" style="56" customWidth="1"/>
    <col min="8190" max="8190" width="9.375" style="56" customWidth="1"/>
    <col min="8191" max="8191" width="8.5" style="56" customWidth="1"/>
    <col min="8192" max="8192" width="12.375" style="56" customWidth="1"/>
    <col min="8193" max="8193" width="0" style="56" hidden="1" customWidth="1"/>
    <col min="8194" max="8194" width="8.375" style="56" customWidth="1"/>
    <col min="8195" max="8195" width="8.875" style="56" customWidth="1"/>
    <col min="8196" max="8443" width="9" style="56"/>
    <col min="8444" max="8444" width="5.75" style="56" customWidth="1"/>
    <col min="8445" max="8445" width="40.625" style="56" customWidth="1"/>
    <col min="8446" max="8446" width="9.375" style="56" customWidth="1"/>
    <col min="8447" max="8447" width="8.5" style="56" customWidth="1"/>
    <col min="8448" max="8448" width="12.375" style="56" customWidth="1"/>
    <col min="8449" max="8449" width="0" style="56" hidden="1" customWidth="1"/>
    <col min="8450" max="8450" width="8.375" style="56" customWidth="1"/>
    <col min="8451" max="8451" width="8.875" style="56" customWidth="1"/>
    <col min="8452" max="8699" width="9" style="56"/>
    <col min="8700" max="8700" width="5.75" style="56" customWidth="1"/>
    <col min="8701" max="8701" width="40.625" style="56" customWidth="1"/>
    <col min="8702" max="8702" width="9.375" style="56" customWidth="1"/>
    <col min="8703" max="8703" width="8.5" style="56" customWidth="1"/>
    <col min="8704" max="8704" width="12.375" style="56" customWidth="1"/>
    <col min="8705" max="8705" width="0" style="56" hidden="1" customWidth="1"/>
    <col min="8706" max="8706" width="8.375" style="56" customWidth="1"/>
    <col min="8707" max="8707" width="8.875" style="56" customWidth="1"/>
    <col min="8708" max="8955" width="9" style="56"/>
    <col min="8956" max="8956" width="5.75" style="56" customWidth="1"/>
    <col min="8957" max="8957" width="40.625" style="56" customWidth="1"/>
    <col min="8958" max="8958" width="9.375" style="56" customWidth="1"/>
    <col min="8959" max="8959" width="8.5" style="56" customWidth="1"/>
    <col min="8960" max="8960" width="12.375" style="56" customWidth="1"/>
    <col min="8961" max="8961" width="0" style="56" hidden="1" customWidth="1"/>
    <col min="8962" max="8962" width="8.375" style="56" customWidth="1"/>
    <col min="8963" max="8963" width="8.875" style="56" customWidth="1"/>
    <col min="8964" max="9211" width="9" style="56"/>
    <col min="9212" max="9212" width="5.75" style="56" customWidth="1"/>
    <col min="9213" max="9213" width="40.625" style="56" customWidth="1"/>
    <col min="9214" max="9214" width="9.375" style="56" customWidth="1"/>
    <col min="9215" max="9215" width="8.5" style="56" customWidth="1"/>
    <col min="9216" max="9216" width="12.375" style="56" customWidth="1"/>
    <col min="9217" max="9217" width="0" style="56" hidden="1" customWidth="1"/>
    <col min="9218" max="9218" width="8.375" style="56" customWidth="1"/>
    <col min="9219" max="9219" width="8.875" style="56" customWidth="1"/>
    <col min="9220" max="9467" width="9" style="56"/>
    <col min="9468" max="9468" width="5.75" style="56" customWidth="1"/>
    <col min="9469" max="9469" width="40.625" style="56" customWidth="1"/>
    <col min="9470" max="9470" width="9.375" style="56" customWidth="1"/>
    <col min="9471" max="9471" width="8.5" style="56" customWidth="1"/>
    <col min="9472" max="9472" width="12.375" style="56" customWidth="1"/>
    <col min="9473" max="9473" width="0" style="56" hidden="1" customWidth="1"/>
    <col min="9474" max="9474" width="8.375" style="56" customWidth="1"/>
    <col min="9475" max="9475" width="8.875" style="56" customWidth="1"/>
    <col min="9476" max="9723" width="9" style="56"/>
    <col min="9724" max="9724" width="5.75" style="56" customWidth="1"/>
    <col min="9725" max="9725" width="40.625" style="56" customWidth="1"/>
    <col min="9726" max="9726" width="9.375" style="56" customWidth="1"/>
    <col min="9727" max="9727" width="8.5" style="56" customWidth="1"/>
    <col min="9728" max="9728" width="12.375" style="56" customWidth="1"/>
    <col min="9729" max="9729" width="0" style="56" hidden="1" customWidth="1"/>
    <col min="9730" max="9730" width="8.375" style="56" customWidth="1"/>
    <col min="9731" max="9731" width="8.875" style="56" customWidth="1"/>
    <col min="9732" max="9979" width="9" style="56"/>
    <col min="9980" max="9980" width="5.75" style="56" customWidth="1"/>
    <col min="9981" max="9981" width="40.625" style="56" customWidth="1"/>
    <col min="9982" max="9982" width="9.375" style="56" customWidth="1"/>
    <col min="9983" max="9983" width="8.5" style="56" customWidth="1"/>
    <col min="9984" max="9984" width="12.375" style="56" customWidth="1"/>
    <col min="9985" max="9985" width="0" style="56" hidden="1" customWidth="1"/>
    <col min="9986" max="9986" width="8.375" style="56" customWidth="1"/>
    <col min="9987" max="9987" width="8.875" style="56" customWidth="1"/>
    <col min="9988" max="10235" width="9" style="56"/>
    <col min="10236" max="10236" width="5.75" style="56" customWidth="1"/>
    <col min="10237" max="10237" width="40.625" style="56" customWidth="1"/>
    <col min="10238" max="10238" width="9.375" style="56" customWidth="1"/>
    <col min="10239" max="10239" width="8.5" style="56" customWidth="1"/>
    <col min="10240" max="10240" width="12.375" style="56" customWidth="1"/>
    <col min="10241" max="10241" width="0" style="56" hidden="1" customWidth="1"/>
    <col min="10242" max="10242" width="8.375" style="56" customWidth="1"/>
    <col min="10243" max="10243" width="8.875" style="56" customWidth="1"/>
    <col min="10244" max="10491" width="9" style="56"/>
    <col min="10492" max="10492" width="5.75" style="56" customWidth="1"/>
    <col min="10493" max="10493" width="40.625" style="56" customWidth="1"/>
    <col min="10494" max="10494" width="9.375" style="56" customWidth="1"/>
    <col min="10495" max="10495" width="8.5" style="56" customWidth="1"/>
    <col min="10496" max="10496" width="12.375" style="56" customWidth="1"/>
    <col min="10497" max="10497" width="0" style="56" hidden="1" customWidth="1"/>
    <col min="10498" max="10498" width="8.375" style="56" customWidth="1"/>
    <col min="10499" max="10499" width="8.875" style="56" customWidth="1"/>
    <col min="10500" max="10747" width="9" style="56"/>
    <col min="10748" max="10748" width="5.75" style="56" customWidth="1"/>
    <col min="10749" max="10749" width="40.625" style="56" customWidth="1"/>
    <col min="10750" max="10750" width="9.375" style="56" customWidth="1"/>
    <col min="10751" max="10751" width="8.5" style="56" customWidth="1"/>
    <col min="10752" max="10752" width="12.375" style="56" customWidth="1"/>
    <col min="10753" max="10753" width="0" style="56" hidden="1" customWidth="1"/>
    <col min="10754" max="10754" width="8.375" style="56" customWidth="1"/>
    <col min="10755" max="10755" width="8.875" style="56" customWidth="1"/>
    <col min="10756" max="11003" width="9" style="56"/>
    <col min="11004" max="11004" width="5.75" style="56" customWidth="1"/>
    <col min="11005" max="11005" width="40.625" style="56" customWidth="1"/>
    <col min="11006" max="11006" width="9.375" style="56" customWidth="1"/>
    <col min="11007" max="11007" width="8.5" style="56" customWidth="1"/>
    <col min="11008" max="11008" width="12.375" style="56" customWidth="1"/>
    <col min="11009" max="11009" width="0" style="56" hidden="1" customWidth="1"/>
    <col min="11010" max="11010" width="8.375" style="56" customWidth="1"/>
    <col min="11011" max="11011" width="8.875" style="56" customWidth="1"/>
    <col min="11012" max="11259" width="9" style="56"/>
    <col min="11260" max="11260" width="5.75" style="56" customWidth="1"/>
    <col min="11261" max="11261" width="40.625" style="56" customWidth="1"/>
    <col min="11262" max="11262" width="9.375" style="56" customWidth="1"/>
    <col min="11263" max="11263" width="8.5" style="56" customWidth="1"/>
    <col min="11264" max="11264" width="12.375" style="56" customWidth="1"/>
    <col min="11265" max="11265" width="0" style="56" hidden="1" customWidth="1"/>
    <col min="11266" max="11266" width="8.375" style="56" customWidth="1"/>
    <col min="11267" max="11267" width="8.875" style="56" customWidth="1"/>
    <col min="11268" max="11515" width="9" style="56"/>
    <col min="11516" max="11516" width="5.75" style="56" customWidth="1"/>
    <col min="11517" max="11517" width="40.625" style="56" customWidth="1"/>
    <col min="11518" max="11518" width="9.375" style="56" customWidth="1"/>
    <col min="11519" max="11519" width="8.5" style="56" customWidth="1"/>
    <col min="11520" max="11520" width="12.375" style="56" customWidth="1"/>
    <col min="11521" max="11521" width="0" style="56" hidden="1" customWidth="1"/>
    <col min="11522" max="11522" width="8.375" style="56" customWidth="1"/>
    <col min="11523" max="11523" width="8.875" style="56" customWidth="1"/>
    <col min="11524" max="11771" width="9" style="56"/>
    <col min="11772" max="11772" width="5.75" style="56" customWidth="1"/>
    <col min="11773" max="11773" width="40.625" style="56" customWidth="1"/>
    <col min="11774" max="11774" width="9.375" style="56" customWidth="1"/>
    <col min="11775" max="11775" width="8.5" style="56" customWidth="1"/>
    <col min="11776" max="11776" width="12.375" style="56" customWidth="1"/>
    <col min="11777" max="11777" width="0" style="56" hidden="1" customWidth="1"/>
    <col min="11778" max="11778" width="8.375" style="56" customWidth="1"/>
    <col min="11779" max="11779" width="8.875" style="56" customWidth="1"/>
    <col min="11780" max="12027" width="9" style="56"/>
    <col min="12028" max="12028" width="5.75" style="56" customWidth="1"/>
    <col min="12029" max="12029" width="40.625" style="56" customWidth="1"/>
    <col min="12030" max="12030" width="9.375" style="56" customWidth="1"/>
    <col min="12031" max="12031" width="8.5" style="56" customWidth="1"/>
    <col min="12032" max="12032" width="12.375" style="56" customWidth="1"/>
    <col min="12033" max="12033" width="0" style="56" hidden="1" customWidth="1"/>
    <col min="12034" max="12034" width="8.375" style="56" customWidth="1"/>
    <col min="12035" max="12035" width="8.875" style="56" customWidth="1"/>
    <col min="12036" max="12283" width="9" style="56"/>
    <col min="12284" max="12284" width="5.75" style="56" customWidth="1"/>
    <col min="12285" max="12285" width="40.625" style="56" customWidth="1"/>
    <col min="12286" max="12286" width="9.375" style="56" customWidth="1"/>
    <col min="12287" max="12287" width="8.5" style="56" customWidth="1"/>
    <col min="12288" max="12288" width="12.375" style="56" customWidth="1"/>
    <col min="12289" max="12289" width="0" style="56" hidden="1" customWidth="1"/>
    <col min="12290" max="12290" width="8.375" style="56" customWidth="1"/>
    <col min="12291" max="12291" width="8.875" style="56" customWidth="1"/>
    <col min="12292" max="12539" width="9" style="56"/>
    <col min="12540" max="12540" width="5.75" style="56" customWidth="1"/>
    <col min="12541" max="12541" width="40.625" style="56" customWidth="1"/>
    <col min="12542" max="12542" width="9.375" style="56" customWidth="1"/>
    <col min="12543" max="12543" width="8.5" style="56" customWidth="1"/>
    <col min="12544" max="12544" width="12.375" style="56" customWidth="1"/>
    <col min="12545" max="12545" width="0" style="56" hidden="1" customWidth="1"/>
    <col min="12546" max="12546" width="8.375" style="56" customWidth="1"/>
    <col min="12547" max="12547" width="8.875" style="56" customWidth="1"/>
    <col min="12548" max="12795" width="9" style="56"/>
    <col min="12796" max="12796" width="5.75" style="56" customWidth="1"/>
    <col min="12797" max="12797" width="40.625" style="56" customWidth="1"/>
    <col min="12798" max="12798" width="9.375" style="56" customWidth="1"/>
    <col min="12799" max="12799" width="8.5" style="56" customWidth="1"/>
    <col min="12800" max="12800" width="12.375" style="56" customWidth="1"/>
    <col min="12801" max="12801" width="0" style="56" hidden="1" customWidth="1"/>
    <col min="12802" max="12802" width="8.375" style="56" customWidth="1"/>
    <col min="12803" max="12803" width="8.875" style="56" customWidth="1"/>
    <col min="12804" max="13051" width="9" style="56"/>
    <col min="13052" max="13052" width="5.75" style="56" customWidth="1"/>
    <col min="13053" max="13053" width="40.625" style="56" customWidth="1"/>
    <col min="13054" max="13054" width="9.375" style="56" customWidth="1"/>
    <col min="13055" max="13055" width="8.5" style="56" customWidth="1"/>
    <col min="13056" max="13056" width="12.375" style="56" customWidth="1"/>
    <col min="13057" max="13057" width="0" style="56" hidden="1" customWidth="1"/>
    <col min="13058" max="13058" width="8.375" style="56" customWidth="1"/>
    <col min="13059" max="13059" width="8.875" style="56" customWidth="1"/>
    <col min="13060" max="13307" width="9" style="56"/>
    <col min="13308" max="13308" width="5.75" style="56" customWidth="1"/>
    <col min="13309" max="13309" width="40.625" style="56" customWidth="1"/>
    <col min="13310" max="13310" width="9.375" style="56" customWidth="1"/>
    <col min="13311" max="13311" width="8.5" style="56" customWidth="1"/>
    <col min="13312" max="13312" width="12.375" style="56" customWidth="1"/>
    <col min="13313" max="13313" width="0" style="56" hidden="1" customWidth="1"/>
    <col min="13314" max="13314" width="8.375" style="56" customWidth="1"/>
    <col min="13315" max="13315" width="8.875" style="56" customWidth="1"/>
    <col min="13316" max="13563" width="9" style="56"/>
    <col min="13564" max="13564" width="5.75" style="56" customWidth="1"/>
    <col min="13565" max="13565" width="40.625" style="56" customWidth="1"/>
    <col min="13566" max="13566" width="9.375" style="56" customWidth="1"/>
    <col min="13567" max="13567" width="8.5" style="56" customWidth="1"/>
    <col min="13568" max="13568" width="12.375" style="56" customWidth="1"/>
    <col min="13569" max="13569" width="0" style="56" hidden="1" customWidth="1"/>
    <col min="13570" max="13570" width="8.375" style="56" customWidth="1"/>
    <col min="13571" max="13571" width="8.875" style="56" customWidth="1"/>
    <col min="13572" max="13819" width="9" style="56"/>
    <col min="13820" max="13820" width="5.75" style="56" customWidth="1"/>
    <col min="13821" max="13821" width="40.625" style="56" customWidth="1"/>
    <col min="13822" max="13822" width="9.375" style="56" customWidth="1"/>
    <col min="13823" max="13823" width="8.5" style="56" customWidth="1"/>
    <col min="13824" max="13824" width="12.375" style="56" customWidth="1"/>
    <col min="13825" max="13825" width="0" style="56" hidden="1" customWidth="1"/>
    <col min="13826" max="13826" width="8.375" style="56" customWidth="1"/>
    <col min="13827" max="13827" width="8.875" style="56" customWidth="1"/>
    <col min="13828" max="14075" width="9" style="56"/>
    <col min="14076" max="14076" width="5.75" style="56" customWidth="1"/>
    <col min="14077" max="14077" width="40.625" style="56" customWidth="1"/>
    <col min="14078" max="14078" width="9.375" style="56" customWidth="1"/>
    <col min="14079" max="14079" width="8.5" style="56" customWidth="1"/>
    <col min="14080" max="14080" width="12.375" style="56" customWidth="1"/>
    <col min="14081" max="14081" width="0" style="56" hidden="1" customWidth="1"/>
    <col min="14082" max="14082" width="8.375" style="56" customWidth="1"/>
    <col min="14083" max="14083" width="8.875" style="56" customWidth="1"/>
    <col min="14084" max="14331" width="9" style="56"/>
    <col min="14332" max="14332" width="5.75" style="56" customWidth="1"/>
    <col min="14333" max="14333" width="40.625" style="56" customWidth="1"/>
    <col min="14334" max="14334" width="9.375" style="56" customWidth="1"/>
    <col min="14335" max="14335" width="8.5" style="56" customWidth="1"/>
    <col min="14336" max="14336" width="12.375" style="56" customWidth="1"/>
    <col min="14337" max="14337" width="0" style="56" hidden="1" customWidth="1"/>
    <col min="14338" max="14338" width="8.375" style="56" customWidth="1"/>
    <col min="14339" max="14339" width="8.875" style="56" customWidth="1"/>
    <col min="14340" max="14587" width="9" style="56"/>
    <col min="14588" max="14588" width="5.75" style="56" customWidth="1"/>
    <col min="14589" max="14589" width="40.625" style="56" customWidth="1"/>
    <col min="14590" max="14590" width="9.375" style="56" customWidth="1"/>
    <col min="14591" max="14591" width="8.5" style="56" customWidth="1"/>
    <col min="14592" max="14592" width="12.375" style="56" customWidth="1"/>
    <col min="14593" max="14593" width="0" style="56" hidden="1" customWidth="1"/>
    <col min="14594" max="14594" width="8.375" style="56" customWidth="1"/>
    <col min="14595" max="14595" width="8.875" style="56" customWidth="1"/>
    <col min="14596" max="14843" width="9" style="56"/>
    <col min="14844" max="14844" width="5.75" style="56" customWidth="1"/>
    <col min="14845" max="14845" width="40.625" style="56" customWidth="1"/>
    <col min="14846" max="14846" width="9.375" style="56" customWidth="1"/>
    <col min="14847" max="14847" width="8.5" style="56" customWidth="1"/>
    <col min="14848" max="14848" width="12.375" style="56" customWidth="1"/>
    <col min="14849" max="14849" width="0" style="56" hidden="1" customWidth="1"/>
    <col min="14850" max="14850" width="8.375" style="56" customWidth="1"/>
    <col min="14851" max="14851" width="8.875" style="56" customWidth="1"/>
    <col min="14852" max="15099" width="9" style="56"/>
    <col min="15100" max="15100" width="5.75" style="56" customWidth="1"/>
    <col min="15101" max="15101" width="40.625" style="56" customWidth="1"/>
    <col min="15102" max="15102" width="9.375" style="56" customWidth="1"/>
    <col min="15103" max="15103" width="8.5" style="56" customWidth="1"/>
    <col min="15104" max="15104" width="12.375" style="56" customWidth="1"/>
    <col min="15105" max="15105" width="0" style="56" hidden="1" customWidth="1"/>
    <col min="15106" max="15106" width="8.375" style="56" customWidth="1"/>
    <col min="15107" max="15107" width="8.875" style="56" customWidth="1"/>
    <col min="15108" max="15355" width="9" style="56"/>
    <col min="15356" max="15356" width="5.75" style="56" customWidth="1"/>
    <col min="15357" max="15357" width="40.625" style="56" customWidth="1"/>
    <col min="15358" max="15358" width="9.375" style="56" customWidth="1"/>
    <col min="15359" max="15359" width="8.5" style="56" customWidth="1"/>
    <col min="15360" max="15360" width="12.375" style="56" customWidth="1"/>
    <col min="15361" max="15361" width="0" style="56" hidden="1" customWidth="1"/>
    <col min="15362" max="15362" width="8.375" style="56" customWidth="1"/>
    <col min="15363" max="15363" width="8.875" style="56" customWidth="1"/>
    <col min="15364" max="15611" width="9" style="56"/>
    <col min="15612" max="15612" width="5.75" style="56" customWidth="1"/>
    <col min="15613" max="15613" width="40.625" style="56" customWidth="1"/>
    <col min="15614" max="15614" width="9.375" style="56" customWidth="1"/>
    <col min="15615" max="15615" width="8.5" style="56" customWidth="1"/>
    <col min="15616" max="15616" width="12.375" style="56" customWidth="1"/>
    <col min="15617" max="15617" width="0" style="56" hidden="1" customWidth="1"/>
    <col min="15618" max="15618" width="8.375" style="56" customWidth="1"/>
    <col min="15619" max="15619" width="8.875" style="56" customWidth="1"/>
    <col min="15620" max="15867" width="9" style="56"/>
    <col min="15868" max="15868" width="5.75" style="56" customWidth="1"/>
    <col min="15869" max="15869" width="40.625" style="56" customWidth="1"/>
    <col min="15870" max="15870" width="9.375" style="56" customWidth="1"/>
    <col min="15871" max="15871" width="8.5" style="56" customWidth="1"/>
    <col min="15872" max="15872" width="12.375" style="56" customWidth="1"/>
    <col min="15873" max="15873" width="0" style="56" hidden="1" customWidth="1"/>
    <col min="15874" max="15874" width="8.375" style="56" customWidth="1"/>
    <col min="15875" max="15875" width="8.875" style="56" customWidth="1"/>
    <col min="15876" max="16123" width="9" style="56"/>
    <col min="16124" max="16124" width="5.75" style="56" customWidth="1"/>
    <col min="16125" max="16125" width="40.625" style="56" customWidth="1"/>
    <col min="16126" max="16126" width="9.375" style="56" customWidth="1"/>
    <col min="16127" max="16127" width="8.5" style="56" customWidth="1"/>
    <col min="16128" max="16128" width="12.375" style="56" customWidth="1"/>
    <col min="16129" max="16129" width="0" style="56" hidden="1" customWidth="1"/>
    <col min="16130" max="16130" width="8.375" style="56" customWidth="1"/>
    <col min="16131" max="16131" width="8.875" style="56" customWidth="1"/>
    <col min="16132" max="16384" width="9" style="56"/>
  </cols>
  <sheetData>
    <row r="1" spans="1:4" s="31" customFormat="1" ht="21.95" customHeight="1">
      <c r="A1" s="133" t="s">
        <v>120</v>
      </c>
      <c r="B1" s="133"/>
      <c r="C1" s="133"/>
      <c r="D1" s="133"/>
    </row>
    <row r="2" spans="1:4" s="31" customFormat="1" ht="31.5" customHeight="1">
      <c r="A2" s="134" t="s">
        <v>143</v>
      </c>
      <c r="B2" s="134"/>
      <c r="C2" s="134"/>
      <c r="D2" s="134"/>
    </row>
    <row r="3" spans="1:4" s="31" customFormat="1" ht="21" customHeight="1">
      <c r="A3" s="136" t="s">
        <v>141</v>
      </c>
      <c r="B3" s="137"/>
      <c r="C3" s="137"/>
      <c r="D3" s="137"/>
    </row>
    <row r="4" spans="1:4" ht="63.75" customHeight="1">
      <c r="A4" s="98" t="s">
        <v>0</v>
      </c>
      <c r="B4" s="98" t="s">
        <v>1</v>
      </c>
      <c r="C4" s="99" t="s">
        <v>108</v>
      </c>
      <c r="D4" s="99" t="s">
        <v>2</v>
      </c>
    </row>
    <row r="5" spans="1:4" s="92" customFormat="1" ht="15.75" customHeight="1">
      <c r="A5" s="100">
        <v>1</v>
      </c>
      <c r="B5" s="100">
        <v>2</v>
      </c>
      <c r="C5" s="101">
        <v>3</v>
      </c>
      <c r="D5" s="101">
        <v>4</v>
      </c>
    </row>
    <row r="6" spans="1:4" s="58" customFormat="1" ht="18.75" customHeight="1">
      <c r="A6" s="102"/>
      <c r="B6" s="97" t="s">
        <v>63</v>
      </c>
      <c r="C6" s="103">
        <f>C7+C20</f>
        <v>59</v>
      </c>
      <c r="D6" s="103"/>
    </row>
    <row r="7" spans="1:4" s="55" customFormat="1" ht="23.25" customHeight="1">
      <c r="A7" s="102" t="s">
        <v>84</v>
      </c>
      <c r="B7" s="104" t="s">
        <v>85</v>
      </c>
      <c r="C7" s="103">
        <f t="shared" ref="C7" si="0">SUM(C8:C19)</f>
        <v>51</v>
      </c>
      <c r="D7" s="135" t="s">
        <v>116</v>
      </c>
    </row>
    <row r="8" spans="1:4" ht="23.25" customHeight="1">
      <c r="A8" s="106">
        <v>1</v>
      </c>
      <c r="B8" s="107" t="s">
        <v>95</v>
      </c>
      <c r="C8" s="108">
        <v>7</v>
      </c>
      <c r="D8" s="135"/>
    </row>
    <row r="9" spans="1:4" ht="23.25" customHeight="1">
      <c r="A9" s="106">
        <v>2</v>
      </c>
      <c r="B9" s="107" t="s">
        <v>96</v>
      </c>
      <c r="C9" s="108">
        <v>7</v>
      </c>
      <c r="D9" s="135"/>
    </row>
    <row r="10" spans="1:4" ht="23.25" customHeight="1">
      <c r="A10" s="106">
        <v>3</v>
      </c>
      <c r="B10" s="107" t="s">
        <v>97</v>
      </c>
      <c r="C10" s="108">
        <v>8</v>
      </c>
      <c r="D10" s="135"/>
    </row>
    <row r="11" spans="1:4" s="55" customFormat="1" ht="23.25" customHeight="1">
      <c r="A11" s="109">
        <v>4</v>
      </c>
      <c r="B11" s="107" t="s">
        <v>132</v>
      </c>
      <c r="C11" s="108">
        <v>14</v>
      </c>
      <c r="D11" s="135"/>
    </row>
    <row r="12" spans="1:4" ht="23.25" customHeight="1">
      <c r="A12" s="106">
        <v>5</v>
      </c>
      <c r="B12" s="107" t="s">
        <v>98</v>
      </c>
      <c r="C12" s="108">
        <v>4</v>
      </c>
      <c r="D12" s="135"/>
    </row>
    <row r="13" spans="1:4" ht="23.25" customHeight="1">
      <c r="A13" s="106">
        <v>6</v>
      </c>
      <c r="B13" s="107" t="s">
        <v>104</v>
      </c>
      <c r="C13" s="108">
        <v>1</v>
      </c>
      <c r="D13" s="135"/>
    </row>
    <row r="14" spans="1:4" ht="23.25" customHeight="1">
      <c r="A14" s="106">
        <v>7</v>
      </c>
      <c r="B14" s="107" t="s">
        <v>99</v>
      </c>
      <c r="C14" s="108">
        <v>1</v>
      </c>
      <c r="D14" s="135"/>
    </row>
    <row r="15" spans="1:4" ht="23.25" customHeight="1">
      <c r="A15" s="109">
        <v>8</v>
      </c>
      <c r="B15" s="107" t="s">
        <v>100</v>
      </c>
      <c r="C15" s="108">
        <v>2</v>
      </c>
      <c r="D15" s="135"/>
    </row>
    <row r="16" spans="1:4" ht="23.25" customHeight="1">
      <c r="A16" s="106">
        <v>9</v>
      </c>
      <c r="B16" s="107" t="s">
        <v>86</v>
      </c>
      <c r="C16" s="108">
        <v>2</v>
      </c>
      <c r="D16" s="135"/>
    </row>
    <row r="17" spans="1:4" ht="23.25" customHeight="1">
      <c r="A17" s="106">
        <v>10</v>
      </c>
      <c r="B17" s="107" t="s">
        <v>101</v>
      </c>
      <c r="C17" s="108">
        <v>1</v>
      </c>
      <c r="D17" s="135"/>
    </row>
    <row r="18" spans="1:4" ht="23.25" customHeight="1">
      <c r="A18" s="106">
        <v>11</v>
      </c>
      <c r="B18" s="107" t="s">
        <v>102</v>
      </c>
      <c r="C18" s="108">
        <v>1</v>
      </c>
      <c r="D18" s="135"/>
    </row>
    <row r="19" spans="1:4" ht="23.25" customHeight="1">
      <c r="A19" s="106">
        <v>12</v>
      </c>
      <c r="B19" s="107" t="s">
        <v>103</v>
      </c>
      <c r="C19" s="108">
        <v>3</v>
      </c>
      <c r="D19" s="135"/>
    </row>
    <row r="20" spans="1:4" ht="20.25" customHeight="1">
      <c r="A20" s="102" t="s">
        <v>17</v>
      </c>
      <c r="B20" s="110" t="s">
        <v>105</v>
      </c>
      <c r="C20" s="103">
        <f>SUM(C21:C28)</f>
        <v>8</v>
      </c>
      <c r="D20" s="132" t="s">
        <v>112</v>
      </c>
    </row>
    <row r="21" spans="1:4" ht="23.25" customHeight="1">
      <c r="A21" s="106">
        <v>1</v>
      </c>
      <c r="B21" s="111" t="s">
        <v>113</v>
      </c>
      <c r="C21" s="105">
        <v>1</v>
      </c>
      <c r="D21" s="132"/>
    </row>
    <row r="22" spans="1:4" ht="23.25" customHeight="1">
      <c r="A22" s="106">
        <v>2</v>
      </c>
      <c r="B22" s="111" t="s">
        <v>77</v>
      </c>
      <c r="C22" s="105">
        <v>1</v>
      </c>
      <c r="D22" s="132"/>
    </row>
    <row r="23" spans="1:4" ht="23.25" customHeight="1">
      <c r="A23" s="106">
        <v>3</v>
      </c>
      <c r="B23" s="111" t="s">
        <v>78</v>
      </c>
      <c r="C23" s="105">
        <v>1</v>
      </c>
      <c r="D23" s="132"/>
    </row>
    <row r="24" spans="1:4" ht="23.25" customHeight="1">
      <c r="A24" s="106">
        <v>4</v>
      </c>
      <c r="B24" s="111" t="s">
        <v>79</v>
      </c>
      <c r="C24" s="105">
        <v>1</v>
      </c>
      <c r="D24" s="132"/>
    </row>
    <row r="25" spans="1:4" ht="23.25" customHeight="1">
      <c r="A25" s="106">
        <v>5</v>
      </c>
      <c r="B25" s="111" t="s">
        <v>80</v>
      </c>
      <c r="C25" s="105">
        <v>1</v>
      </c>
      <c r="D25" s="132"/>
    </row>
    <row r="26" spans="1:4" ht="23.25" customHeight="1">
      <c r="A26" s="106">
        <v>6</v>
      </c>
      <c r="B26" s="111" t="s">
        <v>81</v>
      </c>
      <c r="C26" s="105">
        <v>1</v>
      </c>
      <c r="D26" s="132"/>
    </row>
    <row r="27" spans="1:4" ht="23.25" customHeight="1">
      <c r="A27" s="106">
        <v>7</v>
      </c>
      <c r="B27" s="111" t="s">
        <v>82</v>
      </c>
      <c r="C27" s="105">
        <v>1</v>
      </c>
      <c r="D27" s="132"/>
    </row>
    <row r="28" spans="1:4" ht="23.25" customHeight="1">
      <c r="A28" s="106">
        <v>8</v>
      </c>
      <c r="B28" s="111" t="s">
        <v>83</v>
      </c>
      <c r="C28" s="105">
        <v>1</v>
      </c>
      <c r="D28" s="132"/>
    </row>
  </sheetData>
  <mergeCells count="5">
    <mergeCell ref="D20:D28"/>
    <mergeCell ref="A1:D1"/>
    <mergeCell ref="A2:D2"/>
    <mergeCell ref="D7:D19"/>
    <mergeCell ref="A3:D3"/>
  </mergeCells>
  <pageMargins left="0.45" right="0.15748031496063" top="0.54" bottom="0.37" header="0.49" footer="0.196850393700787"/>
  <pageSetup paperSize="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575e56fb88e0dc4d</MaTinBai>
    <_dlc_DocId xmlns="ae4e42cd-c673-4541-a17d-d353a4125f5e">DDYPFUVZ5X6F-6-6618</_dlc_DocId>
    <_dlc_DocIdUrl xmlns="ae4e42cd-c673-4541-a17d-d353a4125f5e">
      <Url>https://dbdc.backan.gov.vn/_layouts/15/DocIdRedir.aspx?ID=DDYPFUVZ5X6F-6-6618</Url>
      <Description>DDYPFUVZ5X6F-6-6618</Description>
    </_dlc_DocIdUrl>
  </documentManagement>
</p:properties>
</file>

<file path=customXml/itemProps1.xml><?xml version="1.0" encoding="utf-8"?>
<ds:datastoreItem xmlns:ds="http://schemas.openxmlformats.org/officeDocument/2006/customXml" ds:itemID="{D7BCE793-B2DA-4C92-AAEF-25BAB9E0C700}"/>
</file>

<file path=customXml/itemProps2.xml><?xml version="1.0" encoding="utf-8"?>
<ds:datastoreItem xmlns:ds="http://schemas.openxmlformats.org/officeDocument/2006/customXml" ds:itemID="{84114C63-8D14-41A2-A66D-9DD4E9E3D5E8}"/>
</file>

<file path=customXml/itemProps3.xml><?xml version="1.0" encoding="utf-8"?>
<ds:datastoreItem xmlns:ds="http://schemas.openxmlformats.org/officeDocument/2006/customXml" ds:itemID="{B23DD919-15B4-4740-8429-E7082297955C}"/>
</file>

<file path=customXml/itemProps4.xml><?xml version="1.0" encoding="utf-8"?>
<ds:datastoreItem xmlns:ds="http://schemas.openxmlformats.org/officeDocument/2006/customXml" ds:itemID="{62B443D9-3EC3-42A4-B3FD-C8ECEEB4D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PL1_CC</vt:lpstr>
      <vt:lpstr>PL2_VC NSNN</vt:lpstr>
      <vt:lpstr>PL3. Hoi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lastPrinted>2024-03-15T10:48:17Z</cp:lastPrinted>
  <dcterms:created xsi:type="dcterms:W3CDTF">2022-02-08T07:37:16Z</dcterms:created>
  <dcterms:modified xsi:type="dcterms:W3CDTF">2024-03-15T10:48:33Z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eee385ca-4977-4518-885a-3386ad71821c</vt:lpwstr>
  </property>
</Properties>
</file>