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8" windowHeight="10452" activeTab="1"/>
  </bookViews>
  <sheets>
    <sheet name="TH 2022" sheetId="1" r:id="rId1"/>
    <sheet name="ƯTH 2023, KH 2024" sheetId="2" r:id="rId2"/>
  </sheets>
  <externalReferences>
    <externalReference r:id="rId5"/>
  </externalReferences>
  <definedNames>
    <definedName name="_xlnm.Print_Area" localSheetId="0">'TH 2022'!$A$1:$L$121</definedName>
    <definedName name="_xlnm.Print_Area" localSheetId="1">'ƯTH 2023, KH 2024'!$A$1:$M$121</definedName>
    <definedName name="_xlnm.Print_Titles" localSheetId="0">'TH 2022'!$5:$7</definedName>
    <definedName name="_xlnm.Print_Titles" localSheetId="1">'ƯTH 2023, KH 2024'!$5:$7</definedName>
  </definedNames>
  <calcPr fullCalcOnLoad="1"/>
</workbook>
</file>

<file path=xl/comments1.xml><?xml version="1.0" encoding="utf-8"?>
<comments xmlns="http://schemas.openxmlformats.org/spreadsheetml/2006/main">
  <authors>
    <author>Lananh_pc</author>
  </authors>
  <commentList>
    <comment ref="C2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số đv: 625, cl 5178 so voi số bc 2022</t>
        </r>
      </text>
    </comment>
    <comment ref="C1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11632</t>
        </r>
      </text>
    </comment>
    <comment ref="C18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L60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L62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Lananh_pc</author>
  </authors>
  <commentList>
    <comment ref="C15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  <comment ref="O2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lấy theo số liệu Ngọc HCSN gửi phòng NS</t>
        </r>
      </text>
    </comment>
    <comment ref="M11" authorId="0">
      <text>
        <r>
          <rPr>
            <b/>
            <sz val="9"/>
            <rFont val="Tahoma"/>
            <family val="2"/>
          </rPr>
          <t>Lananh_pc: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<sst xmlns="http://schemas.openxmlformats.org/spreadsheetml/2006/main" count="462" uniqueCount="144">
  <si>
    <t>Đơn vị: Triệu đồng</t>
  </si>
  <si>
    <t>STT</t>
  </si>
  <si>
    <t>Tên quỹ</t>
  </si>
  <si>
    <t>Tổng nguồn vốn 
phát sinh trong năm</t>
  </si>
  <si>
    <t>Tổng sử dụng nguồn vốn trong năm</t>
  </si>
  <si>
    <t>Chênh lệch nguồn trong năm</t>
  </si>
  <si>
    <t>Chênh lệch nguồn vốn trong năm</t>
  </si>
  <si>
    <t>Tổng số</t>
  </si>
  <si>
    <t>A</t>
  </si>
  <si>
    <t>B</t>
  </si>
  <si>
    <t>5=2-4</t>
  </si>
  <si>
    <t>6=1+2-4</t>
  </si>
  <si>
    <t>10=7-9</t>
  </si>
  <si>
    <t>11=6+7-9</t>
  </si>
  <si>
    <t>1</t>
  </si>
  <si>
    <t>2</t>
  </si>
  <si>
    <t>3</t>
  </si>
  <si>
    <t>4</t>
  </si>
  <si>
    <t>Tên Quỹ</t>
  </si>
  <si>
    <t>Tổng nguồn vốn phát sinh trong năm</t>
  </si>
  <si>
    <t>9=6-8</t>
  </si>
  <si>
    <t>10=1+6-8</t>
  </si>
  <si>
    <t>I</t>
  </si>
  <si>
    <t>II</t>
  </si>
  <si>
    <t>Thành phố Bắc Kạn</t>
  </si>
  <si>
    <t>Biểu mẫu số 45-NĐ31</t>
  </si>
  <si>
    <t>Biểu mẫu số 63-NĐ31</t>
  </si>
  <si>
    <t>Quỹ phòng chống thiên tai</t>
  </si>
  <si>
    <t>Quỹ khuyến học</t>
  </si>
  <si>
    <t>Quỹ bảo trợ trẻ em</t>
  </si>
  <si>
    <t>Quỹ đền ơn đáp nghĩa</t>
  </si>
  <si>
    <t>Quỹ vì người nghèo</t>
  </si>
  <si>
    <t>Quỹ người cao tuổi</t>
  </si>
  <si>
    <t>Quỹ hội chữ thập đỏ</t>
  </si>
  <si>
    <t>Quỹ cứu trợ</t>
  </si>
  <si>
    <t>5</t>
  </si>
  <si>
    <t>6</t>
  </si>
  <si>
    <t>7</t>
  </si>
  <si>
    <t>8</t>
  </si>
  <si>
    <t>9</t>
  </si>
  <si>
    <t>10</t>
  </si>
  <si>
    <t>11</t>
  </si>
  <si>
    <t>Huyện Ba Bể</t>
  </si>
  <si>
    <t>Quỹ an ninh quốc phòng</t>
  </si>
  <si>
    <t>Quỹ chất độc da cam</t>
  </si>
  <si>
    <t>Quỹ phòng chống lụt bão</t>
  </si>
  <si>
    <t>Quỹ Hội nông dân</t>
  </si>
  <si>
    <t>Quỹ tháng hành động vì trẻ em</t>
  </si>
  <si>
    <t>Quỹ lao động công ích</t>
  </si>
  <si>
    <t>Quỹ phong trào</t>
  </si>
  <si>
    <t>Quỹ cựu thanh niên xung phong</t>
  </si>
  <si>
    <t>12</t>
  </si>
  <si>
    <t>14</t>
  </si>
  <si>
    <t>III</t>
  </si>
  <si>
    <t>Huyện Ngân Sơn</t>
  </si>
  <si>
    <t>IV</t>
  </si>
  <si>
    <t>Huyện Pác Nặm</t>
  </si>
  <si>
    <t xml:space="preserve">Quỹ đền ơn đáp nghĩa </t>
  </si>
  <si>
    <t>Quỹ Người cao tuổi</t>
  </si>
  <si>
    <t>Quỹ Khuyến học</t>
  </si>
  <si>
    <t>Quỹ nhân đạo</t>
  </si>
  <si>
    <t>Quỹ chất độc màu da cam</t>
  </si>
  <si>
    <t>V</t>
  </si>
  <si>
    <t>Huyện Na Rì</t>
  </si>
  <si>
    <t>Quỹ Đền ơn đáp nghĩa</t>
  </si>
  <si>
    <t>Quỹ Bảo trợ trẻ em</t>
  </si>
  <si>
    <t>Quỹ Nhân đạo</t>
  </si>
  <si>
    <t>Quỹ ban cứu trợ</t>
  </si>
  <si>
    <t xml:space="preserve">Quỹ Hội nông dân </t>
  </si>
  <si>
    <t>Quỹ Hội cựu TNXP</t>
  </si>
  <si>
    <t>Quỹ bảo trì đường bộ</t>
  </si>
  <si>
    <t>13</t>
  </si>
  <si>
    <t>VI</t>
  </si>
  <si>
    <t>Quỹ da cam</t>
  </si>
  <si>
    <t>Hội chữ thập đỏ</t>
  </si>
  <si>
    <t>Quỹ hỗ trợ nông dân</t>
  </si>
  <si>
    <t>Huyện Chợ Đồn</t>
  </si>
  <si>
    <t>VII</t>
  </si>
  <si>
    <t>Huyện Chợ Mới</t>
  </si>
  <si>
    <t>Quỹ vì trẻ thơ</t>
  </si>
  <si>
    <t>Quỹ tình nghĩa</t>
  </si>
  <si>
    <t>Quỹ chăm sóc người cao tuổi</t>
  </si>
  <si>
    <t>VIII</t>
  </si>
  <si>
    <t>Quỹ hội nông dân</t>
  </si>
  <si>
    <t>Huyện Bạch Thông</t>
  </si>
  <si>
    <t>Quỹ trẻ em</t>
  </si>
  <si>
    <t xml:space="preserve">Quỹ vì người nghèo </t>
  </si>
  <si>
    <t xml:space="preserve">Quỹ cứu trợ </t>
  </si>
  <si>
    <t xml:space="preserve">Quỹ bảo trợ trẻ em </t>
  </si>
  <si>
    <t xml:space="preserve">Quỹ hỗ trợ phát triển HTX </t>
  </si>
  <si>
    <t>Quỹ bảo trợ trẻ em tỉnh</t>
  </si>
  <si>
    <t>Quỹ mái ấm công đoàn</t>
  </si>
  <si>
    <t>Quỹ vì nữ CNVCLĐ nghèo</t>
  </si>
  <si>
    <t>Qũy hỗ trợ nông dân</t>
  </si>
  <si>
    <t>Quỹ hỗ trợ phụ nữ phát triển</t>
  </si>
  <si>
    <t>Quỹ phòng chống tội phạm</t>
  </si>
  <si>
    <t>Quỹ phát triển đất, rừng và BVMT</t>
  </si>
  <si>
    <t>Lĩnh vực phát triển đất</t>
  </si>
  <si>
    <t>Lĩnh vực Bảo vệ môi trường</t>
  </si>
  <si>
    <t>Lĩnh vực BV phát triển rừng</t>
  </si>
  <si>
    <t xml:space="preserve">Nguồn chi thường xuyên </t>
  </si>
  <si>
    <t>TỔNG SỐ</t>
  </si>
  <si>
    <t>-</t>
  </si>
  <si>
    <t>Quỹ tiết kiệm tín dụng huyện Na Rì</t>
  </si>
  <si>
    <t>PHỤ LỤC 01</t>
  </si>
  <si>
    <t>PHỤ LỤC 02</t>
  </si>
  <si>
    <t>Dư nguồn đến ngày 31/12/2021</t>
  </si>
  <si>
    <t>Quỹ Cứu trợ</t>
  </si>
  <si>
    <t>Quỹ Bảo trợ nạn nhân chất độc da cam</t>
  </si>
  <si>
    <t>Quỹ Hội chữ thập đỏ</t>
  </si>
  <si>
    <t>Chất độc màu da cam</t>
  </si>
  <si>
    <t>Quỹ Covid</t>
  </si>
  <si>
    <t>Quỹ TNXP</t>
  </si>
  <si>
    <t xml:space="preserve">          -   </t>
  </si>
  <si>
    <t xml:space="preserve">         -   </t>
  </si>
  <si>
    <t>Quỹ Việt Nam - Phần Lan</t>
  </si>
  <si>
    <t>Kế hoạch năm 2022</t>
  </si>
  <si>
    <t>Thực hiện năm 2022</t>
  </si>
  <si>
    <t>TỔNG HỢP CÁC QUỸ TÀI CHÍNH NHÀ NƯỚC NGOÀI NGÂN SÁCH DO ĐỊA PHƯƠNG QUẢN LÝ NĂM 2022</t>
  </si>
  <si>
    <t>Dư nguồn đến ngày 31/12/2022</t>
  </si>
  <si>
    <t>(Kèm theo Báo cáo số            /BC-UBND ngày         tháng 11 năm 2023 của UBND tỉnh Bắc Kạn)</t>
  </si>
  <si>
    <t>Ước thực hiện năm 2023</t>
  </si>
  <si>
    <t>Kế hoạch năm 2024</t>
  </si>
  <si>
    <t xml:space="preserve">Dự kiến dư nguồn đến ngày 31/12/2024 </t>
  </si>
  <si>
    <t>ok</t>
  </si>
  <si>
    <t>Quỹ nạn nhân chất độc da cam</t>
  </si>
  <si>
    <t>Quỹ bão lụt</t>
  </si>
  <si>
    <t>Quỹ Bão lụt</t>
  </si>
  <si>
    <t>Dư nguồn đến 31/12/2022</t>
  </si>
  <si>
    <t>t5.2023 báo cáo dư 4.147trđ. Năm 2022 bc 5.803trđ</t>
  </si>
  <si>
    <t>snn</t>
  </si>
  <si>
    <t>slđtb</t>
  </si>
  <si>
    <t>lđlđ</t>
  </si>
  <si>
    <t>mttq</t>
  </si>
  <si>
    <t>ctđ</t>
  </si>
  <si>
    <t>hpn</t>
  </si>
  <si>
    <t xml:space="preserve">Quỹ hỗ trợ nhà ở cho các hộ nghèo có khó khăn về nhà ở trên địa bàn tỉnh </t>
  </si>
  <si>
    <r>
      <t xml:space="preserve">Trong đó: Hỗ trợ từ NSĐP    </t>
    </r>
    <r>
      <rPr>
        <b/>
        <sz val="12"/>
        <color indexed="8"/>
        <rFont val="Times New Roman"/>
        <family val="1"/>
      </rPr>
      <t>(nếu có)</t>
    </r>
  </si>
  <si>
    <r>
      <t xml:space="preserve">Trong đó: Hỗ trợ từ NSĐP     </t>
    </r>
    <r>
      <rPr>
        <b/>
        <sz val="12"/>
        <color indexed="8"/>
        <rFont val="Times New Roman"/>
        <family val="1"/>
      </rPr>
      <t>(nếu có)</t>
    </r>
  </si>
  <si>
    <t>Trong đó: Hỗ trợ từ NSĐP (nếu có)</t>
  </si>
  <si>
    <t>Dự kiến số dư nguồn đến ngày 31/12/2023</t>
  </si>
  <si>
    <t>KẾ HOẠCH TÀI CHÍNH CỦA CÁC QUỸ TÀI CHÍNH NHÀ NƯỚC NGOÀI NGÂN SÁCH 
DO ĐƠN VỊ, ĐỊA PHƯƠNG QUẢN LÝ NĂM 2023-2024</t>
  </si>
  <si>
    <t>CẤP TỈNH</t>
  </si>
  <si>
    <t>CẤP HUYỆN</t>
  </si>
</sst>
</file>

<file path=xl/styles.xml><?xml version="1.0" encoding="utf-8"?>
<styleSheet xmlns="http://schemas.openxmlformats.org/spreadsheetml/2006/main">
  <numFmts count="8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9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#,##0.0"/>
    <numFmt numFmtId="180" formatCode="0.000"/>
    <numFmt numFmtId="181" formatCode="_-* #,##0.00\ _€_-;\-* #,##0.00\ _€_-;_-* &quot;-&quot;??\ _€_-;_-@_-"/>
    <numFmt numFmtId="182" formatCode="0.00000"/>
    <numFmt numFmtId="183" formatCode="0.000000"/>
    <numFmt numFmtId="184" formatCode="_(* #,##0.0000_);_(* \(#,##0.0000\);_(* &quot;-&quot;??_);_(@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&quot;\&quot;#,##0;[Red]&quot;\&quot;&quot;\&quot;\-#,##0"/>
    <numFmt numFmtId="189" formatCode="_ &quot;\&quot;* #,##0_ ;_ &quot;\&quot;* \-#,##0_ ;_ &quot;\&quot;* &quot;-&quot;_ ;_ @_ "/>
    <numFmt numFmtId="190" formatCode="_ &quot;\&quot;* #,##0.00_ ;_ &quot;\&quot;* \-#,##0.00_ ;_ &quot;\&quot;* &quot;-&quot;??_ ;_ @_ "/>
    <numFmt numFmtId="191" formatCode="_ * #,##0_ ;_ * \-#,##0_ ;_ * &quot;-&quot;_ ;_ @_ "/>
    <numFmt numFmtId="192" formatCode="_ * #,##0.00_ ;_ * \-#,##0.00_ ;_ * &quot;-&quot;??_ ;_ @_ "/>
    <numFmt numFmtId="193" formatCode="00##"/>
    <numFmt numFmtId="194" formatCode="_ * #,##0_)_£_ ;_ * \(#,##0\)_£_ ;_ * &quot;-&quot;_)_£_ ;_ @_ "/>
    <numFmt numFmtId="195" formatCode="#,###"/>
    <numFmt numFmtId="196" formatCode=";;;"/>
    <numFmt numFmtId="197" formatCode="#"/>
    <numFmt numFmtId="198" formatCode="_(* #.##0.00_);_(* \(#.##0.00\);_(* &quot;-&quot;??_);_(@_)"/>
    <numFmt numFmtId="199" formatCode="_(* #,##0.0000_);_(* \(#,##0.0000\);_(* &quot;-&quot;&quot;?&quot;&quot;?&quot;_);_(@_)"/>
    <numFmt numFmtId="200" formatCode="\ ###\ ###"/>
    <numFmt numFmtId="201" formatCode=".\ ###\ ;####"/>
    <numFmt numFmtId="202" formatCode=".\ ###\ ;########"/>
    <numFmt numFmtId="203" formatCode="_-&quot;£&quot;* #,##0.00_-;\-&quot;£&quot;* #,##0.00_-;_-&quot;£&quot;* &quot;-&quot;&quot;?&quot;&quot;?&quot;_-;_-@_-"/>
    <numFmt numFmtId="204" formatCode="###\ ###"/>
    <numFmt numFmtId="205" formatCode="###\ ###\ ###\ ###"/>
    <numFmt numFmtId="206" formatCode="#,##0\ &quot;F&quot;;\-#,##0\ &quot;F&quot;"/>
    <numFmt numFmtId="207" formatCode="#,##0\ &quot;F&quot;;[Red]\-#,##0\ &quot;F&quot;"/>
    <numFmt numFmtId="208" formatCode="_-* #,##0.000\ _F_-;\-* #,##0.000\ _F_-;_-* &quot;-&quot;&quot;?&quot;&quot;?&quot;&quot;?&quot;\ _F_-;_-@_-"/>
    <numFmt numFmtId="209" formatCode="0.000_)"/>
    <numFmt numFmtId="210" formatCode="#,##0.00\ &quot;F&quot;;[Red]\-#,##0.00\ &quot;F&quot;"/>
    <numFmt numFmtId="211" formatCode="_-* #,##0\ &quot;F&quot;_-;\-* #,##0\ &quot;F&quot;_-;_-* &quot;-&quot;\ &quot;F&quot;_-;_-@_-"/>
    <numFmt numFmtId="212" formatCode="#,##0.00\ &quot;F&quot;;\-#,##0.00\ &quot;F&quot;"/>
    <numFmt numFmtId="213" formatCode="&quot;$&quot;#,##0;[Red]\-&quot;$&quot;#,##0"/>
    <numFmt numFmtId="214" formatCode="#,##0\ &quot;$&quot;_);[Red]\(#,##0\ &quot;$&quot;\)"/>
    <numFmt numFmtId="215" formatCode="#,##0\ &quot;Lt&quot;;[Red]\-#,##0\ &quot;Lt&quot;"/>
    <numFmt numFmtId="216" formatCode="0.000\ "/>
    <numFmt numFmtId="217" formatCode="_-* #,##0\ &quot;kr&quot;_-;\-* #,##0\ &quot;kr&quot;_-;_-* &quot;-&quot;\ &quot;kr&quot;_-;_-@_-"/>
    <numFmt numFmtId="218" formatCode="_-* #,##0\ _F_-;\-* #,##0\ _F_-;_-* &quot;-&quot;\ _F_-;_-@_-"/>
    <numFmt numFmtId="219" formatCode="&quot;Dong&quot;#,##0.00_);[Red]\(&quot;Dong&quot;#,##0.00\)"/>
    <numFmt numFmtId="220" formatCode="&quot;\&quot;#,##0;[Red]\-&quot;\&quot;#,##0"/>
    <numFmt numFmtId="221" formatCode="&quot;\&quot;#,##0.00;\-&quot;\&quot;#,##0.00"/>
    <numFmt numFmtId="222" formatCode="0.00000000000E+00;\?"/>
    <numFmt numFmtId="223" formatCode="_-* #,##0.00\ &quot;F&quot;_-;\-* #,##0.00\ &quot;F&quot;_-;_-* &quot;-&quot;??\ &quot;F&quot;_-;_-@_-"/>
    <numFmt numFmtId="224" formatCode="_ &quot;SFr.&quot;\ * #,##0_ ;_ &quot;SFr.&quot;\ * \-#,##0_ ;_ &quot;SFr.&quot;\ * &quot;-&quot;_ ;_ @_ "/>
    <numFmt numFmtId="225" formatCode="#,##0.00\ \ \ \ "/>
    <numFmt numFmtId="226" formatCode="_ &quot;R&quot;\ * #,##0_ ;_ &quot;R&quot;\ * \-#,##0_ ;_ &quot;R&quot;\ * &quot;-&quot;_ ;_ @_ "/>
    <numFmt numFmtId="227" formatCode="&quot;¡Ì&quot;#,##0;[Red]\-&quot;¡Ì&quot;#,##0"/>
    <numFmt numFmtId="228" formatCode="_ * #.##._ ;_ * \-#.##._ ;_ * &quot;-&quot;??_ ;_ @_ⴆ"/>
    <numFmt numFmtId="229" formatCode="_-* ###,0&quot;.&quot;00_-;\-* ###,0&quot;.&quot;00_-;_-* &quot;-&quot;??_-;_-@_-"/>
    <numFmt numFmtId="230" formatCode="&quot;\&quot;#,##0;&quot;\&quot;&quot;\&quot;&quot;\&quot;&quot;\&quot;&quot;\&quot;&quot;\&quot;&quot;\&quot;\-#,##0"/>
    <numFmt numFmtId="231" formatCode="_-* #,##0.00\ _F_-;\-* #,##0.00\ _F_-;_-* &quot;-&quot;??\ _F_-;_-@_-"/>
    <numFmt numFmtId="232" formatCode="_(&quot;$&quot;\ * #,##0_);_(&quot;$&quot;\ * \(#,##0\);_(&quot;$&quot;\ * &quot;-&quot;_);_(@_)"/>
    <numFmt numFmtId="233" formatCode="&quot;SFr.&quot;\ #,##0.00;&quot;SFr.&quot;\ \-#,##0.00"/>
    <numFmt numFmtId="234" formatCode="_-* #,##0\ _F_-;\-* #,##0\ _F_-;_-* &quot;-&quot;??\ _F_-;_-@_-"/>
    <numFmt numFmtId="235" formatCode="#,##0_);\-#,##0_)"/>
    <numFmt numFmtId="236" formatCode="#,##0.00_);\-#,##0.00_)"/>
    <numFmt numFmtId="237" formatCode="&quot;$&quot;#,##0;\-&quot;$&quot;#,##0"/>
    <numFmt numFmtId="238" formatCode="_-&quot;VND&quot;* #,##0_-;\-&quot;VND&quot;* #,##0_-;_-&quot;VND&quot;* &quot;-&quot;_-;_-@_-"/>
    <numFmt numFmtId="239" formatCode="#,##0\ &quot;$&quot;;\-#,##0\ &quot;$&quot;"/>
    <numFmt numFmtId="240" formatCode="#,##0.00\ \ "/>
    <numFmt numFmtId="241" formatCode="#,##0\ &quot;$&quot;_);\(#,##0\ &quot;$&quot;\)"/>
    <numFmt numFmtId="242" formatCode="#,##0.00\ &quot;FB&quot;;[Red]\-#,##0.00\ &quot;FB&quot;"/>
    <numFmt numFmtId="243" formatCode="_-* #,##0\ _F_B_-;\-* #,##0\ _F_B_-;_-* &quot;-&quot;\ _F_B_-;_-@_-"/>
    <numFmt numFmtId="244" formatCode="_(&quot;Rp&quot;* #,##0.00_);_(&quot;Rp&quot;* \(#,##0.00\);_(&quot;Rp&quot;* &quot;-&quot;??_);_(@_)"/>
    <numFmt numFmtId="245" formatCode="_(\§\g\ #,##0_);_(\§\g\ \(#,##0\);_(\§\g\ &quot;-&quot;??_);_(@_)"/>
    <numFmt numFmtId="246" formatCode="_(\§\g\ #,##0_);_(\§\g\ \(#,##0\);_(\§\g\ &quot;-&quot;_);_(@_)"/>
    <numFmt numFmtId="247" formatCode="\§\g#,##0_);\(\§\g#,##0\)"/>
    <numFmt numFmtId="248" formatCode="_(* #,##0.000_);_(* \(#,##0.000\);_(* &quot;-&quot;??_);_(@_)"/>
    <numFmt numFmtId="249" formatCode="_-* #,##0\ _₫_-;\-* #,##0\ _₫_-;_-* &quot;-&quot;??\ _₫_-;_-@_-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.VnArial Narrow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VNI-Times"/>
      <family val="0"/>
    </font>
    <font>
      <sz val="12"/>
      <name val="VnTime"/>
      <family val="2"/>
    </font>
    <font>
      <sz val="12"/>
      <name val="돋움체"/>
      <family val="3"/>
    </font>
    <font>
      <sz val="9"/>
      <name val="ﾀﾞｯﾁ"/>
      <family val="3"/>
    </font>
    <font>
      <sz val="12"/>
      <name val="VNtimes New Roman"/>
      <family val="0"/>
    </font>
    <font>
      <sz val="10"/>
      <name val=".VnTime"/>
      <family val="0"/>
    </font>
    <font>
      <sz val="10"/>
      <name val="Arial"/>
      <family val="2"/>
    </font>
    <font>
      <sz val="10"/>
      <name val="?? ??"/>
      <family val="1"/>
    </font>
    <font>
      <sz val="10"/>
      <name val="??"/>
      <family val="1"/>
    </font>
    <font>
      <sz val="12"/>
      <name val=".VnArial"/>
      <family val="2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0"/>
    </font>
    <font>
      <sz val="10"/>
      <name val="VnTime"/>
      <family val="0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4"/>
      <name val=".VnTime"/>
      <family val="0"/>
    </font>
    <font>
      <sz val="11"/>
      <name val="±¼¸²Ã¼"/>
      <family val="3"/>
    </font>
    <font>
      <sz val="12"/>
      <name val="¹UAAA¼"/>
      <family val="3"/>
    </font>
    <font>
      <sz val="9"/>
      <name val="ＭＳ ゴシック"/>
      <family val="3"/>
    </font>
    <font>
      <sz val="11"/>
      <name val="Arial"/>
      <family val="2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  <family val="0"/>
    </font>
    <font>
      <sz val="13"/>
      <name val=".VnTime"/>
      <family val="0"/>
    </font>
    <font>
      <sz val="11"/>
      <name val="µ¸¿ò"/>
      <family val="0"/>
    </font>
    <font>
      <sz val="10"/>
      <name val="±¼¸²A¼"/>
      <family val="3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  <family val="0"/>
    </font>
    <font>
      <b/>
      <sz val="10"/>
      <name val="MS Sans Serif"/>
      <family val="2"/>
    </font>
    <font>
      <sz val="11"/>
      <name val="Tms Rmn"/>
      <family val="0"/>
    </font>
    <font>
      <b/>
      <sz val="12"/>
      <name val="VNTime"/>
      <family val="2"/>
    </font>
    <font>
      <sz val="10"/>
      <name val="MS Serif"/>
      <family val="1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1"/>
      <name val="VNTimeH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10"/>
      <name val="VNI-Helve-Condens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</font>
    <font>
      <sz val="11"/>
      <color indexed="62"/>
      <name val="Calibri"/>
      <family val="2"/>
    </font>
    <font>
      <sz val="10"/>
      <name val=".VnArial Narrow"/>
      <family val="2"/>
    </font>
    <font>
      <u val="single"/>
      <sz val="10"/>
      <color indexed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12"/>
      <name val="Arial"/>
      <family val="2"/>
    </font>
    <font>
      <b/>
      <sz val="12"/>
      <color indexed="9"/>
      <name val="Times New Roman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3"/>
      <name val="Times New Roman"/>
      <family val="1"/>
    </font>
    <font>
      <sz val="11"/>
      <name val="VNI-Aptima"/>
      <family val="0"/>
    </font>
    <font>
      <sz val="12"/>
      <color indexed="52"/>
      <name val="Times New Roman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name val="Helv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b/>
      <sz val="10.5"/>
      <name val=".VnAvantH"/>
      <family val="2"/>
    </font>
    <font>
      <sz val="10"/>
      <color indexed="8"/>
      <name val="MS Sans Serif"/>
      <family val="2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3"/>
      <name val=".VnArial"/>
      <family val="2"/>
    </font>
    <font>
      <b/>
      <sz val="10"/>
      <name val="VNI-Univer"/>
      <family val="0"/>
    </font>
    <font>
      <sz val="10"/>
      <name val=".VnBook-Antiqua"/>
      <family val="0"/>
    </font>
    <font>
      <b/>
      <sz val="12"/>
      <name val="VNI-Times"/>
      <family val="0"/>
    </font>
    <font>
      <sz val="12"/>
      <name val="VNTime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2"/>
      <color indexed="52"/>
      <name val="Times New Roman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0"/>
      <name val=".VnArialH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name val="VNtimes new roman"/>
      <family val="0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0"/>
      <name val="VN Helvetica"/>
      <family val="0"/>
    </font>
    <font>
      <b/>
      <sz val="16"/>
      <name val=".VnTime"/>
      <family val="2"/>
    </font>
    <font>
      <sz val="10"/>
      <name val="VN Helvetica"/>
      <family val="0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2"/>
      <color indexed="2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명조"/>
      <family val="3"/>
    </font>
    <font>
      <sz val="10"/>
      <name val="돋움체"/>
      <family val="3"/>
    </font>
    <font>
      <sz val="9"/>
      <name val="Arial"/>
      <family val="2"/>
    </font>
    <font>
      <sz val="10"/>
      <name val="明朝"/>
      <family val="1"/>
    </font>
    <font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double"/>
      <bottom/>
    </border>
    <border>
      <left style="hair"/>
      <right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 style="double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 style="medium"/>
      <top style="medium"/>
      <bottom style="thin"/>
    </border>
    <border>
      <left/>
      <right style="medium">
        <color indexed="63"/>
      </right>
      <top/>
      <bottom/>
    </border>
    <border>
      <left style="thin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 style="hair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3" fontId="12" fillId="0" borderId="1">
      <alignment/>
      <protection/>
    </xf>
    <xf numFmtId="38" fontId="13" fillId="0" borderId="0" applyFont="0" applyFill="0" applyBorder="0" applyAlignment="0" applyProtection="0"/>
    <xf numFmtId="178" fontId="14" fillId="0" borderId="2" applyFont="0" applyBorder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16" fillId="0" borderId="0" applyFont="0" applyFill="0" applyBorder="0" applyAlignment="0" applyProtection="0"/>
    <xf numFmtId="196" fontId="18" fillId="0" borderId="3">
      <alignment horizontal="center"/>
      <protection/>
    </xf>
    <xf numFmtId="0" fontId="16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8" fillId="0" borderId="4">
      <alignment/>
      <protection/>
    </xf>
    <xf numFmtId="204" fontId="15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41" fontId="3" fillId="0" borderId="0" applyFont="0" applyFill="0" applyBorder="0" applyAlignment="0" applyProtection="0"/>
    <xf numFmtId="174" fontId="24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174" fontId="24" fillId="0" borderId="0" applyFon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>
      <alignment/>
      <protection/>
    </xf>
    <xf numFmtId="174" fontId="24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10" fillId="0" borderId="0" applyFont="0" applyFill="0" applyBorder="0" applyAlignment="0" applyProtection="0"/>
    <xf numFmtId="174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2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2" fontId="24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>
      <alignment/>
      <protection/>
    </xf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10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>
      <alignment/>
      <protection/>
    </xf>
    <xf numFmtId="174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0" fontId="27" fillId="0" borderId="0">
      <alignment vertical="top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189" fontId="28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1" fontId="32" fillId="0" borderId="1" applyBorder="0" applyAlignment="0">
      <protection/>
    </xf>
    <xf numFmtId="3" fontId="12" fillId="0" borderId="1">
      <alignment/>
      <protection/>
    </xf>
    <xf numFmtId="3" fontId="12" fillId="0" borderId="1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189" fontId="28" fillId="0" borderId="0" applyFont="0" applyFill="0" applyBorder="0" applyAlignment="0" applyProtection="0"/>
    <xf numFmtId="0" fontId="34" fillId="2" borderId="0">
      <alignment/>
      <protection/>
    </xf>
    <xf numFmtId="0" fontId="172" fillId="2" borderId="0">
      <alignment/>
      <protection/>
    </xf>
    <xf numFmtId="0" fontId="35" fillId="0" borderId="0" applyFont="0" applyFill="0" applyBorder="0" applyAlignment="0">
      <protection/>
    </xf>
    <xf numFmtId="0" fontId="34" fillId="2" borderId="0">
      <alignment/>
      <protection/>
    </xf>
    <xf numFmtId="0" fontId="172" fillId="2" borderId="0">
      <alignment/>
      <protection/>
    </xf>
    <xf numFmtId="0" fontId="33" fillId="2" borderId="0">
      <alignment/>
      <protection/>
    </xf>
    <xf numFmtId="0" fontId="36" fillId="0" borderId="1" applyNumberFormat="0" applyFont="0" applyBorder="0">
      <alignment horizontal="left" indent="2"/>
      <protection/>
    </xf>
    <xf numFmtId="0" fontId="36" fillId="0" borderId="1" applyNumberFormat="0" applyFont="0" applyBorder="0">
      <alignment horizontal="left" indent="2"/>
      <protection/>
    </xf>
    <xf numFmtId="0" fontId="36" fillId="0" borderId="1" applyNumberFormat="0" applyFont="0" applyBorder="0">
      <alignment horizontal="left" indent="2"/>
      <protection/>
    </xf>
    <xf numFmtId="0" fontId="36" fillId="0" borderId="1" applyNumberFormat="0" applyFont="0" applyBorder="0">
      <alignment horizontal="left" indent="2"/>
      <protection/>
    </xf>
    <xf numFmtId="0" fontId="33" fillId="2" borderId="0">
      <alignment/>
      <protection/>
    </xf>
    <xf numFmtId="0" fontId="35" fillId="0" borderId="0" applyFont="0" applyFill="0" applyBorder="0" applyAlignment="0">
      <protection/>
    </xf>
    <xf numFmtId="0" fontId="33" fillId="2" borderId="0">
      <alignment/>
      <protection/>
    </xf>
    <xf numFmtId="0" fontId="37" fillId="3" borderId="5" applyFont="0" applyFill="0" applyAlignment="0">
      <protection/>
    </xf>
    <xf numFmtId="9" fontId="38" fillId="0" borderId="0" applyBorder="0" applyAlignment="0" applyProtection="0"/>
    <xf numFmtId="0" fontId="39" fillId="2" borderId="0">
      <alignment/>
      <protection/>
    </xf>
    <xf numFmtId="0" fontId="39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9" fillId="2" borderId="0">
      <alignment/>
      <protection/>
    </xf>
    <xf numFmtId="0" fontId="36" fillId="0" borderId="1" applyNumberFormat="0" applyFont="0" applyBorder="0" applyAlignment="0">
      <protection/>
    </xf>
    <xf numFmtId="0" fontId="36" fillId="0" borderId="1" applyNumberFormat="0" applyFont="0" applyBorder="0" applyAlignment="0">
      <protection/>
    </xf>
    <xf numFmtId="0" fontId="36" fillId="0" borderId="1" applyNumberFormat="0" applyFont="0" applyBorder="0" applyAlignment="0">
      <protection/>
    </xf>
    <xf numFmtId="0" fontId="36" fillId="0" borderId="1" applyNumberFormat="0" applyFont="0" applyBorder="0" applyAlignment="0">
      <protection/>
    </xf>
    <xf numFmtId="0" fontId="39" fillId="2" borderId="0">
      <alignment/>
      <protection/>
    </xf>
    <xf numFmtId="0" fontId="39" fillId="2" borderId="0">
      <alignment/>
      <protection/>
    </xf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0" borderId="0">
      <alignment/>
      <protection/>
    </xf>
    <xf numFmtId="0" fontId="40" fillId="2" borderId="0">
      <alignment/>
      <protection/>
    </xf>
    <xf numFmtId="0" fontId="40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34" fillId="2" borderId="0">
      <alignment/>
      <protection/>
    </xf>
    <xf numFmtId="0" fontId="172" fillId="2" borderId="0">
      <alignment/>
      <protection/>
    </xf>
    <xf numFmtId="0" fontId="40" fillId="2" borderId="0">
      <alignment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34" fillId="0" borderId="0">
      <alignment wrapText="1"/>
      <protection/>
    </xf>
    <xf numFmtId="0" fontId="172" fillId="0" borderId="0">
      <alignment wrapText="1"/>
      <protection/>
    </xf>
    <xf numFmtId="0" fontId="34" fillId="0" borderId="0">
      <alignment wrapText="1"/>
      <protection/>
    </xf>
    <xf numFmtId="0" fontId="172" fillId="0" borderId="0">
      <alignment wrapText="1"/>
      <protection/>
    </xf>
    <xf numFmtId="0" fontId="34" fillId="0" borderId="0">
      <alignment wrapText="1"/>
      <protection/>
    </xf>
    <xf numFmtId="0" fontId="172" fillId="0" borderId="0">
      <alignment wrapText="1"/>
      <protection/>
    </xf>
    <xf numFmtId="0" fontId="34" fillId="0" borderId="0">
      <alignment wrapText="1"/>
      <protection/>
    </xf>
    <xf numFmtId="0" fontId="172" fillId="0" borderId="0">
      <alignment wrapText="1"/>
      <protection/>
    </xf>
    <xf numFmtId="0" fontId="34" fillId="0" borderId="0">
      <alignment wrapText="1"/>
      <protection/>
    </xf>
    <xf numFmtId="0" fontId="172" fillId="0" borderId="0">
      <alignment wrapText="1"/>
      <protection/>
    </xf>
    <xf numFmtId="0" fontId="41" fillId="0" borderId="0">
      <alignment wrapText="1"/>
      <protection/>
    </xf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18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233" fontId="10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47" fillId="0" borderId="6" applyFont="0" applyFill="0" applyBorder="0" applyAlignment="0" applyProtection="0"/>
    <xf numFmtId="0" fontId="9" fillId="0" borderId="0">
      <alignment horizontal="center" wrapText="1"/>
      <protection locked="0"/>
    </xf>
    <xf numFmtId="0" fontId="48" fillId="0" borderId="0" applyFont="0">
      <alignment/>
      <protection/>
    </xf>
    <xf numFmtId="0" fontId="49" fillId="0" borderId="0" applyNumberFormat="0" applyBorder="0" applyAlignment="0">
      <protection/>
    </xf>
    <xf numFmtId="19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92" fontId="5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61" fillId="5" borderId="0" applyNumberFormat="0" applyBorder="0" applyAlignment="0" applyProtection="0"/>
    <xf numFmtId="0" fontId="51" fillId="5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4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16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199" fontId="25" fillId="0" borderId="0" applyFill="0" applyBorder="0" applyAlignment="0">
      <protection/>
    </xf>
    <xf numFmtId="8" fontId="15" fillId="0" borderId="0" applyFill="0" applyBorder="0" applyAlignment="0">
      <protection/>
    </xf>
    <xf numFmtId="8" fontId="15" fillId="0" borderId="0" applyFill="0" applyBorder="0" applyAlignment="0">
      <protection/>
    </xf>
    <xf numFmtId="203" fontId="15" fillId="0" borderId="0" applyFill="0" applyBorder="0" applyAlignment="0">
      <protection/>
    </xf>
    <xf numFmtId="203" fontId="15" fillId="0" borderId="0" applyFill="0" applyBorder="0" applyAlignment="0">
      <protection/>
    </xf>
    <xf numFmtId="208" fontId="57" fillId="0" borderId="0" applyFill="0" applyBorder="0" applyAlignment="0">
      <protection/>
    </xf>
    <xf numFmtId="42" fontId="15" fillId="0" borderId="0" applyFill="0" applyBorder="0" applyAlignment="0">
      <protection/>
    </xf>
    <xf numFmtId="42" fontId="15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0" fontId="139" fillId="2" borderId="7" applyNumberFormat="0" applyAlignment="0" applyProtection="0"/>
    <xf numFmtId="0" fontId="58" fillId="2" borderId="7" applyNumberFormat="0" applyAlignment="0" applyProtection="0"/>
    <xf numFmtId="0" fontId="59" fillId="0" borderId="0">
      <alignment/>
      <protection/>
    </xf>
    <xf numFmtId="223" fontId="24" fillId="0" borderId="0" applyFont="0" applyFill="0" applyBorder="0" applyAlignment="0" applyProtection="0"/>
    <xf numFmtId="0" fontId="97" fillId="22" borderId="8" applyNumberFormat="0" applyAlignment="0" applyProtection="0"/>
    <xf numFmtId="0" fontId="60" fillId="22" borderId="8" applyNumberFormat="0" applyAlignment="0" applyProtection="0"/>
    <xf numFmtId="178" fontId="6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1" fontId="62" fillId="0" borderId="9" applyBorder="0">
      <alignment/>
      <protection/>
    </xf>
    <xf numFmtId="177" fontId="0" fillId="0" borderId="0" applyFont="0" applyFill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175" fontId="0" fillId="0" borderId="0" applyFont="0" applyFill="0" applyBorder="0" applyAlignment="0" applyProtection="0"/>
    <xf numFmtId="175" fontId="184" fillId="0" borderId="0" applyFont="0" applyFill="0" applyBorder="0" applyAlignment="0" applyProtection="0"/>
    <xf numFmtId="208" fontId="57" fillId="0" borderId="0" applyFont="0" applyFill="0" applyBorder="0" applyAlignment="0" applyProtection="0"/>
    <xf numFmtId="177" fontId="16" fillId="0" borderId="0" applyFont="0" applyFill="0" applyBorder="0" applyAlignment="0" applyProtection="0"/>
    <xf numFmtId="171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184" fillId="0" borderId="0" applyFont="0" applyFill="0" applyBorder="0" applyAlignment="0" applyProtection="0"/>
    <xf numFmtId="202" fontId="15" fillId="0" borderId="0">
      <alignment/>
      <protection/>
    </xf>
    <xf numFmtId="202" fontId="15" fillId="0" borderId="0">
      <alignment/>
      <protection/>
    </xf>
    <xf numFmtId="3" fontId="16" fillId="0" borderId="0" applyFont="0" applyFill="0" applyBorder="0" applyAlignment="0" applyProtection="0"/>
    <xf numFmtId="0" fontId="65" fillId="0" borderId="0">
      <alignment horizontal="center"/>
      <protection/>
    </xf>
    <xf numFmtId="0" fontId="66" fillId="0" borderId="0" applyNumberFormat="0" applyAlignment="0">
      <protection/>
    </xf>
    <xf numFmtId="226" fontId="5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200" fontId="15" fillId="0" borderId="0">
      <alignment/>
      <protection/>
    </xf>
    <xf numFmtId="200" fontId="15" fillId="0" borderId="0">
      <alignment/>
      <protection/>
    </xf>
    <xf numFmtId="180" fontId="3" fillId="0" borderId="10">
      <alignment/>
      <protection/>
    </xf>
    <xf numFmtId="180" fontId="3" fillId="0" borderId="10">
      <alignment/>
      <protection/>
    </xf>
    <xf numFmtId="0" fontId="16" fillId="0" borderId="0" applyFont="0" applyFill="0" applyBorder="0" applyAlignment="0" applyProtection="0"/>
    <xf numFmtId="14" fontId="27" fillId="0" borderId="0" applyFill="0" applyBorder="0" applyAlignment="0">
      <protection/>
    </xf>
    <xf numFmtId="0" fontId="16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7" fillId="2" borderId="11" applyNumberFormat="0" applyAlignment="0" applyProtection="0"/>
    <xf numFmtId="0" fontId="68" fillId="9" borderId="7" applyNumberFormat="0" applyAlignment="0" applyProtection="0"/>
    <xf numFmtId="0" fontId="69" fillId="0" borderId="0">
      <alignment/>
      <protection/>
    </xf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5" fontId="3" fillId="0" borderId="0">
      <alignment/>
      <protection/>
    </xf>
    <xf numFmtId="246" fontId="15" fillId="0" borderId="1">
      <alignment/>
      <protection/>
    </xf>
    <xf numFmtId="201" fontId="15" fillId="0" borderId="0">
      <alignment/>
      <protection/>
    </xf>
    <xf numFmtId="201" fontId="15" fillId="0" borderId="0">
      <alignment/>
      <protection/>
    </xf>
    <xf numFmtId="247" fontId="15" fillId="0" borderId="0">
      <alignment/>
      <protection/>
    </xf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44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239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3" fontId="3" fillId="0" borderId="0" applyFont="0" applyBorder="0" applyAlignment="0">
      <protection/>
    </xf>
    <xf numFmtId="208" fontId="57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208" fontId="57" fillId="0" borderId="0" applyFill="0" applyBorder="0" applyAlignment="0">
      <protection/>
    </xf>
    <xf numFmtId="42" fontId="15" fillId="0" borderId="0" applyFill="0" applyBorder="0" applyAlignment="0">
      <protection/>
    </xf>
    <xf numFmtId="42" fontId="15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0" fontId="74" fillId="0" borderId="0" applyNumberFormat="0" applyAlignment="0">
      <protection/>
    </xf>
    <xf numFmtId="0" fontId="75" fillId="0" borderId="0">
      <alignment/>
      <protection/>
    </xf>
    <xf numFmtId="0" fontId="1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3" fillId="0" borderId="0" applyFont="0" applyBorder="0" applyAlignment="0">
      <protection/>
    </xf>
    <xf numFmtId="2" fontId="16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7" fillId="23" borderId="15" applyNumberFormat="0" applyFont="0" applyAlignment="0" applyProtection="0"/>
    <xf numFmtId="0" fontId="11" fillId="0" borderId="0">
      <alignment vertical="top" wrapText="1"/>
      <protection/>
    </xf>
    <xf numFmtId="3" fontId="3" fillId="24" borderId="16">
      <alignment horizontal="right" vertical="top" wrapText="1"/>
      <protection/>
    </xf>
    <xf numFmtId="3" fontId="3" fillId="24" borderId="16">
      <alignment horizontal="right" vertical="top" wrapText="1"/>
      <protection/>
    </xf>
    <xf numFmtId="0" fontId="146" fillId="6" borderId="0" applyNumberFormat="0" applyBorder="0" applyAlignment="0" applyProtection="0"/>
    <xf numFmtId="0" fontId="77" fillId="6" borderId="0" applyNumberFormat="0" applyBorder="0" applyAlignment="0" applyProtection="0"/>
    <xf numFmtId="38" fontId="78" fillId="2" borderId="0" applyNumberFormat="0" applyBorder="0" applyAlignment="0" applyProtection="0"/>
    <xf numFmtId="235" fontId="2" fillId="2" borderId="0" applyBorder="0" applyProtection="0">
      <alignment/>
    </xf>
    <xf numFmtId="219" fontId="15" fillId="25" borderId="17" applyBorder="0">
      <alignment horizontal="center"/>
      <protection/>
    </xf>
    <xf numFmtId="219" fontId="15" fillId="25" borderId="17" applyBorder="0">
      <alignment horizontal="center"/>
      <protection/>
    </xf>
    <xf numFmtId="219" fontId="15" fillId="25" borderId="17" applyBorder="0">
      <alignment horizontal="center"/>
      <protection/>
    </xf>
    <xf numFmtId="219" fontId="15" fillId="25" borderId="17" applyBorder="0">
      <alignment horizontal="center"/>
      <protection/>
    </xf>
    <xf numFmtId="0" fontId="79" fillId="0" borderId="17" applyNumberFormat="0" applyFill="0" applyBorder="0" applyAlignment="0" applyProtection="0"/>
    <xf numFmtId="219" fontId="15" fillId="25" borderId="17" applyBorder="0">
      <alignment horizontal="center"/>
      <protection/>
    </xf>
    <xf numFmtId="219" fontId="15" fillId="25" borderId="17" applyBorder="0">
      <alignment horizontal="center"/>
      <protection/>
    </xf>
    <xf numFmtId="0" fontId="79" fillId="0" borderId="17" applyNumberFormat="0" applyFill="0" applyBorder="0" applyAlignment="0" applyProtection="0"/>
    <xf numFmtId="0" fontId="80" fillId="0" borderId="0" applyNumberFormat="0" applyFont="0" applyBorder="0" applyAlignment="0">
      <protection/>
    </xf>
    <xf numFmtId="0" fontId="81" fillId="26" borderId="0">
      <alignment/>
      <protection/>
    </xf>
    <xf numFmtId="0" fontId="82" fillId="0" borderId="0">
      <alignment horizontal="left"/>
      <protection/>
    </xf>
    <xf numFmtId="0" fontId="83" fillId="0" borderId="18" applyNumberFormat="0" applyAlignment="0" applyProtection="0"/>
    <xf numFmtId="0" fontId="83" fillId="0" borderId="19">
      <alignment horizontal="left" vertical="center"/>
      <protection/>
    </xf>
    <xf numFmtId="0" fontId="186" fillId="0" borderId="20" applyNumberFormat="0" applyFill="0" applyAlignment="0" applyProtection="0"/>
    <xf numFmtId="0" fontId="84" fillId="0" borderId="12" applyNumberFormat="0" applyFill="0" applyAlignment="0" applyProtection="0"/>
    <xf numFmtId="0" fontId="187" fillId="0" borderId="21" applyNumberFormat="0" applyFill="0" applyAlignment="0" applyProtection="0"/>
    <xf numFmtId="0" fontId="85" fillId="0" borderId="13" applyNumberFormat="0" applyFill="0" applyAlignment="0" applyProtection="0"/>
    <xf numFmtId="0" fontId="188" fillId="0" borderId="22" applyNumberFormat="0" applyFill="0" applyAlignment="0" applyProtection="0"/>
    <xf numFmtId="0" fontId="86" fillId="0" borderId="14" applyNumberFormat="0" applyFill="0" applyAlignment="0" applyProtection="0"/>
    <xf numFmtId="0" fontId="1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Protection="0">
      <alignment/>
    </xf>
    <xf numFmtId="0" fontId="83" fillId="0" borderId="0" applyProtection="0">
      <alignment/>
    </xf>
    <xf numFmtId="0" fontId="88" fillId="0" borderId="23">
      <alignment horizontal="center"/>
      <protection/>
    </xf>
    <xf numFmtId="0" fontId="88" fillId="0" borderId="0">
      <alignment horizontal="center"/>
      <protection/>
    </xf>
    <xf numFmtId="172" fontId="89" fillId="27" borderId="1" applyNumberFormat="0" applyAlignment="0">
      <protection/>
    </xf>
    <xf numFmtId="196" fontId="47" fillId="0" borderId="0" applyFont="0" applyFill="0" applyBorder="0" applyAlignment="0" applyProtection="0"/>
    <xf numFmtId="49" fontId="90" fillId="0" borderId="1">
      <alignment vertical="center"/>
      <protection/>
    </xf>
    <xf numFmtId="0" fontId="4" fillId="0" borderId="0">
      <alignment/>
      <protection/>
    </xf>
    <xf numFmtId="0" fontId="18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38" fontId="26" fillId="0" borderId="0" applyFont="0" applyFill="0" applyBorder="0" applyAlignment="0" applyProtection="0"/>
    <xf numFmtId="175" fontId="24" fillId="0" borderId="0" applyFont="0" applyFill="0" applyBorder="0" applyAlignment="0" applyProtection="0"/>
    <xf numFmtId="241" fontId="91" fillId="0" borderId="0" applyFont="0" applyFill="0" applyBorder="0" applyAlignment="0" applyProtection="0"/>
    <xf numFmtId="0" fontId="190" fillId="28" borderId="24" applyNumberFormat="0" applyAlignment="0" applyProtection="0"/>
    <xf numFmtId="10" fontId="78" fillId="23" borderId="1" applyNumberFormat="0" applyBorder="0" applyAlignment="0" applyProtection="0"/>
    <xf numFmtId="0" fontId="92" fillId="9" borderId="7" applyNumberFormat="0" applyAlignment="0" applyProtection="0"/>
    <xf numFmtId="0" fontId="92" fillId="9" borderId="7" applyNumberFormat="0" applyAlignment="0" applyProtection="0"/>
    <xf numFmtId="0" fontId="93" fillId="0" borderId="0" applyBorder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9" fillId="0" borderId="25">
      <alignment horizontal="centerContinuous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8" fontId="61" fillId="0" borderId="0" applyFont="0" applyFill="0" applyBorder="0" applyAlignment="0" applyProtection="0"/>
    <xf numFmtId="178" fontId="61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2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227" fontId="54" fillId="0" borderId="0" applyFont="0" applyFill="0" applyBorder="0" applyAlignment="0" applyProtection="0"/>
    <xf numFmtId="227" fontId="5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9" fontId="3" fillId="29" borderId="16">
      <alignment vertical="top" wrapText="1"/>
      <protection/>
    </xf>
    <xf numFmtId="179" fontId="3" fillId="29" borderId="16">
      <alignment vertical="top" wrapText="1"/>
      <protection/>
    </xf>
    <xf numFmtId="0" fontId="3" fillId="0" borderId="0">
      <alignment/>
      <protection/>
    </xf>
    <xf numFmtId="0" fontId="4" fillId="0" borderId="0" applyNumberFormat="0" applyFont="0" applyFill="0" applyBorder="0" applyProtection="0">
      <alignment horizontal="left" vertical="center"/>
    </xf>
    <xf numFmtId="208" fontId="57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208" fontId="57" fillId="0" borderId="0" applyFill="0" applyBorder="0" applyAlignment="0">
      <protection/>
    </xf>
    <xf numFmtId="42" fontId="15" fillId="0" borderId="0" applyFill="0" applyBorder="0" applyAlignment="0">
      <protection/>
    </xf>
    <xf numFmtId="42" fontId="15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0" fontId="108" fillId="0" borderId="26" applyNumberFormat="0" applyFill="0" applyAlignment="0" applyProtection="0"/>
    <xf numFmtId="0" fontId="98" fillId="0" borderId="26" applyNumberFormat="0" applyFill="0" applyAlignment="0" applyProtection="0"/>
    <xf numFmtId="0" fontId="47" fillId="0" borderId="0" applyFont="0" applyFill="0" applyBorder="0" applyProtection="0">
      <alignment horizontal="center" vertical="center"/>
    </xf>
    <xf numFmtId="180" fontId="99" fillId="0" borderId="27" applyNumberFormat="0" applyFont="0" applyFill="0" applyBorder="0">
      <alignment horizontal="center"/>
      <protection/>
    </xf>
    <xf numFmtId="38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0" fillId="0" borderId="23">
      <alignment/>
      <protection/>
    </xf>
    <xf numFmtId="195" fontId="101" fillId="0" borderId="27">
      <alignment/>
      <protection/>
    </xf>
    <xf numFmtId="214" fontId="26" fillId="0" borderId="0" applyFont="0" applyFill="0" applyBorder="0" applyAlignment="0" applyProtection="0"/>
    <xf numFmtId="217" fontId="61" fillId="0" borderId="0" applyFont="0" applyFill="0" applyBorder="0" applyAlignment="0" applyProtection="0"/>
    <xf numFmtId="220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0" fontId="57" fillId="0" borderId="0" applyNumberFormat="0" applyFont="0" applyFill="0" applyAlignment="0">
      <protection/>
    </xf>
    <xf numFmtId="0" fontId="148" fillId="30" borderId="0" applyNumberFormat="0" applyBorder="0" applyAlignment="0" applyProtection="0"/>
    <xf numFmtId="0" fontId="102" fillId="30" borderId="0" applyNumberFormat="0" applyBorder="0" applyAlignment="0" applyProtection="0"/>
    <xf numFmtId="0" fontId="54" fillId="0" borderId="1">
      <alignment/>
      <protection/>
    </xf>
    <xf numFmtId="0" fontId="4" fillId="0" borderId="0">
      <alignment/>
      <protection/>
    </xf>
    <xf numFmtId="0" fontId="15" fillId="0" borderId="28" applyNumberFormat="0" applyAlignment="0">
      <protection/>
    </xf>
    <xf numFmtId="37" fontId="103" fillId="0" borderId="0">
      <alignment/>
      <protection/>
    </xf>
    <xf numFmtId="0" fontId="104" fillId="0" borderId="1" applyNumberFormat="0" applyFont="0" applyFill="0" applyBorder="0" applyAlignment="0">
      <protection/>
    </xf>
    <xf numFmtId="194" fontId="54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184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2" fillId="0" borderId="0" applyFont="0">
      <alignment/>
      <protection/>
    </xf>
    <xf numFmtId="0" fontId="25" fillId="31" borderId="0">
      <alignment/>
      <protection/>
    </xf>
    <xf numFmtId="0" fontId="73" fillId="0" borderId="0">
      <alignment/>
      <protection/>
    </xf>
    <xf numFmtId="0" fontId="0" fillId="32" borderId="29" applyNumberFormat="0" applyFont="0" applyAlignment="0" applyProtection="0"/>
    <xf numFmtId="0" fontId="16" fillId="23" borderId="15" applyNumberFormat="0" applyFont="0" applyAlignment="0" applyProtection="0"/>
    <xf numFmtId="236" fontId="107" fillId="0" borderId="0" applyFont="0" applyFill="0" applyBorder="0" applyProtection="0">
      <alignment vertical="top" wrapText="1"/>
    </xf>
    <xf numFmtId="0" fontId="15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4" fillId="0" borderId="0">
      <alignment/>
      <protection/>
    </xf>
    <xf numFmtId="0" fontId="191" fillId="33" borderId="30" applyNumberFormat="0" applyAlignment="0" applyProtection="0"/>
    <xf numFmtId="0" fontId="110" fillId="2" borderId="11" applyNumberFormat="0" applyAlignment="0" applyProtection="0"/>
    <xf numFmtId="178" fontId="111" fillId="0" borderId="28" applyFont="0" applyBorder="0" applyAlignment="0">
      <protection/>
    </xf>
    <xf numFmtId="175" fontId="16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31" applyNumberFormat="0" applyBorder="0">
      <alignment/>
      <protection/>
    </xf>
    <xf numFmtId="208" fontId="57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208" fontId="57" fillId="0" borderId="0" applyFill="0" applyBorder="0" applyAlignment="0">
      <protection/>
    </xf>
    <xf numFmtId="42" fontId="15" fillId="0" borderId="0" applyFill="0" applyBorder="0" applyAlignment="0">
      <protection/>
    </xf>
    <xf numFmtId="42" fontId="15" fillId="0" borderId="0" applyFill="0" applyBorder="0" applyAlignment="0">
      <protection/>
    </xf>
    <xf numFmtId="7" fontId="15" fillId="0" borderId="0" applyFill="0" applyBorder="0" applyAlignment="0">
      <protection/>
    </xf>
    <xf numFmtId="7" fontId="15" fillId="0" borderId="0" applyFill="0" applyBorder="0" applyAlignment="0">
      <protection/>
    </xf>
    <xf numFmtId="0" fontId="112" fillId="0" borderId="0">
      <alignment/>
      <protection/>
    </xf>
    <xf numFmtId="0" fontId="26" fillId="0" borderId="0" applyNumberFormat="0" applyFont="0" applyFill="0" applyBorder="0" applyAlignment="0" applyProtection="0"/>
    <xf numFmtId="0" fontId="63" fillId="0" borderId="23">
      <alignment horizontal="center"/>
      <protection/>
    </xf>
    <xf numFmtId="0" fontId="113" fillId="34" borderId="0" applyNumberFormat="0" applyFont="0" applyBorder="0" applyAlignment="0">
      <protection/>
    </xf>
    <xf numFmtId="14" fontId="1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>
      <alignment/>
      <protection/>
    </xf>
    <xf numFmtId="175" fontId="2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115" fillId="30" borderId="32" applyNumberFormat="0" applyProtection="0">
      <alignment vertical="center"/>
    </xf>
    <xf numFmtId="4" fontId="116" fillId="30" borderId="32" applyNumberFormat="0" applyProtection="0">
      <alignment vertical="center"/>
    </xf>
    <xf numFmtId="4" fontId="117" fillId="30" borderId="32" applyNumberFormat="0" applyProtection="0">
      <alignment horizontal="left" vertical="center" indent="1"/>
    </xf>
    <xf numFmtId="4" fontId="117" fillId="35" borderId="0" applyNumberFormat="0" applyProtection="0">
      <alignment horizontal="left" vertical="center" indent="1"/>
    </xf>
    <xf numFmtId="4" fontId="117" fillId="19" borderId="32" applyNumberFormat="0" applyProtection="0">
      <alignment horizontal="right" vertical="center"/>
    </xf>
    <xf numFmtId="4" fontId="117" fillId="5" borderId="32" applyNumberFormat="0" applyProtection="0">
      <alignment horizontal="right" vertical="center"/>
    </xf>
    <xf numFmtId="4" fontId="117" fillId="11" borderId="32" applyNumberFormat="0" applyProtection="0">
      <alignment horizontal="right" vertical="center"/>
    </xf>
    <xf numFmtId="4" fontId="117" fillId="6" borderId="32" applyNumberFormat="0" applyProtection="0">
      <alignment horizontal="right" vertical="center"/>
    </xf>
    <xf numFmtId="4" fontId="117" fillId="13" borderId="32" applyNumberFormat="0" applyProtection="0">
      <alignment horizontal="right" vertical="center"/>
    </xf>
    <xf numFmtId="4" fontId="117" fillId="9" borderId="32" applyNumberFormat="0" applyProtection="0">
      <alignment horizontal="right" vertical="center"/>
    </xf>
    <xf numFmtId="4" fontId="117" fillId="36" borderId="32" applyNumberFormat="0" applyProtection="0">
      <alignment horizontal="right" vertical="center"/>
    </xf>
    <xf numFmtId="4" fontId="117" fillId="20" borderId="32" applyNumberFormat="0" applyProtection="0">
      <alignment horizontal="right" vertical="center"/>
    </xf>
    <xf numFmtId="4" fontId="117" fillId="37" borderId="32" applyNumberFormat="0" applyProtection="0">
      <alignment horizontal="right" vertical="center"/>
    </xf>
    <xf numFmtId="4" fontId="115" fillId="38" borderId="33" applyNumberFormat="0" applyProtection="0">
      <alignment horizontal="left" vertical="center" indent="1"/>
    </xf>
    <xf numFmtId="4" fontId="115" fillId="10" borderId="0" applyNumberFormat="0" applyProtection="0">
      <alignment horizontal="left" vertical="center" indent="1"/>
    </xf>
    <xf numFmtId="4" fontId="115" fillId="35" borderId="0" applyNumberFormat="0" applyProtection="0">
      <alignment horizontal="left" vertical="center" indent="1"/>
    </xf>
    <xf numFmtId="4" fontId="117" fillId="10" borderId="32" applyNumberFormat="0" applyProtection="0">
      <alignment horizontal="right" vertical="center"/>
    </xf>
    <xf numFmtId="4" fontId="27" fillId="10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117" fillId="25" borderId="32" applyNumberFormat="0" applyProtection="0">
      <alignment vertical="center"/>
    </xf>
    <xf numFmtId="4" fontId="118" fillId="25" borderId="32" applyNumberFormat="0" applyProtection="0">
      <alignment vertical="center"/>
    </xf>
    <xf numFmtId="4" fontId="115" fillId="10" borderId="34" applyNumberFormat="0" applyProtection="0">
      <alignment horizontal="left" vertical="center" indent="1"/>
    </xf>
    <xf numFmtId="4" fontId="117" fillId="25" borderId="32" applyNumberFormat="0" applyProtection="0">
      <alignment horizontal="right" vertical="center"/>
    </xf>
    <xf numFmtId="4" fontId="118" fillId="25" borderId="32" applyNumberFormat="0" applyProtection="0">
      <alignment horizontal="right" vertical="center"/>
    </xf>
    <xf numFmtId="4" fontId="115" fillId="10" borderId="32" applyNumberFormat="0" applyProtection="0">
      <alignment horizontal="left" vertical="center" indent="1"/>
    </xf>
    <xf numFmtId="4" fontId="119" fillId="27" borderId="34" applyNumberFormat="0" applyProtection="0">
      <alignment horizontal="left" vertical="center" indent="1"/>
    </xf>
    <xf numFmtId="4" fontId="120" fillId="25" borderId="32" applyNumberFormat="0" applyProtection="0">
      <alignment horizontal="right" vertical="center"/>
    </xf>
    <xf numFmtId="197" fontId="121" fillId="0" borderId="0" applyFont="0" applyFill="0" applyBorder="0" applyAlignment="0" applyProtection="0"/>
    <xf numFmtId="0" fontId="113" fillId="1" borderId="19" applyNumberFormat="0" applyFont="0" applyAlignment="0">
      <protection/>
    </xf>
    <xf numFmtId="0" fontId="122" fillId="0" borderId="0" applyNumberFormat="0" applyFill="0" applyBorder="0" applyAlignment="0" applyProtection="0"/>
    <xf numFmtId="3" fontId="10" fillId="0" borderId="0">
      <alignment/>
      <protection/>
    </xf>
    <xf numFmtId="0" fontId="123" fillId="0" borderId="0" applyNumberFormat="0" applyFill="0" applyBorder="0" applyAlignment="0">
      <protection/>
    </xf>
    <xf numFmtId="0" fontId="16" fillId="0" borderId="0">
      <alignment/>
      <protection/>
    </xf>
    <xf numFmtId="178" fontId="124" fillId="0" borderId="0" applyNumberFormat="0" applyBorder="0" applyAlignment="0">
      <protection/>
    </xf>
    <xf numFmtId="0" fontId="125" fillId="0" borderId="0">
      <alignment/>
      <protection/>
    </xf>
    <xf numFmtId="14" fontId="126" fillId="0" borderId="0">
      <alignment/>
      <protection/>
    </xf>
    <xf numFmtId="0" fontId="127" fillId="0" borderId="0">
      <alignment/>
      <protection/>
    </xf>
    <xf numFmtId="0" fontId="100" fillId="0" borderId="0">
      <alignment/>
      <protection/>
    </xf>
    <xf numFmtId="40" fontId="128" fillId="0" borderId="0" applyBorder="0">
      <alignment horizontal="right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42" fontId="129" fillId="0" borderId="3">
      <alignment horizontal="right" vertical="center"/>
      <protection/>
    </xf>
    <xf numFmtId="6" fontId="4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40" fontId="24" fillId="0" borderId="3">
      <alignment horizontal="right" vertical="center"/>
      <protection/>
    </xf>
    <xf numFmtId="6" fontId="44" fillId="0" borderId="3">
      <alignment horizontal="right" vertical="center"/>
      <protection/>
    </xf>
    <xf numFmtId="182" fontId="3" fillId="0" borderId="3">
      <alignment horizontal="right" vertical="center"/>
      <protection/>
    </xf>
    <xf numFmtId="182" fontId="3" fillId="0" borderId="3">
      <alignment horizontal="right" vertical="center"/>
      <protection/>
    </xf>
    <xf numFmtId="182" fontId="3" fillId="0" borderId="3">
      <alignment horizontal="right" vertical="center"/>
      <protection/>
    </xf>
    <xf numFmtId="182" fontId="3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40" fontId="24" fillId="0" borderId="3">
      <alignment horizontal="right" vertical="center"/>
      <protection/>
    </xf>
    <xf numFmtId="210" fontId="54" fillId="0" borderId="3">
      <alignment horizontal="right" vertical="center"/>
      <protection/>
    </xf>
    <xf numFmtId="222" fontId="61" fillId="0" borderId="3">
      <alignment horizontal="right" vertical="center"/>
      <protection/>
    </xf>
    <xf numFmtId="225" fontId="130" fillId="2" borderId="35" applyFont="0" applyFill="0" applyBorder="0">
      <alignment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25" fontId="130" fillId="2" borderId="35" applyFont="0" applyFill="0" applyBorder="0">
      <alignment/>
      <protection/>
    </xf>
    <xf numFmtId="222" fontId="61" fillId="0" borderId="3">
      <alignment horizontal="right" vertical="center"/>
      <protection/>
    </xf>
    <xf numFmtId="182" fontId="3" fillId="0" borderId="3">
      <alignment horizontal="right" vertical="center"/>
      <protection/>
    </xf>
    <xf numFmtId="182" fontId="3" fillId="0" borderId="3">
      <alignment horizontal="right" vertical="center"/>
      <protection/>
    </xf>
    <xf numFmtId="198" fontId="16" fillId="0" borderId="3">
      <alignment horizontal="right" vertical="center"/>
      <protection/>
    </xf>
    <xf numFmtId="240" fontId="24" fillId="0" borderId="3">
      <alignment horizontal="right" vertical="center"/>
      <protection/>
    </xf>
    <xf numFmtId="182" fontId="3" fillId="0" borderId="3">
      <alignment horizontal="right" vertical="center"/>
      <protection/>
    </xf>
    <xf numFmtId="182" fontId="3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213" fontId="3" fillId="0" borderId="3">
      <alignment horizontal="right" vertical="center"/>
      <protection/>
    </xf>
    <xf numFmtId="213" fontId="3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6" fontId="4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6" fontId="44" fillId="0" borderId="3">
      <alignment horizontal="right" vertical="center"/>
      <protection/>
    </xf>
    <xf numFmtId="225" fontId="130" fillId="2" borderId="35" applyFont="0" applyFill="0" applyBorder="0">
      <alignment/>
      <protection/>
    </xf>
    <xf numFmtId="220" fontId="3" fillId="0" borderId="3">
      <alignment horizontal="right" vertical="center"/>
      <protection/>
    </xf>
    <xf numFmtId="42" fontId="129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13" fontId="3" fillId="0" borderId="3">
      <alignment horizontal="right" vertical="center"/>
      <protection/>
    </xf>
    <xf numFmtId="213" fontId="3" fillId="0" borderId="3">
      <alignment horizontal="right" vertical="center"/>
      <protection/>
    </xf>
    <xf numFmtId="210" fontId="54" fillId="0" borderId="3">
      <alignment horizontal="right" vertical="center"/>
      <protection/>
    </xf>
    <xf numFmtId="210" fontId="54" fillId="0" borderId="3">
      <alignment horizontal="right" vertical="center"/>
      <protection/>
    </xf>
    <xf numFmtId="228" fontId="131" fillId="0" borderId="3">
      <alignment horizontal="right" vertical="center"/>
      <protection/>
    </xf>
    <xf numFmtId="228" fontId="131" fillId="0" borderId="3">
      <alignment horizontal="right" vertical="center"/>
      <protection/>
    </xf>
    <xf numFmtId="49" fontId="27" fillId="0" borderId="0" applyFill="0" applyBorder="0" applyAlignment="0">
      <protection/>
    </xf>
    <xf numFmtId="206" fontId="16" fillId="0" borderId="0" applyFill="0" applyBorder="0" applyAlignment="0">
      <protection/>
    </xf>
    <xf numFmtId="207" fontId="16" fillId="0" borderId="0" applyFill="0" applyBorder="0" applyAlignment="0">
      <protection/>
    </xf>
    <xf numFmtId="211" fontId="54" fillId="0" borderId="3">
      <alignment horizontal="center"/>
      <protection/>
    </xf>
    <xf numFmtId="211" fontId="54" fillId="0" borderId="3">
      <alignment horizontal="center"/>
      <protection/>
    </xf>
    <xf numFmtId="234" fontId="132" fillId="0" borderId="0" applyNumberFormat="0" applyFont="0" applyFill="0" applyBorder="0" applyAlignment="0">
      <protection/>
    </xf>
    <xf numFmtId="0" fontId="133" fillId="0" borderId="36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1" fillId="0" borderId="28" applyNumberFormat="0" applyBorder="0" applyAlignment="0">
      <protection/>
    </xf>
    <xf numFmtId="0" fontId="61" fillId="0" borderId="28" applyNumberFormat="0" applyBorder="0" applyAlignment="0">
      <protection/>
    </xf>
    <xf numFmtId="0" fontId="61" fillId="0" borderId="28" applyNumberFormat="0" applyBorder="0" applyAlignment="0">
      <protection/>
    </xf>
    <xf numFmtId="0" fontId="134" fillId="0" borderId="27" applyNumberFormat="0" applyBorder="0" applyAlignment="0">
      <protection/>
    </xf>
    <xf numFmtId="3" fontId="135" fillId="0" borderId="17" applyNumberFormat="0" applyBorder="0" applyAlignment="0">
      <protection/>
    </xf>
    <xf numFmtId="0" fontId="136" fillId="0" borderId="28">
      <alignment horizontal="center" vertical="center" wrapText="1"/>
      <protection/>
    </xf>
    <xf numFmtId="0" fontId="137" fillId="0" borderId="0" applyNumberFormat="0" applyFill="0" applyBorder="0" applyAlignment="0" applyProtection="0"/>
    <xf numFmtId="0" fontId="138" fillId="0" borderId="0">
      <alignment horizontal="center"/>
      <protection/>
    </xf>
    <xf numFmtId="40" fontId="2" fillId="0" borderId="0">
      <alignment/>
      <protection/>
    </xf>
    <xf numFmtId="3" fontId="140" fillId="0" borderId="0" applyNumberFormat="0" applyFill="0" applyBorder="0" applyAlignment="0" applyProtection="0"/>
    <xf numFmtId="0" fontId="141" fillId="0" borderId="37" applyBorder="0" applyAlignment="0">
      <protection/>
    </xf>
    <xf numFmtId="0" fontId="142" fillId="0" borderId="0" applyNumberFormat="0" applyFill="0" applyBorder="0" applyAlignment="0" applyProtection="0"/>
    <xf numFmtId="0" fontId="79" fillId="0" borderId="38" applyNumberFormat="0" applyFill="0" applyBorder="0" applyAlignment="0" applyProtection="0"/>
    <xf numFmtId="0" fontId="19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39" applyNumberFormat="0" applyBorder="0" applyAlignment="0">
      <protection/>
    </xf>
    <xf numFmtId="0" fontId="144" fillId="0" borderId="40" applyNumberFormat="0" applyFill="0" applyAlignment="0" applyProtection="0"/>
    <xf numFmtId="0" fontId="147" fillId="0" borderId="40" applyNumberFormat="0" applyFill="0" applyAlignment="0" applyProtection="0"/>
    <xf numFmtId="0" fontId="101" fillId="0" borderId="41" applyNumberFormat="0" applyAlignment="0">
      <protection/>
    </xf>
    <xf numFmtId="0" fontId="93" fillId="0" borderId="42">
      <alignment horizontal="center"/>
      <protection/>
    </xf>
    <xf numFmtId="41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237" fontId="91" fillId="0" borderId="0" applyFont="0" applyFill="0" applyBorder="0" applyAlignment="0" applyProtection="0"/>
    <xf numFmtId="216" fontId="101" fillId="0" borderId="0" applyFont="0" applyFill="0" applyBorder="0" applyAlignment="0" applyProtection="0"/>
    <xf numFmtId="215" fontId="6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83" fillId="0" borderId="43">
      <alignment horizontal="center"/>
      <protection/>
    </xf>
    <xf numFmtId="207" fontId="54" fillId="0" borderId="0">
      <alignment/>
      <protection/>
    </xf>
    <xf numFmtId="207" fontId="54" fillId="0" borderId="0">
      <alignment/>
      <protection/>
    </xf>
    <xf numFmtId="212" fontId="54" fillId="0" borderId="1">
      <alignment/>
      <protection/>
    </xf>
    <xf numFmtId="212" fontId="54" fillId="0" borderId="1">
      <alignment/>
      <protection/>
    </xf>
    <xf numFmtId="3" fontId="3" fillId="19" borderId="16">
      <alignment horizontal="right" vertical="top" wrapText="1"/>
      <protection/>
    </xf>
    <xf numFmtId="3" fontId="3" fillId="19" borderId="16">
      <alignment horizontal="right" vertical="top" wrapText="1"/>
      <protection/>
    </xf>
    <xf numFmtId="0" fontId="151" fillId="0" borderId="0">
      <alignment/>
      <protection/>
    </xf>
    <xf numFmtId="3" fontId="54" fillId="0" borderId="0" applyNumberFormat="0" applyBorder="0" applyAlignment="0" applyProtection="0"/>
    <xf numFmtId="3" fontId="32" fillId="0" borderId="0">
      <alignment/>
      <protection locked="0"/>
    </xf>
    <xf numFmtId="0" fontId="151" fillId="0" borderId="0">
      <alignment/>
      <protection/>
    </xf>
    <xf numFmtId="172" fontId="152" fillId="39" borderId="37">
      <alignment vertical="top"/>
      <protection/>
    </xf>
    <xf numFmtId="0" fontId="153" fillId="40" borderId="1">
      <alignment horizontal="left" vertical="center"/>
      <protection/>
    </xf>
    <xf numFmtId="173" fontId="154" fillId="41" borderId="37">
      <alignment/>
      <protection/>
    </xf>
    <xf numFmtId="172" fontId="155" fillId="0" borderId="37">
      <alignment horizontal="left" vertical="top"/>
      <protection/>
    </xf>
    <xf numFmtId="0" fontId="156" fillId="42" borderId="0">
      <alignment horizontal="left" vertical="center"/>
      <protection/>
    </xf>
    <xf numFmtId="172" fontId="157" fillId="0" borderId="44">
      <alignment horizontal="left" vertical="top"/>
      <protection/>
    </xf>
    <xf numFmtId="0" fontId="158" fillId="0" borderId="44">
      <alignment horizontal="left" vertical="center"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25" fillId="0" borderId="0" applyFont="0" applyFill="0" applyBorder="0" applyAlignment="0" applyProtection="0"/>
    <xf numFmtId="230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ont="0" applyFill="0" applyBorder="0" applyProtection="0">
      <alignment horizontal="center" vertical="center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44" fillId="0" borderId="45" applyFont="0" applyBorder="0" applyAlignment="0"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163" fillId="0" borderId="0" applyFont="0" applyFill="0" applyBorder="0" applyAlignment="0" applyProtection="0"/>
    <xf numFmtId="0" fontId="163" fillId="0" borderId="0" applyFont="0" applyFill="0" applyBorder="0" applyAlignment="0" applyProtection="0"/>
    <xf numFmtId="0" fontId="5" fillId="0" borderId="0">
      <alignment vertical="center"/>
      <protection/>
    </xf>
    <xf numFmtId="40" fontId="164" fillId="0" borderId="0" applyFont="0" applyFill="0" applyBorder="0" applyAlignment="0" applyProtection="0"/>
    <xf numFmtId="38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9" fontId="165" fillId="0" borderId="0" applyBorder="0" applyAlignment="0" applyProtection="0"/>
    <xf numFmtId="0" fontId="166" fillId="0" borderId="0">
      <alignment/>
      <protection/>
    </xf>
    <xf numFmtId="41" fontId="167" fillId="0" borderId="0" applyFont="0" applyFill="0" applyBorder="0" applyAlignment="0" applyProtection="0"/>
    <xf numFmtId="0" fontId="168" fillId="0" borderId="4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17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05" fillId="0" borderId="0">
      <alignment/>
      <protection/>
    </xf>
    <xf numFmtId="0" fontId="169" fillId="0" borderId="0">
      <alignment/>
      <protection/>
    </xf>
    <xf numFmtId="0" fontId="57" fillId="0" borderId="0">
      <alignment/>
      <protection/>
    </xf>
    <xf numFmtId="41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6" fillId="0" borderId="0">
      <alignment/>
      <protection/>
    </xf>
    <xf numFmtId="185" fontId="170" fillId="0" borderId="0" applyFont="0" applyFill="0" applyBorder="0" applyAlignment="0" applyProtection="0"/>
    <xf numFmtId="173" fontId="21" fillId="0" borderId="0" applyFont="0" applyFill="0" applyBorder="0" applyAlignment="0" applyProtection="0"/>
    <xf numFmtId="186" fontId="170" fillId="0" borderId="0" applyFont="0" applyFill="0" applyBorder="0" applyAlignment="0" applyProtection="0"/>
    <xf numFmtId="176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96" fontId="171" fillId="0" borderId="3">
      <alignment horizontal="center"/>
      <protection/>
    </xf>
  </cellStyleXfs>
  <cellXfs count="135">
    <xf numFmtId="0" fontId="0" fillId="0" borderId="0" xfId="0" applyFont="1" applyAlignment="1">
      <alignment/>
    </xf>
    <xf numFmtId="0" fontId="194" fillId="43" borderId="0" xfId="0" applyFont="1" applyFill="1" applyAlignment="1">
      <alignment vertical="center"/>
    </xf>
    <xf numFmtId="0" fontId="194" fillId="43" borderId="0" xfId="0" applyFont="1" applyFill="1" applyAlignment="1">
      <alignment horizontal="center" vertical="center"/>
    </xf>
    <xf numFmtId="0" fontId="195" fillId="43" borderId="0" xfId="0" applyFont="1" applyFill="1" applyBorder="1" applyAlignment="1">
      <alignment horizontal="center" vertical="center" wrapText="1"/>
    </xf>
    <xf numFmtId="0" fontId="195" fillId="0" borderId="1" xfId="0" applyFont="1" applyFill="1" applyBorder="1" applyAlignment="1">
      <alignment horizontal="center" vertical="center" wrapText="1"/>
    </xf>
    <xf numFmtId="0" fontId="195" fillId="43" borderId="1" xfId="0" applyFont="1" applyFill="1" applyBorder="1" applyAlignment="1">
      <alignment horizontal="center" vertical="center" wrapText="1"/>
    </xf>
    <xf numFmtId="0" fontId="196" fillId="43" borderId="1" xfId="0" applyFont="1" applyFill="1" applyBorder="1" applyAlignment="1">
      <alignment horizontal="center" vertical="center" wrapText="1"/>
    </xf>
    <xf numFmtId="178" fontId="184" fillId="43" borderId="0" xfId="0" applyNumberFormat="1" applyFont="1" applyFill="1" applyAlignment="1">
      <alignment horizontal="center" vertical="center"/>
    </xf>
    <xf numFmtId="178" fontId="197" fillId="43" borderId="0" xfId="0" applyNumberFormat="1" applyFont="1" applyFill="1" applyAlignment="1">
      <alignment horizontal="center" vertical="center"/>
    </xf>
    <xf numFmtId="0" fontId="198" fillId="43" borderId="0" xfId="0" applyFont="1" applyFill="1" applyBorder="1" applyAlignment="1">
      <alignment horizontal="center" vertical="center" wrapText="1"/>
    </xf>
    <xf numFmtId="178" fontId="184" fillId="43" borderId="0" xfId="0" applyNumberFormat="1" applyFont="1" applyFill="1" applyAlignment="1">
      <alignment vertical="center"/>
    </xf>
    <xf numFmtId="178" fontId="197" fillId="43" borderId="0" xfId="723" applyNumberFormat="1" applyFont="1" applyFill="1" applyAlignment="1">
      <alignment vertical="center"/>
    </xf>
    <xf numFmtId="49" fontId="197" fillId="43" borderId="0" xfId="671" applyNumberFormat="1" applyFont="1" applyFill="1" applyAlignment="1">
      <alignment vertical="center"/>
      <protection/>
    </xf>
    <xf numFmtId="0" fontId="184" fillId="43" borderId="0" xfId="671" applyFont="1" applyFill="1" applyAlignment="1">
      <alignment vertical="center"/>
      <protection/>
    </xf>
    <xf numFmtId="177" fontId="196" fillId="43" borderId="0" xfId="400" applyFont="1" applyFill="1" applyAlignment="1">
      <alignment horizontal="center" vertical="center"/>
    </xf>
    <xf numFmtId="0" fontId="184" fillId="43" borderId="0" xfId="0" applyFont="1" applyFill="1" applyAlignment="1">
      <alignment vertical="center"/>
    </xf>
    <xf numFmtId="0" fontId="196" fillId="43" borderId="0" xfId="0" applyFont="1" applyFill="1" applyAlignment="1">
      <alignment horizontal="center" vertical="center" wrapText="1"/>
    </xf>
    <xf numFmtId="0" fontId="184" fillId="43" borderId="0" xfId="0" applyFont="1" applyFill="1" applyAlignment="1">
      <alignment horizontal="center" vertical="center"/>
    </xf>
    <xf numFmtId="0" fontId="199" fillId="43" borderId="0" xfId="671" applyFont="1" applyFill="1" applyAlignment="1">
      <alignment horizontal="center" vertical="center"/>
      <protection/>
    </xf>
    <xf numFmtId="0" fontId="198" fillId="43" borderId="0" xfId="0" applyFont="1" applyFill="1" applyBorder="1" applyAlignment="1">
      <alignment horizontal="center" vertical="center"/>
    </xf>
    <xf numFmtId="0" fontId="200" fillId="43" borderId="0" xfId="0" applyFont="1" applyFill="1" applyAlignment="1">
      <alignment vertical="center"/>
    </xf>
    <xf numFmtId="178" fontId="196" fillId="43" borderId="0" xfId="0" applyNumberFormat="1" applyFont="1" applyFill="1" applyBorder="1" applyAlignment="1">
      <alignment horizontal="center" vertical="center" wrapText="1"/>
    </xf>
    <xf numFmtId="0" fontId="197" fillId="43" borderId="0" xfId="0" applyFont="1" applyFill="1" applyAlignment="1">
      <alignment vertical="center"/>
    </xf>
    <xf numFmtId="9" fontId="197" fillId="43" borderId="0" xfId="723" applyFont="1" applyFill="1" applyAlignment="1">
      <alignment vertical="center"/>
    </xf>
    <xf numFmtId="178" fontId="197" fillId="43" borderId="0" xfId="0" applyNumberFormat="1" applyFont="1" applyFill="1" applyAlignment="1">
      <alignment vertical="center"/>
    </xf>
    <xf numFmtId="178" fontId="201" fillId="43" borderId="0" xfId="723" applyNumberFormat="1" applyFont="1" applyFill="1" applyAlignment="1">
      <alignment vertical="center"/>
    </xf>
    <xf numFmtId="178" fontId="201" fillId="43" borderId="0" xfId="0" applyNumberFormat="1" applyFont="1" applyFill="1" applyBorder="1" applyAlignment="1">
      <alignment horizontal="center" vertical="center" wrapText="1"/>
    </xf>
    <xf numFmtId="178" fontId="201" fillId="43" borderId="0" xfId="0" applyNumberFormat="1" applyFont="1" applyFill="1" applyAlignment="1">
      <alignment horizontal="center" vertical="center"/>
    </xf>
    <xf numFmtId="0" fontId="201" fillId="43" borderId="0" xfId="0" applyFont="1" applyFill="1" applyAlignment="1">
      <alignment vertical="center"/>
    </xf>
    <xf numFmtId="178" fontId="197" fillId="0" borderId="0" xfId="723" applyNumberFormat="1" applyFont="1" applyFill="1" applyAlignment="1">
      <alignment vertical="center"/>
    </xf>
    <xf numFmtId="178" fontId="197" fillId="0" borderId="0" xfId="0" applyNumberFormat="1" applyFont="1" applyFill="1" applyAlignment="1">
      <alignment vertical="center"/>
    </xf>
    <xf numFmtId="0" fontId="184" fillId="0" borderId="0" xfId="0" applyFont="1" applyFill="1" applyAlignment="1">
      <alignment vertical="center"/>
    </xf>
    <xf numFmtId="178" fontId="196" fillId="0" borderId="0" xfId="0" applyNumberFormat="1" applyFont="1" applyFill="1" applyBorder="1" applyAlignment="1">
      <alignment horizontal="center" vertical="center" wrapText="1"/>
    </xf>
    <xf numFmtId="178" fontId="197" fillId="0" borderId="0" xfId="0" applyNumberFormat="1" applyFont="1" applyFill="1" applyAlignment="1">
      <alignment horizontal="center" vertical="center"/>
    </xf>
    <xf numFmtId="178" fontId="201" fillId="0" borderId="0" xfId="723" applyNumberFormat="1" applyFont="1" applyFill="1" applyAlignment="1">
      <alignment vertical="center"/>
    </xf>
    <xf numFmtId="178" fontId="201" fillId="0" borderId="0" xfId="0" applyNumberFormat="1" applyFont="1" applyFill="1" applyBorder="1" applyAlignment="1">
      <alignment horizontal="center" vertical="center" wrapText="1"/>
    </xf>
    <xf numFmtId="248" fontId="5" fillId="0" borderId="28" xfId="372" applyNumberFormat="1" applyFont="1" applyBorder="1" applyAlignment="1">
      <alignment vertical="center" wrapText="1"/>
    </xf>
    <xf numFmtId="248" fontId="5" fillId="0" borderId="28" xfId="372" applyNumberFormat="1" applyFont="1" applyBorder="1" applyAlignment="1">
      <alignment vertical="center"/>
    </xf>
    <xf numFmtId="0" fontId="197" fillId="0" borderId="0" xfId="0" applyFont="1" applyFill="1" applyAlignment="1">
      <alignment vertical="center"/>
    </xf>
    <xf numFmtId="1" fontId="5" fillId="0" borderId="28" xfId="372" applyNumberFormat="1" applyFont="1" applyBorder="1" applyAlignment="1">
      <alignment vertical="center" wrapText="1"/>
    </xf>
    <xf numFmtId="1" fontId="5" fillId="0" borderId="28" xfId="372" applyNumberFormat="1" applyFont="1" applyBorder="1" applyAlignment="1">
      <alignment vertical="center"/>
    </xf>
    <xf numFmtId="178" fontId="5" fillId="43" borderId="28" xfId="372" applyNumberFormat="1" applyFont="1" applyFill="1" applyBorder="1" applyAlignment="1">
      <alignment vertical="center"/>
    </xf>
    <xf numFmtId="178" fontId="5" fillId="43" borderId="28" xfId="372" applyNumberFormat="1" applyFont="1" applyFill="1" applyBorder="1" applyAlignment="1">
      <alignment vertical="center" wrapText="1"/>
    </xf>
    <xf numFmtId="178" fontId="5" fillId="0" borderId="28" xfId="372" applyNumberFormat="1" applyFont="1" applyFill="1" applyBorder="1" applyAlignment="1">
      <alignment vertical="center" wrapText="1"/>
    </xf>
    <xf numFmtId="178" fontId="5" fillId="43" borderId="28" xfId="372" applyNumberFormat="1" applyFont="1" applyFill="1" applyBorder="1" applyAlignment="1">
      <alignment horizontal="center" vertical="center" wrapText="1"/>
    </xf>
    <xf numFmtId="178" fontId="198" fillId="43" borderId="0" xfId="0" applyNumberFormat="1" applyFont="1" applyFill="1" applyBorder="1" applyAlignment="1">
      <alignment horizontal="center" vertical="center" wrapText="1"/>
    </xf>
    <xf numFmtId="178" fontId="198" fillId="0" borderId="0" xfId="0" applyNumberFormat="1" applyFont="1" applyFill="1" applyBorder="1" applyAlignment="1">
      <alignment horizontal="center" vertical="center" wrapText="1"/>
    </xf>
    <xf numFmtId="249" fontId="175" fillId="0" borderId="28" xfId="372" applyNumberFormat="1" applyFont="1" applyFill="1" applyBorder="1" applyAlignment="1">
      <alignment horizontal="right" vertical="center"/>
    </xf>
    <xf numFmtId="3" fontId="175" fillId="0" borderId="28" xfId="0" applyNumberFormat="1" applyFont="1" applyFill="1" applyBorder="1" applyAlignment="1">
      <alignment horizontal="right" vertical="center"/>
    </xf>
    <xf numFmtId="3" fontId="175" fillId="0" borderId="28" xfId="0" applyNumberFormat="1" applyFont="1" applyFill="1" applyBorder="1" applyAlignment="1">
      <alignment horizontal="right" vertical="center" wrapText="1"/>
    </xf>
    <xf numFmtId="249" fontId="175" fillId="0" borderId="28" xfId="372" applyNumberFormat="1" applyFont="1" applyFill="1" applyBorder="1" applyAlignment="1">
      <alignment horizontal="right" vertical="center" wrapText="1"/>
    </xf>
    <xf numFmtId="178" fontId="5" fillId="0" borderId="28" xfId="372" applyNumberFormat="1" applyFont="1" applyBorder="1" applyAlignment="1">
      <alignment vertical="center" wrapText="1"/>
    </xf>
    <xf numFmtId="178" fontId="5" fillId="43" borderId="0" xfId="723" applyNumberFormat="1" applyFont="1" applyFill="1" applyAlignment="1">
      <alignment vertical="center"/>
    </xf>
    <xf numFmtId="0" fontId="176" fillId="43" borderId="27" xfId="0" applyFont="1" applyFill="1" applyBorder="1" applyAlignment="1">
      <alignment vertical="center"/>
    </xf>
    <xf numFmtId="0" fontId="176" fillId="43" borderId="27" xfId="0" applyFont="1" applyFill="1" applyBorder="1" applyAlignment="1">
      <alignment horizontal="center" vertical="center" wrapText="1"/>
    </xf>
    <xf numFmtId="178" fontId="176" fillId="43" borderId="27" xfId="372" applyNumberFormat="1" applyFont="1" applyFill="1" applyBorder="1" applyAlignment="1">
      <alignment horizontal="center" vertical="center" wrapText="1"/>
    </xf>
    <xf numFmtId="0" fontId="176" fillId="43" borderId="28" xfId="0" applyFont="1" applyFill="1" applyBorder="1" applyAlignment="1">
      <alignment horizontal="center" vertical="center" wrapText="1"/>
    </xf>
    <xf numFmtId="0" fontId="176" fillId="43" borderId="28" xfId="0" applyFont="1" applyFill="1" applyBorder="1" applyAlignment="1">
      <alignment vertical="center" wrapText="1"/>
    </xf>
    <xf numFmtId="178" fontId="176" fillId="43" borderId="28" xfId="372" applyNumberFormat="1" applyFont="1" applyFill="1" applyBorder="1" applyAlignment="1">
      <alignment vertical="center" wrapText="1"/>
    </xf>
    <xf numFmtId="178" fontId="176" fillId="0" borderId="28" xfId="372" applyNumberFormat="1" applyFont="1" applyFill="1" applyBorder="1" applyAlignment="1">
      <alignment vertical="center" wrapText="1"/>
    </xf>
    <xf numFmtId="49" fontId="5" fillId="43" borderId="28" xfId="671" applyNumberFormat="1" applyFont="1" applyFill="1" applyBorder="1" applyAlignment="1">
      <alignment horizontal="center" vertical="center" wrapText="1"/>
      <protection/>
    </xf>
    <xf numFmtId="0" fontId="5" fillId="43" borderId="28" xfId="671" applyFont="1" applyFill="1" applyBorder="1" applyAlignment="1">
      <alignment horizontal="left" vertical="center" wrapText="1"/>
      <protection/>
    </xf>
    <xf numFmtId="0" fontId="5" fillId="43" borderId="28" xfId="671" applyFont="1" applyFill="1" applyBorder="1" applyAlignment="1">
      <alignment vertical="center" wrapText="1"/>
      <protection/>
    </xf>
    <xf numFmtId="0" fontId="5" fillId="0" borderId="28" xfId="671" applyFont="1" applyFill="1" applyBorder="1" applyAlignment="1">
      <alignment horizontal="left" vertical="center" wrapText="1"/>
      <protection/>
    </xf>
    <xf numFmtId="3" fontId="5" fillId="0" borderId="28" xfId="372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177" fontId="5" fillId="0" borderId="28" xfId="372" applyFont="1" applyBorder="1" applyAlignment="1">
      <alignment vertical="center"/>
    </xf>
    <xf numFmtId="3" fontId="5" fillId="43" borderId="28" xfId="372" applyNumberFormat="1" applyFont="1" applyFill="1" applyBorder="1" applyAlignment="1">
      <alignment horizontal="right" vertical="center" wrapText="1"/>
    </xf>
    <xf numFmtId="0" fontId="5" fillId="43" borderId="28" xfId="0" applyFont="1" applyFill="1" applyBorder="1" applyAlignment="1">
      <alignment vertical="center" wrapText="1"/>
    </xf>
    <xf numFmtId="178" fontId="5" fillId="0" borderId="28" xfId="372" applyNumberFormat="1" applyFont="1" applyFill="1" applyBorder="1" applyAlignment="1">
      <alignment vertical="center"/>
    </xf>
    <xf numFmtId="0" fontId="5" fillId="43" borderId="28" xfId="0" applyFont="1" applyFill="1" applyBorder="1" applyAlignment="1">
      <alignment horizontal="center" vertical="center" wrapText="1"/>
    </xf>
    <xf numFmtId="0" fontId="5" fillId="43" borderId="28" xfId="0" applyFont="1" applyFill="1" applyBorder="1" applyAlignment="1">
      <alignment horizontal="center" vertical="center"/>
    </xf>
    <xf numFmtId="0" fontId="5" fillId="0" borderId="28" xfId="671" applyFont="1" applyFill="1" applyBorder="1" applyAlignment="1">
      <alignment vertical="center" wrapText="1"/>
      <protection/>
    </xf>
    <xf numFmtId="0" fontId="5" fillId="43" borderId="28" xfId="0" applyFont="1" applyFill="1" applyBorder="1" applyAlignment="1">
      <alignment vertical="center"/>
    </xf>
    <xf numFmtId="0" fontId="176" fillId="0" borderId="28" xfId="0" applyFont="1" applyFill="1" applyBorder="1" applyAlignment="1">
      <alignment horizontal="center" vertical="center" wrapText="1"/>
    </xf>
    <xf numFmtId="0" fontId="176" fillId="0" borderId="28" xfId="0" applyFont="1" applyFill="1" applyBorder="1" applyAlignment="1">
      <alignment vertical="center" wrapText="1"/>
    </xf>
    <xf numFmtId="49" fontId="5" fillId="0" borderId="28" xfId="671" applyNumberFormat="1" applyFont="1" applyFill="1" applyBorder="1" applyAlignment="1">
      <alignment horizontal="center" vertical="center" wrapText="1"/>
      <protection/>
    </xf>
    <xf numFmtId="3" fontId="5" fillId="0" borderId="28" xfId="372" applyNumberFormat="1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671" applyNumberFormat="1" applyFont="1" applyBorder="1" applyAlignment="1">
      <alignment horizontal="center" vertical="center" wrapText="1"/>
      <protection/>
    </xf>
    <xf numFmtId="0" fontId="5" fillId="0" borderId="28" xfId="671" applyFont="1" applyBorder="1" applyAlignment="1">
      <alignment horizontal="left" vertical="center" wrapText="1"/>
      <protection/>
    </xf>
    <xf numFmtId="49" fontId="176" fillId="0" borderId="28" xfId="671" applyNumberFormat="1" applyFont="1" applyFill="1" applyBorder="1" applyAlignment="1">
      <alignment horizontal="center" vertical="center" wrapText="1"/>
      <protection/>
    </xf>
    <xf numFmtId="0" fontId="176" fillId="0" borderId="28" xfId="671" applyFont="1" applyFill="1" applyBorder="1" applyAlignment="1">
      <alignment vertical="center" wrapText="1"/>
      <protection/>
    </xf>
    <xf numFmtId="0" fontId="5" fillId="43" borderId="28" xfId="671" applyNumberFormat="1" applyFont="1" applyFill="1" applyBorder="1" applyAlignment="1">
      <alignment horizontal="center" vertical="center" wrapText="1"/>
      <protection/>
    </xf>
    <xf numFmtId="178" fontId="176" fillId="0" borderId="28" xfId="372" applyNumberFormat="1" applyFont="1" applyFill="1" applyBorder="1" applyAlignment="1">
      <alignment vertical="center"/>
    </xf>
    <xf numFmtId="49" fontId="176" fillId="43" borderId="28" xfId="671" applyNumberFormat="1" applyFont="1" applyFill="1" applyBorder="1" applyAlignment="1">
      <alignment horizontal="center" vertical="center" wrapText="1"/>
      <protection/>
    </xf>
    <xf numFmtId="0" fontId="176" fillId="43" borderId="28" xfId="671" applyFont="1" applyFill="1" applyBorder="1" applyAlignment="1">
      <alignment vertical="center" wrapText="1"/>
      <protection/>
    </xf>
    <xf numFmtId="178" fontId="176" fillId="43" borderId="28" xfId="372" applyNumberFormat="1" applyFont="1" applyFill="1" applyBorder="1" applyAlignment="1">
      <alignment vertical="center"/>
    </xf>
    <xf numFmtId="3" fontId="5" fillId="43" borderId="28" xfId="372" applyNumberFormat="1" applyFont="1" applyFill="1" applyBorder="1" applyAlignment="1">
      <alignment vertical="center"/>
    </xf>
    <xf numFmtId="3" fontId="5" fillId="43" borderId="28" xfId="372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3" fontId="5" fillId="43" borderId="28" xfId="671" applyNumberFormat="1" applyFont="1" applyFill="1" applyBorder="1" applyAlignment="1">
      <alignment horizontal="center" vertical="center" wrapText="1"/>
      <protection/>
    </xf>
    <xf numFmtId="0" fontId="5" fillId="43" borderId="28" xfId="0" applyFont="1" applyFill="1" applyBorder="1" applyAlignment="1">
      <alignment horizontal="left" vertical="center" wrapText="1"/>
    </xf>
    <xf numFmtId="3" fontId="176" fillId="43" borderId="28" xfId="671" applyNumberFormat="1" applyFont="1" applyFill="1" applyBorder="1" applyAlignment="1">
      <alignment horizontal="center" vertical="center" wrapText="1"/>
      <protection/>
    </xf>
    <xf numFmtId="0" fontId="5" fillId="43" borderId="46" xfId="0" applyFont="1" applyFill="1" applyBorder="1" applyAlignment="1">
      <alignment horizontal="center" vertical="center" wrapText="1"/>
    </xf>
    <xf numFmtId="0" fontId="5" fillId="43" borderId="46" xfId="0" applyFont="1" applyFill="1" applyBorder="1" applyAlignment="1">
      <alignment vertical="center" wrapText="1"/>
    </xf>
    <xf numFmtId="178" fontId="5" fillId="43" borderId="46" xfId="372" applyNumberFormat="1" applyFont="1" applyFill="1" applyBorder="1" applyAlignment="1">
      <alignment vertical="center" wrapText="1"/>
    </xf>
    <xf numFmtId="178" fontId="176" fillId="43" borderId="28" xfId="372" applyNumberFormat="1" applyFont="1" applyFill="1" applyBorder="1" applyAlignment="1">
      <alignment horizontal="center" vertical="center"/>
    </xf>
    <xf numFmtId="178" fontId="5" fillId="0" borderId="28" xfId="372" applyNumberFormat="1" applyFont="1" applyBorder="1" applyAlignment="1">
      <alignment vertical="center"/>
    </xf>
    <xf numFmtId="178" fontId="5" fillId="0" borderId="28" xfId="372" applyNumberFormat="1" applyFont="1" applyFill="1" applyBorder="1" applyAlignment="1">
      <alignment horizontal="center" vertical="center" wrapText="1"/>
    </xf>
    <xf numFmtId="3" fontId="5" fillId="0" borderId="28" xfId="372" applyNumberFormat="1" applyFont="1" applyBorder="1" applyAlignment="1">
      <alignment horizontal="right" vertical="center" shrinkToFit="1"/>
    </xf>
    <xf numFmtId="0" fontId="5" fillId="0" borderId="28" xfId="0" applyFont="1" applyFill="1" applyBorder="1" applyAlignment="1">
      <alignment vertical="center"/>
    </xf>
    <xf numFmtId="0" fontId="176" fillId="43" borderId="28" xfId="671" applyFont="1" applyFill="1" applyBorder="1" applyAlignment="1">
      <alignment horizontal="left" vertical="center" wrapText="1"/>
      <protection/>
    </xf>
    <xf numFmtId="3" fontId="5" fillId="0" borderId="28" xfId="372" applyNumberFormat="1" applyFont="1" applyBorder="1" applyAlignment="1">
      <alignment horizontal="right" vertical="center"/>
    </xf>
    <xf numFmtId="49" fontId="5" fillId="43" borderId="46" xfId="671" applyNumberFormat="1" applyFont="1" applyFill="1" applyBorder="1" applyAlignment="1">
      <alignment horizontal="center" vertical="center" wrapText="1"/>
      <protection/>
    </xf>
    <xf numFmtId="0" fontId="5" fillId="43" borderId="46" xfId="671" applyFont="1" applyFill="1" applyBorder="1" applyAlignment="1">
      <alignment vertical="center" wrapText="1"/>
      <protection/>
    </xf>
    <xf numFmtId="178" fontId="5" fillId="43" borderId="46" xfId="372" applyNumberFormat="1" applyFont="1" applyFill="1" applyBorder="1" applyAlignment="1">
      <alignment vertical="center"/>
    </xf>
    <xf numFmtId="0" fontId="5" fillId="43" borderId="0" xfId="671" applyFont="1" applyFill="1" applyAlignment="1">
      <alignment vertical="center"/>
      <protection/>
    </xf>
    <xf numFmtId="0" fontId="202" fillId="43" borderId="0" xfId="671" applyFont="1" applyFill="1" applyAlignment="1">
      <alignment vertical="center"/>
      <protection/>
    </xf>
    <xf numFmtId="3" fontId="4" fillId="43" borderId="28" xfId="372" applyNumberFormat="1" applyFont="1" applyFill="1" applyBorder="1" applyAlignment="1">
      <alignment horizontal="right" vertical="center"/>
    </xf>
    <xf numFmtId="3" fontId="175" fillId="43" borderId="28" xfId="372" applyNumberFormat="1" applyFont="1" applyFill="1" applyBorder="1" applyAlignment="1">
      <alignment vertical="center"/>
    </xf>
    <xf numFmtId="178" fontId="176" fillId="0" borderId="27" xfId="372" applyNumberFormat="1" applyFont="1" applyFill="1" applyBorder="1" applyAlignment="1">
      <alignment horizontal="center" vertical="center" wrapText="1"/>
    </xf>
    <xf numFmtId="177" fontId="197" fillId="43" borderId="1" xfId="400" applyFont="1" applyFill="1" applyBorder="1" applyAlignment="1">
      <alignment horizontal="center" vertical="center" wrapText="1"/>
    </xf>
    <xf numFmtId="49" fontId="194" fillId="43" borderId="1" xfId="671" applyNumberFormat="1" applyFont="1" applyFill="1" applyBorder="1" applyAlignment="1">
      <alignment horizontal="center" vertical="center" wrapText="1"/>
      <protection/>
    </xf>
    <xf numFmtId="0" fontId="194" fillId="43" borderId="1" xfId="671" applyFont="1" applyFill="1" applyBorder="1" applyAlignment="1">
      <alignment horizontal="center" vertical="center" wrapText="1"/>
      <protection/>
    </xf>
    <xf numFmtId="37" fontId="194" fillId="43" borderId="1" xfId="400" applyNumberFormat="1" applyFont="1" applyFill="1" applyBorder="1" applyAlignment="1">
      <alignment horizontal="center" vertical="center"/>
    </xf>
    <xf numFmtId="0" fontId="197" fillId="43" borderId="27" xfId="0" applyFont="1" applyFill="1" applyBorder="1" applyAlignment="1">
      <alignment vertical="center"/>
    </xf>
    <xf numFmtId="49" fontId="197" fillId="43" borderId="27" xfId="671" applyNumberFormat="1" applyFont="1" applyFill="1" applyBorder="1" applyAlignment="1">
      <alignment horizontal="center" vertical="center" wrapText="1"/>
      <protection/>
    </xf>
    <xf numFmtId="178" fontId="197" fillId="43" borderId="27" xfId="372" applyNumberFormat="1" applyFont="1" applyFill="1" applyBorder="1" applyAlignment="1">
      <alignment horizontal="center" vertical="center"/>
    </xf>
    <xf numFmtId="178" fontId="203" fillId="43" borderId="47" xfId="0" applyNumberFormat="1" applyFont="1" applyFill="1" applyBorder="1" applyAlignment="1">
      <alignment horizontal="center" vertical="center" wrapText="1"/>
    </xf>
    <xf numFmtId="178" fontId="203" fillId="43" borderId="0" xfId="0" applyNumberFormat="1" applyFont="1" applyFill="1" applyBorder="1" applyAlignment="1">
      <alignment horizontal="center" vertical="center" wrapText="1"/>
    </xf>
    <xf numFmtId="0" fontId="196" fillId="0" borderId="1" xfId="0" applyFont="1" applyFill="1" applyBorder="1" applyAlignment="1">
      <alignment horizontal="center" vertical="center" wrapText="1"/>
    </xf>
    <xf numFmtId="0" fontId="196" fillId="43" borderId="1" xfId="0" applyFont="1" applyFill="1" applyBorder="1" applyAlignment="1">
      <alignment horizontal="center" vertical="center" wrapText="1"/>
    </xf>
    <xf numFmtId="0" fontId="196" fillId="43" borderId="0" xfId="0" applyFont="1" applyFill="1" applyAlignment="1">
      <alignment horizontal="center" vertical="center" wrapText="1"/>
    </xf>
    <xf numFmtId="0" fontId="199" fillId="43" borderId="0" xfId="671" applyFont="1" applyFill="1" applyAlignment="1">
      <alignment horizontal="center" vertical="center"/>
      <protection/>
    </xf>
    <xf numFmtId="49" fontId="204" fillId="43" borderId="0" xfId="671" applyNumberFormat="1" applyFont="1" applyFill="1" applyAlignment="1">
      <alignment vertical="center"/>
      <protection/>
    </xf>
    <xf numFmtId="177" fontId="205" fillId="43" borderId="0" xfId="400" applyFont="1" applyFill="1" applyAlignment="1">
      <alignment horizontal="right" vertical="center"/>
    </xf>
    <xf numFmtId="0" fontId="206" fillId="43" borderId="48" xfId="0" applyFont="1" applyFill="1" applyBorder="1" applyAlignment="1">
      <alignment horizontal="center"/>
    </xf>
    <xf numFmtId="177" fontId="197" fillId="43" borderId="1" xfId="400" applyFont="1" applyFill="1" applyBorder="1" applyAlignment="1">
      <alignment horizontal="center" vertical="center" wrapText="1"/>
    </xf>
    <xf numFmtId="177" fontId="198" fillId="43" borderId="48" xfId="400" applyFont="1" applyFill="1" applyBorder="1" applyAlignment="1">
      <alignment horizontal="center" vertical="center"/>
    </xf>
    <xf numFmtId="0" fontId="196" fillId="43" borderId="0" xfId="671" applyFont="1" applyFill="1" applyAlignment="1">
      <alignment horizontal="center" vertical="center" wrapText="1"/>
      <protection/>
    </xf>
    <xf numFmtId="49" fontId="197" fillId="43" borderId="1" xfId="671" applyNumberFormat="1" applyFont="1" applyFill="1" applyBorder="1" applyAlignment="1">
      <alignment horizontal="center" vertical="center" wrapText="1"/>
      <protection/>
    </xf>
    <xf numFmtId="0" fontId="197" fillId="43" borderId="1" xfId="671" applyFont="1" applyFill="1" applyBorder="1" applyAlignment="1">
      <alignment horizontal="center" vertical="center" wrapText="1"/>
      <protection/>
    </xf>
  </cellXfs>
  <cellStyles count="957">
    <cellStyle name="Normal" xfId="0"/>
    <cellStyle name="_x0001_" xfId="15"/>
    <cellStyle name="          &#13;&#10;shell=progman.exe&#13;&#10;m" xfId="16"/>
    <cellStyle name="          &#13;&#10;shell=progman.exe&#13;&#10;m 2" xfId="17"/>
    <cellStyle name="&#13;&#10;JournalTemplate=C:\COMFO\CTALK\JOURSTD.TPL&#13;&#10;LbStateAddress=3 3 0 251 1 89 2 311&#13;&#10;LbStateJou" xfId="18"/>
    <cellStyle name="# ### ###" xfId="19"/>
    <cellStyle name="#,##0" xfId="20"/>
    <cellStyle name=",." xfId="21"/>
    <cellStyle name="." xfId="22"/>
    <cellStyle name=".d©y" xfId="23"/>
    <cellStyle name=".d©y 2" xfId="24"/>
    <cellStyle name="??" xfId="25"/>
    <cellStyle name="?? [0.00]_ Att. 1- Cover" xfId="26"/>
    <cellStyle name="?? [0]" xfId="27"/>
    <cellStyle name="???" xfId="28"/>
    <cellStyle name="?_x001D_??%U©÷u&amp;H©÷9_x0008_? s&#10;_x0007__x0001__x0001_" xfId="29"/>
    <cellStyle name="???? [0.00]_      " xfId="30"/>
    <cellStyle name="??????" xfId="31"/>
    <cellStyle name="????_      " xfId="32"/>
    <cellStyle name="???[0]_?? DI" xfId="33"/>
    <cellStyle name="???_?? DI" xfId="34"/>
    <cellStyle name="??[0]_BRE" xfId="35"/>
    <cellStyle name="??_      " xfId="36"/>
    <cellStyle name="??A? [0]_laroux_1_¢¬???¢â? " xfId="37"/>
    <cellStyle name="??A?_laroux_1_¢¬???¢â? " xfId="38"/>
    <cellStyle name="?¡±¢¥?_?¨ù??¢´¢¥_¢¬???¢â? " xfId="39"/>
    <cellStyle name="?ðÇ%U?&amp;H?_x0008_?s&#10;_x0007__x0001__x0001_" xfId="40"/>
    <cellStyle name="[0]_Chi phÝ kh¸c_V" xfId="41"/>
    <cellStyle name="_1 TONG HOP - CA NA" xfId="42"/>
    <cellStyle name="_Bang Chi tieu (2)" xfId="43"/>
    <cellStyle name="_Bang Chi tieu (2) 2" xfId="44"/>
    <cellStyle name="_BAO GIA NGAY 24-10-08 (co dam)" xfId="45"/>
    <cellStyle name="_Book1" xfId="46"/>
    <cellStyle name="_Book1 2" xfId="47"/>
    <cellStyle name="_Book1_Kh ql62 (2010) 11-09" xfId="48"/>
    <cellStyle name="_C.cong+B.luong-Sanluong" xfId="49"/>
    <cellStyle name="_DO-D1500-KHONG CO TRONG DT" xfId="50"/>
    <cellStyle name="_duong khuoi chanhcam giang" xfId="51"/>
    <cellStyle name="_Duyet TK thay đôi" xfId="52"/>
    <cellStyle name="_Duyet TK thay đôi 2" xfId="53"/>
    <cellStyle name="_GOITHAUSO2" xfId="54"/>
    <cellStyle name="_GOITHAUSO3" xfId="55"/>
    <cellStyle name="_GOITHAUSO4" xfId="56"/>
    <cellStyle name="_HaHoa_TDT_DienCSang" xfId="57"/>
    <cellStyle name="_HaHoa19-5-07" xfId="58"/>
    <cellStyle name="_Kh ql62 (2010) 11-09" xfId="59"/>
    <cellStyle name="_KT (2)" xfId="60"/>
    <cellStyle name="_KT (2)_1" xfId="61"/>
    <cellStyle name="_KT (2)_2" xfId="62"/>
    <cellStyle name="_KT (2)_2_TG-TH" xfId="63"/>
    <cellStyle name="_KT (2)_2_TG-TH_BANG TONG HOP TINH HINH THANH QUYET TOAN (MOI I)" xfId="64"/>
    <cellStyle name="_KT (2)_2_TG-TH_BAO GIA NGAY 24-10-08 (co dam)" xfId="65"/>
    <cellStyle name="_KT (2)_2_TG-TH_Book1" xfId="66"/>
    <cellStyle name="_KT (2)_2_TG-TH_Book1_1" xfId="67"/>
    <cellStyle name="_KT (2)_2_TG-TH_CAU Khanh Nam(Thi Cong)" xfId="68"/>
    <cellStyle name="_KT (2)_2_TG-TH_DU TRU VAT TU" xfId="69"/>
    <cellStyle name="_KT (2)_2_TG-TH_ÿÿÿÿÿ" xfId="70"/>
    <cellStyle name="_KT (2)_3" xfId="71"/>
    <cellStyle name="_KT (2)_3_TG-TH" xfId="72"/>
    <cellStyle name="_KT (2)_3_TG-TH_PERSONAL" xfId="73"/>
    <cellStyle name="_KT (2)_3_TG-TH_PERSONAL_Book1" xfId="74"/>
    <cellStyle name="_KT (2)_3_TG-TH_PERSONAL_Tong hop KHCB 2001" xfId="75"/>
    <cellStyle name="_KT (2)_4" xfId="76"/>
    <cellStyle name="_KT (2)_4_BANG TONG HOP TINH HINH THANH QUYET TOAN (MOI I)" xfId="77"/>
    <cellStyle name="_KT (2)_4_BAO GIA NGAY 24-10-08 (co dam)" xfId="78"/>
    <cellStyle name="_KT (2)_4_Book1" xfId="79"/>
    <cellStyle name="_KT (2)_4_Book1_1" xfId="80"/>
    <cellStyle name="_KT (2)_4_CAU Khanh Nam(Thi Cong)" xfId="81"/>
    <cellStyle name="_KT (2)_4_DU TRU VAT TU" xfId="82"/>
    <cellStyle name="_KT (2)_4_TG-TH" xfId="83"/>
    <cellStyle name="_KT (2)_4_ÿÿÿÿÿ" xfId="84"/>
    <cellStyle name="_KT (2)_5" xfId="85"/>
    <cellStyle name="_KT (2)_5_BANG TONG HOP TINH HINH THANH QUYET TOAN (MOI I)" xfId="86"/>
    <cellStyle name="_KT (2)_5_BAO GIA NGAY 24-10-08 (co dam)" xfId="87"/>
    <cellStyle name="_KT (2)_5_Book1" xfId="88"/>
    <cellStyle name="_KT (2)_5_Book1_1" xfId="89"/>
    <cellStyle name="_KT (2)_5_CAU Khanh Nam(Thi Cong)" xfId="90"/>
    <cellStyle name="_KT (2)_5_DU TRU VAT TU" xfId="91"/>
    <cellStyle name="_KT (2)_5_ÿÿÿÿÿ" xfId="92"/>
    <cellStyle name="_KT (2)_PERSONAL" xfId="93"/>
    <cellStyle name="_KT (2)_PERSONAL_Book1" xfId="94"/>
    <cellStyle name="_KT (2)_PERSONAL_Tong hop KHCB 2001" xfId="95"/>
    <cellStyle name="_KT (2)_TG-TH" xfId="96"/>
    <cellStyle name="_KT_TG" xfId="97"/>
    <cellStyle name="_KT_TG_1" xfId="98"/>
    <cellStyle name="_KT_TG_1_BANG TONG HOP TINH HINH THANH QUYET TOAN (MOI I)" xfId="99"/>
    <cellStyle name="_KT_TG_1_BAO GIA NGAY 24-10-08 (co dam)" xfId="100"/>
    <cellStyle name="_KT_TG_1_Book1" xfId="101"/>
    <cellStyle name="_KT_TG_1_Book1_1" xfId="102"/>
    <cellStyle name="_KT_TG_1_CAU Khanh Nam(Thi Cong)" xfId="103"/>
    <cellStyle name="_KT_TG_1_DU TRU VAT TU" xfId="104"/>
    <cellStyle name="_KT_TG_1_ÿÿÿÿÿ" xfId="105"/>
    <cellStyle name="_KT_TG_2" xfId="106"/>
    <cellStyle name="_KT_TG_2_BANG TONG HOP TINH HINH THANH QUYET TOAN (MOI I)" xfId="107"/>
    <cellStyle name="_KT_TG_2_BAO GIA NGAY 24-10-08 (co dam)" xfId="108"/>
    <cellStyle name="_KT_TG_2_Book1" xfId="109"/>
    <cellStyle name="_KT_TG_2_Book1_1" xfId="110"/>
    <cellStyle name="_KT_TG_2_CAU Khanh Nam(Thi Cong)" xfId="111"/>
    <cellStyle name="_KT_TG_2_DU TRU VAT TU" xfId="112"/>
    <cellStyle name="_KT_TG_2_ÿÿÿÿÿ" xfId="113"/>
    <cellStyle name="_KT_TG_3" xfId="114"/>
    <cellStyle name="_KT_TG_4" xfId="115"/>
    <cellStyle name="_MauThanTKKT-goi7-DonGia2143(vl t7)" xfId="116"/>
    <cellStyle name="_MauThanTKKT-goi7-DonGia2143(vl t7) 2" xfId="117"/>
    <cellStyle name="_MB ban lanh tan tien-quan binh" xfId="118"/>
    <cellStyle name="_Nhu cau von ung truoc 2011 Tha h Hoa + Nge An gui TW" xfId="119"/>
    <cellStyle name="_Nhu cau von ung truoc 2011 Tha h Hoa + Nge An gui TW 2" xfId="120"/>
    <cellStyle name="_PERSONAL" xfId="121"/>
    <cellStyle name="_PERSONAL_Book1" xfId="122"/>
    <cellStyle name="_PERSONAL_Tong hop KHCB 2001" xfId="123"/>
    <cellStyle name="_Q TOAN  SCTX QL.62 QUI I ( oanh)" xfId="124"/>
    <cellStyle name="_Q TOAN  SCTX QL.62 QUI II ( oanh)" xfId="125"/>
    <cellStyle name="_QT SCTXQL62_QT1 (Cty QL)" xfId="126"/>
    <cellStyle name="_Sheet1" xfId="127"/>
    <cellStyle name="_Sheet1_duong khuoi chanhcam giang" xfId="128"/>
    <cellStyle name="_Sheet1_MB ban lanh tan tien-quan binh" xfId="129"/>
    <cellStyle name="_Sheet2" xfId="130"/>
    <cellStyle name="_Sheet2_duong khuoi chanhcam giang" xfId="131"/>
    <cellStyle name="_Sheet2_MB ban lanh tan tien-quan binh" xfId="132"/>
    <cellStyle name="_TG-TH" xfId="133"/>
    <cellStyle name="_TG-TH_1" xfId="134"/>
    <cellStyle name="_TG-TH_1_BANG TONG HOP TINH HINH THANH QUYET TOAN (MOI I)" xfId="135"/>
    <cellStyle name="_TG-TH_1_BAO GIA NGAY 24-10-08 (co dam)" xfId="136"/>
    <cellStyle name="_TG-TH_1_Book1" xfId="137"/>
    <cellStyle name="_TG-TH_1_Book1_1" xfId="138"/>
    <cellStyle name="_TG-TH_1_CAU Khanh Nam(Thi Cong)" xfId="139"/>
    <cellStyle name="_TG-TH_1_DU TRU VAT TU" xfId="140"/>
    <cellStyle name="_TG-TH_1_ÿÿÿÿÿ" xfId="141"/>
    <cellStyle name="_TG-TH_2" xfId="142"/>
    <cellStyle name="_TG-TH_2_BANG TONG HOP TINH HINH THANH QUYET TOAN (MOI I)" xfId="143"/>
    <cellStyle name="_TG-TH_2_BAO GIA NGAY 24-10-08 (co dam)" xfId="144"/>
    <cellStyle name="_TG-TH_2_Book1" xfId="145"/>
    <cellStyle name="_TG-TH_2_Book1_1" xfId="146"/>
    <cellStyle name="_TG-TH_2_CAU Khanh Nam(Thi Cong)" xfId="147"/>
    <cellStyle name="_TG-TH_2_DU TRU VAT TU" xfId="148"/>
    <cellStyle name="_TG-TH_2_ÿÿÿÿÿ" xfId="149"/>
    <cellStyle name="_TG-TH_3" xfId="150"/>
    <cellStyle name="_TG-TH_4" xfId="151"/>
    <cellStyle name="_Tiendo XM YEN BINH" xfId="152"/>
    <cellStyle name="_Tong dutoan PP LAHAI" xfId="153"/>
    <cellStyle name="_ung truoc 2011 NSTW Thanh Hoa + Nge An gui Thu 12-5" xfId="154"/>
    <cellStyle name="_ung truoc 2011 NSTW Thanh Hoa + Nge An gui Thu 12-5 2" xfId="155"/>
    <cellStyle name="_ung truoc cua long an (6-5-2010)" xfId="156"/>
    <cellStyle name="_Ung von nam 2011 vung TNB - Doan Cong tac (12-5-2010)" xfId="157"/>
    <cellStyle name="_ÿÿÿÿÿ" xfId="158"/>
    <cellStyle name="_ÿÿÿÿÿ 2" xfId="159"/>
    <cellStyle name="_ÿÿÿÿÿ_Kh ql62 (2010) 11-09" xfId="160"/>
    <cellStyle name="~1" xfId="161"/>
    <cellStyle name="’Ê‰Ý [0.00]_laroux" xfId="162"/>
    <cellStyle name="’Ê‰Ý_laroux" xfId="163"/>
    <cellStyle name="•W?_Format" xfId="164"/>
    <cellStyle name="•W€_¯–ì" xfId="165"/>
    <cellStyle name="•W_¯–ì" xfId="166"/>
    <cellStyle name="W_MARINE" xfId="167"/>
    <cellStyle name="0" xfId="168"/>
    <cellStyle name="0.0" xfId="169"/>
    <cellStyle name="0.00" xfId="170"/>
    <cellStyle name="1" xfId="171"/>
    <cellStyle name="1_BAO GIA NGAY 24-10-08 (co dam)" xfId="172"/>
    <cellStyle name="1_Book1" xfId="173"/>
    <cellStyle name="1_Book1_1" xfId="174"/>
    <cellStyle name="1_Book1_1 2" xfId="175"/>
    <cellStyle name="1_Cau thuy dien Ban La (Cu Anh)" xfId="176"/>
    <cellStyle name="1_Cau thuy dien Ban La (Cu Anh) 2" xfId="177"/>
    <cellStyle name="1_Du toan 558 (Km17+508.12 - Km 22)" xfId="178"/>
    <cellStyle name="1_Du toan 558 (Km17+508.12 - Km 22) 2" xfId="179"/>
    <cellStyle name="1_Du toan KP GPMBchi quang A khuoi c phuong linhi" xfId="180"/>
    <cellStyle name="1_Gia_VLQL48_duyet " xfId="181"/>
    <cellStyle name="1_Gia_VLQL48_duyet  2" xfId="182"/>
    <cellStyle name="1_Kh ql62 (2010) 11-09" xfId="183"/>
    <cellStyle name="1_KlQdinhduyet" xfId="184"/>
    <cellStyle name="1_KlQdinhduyet 2" xfId="185"/>
    <cellStyle name="1_TRUNG PMU 5" xfId="186"/>
    <cellStyle name="1_ÿÿÿÿÿ" xfId="187"/>
    <cellStyle name="1_ÿÿÿÿÿ_Bieu tong hop nhu cau ung 2011 da chon loc -Mien nui" xfId="188"/>
    <cellStyle name="1_ÿÿÿÿÿ_Bieu tong hop nhu cau ung 2011 da chon loc -Mien nui 2" xfId="189"/>
    <cellStyle name="1_ÿÿÿÿÿ_Bieu tong hop nhu cau ung 2011 da chon loc -Mien nui 3" xfId="190"/>
    <cellStyle name="1_ÿÿÿÿÿ_duong khuoi chanhcam giang" xfId="191"/>
    <cellStyle name="1_ÿÿÿÿÿ_Kh ql62 (2010) 11-09" xfId="192"/>
    <cellStyle name="1_ÿÿÿÿÿ_MB ban lanh tan tien-quan binh" xfId="193"/>
    <cellStyle name="18" xfId="194"/>
    <cellStyle name="¹éºÐÀ²_      " xfId="195"/>
    <cellStyle name="2" xfId="196"/>
    <cellStyle name="2_Book1" xfId="197"/>
    <cellStyle name="2_Book1_1" xfId="198"/>
    <cellStyle name="2_Book1_1 2" xfId="199"/>
    <cellStyle name="2_Cau thuy dien Ban La (Cu Anh)" xfId="200"/>
    <cellStyle name="2_Cau thuy dien Ban La (Cu Anh) 2" xfId="201"/>
    <cellStyle name="2_Du toan 558 (Km17+508.12 - Km 22)" xfId="202"/>
    <cellStyle name="2_Du toan 558 (Km17+508.12 - Km 22) 2" xfId="203"/>
    <cellStyle name="2_Gia_VLQL48_duyet " xfId="204"/>
    <cellStyle name="2_Gia_VLQL48_duyet  2" xfId="205"/>
    <cellStyle name="2_KlQdinhduyet" xfId="206"/>
    <cellStyle name="2_KlQdinhduyet 2" xfId="207"/>
    <cellStyle name="2_TRUNG PMU 5" xfId="208"/>
    <cellStyle name="2_ÿÿÿÿÿ" xfId="209"/>
    <cellStyle name="2_ÿÿÿÿÿ_Bieu tong hop nhu cau ung 2011 da chon loc -Mien nui" xfId="210"/>
    <cellStyle name="2_ÿÿÿÿÿ_Bieu tong hop nhu cau ung 2011 da chon loc -Mien nui 2" xfId="211"/>
    <cellStyle name="2_ÿÿÿÿÿ_Bieu tong hop nhu cau ung 2011 da chon loc -Mien nui 3" xfId="212"/>
    <cellStyle name="2_ÿÿÿÿÿ_duong khuoi chanhcam giang" xfId="213"/>
    <cellStyle name="2_ÿÿÿÿÿ_MB ban lanh tan tien-quan binh" xfId="214"/>
    <cellStyle name="20% - Accent1" xfId="215"/>
    <cellStyle name="20% - Accent1 2" xfId="216"/>
    <cellStyle name="20% - Accent1 2 2" xfId="217"/>
    <cellStyle name="20% - Accent1 2 3" xfId="218"/>
    <cellStyle name="20% - Accent2" xfId="219"/>
    <cellStyle name="20% - Accent2 2" xfId="220"/>
    <cellStyle name="20% - Accent2 2 2" xfId="221"/>
    <cellStyle name="20% - Accent2 2 3" xfId="222"/>
    <cellStyle name="20% - Accent3" xfId="223"/>
    <cellStyle name="20% - Accent3 2" xfId="224"/>
    <cellStyle name="20% - Accent3 2 2" xfId="225"/>
    <cellStyle name="20% - Accent3 2 3" xfId="226"/>
    <cellStyle name="20% - Accent4" xfId="227"/>
    <cellStyle name="20% - Accent4 2" xfId="228"/>
    <cellStyle name="20% - Accent4 2 2" xfId="229"/>
    <cellStyle name="20% - Accent4 2 3" xfId="230"/>
    <cellStyle name="20% - Accent5" xfId="231"/>
    <cellStyle name="20% - Accent5 2" xfId="232"/>
    <cellStyle name="20% - Accent5 2 2" xfId="233"/>
    <cellStyle name="20% - Accent5 2 3" xfId="234"/>
    <cellStyle name="20% - Accent6" xfId="235"/>
    <cellStyle name="20% - Accent6 2" xfId="236"/>
    <cellStyle name="20% - Accent6 2 2" xfId="237"/>
    <cellStyle name="20% - Accent6 2 3" xfId="238"/>
    <cellStyle name="-2001" xfId="239"/>
    <cellStyle name="3" xfId="240"/>
    <cellStyle name="3_Book1" xfId="241"/>
    <cellStyle name="3_Book1_1" xfId="242"/>
    <cellStyle name="3_Book1_1 2" xfId="243"/>
    <cellStyle name="3_Cau thuy dien Ban La (Cu Anh)" xfId="244"/>
    <cellStyle name="3_Cau thuy dien Ban La (Cu Anh) 2" xfId="245"/>
    <cellStyle name="3_Du toan 558 (Km17+508.12 - Km 22)" xfId="246"/>
    <cellStyle name="3_Du toan 558 (Km17+508.12 - Km 22) 2" xfId="247"/>
    <cellStyle name="3_Gia_VLQL48_duyet " xfId="248"/>
    <cellStyle name="3_Gia_VLQL48_duyet  2" xfId="249"/>
    <cellStyle name="3_KlQdinhduyet" xfId="250"/>
    <cellStyle name="3_KlQdinhduyet 2" xfId="251"/>
    <cellStyle name="3_ÿÿÿÿÿ" xfId="252"/>
    <cellStyle name="4" xfId="253"/>
    <cellStyle name="4_Book1" xfId="254"/>
    <cellStyle name="4_Book1_1" xfId="255"/>
    <cellStyle name="4_Book1_1 2" xfId="256"/>
    <cellStyle name="4_Cau thuy dien Ban La (Cu Anh)" xfId="257"/>
    <cellStyle name="4_Cau thuy dien Ban La (Cu Anh) 2" xfId="258"/>
    <cellStyle name="4_Du toan 558 (Km17+508.12 - Km 22)" xfId="259"/>
    <cellStyle name="4_Du toan 558 (Km17+508.12 - Km 22) 2" xfId="260"/>
    <cellStyle name="4_Gia_VLQL48_duyet " xfId="261"/>
    <cellStyle name="4_Gia_VLQL48_duyet  2" xfId="262"/>
    <cellStyle name="4_KlQdinhduyet" xfId="263"/>
    <cellStyle name="4_KlQdinhduyet 2" xfId="264"/>
    <cellStyle name="4_ÿÿÿÿÿ" xfId="265"/>
    <cellStyle name="40% - Accent1" xfId="266"/>
    <cellStyle name="40% - Accent1 2" xfId="267"/>
    <cellStyle name="40% - Accent1 2 2" xfId="268"/>
    <cellStyle name="40% - Accent1 2 3" xfId="269"/>
    <cellStyle name="40% - Accent2" xfId="270"/>
    <cellStyle name="40% - Accent2 2" xfId="271"/>
    <cellStyle name="40% - Accent2 2 2" xfId="272"/>
    <cellStyle name="40% - Accent2 2 3" xfId="273"/>
    <cellStyle name="40% - Accent3" xfId="274"/>
    <cellStyle name="40% - Accent3 2" xfId="275"/>
    <cellStyle name="40% - Accent3 2 2" xfId="276"/>
    <cellStyle name="40% - Accent3 2 3" xfId="277"/>
    <cellStyle name="40% - Accent4" xfId="278"/>
    <cellStyle name="40% - Accent4 2" xfId="279"/>
    <cellStyle name="40% - Accent4 2 2" xfId="280"/>
    <cellStyle name="40% - Accent4 2 3" xfId="281"/>
    <cellStyle name="40% - Accent5" xfId="282"/>
    <cellStyle name="40% - Accent5 2" xfId="283"/>
    <cellStyle name="40% - Accent5 2 2" xfId="284"/>
    <cellStyle name="40% - Accent5 2 3" xfId="285"/>
    <cellStyle name="40% - Accent6" xfId="286"/>
    <cellStyle name="40% - Accent6 2" xfId="287"/>
    <cellStyle name="40% - Accent6 2 2" xfId="288"/>
    <cellStyle name="40% - Accent6 2 3" xfId="289"/>
    <cellStyle name="6" xfId="290"/>
    <cellStyle name="6 2" xfId="291"/>
    <cellStyle name="60% - Accent1" xfId="292"/>
    <cellStyle name="60% - Accent1 2" xfId="293"/>
    <cellStyle name="60% - Accent2" xfId="294"/>
    <cellStyle name="60% - Accent2 2" xfId="295"/>
    <cellStyle name="60% - Accent3" xfId="296"/>
    <cellStyle name="60% - Accent3 2" xfId="297"/>
    <cellStyle name="60% - Accent4" xfId="298"/>
    <cellStyle name="60% - Accent4 2" xfId="299"/>
    <cellStyle name="60% - Accent5" xfId="300"/>
    <cellStyle name="60% - Accent5 2" xfId="301"/>
    <cellStyle name="60% - Accent6" xfId="302"/>
    <cellStyle name="60% - Accent6 2" xfId="303"/>
    <cellStyle name="9" xfId="304"/>
    <cellStyle name="9 2" xfId="305"/>
    <cellStyle name="Accent1" xfId="306"/>
    <cellStyle name="Accent1 2" xfId="307"/>
    <cellStyle name="Accent2" xfId="308"/>
    <cellStyle name="Accent2 2" xfId="309"/>
    <cellStyle name="Accent3" xfId="310"/>
    <cellStyle name="Accent3 2" xfId="311"/>
    <cellStyle name="Accent4" xfId="312"/>
    <cellStyle name="Accent4 2" xfId="313"/>
    <cellStyle name="Accent5" xfId="314"/>
    <cellStyle name="Accent5 2" xfId="315"/>
    <cellStyle name="Accent6" xfId="316"/>
    <cellStyle name="Accent6 2" xfId="317"/>
    <cellStyle name="ÅëÈ­ [0]_      " xfId="318"/>
    <cellStyle name="AeE­ [0]_INQUIRY ¿?¾÷AßAø " xfId="319"/>
    <cellStyle name="ÅëÈ­ [0]_L601CPT" xfId="320"/>
    <cellStyle name="ÅëÈ­_      " xfId="321"/>
    <cellStyle name="AeE­_INQUIRY ¿?¾÷AßAø " xfId="322"/>
    <cellStyle name="ÅëÈ­_L601CPT" xfId="323"/>
    <cellStyle name="APPEAR" xfId="324"/>
    <cellStyle name="args.style" xfId="325"/>
    <cellStyle name="arial" xfId="326"/>
    <cellStyle name="at" xfId="327"/>
    <cellStyle name="ÄÞ¸¶ [0]_      " xfId="328"/>
    <cellStyle name="AÞ¸¶ [0]_INQUIRY ¿?¾÷AßAø " xfId="329"/>
    <cellStyle name="ÄÞ¸¶ [0]_L601CPT" xfId="330"/>
    <cellStyle name="ÄÞ¸¶_      " xfId="331"/>
    <cellStyle name="AÞ¸¶_INQUIRY ¿?¾÷AßAø " xfId="332"/>
    <cellStyle name="ÄÞ¸¶_L601CPT" xfId="333"/>
    <cellStyle name="AutoFormat Options" xfId="334"/>
    <cellStyle name="Bad" xfId="335"/>
    <cellStyle name="Bad 2" xfId="336"/>
    <cellStyle name="Bangchu" xfId="337"/>
    <cellStyle name="Body" xfId="338"/>
    <cellStyle name="C?AØ_¿?¾÷CoE² " xfId="339"/>
    <cellStyle name="C~1" xfId="340"/>
    <cellStyle name="C~1 2" xfId="341"/>
    <cellStyle name="Ç¥ÁØ_      " xfId="342"/>
    <cellStyle name="C￥AØ_¿μ¾÷CoE² " xfId="343"/>
    <cellStyle name="Ç¥ÁØ_±¸¹Ì´ëÃ¥" xfId="344"/>
    <cellStyle name="C￥AØ_Sheet1_¿μ¾÷CoE² " xfId="345"/>
    <cellStyle name="Ç¥ÁØ_ÿÿÿÿÿÿ_4_ÃÑÇÕ°è " xfId="346"/>
    <cellStyle name="Calc Currency (0)" xfId="347"/>
    <cellStyle name="Calc Currency (2)" xfId="348"/>
    <cellStyle name="Calc Currency (2) 2" xfId="349"/>
    <cellStyle name="Calc Percent (0)" xfId="350"/>
    <cellStyle name="Calc Percent (1)" xfId="351"/>
    <cellStyle name="Calc Percent (1) 2" xfId="352"/>
    <cellStyle name="Calc Percent (2)" xfId="353"/>
    <cellStyle name="Calc Percent (2) 2" xfId="354"/>
    <cellStyle name="Calc Units (0)" xfId="355"/>
    <cellStyle name="Calc Units (1)" xfId="356"/>
    <cellStyle name="Calc Units (1) 2" xfId="357"/>
    <cellStyle name="Calc Units (2)" xfId="358"/>
    <cellStyle name="Calc Units (2) 2" xfId="359"/>
    <cellStyle name="Calculation" xfId="360"/>
    <cellStyle name="Calculation 2" xfId="361"/>
    <cellStyle name="category" xfId="362"/>
    <cellStyle name="Cerrency_Sheet2_XANGDAU" xfId="363"/>
    <cellStyle name="Check Cell" xfId="364"/>
    <cellStyle name="Check Cell 2" xfId="365"/>
    <cellStyle name="Chi phÝ kh¸c_Book1" xfId="366"/>
    <cellStyle name="Chuẩn 2" xfId="367"/>
    <cellStyle name="Chuẩn 2 2" xfId="368"/>
    <cellStyle name="Chuẩn 3" xfId="369"/>
    <cellStyle name="Chuẩn 4" xfId="370"/>
    <cellStyle name="CHUONG" xfId="371"/>
    <cellStyle name="Comma" xfId="372"/>
    <cellStyle name="Comma  - Style1" xfId="373"/>
    <cellStyle name="Comma  - Style2" xfId="374"/>
    <cellStyle name="Comma  - Style3" xfId="375"/>
    <cellStyle name="Comma  - Style4" xfId="376"/>
    <cellStyle name="Comma  - Style5" xfId="377"/>
    <cellStyle name="Comma  - Style6" xfId="378"/>
    <cellStyle name="Comma  - Style7" xfId="379"/>
    <cellStyle name="Comma  - Style8" xfId="380"/>
    <cellStyle name="Comma [0]" xfId="381"/>
    <cellStyle name="Comma [0] 2" xfId="382"/>
    <cellStyle name="Comma [00]" xfId="383"/>
    <cellStyle name="Comma 12" xfId="384"/>
    <cellStyle name="Comma 2" xfId="385"/>
    <cellStyle name="Comma 2 2" xfId="386"/>
    <cellStyle name="Comma 2 3" xfId="387"/>
    <cellStyle name="Comma 2 4" xfId="388"/>
    <cellStyle name="Comma 2_biểu tổng hợp" xfId="389"/>
    <cellStyle name="Comma 3" xfId="390"/>
    <cellStyle name="Comma 3 2" xfId="391"/>
    <cellStyle name="Comma 3 2 2" xfId="392"/>
    <cellStyle name="Comma 3 2 3" xfId="393"/>
    <cellStyle name="Comma 3 3" xfId="394"/>
    <cellStyle name="Comma 4" xfId="395"/>
    <cellStyle name="Comma 5" xfId="396"/>
    <cellStyle name="Comma 6" xfId="397"/>
    <cellStyle name="Comma 7" xfId="398"/>
    <cellStyle name="Comma 8" xfId="399"/>
    <cellStyle name="Comma 9" xfId="400"/>
    <cellStyle name="comma zerodec" xfId="401"/>
    <cellStyle name="comma zerodec 2" xfId="402"/>
    <cellStyle name="Comma0" xfId="403"/>
    <cellStyle name="cong" xfId="404"/>
    <cellStyle name="Copied" xfId="405"/>
    <cellStyle name="Cࡵrrency_Sheet1_PRODUCTĠ" xfId="406"/>
    <cellStyle name="Currency" xfId="407"/>
    <cellStyle name="Currency [0]" xfId="408"/>
    <cellStyle name="Currency [00]" xfId="409"/>
    <cellStyle name="Currency [00] 2" xfId="410"/>
    <cellStyle name="Currency0" xfId="411"/>
    <cellStyle name="Currency0 2" xfId="412"/>
    <cellStyle name="Currency0 3" xfId="413"/>
    <cellStyle name="Currency1" xfId="414"/>
    <cellStyle name="Currency1 2" xfId="415"/>
    <cellStyle name="D1" xfId="416"/>
    <cellStyle name="D1 2" xfId="417"/>
    <cellStyle name="Date" xfId="418"/>
    <cellStyle name="Date Short" xfId="419"/>
    <cellStyle name="Date_Banggiancmay" xfId="420"/>
    <cellStyle name="Dấu phảy 2" xfId="421"/>
    <cellStyle name="Đầu ra" xfId="422"/>
    <cellStyle name="Đầu vào" xfId="423"/>
    <cellStyle name="daude" xfId="424"/>
    <cellStyle name="Đề mục 1" xfId="425"/>
    <cellStyle name="Đề mục 2" xfId="426"/>
    <cellStyle name="Đề mục 3" xfId="427"/>
    <cellStyle name="Đề mục 4" xfId="428"/>
    <cellStyle name="Dezimal [0]_35ERI8T2gbIEMixb4v26icuOo" xfId="429"/>
    <cellStyle name="Dezimal_35ERI8T2gbIEMixb4v26icuOo" xfId="430"/>
    <cellStyle name="Dg" xfId="431"/>
    <cellStyle name="Dgia" xfId="432"/>
    <cellStyle name="Dollar (zero dec)" xfId="433"/>
    <cellStyle name="Dollar (zero dec) 2" xfId="434"/>
    <cellStyle name="Don gia" xfId="435"/>
    <cellStyle name="Dziesi?tny [0]_Invoices2001Slovakia" xfId="436"/>
    <cellStyle name="Dziesi?tny_Invoices2001Slovakia" xfId="437"/>
    <cellStyle name="Dziesietny [0]_Invoices2001Slovakia" xfId="438"/>
    <cellStyle name="Dziesiętny [0]_Invoices2001Slovakia" xfId="439"/>
    <cellStyle name="Dziesietny [0]_Invoices2001Slovakia_01_Nha so 1_Dien" xfId="440"/>
    <cellStyle name="Dziesiętny [0]_Invoices2001Slovakia_01_Nha so 1_Dien" xfId="441"/>
    <cellStyle name="Dziesietny [0]_Invoices2001Slovakia_10_Nha so 10_Dien1" xfId="442"/>
    <cellStyle name="Dziesiętny [0]_Invoices2001Slovakia_10_Nha so 10_Dien1" xfId="443"/>
    <cellStyle name="Dziesietny [0]_Invoices2001Slovakia_Book1" xfId="444"/>
    <cellStyle name="Dziesiętny [0]_Invoices2001Slovakia_Book1" xfId="445"/>
    <cellStyle name="Dziesietny [0]_Invoices2001Slovakia_Book1_1" xfId="446"/>
    <cellStyle name="Dziesiętny [0]_Invoices2001Slovakia_Book1_1" xfId="447"/>
    <cellStyle name="Dziesietny [0]_Invoices2001Slovakia_Book1_1_Book1" xfId="448"/>
    <cellStyle name="Dziesiętny [0]_Invoices2001Slovakia_Book1_1_Book1" xfId="449"/>
    <cellStyle name="Dziesietny [0]_Invoices2001Slovakia_Book1_1_Book1 2" xfId="450"/>
    <cellStyle name="Dziesiętny [0]_Invoices2001Slovakia_Book1_1_Book1 2" xfId="451"/>
    <cellStyle name="Dziesietny [0]_Invoices2001Slovakia_Book1_1_Book1 3" xfId="452"/>
    <cellStyle name="Dziesiętny [0]_Invoices2001Slovakia_Book1_1_Book1 3" xfId="453"/>
    <cellStyle name="Dziesietny [0]_Invoices2001Slovakia_Book1_2" xfId="454"/>
    <cellStyle name="Dziesiętny [0]_Invoices2001Slovakia_Book1_2" xfId="455"/>
    <cellStyle name="Dziesietny [0]_Invoices2001Slovakia_Book1_2 2" xfId="456"/>
    <cellStyle name="Dziesiętny [0]_Invoices2001Slovakia_Book1_2 2" xfId="457"/>
    <cellStyle name="Dziesietny [0]_Invoices2001Slovakia_Book1_2 3" xfId="458"/>
    <cellStyle name="Dziesiętny [0]_Invoices2001Slovakia_Book1_2 3" xfId="459"/>
    <cellStyle name="Dziesietny [0]_Invoices2001Slovakia_Book1_Nhu cau von ung truoc 2011 Tha h Hoa + Nge An gui TW" xfId="460"/>
    <cellStyle name="Dziesiętny [0]_Invoices2001Slovakia_Book1_Nhu cau von ung truoc 2011 Tha h Hoa + Nge An gui TW" xfId="461"/>
    <cellStyle name="Dziesietny [0]_Invoices2001Slovakia_Book1_Tong hop Cac tuyen(9-1-06)" xfId="462"/>
    <cellStyle name="Dziesiętny [0]_Invoices2001Slovakia_Book1_Tong hop Cac tuyen(9-1-06)" xfId="463"/>
    <cellStyle name="Dziesietny [0]_Invoices2001Slovakia_Book1_ung truoc 2011 NSTW Thanh Hoa + Nge An gui Thu 12-5" xfId="464"/>
    <cellStyle name="Dziesiętny [0]_Invoices2001Slovakia_Book1_ung truoc 2011 NSTW Thanh Hoa + Nge An gui Thu 12-5" xfId="465"/>
    <cellStyle name="Dziesietny [0]_Invoices2001Slovakia_d-uong+TDT" xfId="466"/>
    <cellStyle name="Dziesiętny [0]_Invoices2001Slovakia_Nhµ ®Ó xe" xfId="467"/>
    <cellStyle name="Dziesietny [0]_Invoices2001Slovakia_Nha bao ve(28-7-05)" xfId="468"/>
    <cellStyle name="Dziesiętny [0]_Invoices2001Slovakia_Nha bao ve(28-7-05)" xfId="469"/>
    <cellStyle name="Dziesietny [0]_Invoices2001Slovakia_NHA de xe nguyen du" xfId="470"/>
    <cellStyle name="Dziesiętny [0]_Invoices2001Slovakia_NHA de xe nguyen du" xfId="471"/>
    <cellStyle name="Dziesietny [0]_Invoices2001Slovakia_Nhalamviec VTC(25-1-05)" xfId="472"/>
    <cellStyle name="Dziesiętny [0]_Invoices2001Slovakia_Nhalamviec VTC(25-1-05)" xfId="473"/>
    <cellStyle name="Dziesietny [0]_Invoices2001Slovakia_Nhu cau von ung truoc 2011 Tha h Hoa + Nge An gui TW" xfId="474"/>
    <cellStyle name="Dziesiętny [0]_Invoices2001Slovakia_TDT KHANH HOA" xfId="475"/>
    <cellStyle name="Dziesietny [0]_Invoices2001Slovakia_TDT KHANH HOA_Tong hop Cac tuyen(9-1-06)" xfId="476"/>
    <cellStyle name="Dziesiętny [0]_Invoices2001Slovakia_TDT KHANH HOA_Tong hop Cac tuyen(9-1-06)" xfId="477"/>
    <cellStyle name="Dziesietny [0]_Invoices2001Slovakia_TDT quangngai" xfId="478"/>
    <cellStyle name="Dziesiętny [0]_Invoices2001Slovakia_TDT quangngai" xfId="479"/>
    <cellStyle name="Dziesietny [0]_Invoices2001Slovakia_TMDT(10-5-06)" xfId="480"/>
    <cellStyle name="Dziesietny_Invoices2001Slovakia" xfId="481"/>
    <cellStyle name="Dziesiętny_Invoices2001Slovakia" xfId="482"/>
    <cellStyle name="Dziesietny_Invoices2001Slovakia_01_Nha so 1_Dien" xfId="483"/>
    <cellStyle name="Dziesiętny_Invoices2001Slovakia_01_Nha so 1_Dien" xfId="484"/>
    <cellStyle name="Dziesietny_Invoices2001Slovakia_10_Nha so 10_Dien1" xfId="485"/>
    <cellStyle name="Dziesiętny_Invoices2001Slovakia_10_Nha so 10_Dien1" xfId="486"/>
    <cellStyle name="Dziesietny_Invoices2001Slovakia_Book1" xfId="487"/>
    <cellStyle name="Dziesiętny_Invoices2001Slovakia_Book1" xfId="488"/>
    <cellStyle name="Dziesietny_Invoices2001Slovakia_Book1_1" xfId="489"/>
    <cellStyle name="Dziesiętny_Invoices2001Slovakia_Book1_1" xfId="490"/>
    <cellStyle name="Dziesietny_Invoices2001Slovakia_Book1_1_Book1" xfId="491"/>
    <cellStyle name="Dziesiętny_Invoices2001Slovakia_Book1_1_Book1" xfId="492"/>
    <cellStyle name="Dziesietny_Invoices2001Slovakia_Book1_1_Book1 2" xfId="493"/>
    <cellStyle name="Dziesiętny_Invoices2001Slovakia_Book1_1_Book1 2" xfId="494"/>
    <cellStyle name="Dziesietny_Invoices2001Slovakia_Book1_1_Book1 3" xfId="495"/>
    <cellStyle name="Dziesiętny_Invoices2001Slovakia_Book1_1_Book1 3" xfId="496"/>
    <cellStyle name="Dziesietny_Invoices2001Slovakia_Book1_2" xfId="497"/>
    <cellStyle name="Dziesiętny_Invoices2001Slovakia_Book1_2" xfId="498"/>
    <cellStyle name="Dziesietny_Invoices2001Slovakia_Book1_2 2" xfId="499"/>
    <cellStyle name="Dziesiętny_Invoices2001Slovakia_Book1_2 2" xfId="500"/>
    <cellStyle name="Dziesietny_Invoices2001Slovakia_Book1_2 3" xfId="501"/>
    <cellStyle name="Dziesiętny_Invoices2001Slovakia_Book1_2 3" xfId="502"/>
    <cellStyle name="Dziesietny_Invoices2001Slovakia_Book1_Nhu cau von ung truoc 2011 Tha h Hoa + Nge An gui TW" xfId="503"/>
    <cellStyle name="Dziesiętny_Invoices2001Slovakia_Book1_Nhu cau von ung truoc 2011 Tha h Hoa + Nge An gui TW" xfId="504"/>
    <cellStyle name="Dziesietny_Invoices2001Slovakia_Book1_Tong hop Cac tuyen(9-1-06)" xfId="505"/>
    <cellStyle name="Dziesiętny_Invoices2001Slovakia_Book1_Tong hop Cac tuyen(9-1-06)" xfId="506"/>
    <cellStyle name="Dziesietny_Invoices2001Slovakia_Book1_ung truoc 2011 NSTW Thanh Hoa + Nge An gui Thu 12-5" xfId="507"/>
    <cellStyle name="Dziesiętny_Invoices2001Slovakia_Book1_ung truoc 2011 NSTW Thanh Hoa + Nge An gui Thu 12-5" xfId="508"/>
    <cellStyle name="Dziesietny_Invoices2001Slovakia_d-uong+TDT" xfId="509"/>
    <cellStyle name="Dziesiętny_Invoices2001Slovakia_Nhµ ®Ó xe" xfId="510"/>
    <cellStyle name="Dziesietny_Invoices2001Slovakia_Nha bao ve(28-7-05)" xfId="511"/>
    <cellStyle name="Dziesiętny_Invoices2001Slovakia_Nha bao ve(28-7-05)" xfId="512"/>
    <cellStyle name="Dziesietny_Invoices2001Slovakia_NHA de xe nguyen du" xfId="513"/>
    <cellStyle name="Dziesiętny_Invoices2001Slovakia_NHA de xe nguyen du" xfId="514"/>
    <cellStyle name="Dziesietny_Invoices2001Slovakia_Nhalamviec VTC(25-1-05)" xfId="515"/>
    <cellStyle name="Dziesiętny_Invoices2001Slovakia_Nhalamviec VTC(25-1-05)" xfId="516"/>
    <cellStyle name="Dziesietny_Invoices2001Slovakia_Nhu cau von ung truoc 2011 Tha h Hoa + Nge An gui TW" xfId="517"/>
    <cellStyle name="Dziesiętny_Invoices2001Slovakia_TDT KHANH HOA" xfId="518"/>
    <cellStyle name="Dziesietny_Invoices2001Slovakia_TDT KHANH HOA_Tong hop Cac tuyen(9-1-06)" xfId="519"/>
    <cellStyle name="Dziesiętny_Invoices2001Slovakia_TDT KHANH HOA_Tong hop Cac tuyen(9-1-06)" xfId="520"/>
    <cellStyle name="Dziesietny_Invoices2001Slovakia_TDT quangngai" xfId="521"/>
    <cellStyle name="Dziesiętny_Invoices2001Slovakia_TDT quangngai" xfId="522"/>
    <cellStyle name="Dziesietny_Invoices2001Slovakia_TMDT(10-5-06)" xfId="523"/>
    <cellStyle name="e" xfId="524"/>
    <cellStyle name="Enter Currency (0)" xfId="525"/>
    <cellStyle name="Enter Currency (2)" xfId="526"/>
    <cellStyle name="Enter Currency (2) 2" xfId="527"/>
    <cellStyle name="Enter Units (0)" xfId="528"/>
    <cellStyle name="Enter Units (1)" xfId="529"/>
    <cellStyle name="Enter Units (1) 2" xfId="530"/>
    <cellStyle name="Enter Units (2)" xfId="531"/>
    <cellStyle name="Enter Units (2) 2" xfId="532"/>
    <cellStyle name="Entered" xfId="533"/>
    <cellStyle name="Euro" xfId="534"/>
    <cellStyle name="Explanatory Text" xfId="535"/>
    <cellStyle name="Explanatory Text 2" xfId="536"/>
    <cellStyle name="f" xfId="537"/>
    <cellStyle name="Fixed" xfId="538"/>
    <cellStyle name="Followed Hyperlink" xfId="539"/>
    <cellStyle name="Ghi chú" xfId="540"/>
    <cellStyle name="gia" xfId="541"/>
    <cellStyle name="GIA-MOI" xfId="542"/>
    <cellStyle name="GIA-MOI 2" xfId="543"/>
    <cellStyle name="Good" xfId="544"/>
    <cellStyle name="Good 2" xfId="545"/>
    <cellStyle name="Grey" xfId="546"/>
    <cellStyle name="Group" xfId="547"/>
    <cellStyle name="H" xfId="548"/>
    <cellStyle name="H 2" xfId="549"/>
    <cellStyle name="H_D-A-VU" xfId="550"/>
    <cellStyle name="H_D-A-VU 2" xfId="551"/>
    <cellStyle name="H_duong khuoi chanhcam giang" xfId="552"/>
    <cellStyle name="H_HSTHAU" xfId="553"/>
    <cellStyle name="H_HSTHAU 2" xfId="554"/>
    <cellStyle name="H_MB ban lanh tan tien-quan binh" xfId="555"/>
    <cellStyle name="ha" xfId="556"/>
    <cellStyle name="Head 1" xfId="557"/>
    <cellStyle name="HEADER" xfId="558"/>
    <cellStyle name="Header1" xfId="559"/>
    <cellStyle name="Header2" xfId="560"/>
    <cellStyle name="Heading 1" xfId="561"/>
    <cellStyle name="Heading 1 2" xfId="562"/>
    <cellStyle name="Heading 2" xfId="563"/>
    <cellStyle name="Heading 2 2" xfId="564"/>
    <cellStyle name="Heading 3" xfId="565"/>
    <cellStyle name="Heading 3 2" xfId="566"/>
    <cellStyle name="Heading 4" xfId="567"/>
    <cellStyle name="Heading 4 2" xfId="568"/>
    <cellStyle name="HEADING1" xfId="569"/>
    <cellStyle name="HEADING2" xfId="570"/>
    <cellStyle name="HEADINGS" xfId="571"/>
    <cellStyle name="HEADINGSTOP" xfId="572"/>
    <cellStyle name="headoption" xfId="573"/>
    <cellStyle name="HIDE" xfId="574"/>
    <cellStyle name="Hoa-Scholl" xfId="575"/>
    <cellStyle name="HUY" xfId="576"/>
    <cellStyle name="Hyperlink" xfId="577"/>
    <cellStyle name="i phÝ kh¸c_B¶ng 2" xfId="578"/>
    <cellStyle name="I.3" xfId="579"/>
    <cellStyle name="i·0" xfId="580"/>
    <cellStyle name="ï-¾È»ê_BiÓu TB" xfId="581"/>
    <cellStyle name="Input" xfId="582"/>
    <cellStyle name="Input [yellow]" xfId="583"/>
    <cellStyle name="Input 2" xfId="584"/>
    <cellStyle name="Input 3" xfId="585"/>
    <cellStyle name="invoice 8_g1" xfId="586"/>
    <cellStyle name="k_TONG HOP KINH PHI" xfId="587"/>
    <cellStyle name="k_TONG HOP KINH PHI 2" xfId="588"/>
    <cellStyle name="k_ÿÿÿÿÿ" xfId="589"/>
    <cellStyle name="k_ÿÿÿÿÿ 2" xfId="590"/>
    <cellStyle name="k_ÿÿÿÿÿ_1" xfId="591"/>
    <cellStyle name="k_ÿÿÿÿÿ_2" xfId="592"/>
    <cellStyle name="k_ÿÿÿÿÿ_2 2" xfId="593"/>
    <cellStyle name="kh¸c_Bang Chi tieu" xfId="594"/>
    <cellStyle name="khanh" xfId="595"/>
    <cellStyle name="khung" xfId="596"/>
    <cellStyle name="Kiểu 1" xfId="597"/>
    <cellStyle name="Kiểu 1 2" xfId="598"/>
    <cellStyle name="Kiểu 10" xfId="599"/>
    <cellStyle name="Kiểu 11" xfId="600"/>
    <cellStyle name="Kiểu 11 2" xfId="601"/>
    <cellStyle name="Kiểu 12" xfId="602"/>
    <cellStyle name="Kiểu 12 2" xfId="603"/>
    <cellStyle name="Kiểu 13" xfId="604"/>
    <cellStyle name="Kiểu 13 2" xfId="605"/>
    <cellStyle name="Kiểu 14" xfId="606"/>
    <cellStyle name="Kiểu 15" xfId="607"/>
    <cellStyle name="Kiểu 16" xfId="608"/>
    <cellStyle name="Kiểu 17" xfId="609"/>
    <cellStyle name="Kiểu 18" xfId="610"/>
    <cellStyle name="Kiểu 19" xfId="611"/>
    <cellStyle name="Kiểu 2" xfId="612"/>
    <cellStyle name="Kiểu 20" xfId="613"/>
    <cellStyle name="Kiểu 21" xfId="614"/>
    <cellStyle name="Kiểu 22" xfId="615"/>
    <cellStyle name="Kiểu 23" xfId="616"/>
    <cellStyle name="Kiểu 24" xfId="617"/>
    <cellStyle name="Kiểu 25" xfId="618"/>
    <cellStyle name="Kiểu 26" xfId="619"/>
    <cellStyle name="Kiểu 27" xfId="620"/>
    <cellStyle name="Kiểu 28" xfId="621"/>
    <cellStyle name="Kiểu 28 2" xfId="622"/>
    <cellStyle name="Kiểu 29" xfId="623"/>
    <cellStyle name="Kiểu 29 2" xfId="624"/>
    <cellStyle name="Kiểu 3" xfId="625"/>
    <cellStyle name="Kiểu 4" xfId="626"/>
    <cellStyle name="Kiểu 5" xfId="627"/>
    <cellStyle name="Kiểu 6" xfId="628"/>
    <cellStyle name="Kiểu 7" xfId="629"/>
    <cellStyle name="Kiểu 8" xfId="630"/>
    <cellStyle name="Kiểu 9" xfId="631"/>
    <cellStyle name="KLBXUNG" xfId="632"/>
    <cellStyle name="KLBXUNG 2" xfId="633"/>
    <cellStyle name="Ledger 17 x 11 in" xfId="634"/>
    <cellStyle name="left" xfId="635"/>
    <cellStyle name="Link Currency (0)" xfId="636"/>
    <cellStyle name="Link Currency (2)" xfId="637"/>
    <cellStyle name="Link Currency (2) 2" xfId="638"/>
    <cellStyle name="Link Units (0)" xfId="639"/>
    <cellStyle name="Link Units (1)" xfId="640"/>
    <cellStyle name="Link Units (1) 2" xfId="641"/>
    <cellStyle name="Link Units (2)" xfId="642"/>
    <cellStyle name="Link Units (2) 2" xfId="643"/>
    <cellStyle name="Linked Cell" xfId="644"/>
    <cellStyle name="Linked Cell 2" xfId="645"/>
    <cellStyle name="MARK" xfId="646"/>
    <cellStyle name="MAU" xfId="647"/>
    <cellStyle name="Migliaia (0)_CALPREZZ" xfId="648"/>
    <cellStyle name="Migliaia_ PESO ELETTR." xfId="649"/>
    <cellStyle name="Millares [0]_Well Timing" xfId="650"/>
    <cellStyle name="Millares_Well Timing" xfId="651"/>
    <cellStyle name="Milliers [0]_      " xfId="652"/>
    <cellStyle name="Milliers_      " xfId="653"/>
    <cellStyle name="Model" xfId="654"/>
    <cellStyle name="moi" xfId="655"/>
    <cellStyle name="Moneda [0]_Well Timing" xfId="656"/>
    <cellStyle name="Moneda_Well Timing" xfId="657"/>
    <cellStyle name="Monétaire [0]_      " xfId="658"/>
    <cellStyle name="Monétaire_      " xfId="659"/>
    <cellStyle name="n" xfId="660"/>
    <cellStyle name="Neutral" xfId="661"/>
    <cellStyle name="Neutral 2" xfId="662"/>
    <cellStyle name="New" xfId="663"/>
    <cellStyle name="New Times Roman" xfId="664"/>
    <cellStyle name="nga" xfId="665"/>
    <cellStyle name="no dec" xfId="666"/>
    <cellStyle name="ÑONVÒ" xfId="667"/>
    <cellStyle name="Normal - Style1" xfId="668"/>
    <cellStyle name="Normal - 유형1" xfId="669"/>
    <cellStyle name="Normal 10" xfId="670"/>
    <cellStyle name="Normal 11" xfId="671"/>
    <cellStyle name="Normal 2" xfId="672"/>
    <cellStyle name="Normal 2 2" xfId="673"/>
    <cellStyle name="Normal 2 3" xfId="674"/>
    <cellStyle name="Normal 2 4" xfId="675"/>
    <cellStyle name="Normal 2 5" xfId="676"/>
    <cellStyle name="Normal 2 5 2" xfId="677"/>
    <cellStyle name="Normal 2 5 3" xfId="678"/>
    <cellStyle name="Normal 2 5_Biểu mẫu hướng dẫn CCTL năm 2017 (1)" xfId="679"/>
    <cellStyle name="Normal 2 6" xfId="680"/>
    <cellStyle name="Normal 2 7" xfId="681"/>
    <cellStyle name="Normal 2_BIỂU KH SỬ DỤNG ĐẤT" xfId="682"/>
    <cellStyle name="Normal 3" xfId="683"/>
    <cellStyle name="Normal 3 2" xfId="684"/>
    <cellStyle name="Normal 3 3" xfId="685"/>
    <cellStyle name="Normal 3_BIỂU KH SỬ DỤNG ĐẤT" xfId="686"/>
    <cellStyle name="Normal 4" xfId="687"/>
    <cellStyle name="Normal 4 2" xfId="688"/>
    <cellStyle name="Normal 4 2 2" xfId="689"/>
    <cellStyle name="Normal 4 2 3" xfId="690"/>
    <cellStyle name="Normal 4_biểu tổng hợp" xfId="691"/>
    <cellStyle name="Normal 5" xfId="692"/>
    <cellStyle name="Normal 5 5" xfId="693"/>
    <cellStyle name="Normal 5_Biểu mẫu hướng dẫn CCTL năm 2017 (1)" xfId="694"/>
    <cellStyle name="Normal 6" xfId="695"/>
    <cellStyle name="Normal 7" xfId="696"/>
    <cellStyle name="Normal 7 2" xfId="697"/>
    <cellStyle name="Normal 8" xfId="698"/>
    <cellStyle name="Normal 9" xfId="699"/>
    <cellStyle name="Normal1" xfId="700"/>
    <cellStyle name="Normal8" xfId="701"/>
    <cellStyle name="Normale_ PESO ELETTR." xfId="702"/>
    <cellStyle name="Normalny_Cennik obowiazuje od 06-08-2001 r (1)" xfId="703"/>
    <cellStyle name="Note" xfId="704"/>
    <cellStyle name="Note 2" xfId="705"/>
    <cellStyle name="NWM" xfId="706"/>
    <cellStyle name="Ò&#13;Normal_123569" xfId="707"/>
    <cellStyle name="Œ…‹æØ‚è [0.00]_laroux" xfId="708"/>
    <cellStyle name="Œ…‹æØ‚è_laroux" xfId="709"/>
    <cellStyle name="oft Excel]&#13;&#10;Comment=open=/f ‚ðw’è‚·‚é‚ÆAƒ†[ƒU[’è‹`ŠÖ”‚ðŠÖ”“\‚è•t‚¯‚Ìˆê——‚É“o˜^‚·‚é‚±‚Æ‚ª‚Å‚«‚Ü‚·B&#13;&#10;Maximized" xfId="710"/>
    <cellStyle name="oft Excel]&#13;&#10;Comment=open=/f ‚ðŽw’è‚·‚é‚ÆAƒ†[ƒU[’è‹`ŠÖ”‚ðŠÖ”“\‚è•t‚¯‚Ìˆê——‚É“o˜^‚·‚é‚±‚Æ‚ª‚Å‚«‚Ü‚·B&#13;&#10;Maximized" xfId="711"/>
    <cellStyle name="oft Excel]&#13;&#10;Comment=The open=/f lines load custom functions into the Paste Function list.&#13;&#10;Maximized=2&#13;&#10;Basics=1&#13;&#10;A" xfId="712"/>
    <cellStyle name="oft Excel]&#13;&#10;Comment=The open=/f lines load custom functions into the Paste Function list.&#13;&#10;Maximized=2&#13;&#10;Basics=1&#13;&#10;A 2" xfId="713"/>
    <cellStyle name="oft Excel]&#13;&#10;Comment=The open=/f lines load custom functions into the Paste Function list.&#13;&#10;Maximized=3&#13;&#10;Basics=1&#13;&#10;A" xfId="714"/>
    <cellStyle name="oft Excel]&#13;&#10;Comment=The open=/f lines load custom functions into the Paste Function list.&#13;&#10;Maximized=3&#13;&#10;Basics=1&#13;&#10;A 2" xfId="715"/>
    <cellStyle name="omma [0]_Mktg Prog" xfId="716"/>
    <cellStyle name="ormal_Sheet1_1" xfId="717"/>
    <cellStyle name="Output" xfId="718"/>
    <cellStyle name="Output 2" xfId="719"/>
    <cellStyle name="p" xfId="720"/>
    <cellStyle name="Pattern" xfId="721"/>
    <cellStyle name="per.style" xfId="722"/>
    <cellStyle name="Percent" xfId="723"/>
    <cellStyle name="Percent [0]" xfId="724"/>
    <cellStyle name="Percent [0] 2" xfId="725"/>
    <cellStyle name="Percent [00]" xfId="726"/>
    <cellStyle name="Percent [00] 2" xfId="727"/>
    <cellStyle name="Percent [2]" xfId="728"/>
    <cellStyle name="Percent 2" xfId="729"/>
    <cellStyle name="PERCENTAGE" xfId="730"/>
    <cellStyle name="PrePop Currency (0)" xfId="731"/>
    <cellStyle name="PrePop Currency (2)" xfId="732"/>
    <cellStyle name="PrePop Currency (2) 2" xfId="733"/>
    <cellStyle name="PrePop Units (0)" xfId="734"/>
    <cellStyle name="PrePop Units (1)" xfId="735"/>
    <cellStyle name="PrePop Units (1) 2" xfId="736"/>
    <cellStyle name="PrePop Units (2)" xfId="737"/>
    <cellStyle name="PrePop Units (2) 2" xfId="738"/>
    <cellStyle name="pricing" xfId="739"/>
    <cellStyle name="PSChar" xfId="740"/>
    <cellStyle name="PSHeading" xfId="741"/>
    <cellStyle name="regstoresfromspecstores" xfId="742"/>
    <cellStyle name="RevList" xfId="743"/>
    <cellStyle name="rlink_tiªn l­în_x001B_Hyperlink_TONG HOP KINH PHI" xfId="744"/>
    <cellStyle name="rmal_ADAdot" xfId="745"/>
    <cellStyle name="S—_x0008_" xfId="746"/>
    <cellStyle name="s]&#13;&#10;spooler=yes&#13;&#10;load=&#13;&#10;Beep=yes&#13;&#10;NullPort=None&#13;&#10;BorderWidth=3&#13;&#10;CursorBlinkRate=1200&#13;&#10;DoubleClickSpeed=452&#13;&#10;Programs=co" xfId="747"/>
    <cellStyle name="s]&#13;&#10;spooler=yes&#13;&#10;load=&#13;&#10;Beep=yes&#13;&#10;NullPort=None&#13;&#10;BorderWidth=3&#13;&#10;CursorBlinkRate=1200&#13;&#10;DoubleClickSpeed=452&#13;&#10;Programs=co 2" xfId="748"/>
    <cellStyle name="SAPBEXaggData" xfId="749"/>
    <cellStyle name="SAPBEXaggDataEmph" xfId="750"/>
    <cellStyle name="SAPBEXaggItem" xfId="751"/>
    <cellStyle name="SAPBEXchaText" xfId="752"/>
    <cellStyle name="SAPBEXexcBad7" xfId="753"/>
    <cellStyle name="SAPBEXexcBad8" xfId="754"/>
    <cellStyle name="SAPBEXexcBad9" xfId="755"/>
    <cellStyle name="SAPBEXexcCritical4" xfId="756"/>
    <cellStyle name="SAPBEXexcCritical5" xfId="757"/>
    <cellStyle name="SAPBEXexcCritical6" xfId="758"/>
    <cellStyle name="SAPBEXexcGood1" xfId="759"/>
    <cellStyle name="SAPBEXexcGood2" xfId="760"/>
    <cellStyle name="SAPBEXexcGood3" xfId="761"/>
    <cellStyle name="SAPBEXfilterDrill" xfId="762"/>
    <cellStyle name="SAPBEXfilterItem" xfId="763"/>
    <cellStyle name="SAPBEXfilterText" xfId="764"/>
    <cellStyle name="SAPBEXformats" xfId="765"/>
    <cellStyle name="SAPBEXheaderItem" xfId="766"/>
    <cellStyle name="SAPBEXheaderText" xfId="767"/>
    <cellStyle name="SAPBEXresData" xfId="768"/>
    <cellStyle name="SAPBEXresDataEmph" xfId="769"/>
    <cellStyle name="SAPBEXresItem" xfId="770"/>
    <cellStyle name="SAPBEXstdData" xfId="771"/>
    <cellStyle name="SAPBEXstdDataEmph" xfId="772"/>
    <cellStyle name="SAPBEXstdItem" xfId="773"/>
    <cellStyle name="SAPBEXtitle" xfId="774"/>
    <cellStyle name="SAPBEXundefined" xfId="775"/>
    <cellStyle name="serJet 1200 Series PCL 6" xfId="776"/>
    <cellStyle name="SHADEDSTORES" xfId="777"/>
    <cellStyle name="Siêu nối kết_Book1" xfId="778"/>
    <cellStyle name="songuyen" xfId="779"/>
    <cellStyle name="specstores" xfId="780"/>
    <cellStyle name="Standard_AAbgleich" xfId="781"/>
    <cellStyle name="STTDG" xfId="782"/>
    <cellStyle name="Style 1" xfId="783"/>
    <cellStyle name="Style Date" xfId="784"/>
    <cellStyle name="style_1" xfId="785"/>
    <cellStyle name="subhead" xfId="786"/>
    <cellStyle name="Subtotal" xfId="787"/>
    <cellStyle name="T" xfId="788"/>
    <cellStyle name="T 2" xfId="789"/>
    <cellStyle name="T_bao cao" xfId="790"/>
    <cellStyle name="T_Bao cao so lieu kiem toan nam 2007 sua" xfId="791"/>
    <cellStyle name="T_BBTNG-06" xfId="792"/>
    <cellStyle name="T_BBTNG-06 2" xfId="793"/>
    <cellStyle name="T_BC CTMT-2008 Ttinh" xfId="794"/>
    <cellStyle name="T_Bieu mau danh muc du an thuoc CTMTQG nam 2008" xfId="795"/>
    <cellStyle name="T_Bieu tong hop nhu cau ung 2011 da chon loc -Mien nui" xfId="796"/>
    <cellStyle name="T_Book1" xfId="797"/>
    <cellStyle name="T_Book1 2" xfId="798"/>
    <cellStyle name="T_Book1_1" xfId="799"/>
    <cellStyle name="T_Book1_1_Bieu tong hop nhu cau ung 2011 da chon loc -Mien nui" xfId="800"/>
    <cellStyle name="T_Book1_1_CPK" xfId="801"/>
    <cellStyle name="T_Book1_1_CPK 2" xfId="802"/>
    <cellStyle name="T_Book1_1_Thiet bi" xfId="803"/>
    <cellStyle name="T_Book1_1_Thiet bi 2" xfId="804"/>
    <cellStyle name="T_Book1_Bieu mau danh muc du an thuoc CTMTQG nam 2008" xfId="805"/>
    <cellStyle name="T_Book1_Bieu tong hop nhu cau ung 2011 da chon loc -Mien nui" xfId="806"/>
    <cellStyle name="T_Book1_CPK" xfId="807"/>
    <cellStyle name="T_Book1_Du an khoi cong moi nam 2010" xfId="808"/>
    <cellStyle name="T_Book1_duong khuoi chanhcam giang" xfId="809"/>
    <cellStyle name="T_Book1_Hang Tom goi9 9-07(Cau 12 sua)" xfId="810"/>
    <cellStyle name="T_Book1_Ket qua phan bo von nam 2008" xfId="811"/>
    <cellStyle name="T_Book1_KH XDCB_2008 lan 2 sua ngay 10-11" xfId="812"/>
    <cellStyle name="T_Book1_Khoi luong chinh Hang Tom" xfId="813"/>
    <cellStyle name="T_Book1_MB ban lanh tan tien-quan binh" xfId="814"/>
    <cellStyle name="T_Book1_Nhu cau von ung truoc 2011 Tha h Hoa + Nge An gui TW" xfId="815"/>
    <cellStyle name="T_Book1_Nhu cau von ung truoc 2011 Tha h Hoa + Nge An gui TW 2" xfId="816"/>
    <cellStyle name="T_Book1_TH ung tren 70%-Ra soat phap ly-8-6 (dung de chuyen vao vu TH)" xfId="817"/>
    <cellStyle name="T_Book1_Thiet bi" xfId="818"/>
    <cellStyle name="T_Book1_ung truoc 2011 NSTW Thanh Hoa + Nge An gui Thu 12-5" xfId="819"/>
    <cellStyle name="T_Book1_ung truoc 2011 NSTW Thanh Hoa + Nge An gui Thu 12-5 2" xfId="820"/>
    <cellStyle name="T_Chuan bi dau tu nam 2008" xfId="821"/>
    <cellStyle name="T_Copy of Bao cao  XDCB 7 thang nam 2008_So KH&amp;DT SUA" xfId="822"/>
    <cellStyle name="T_CPK" xfId="823"/>
    <cellStyle name="T_CPK 2" xfId="824"/>
    <cellStyle name="T_CTMTQG 2008" xfId="825"/>
    <cellStyle name="T_CTMTQG 2008_Bieu mau danh muc du an thuoc CTMTQG nam 2008" xfId="826"/>
    <cellStyle name="T_CTMTQG 2008_Hi-Tong hop KQ phan bo KH nam 08- LD fong giao 15-11-08" xfId="827"/>
    <cellStyle name="T_CTMTQG 2008_Ket qua thuc hien nam 2008" xfId="828"/>
    <cellStyle name="T_CTMTQG 2008_KH XDCB_2008 lan 1" xfId="829"/>
    <cellStyle name="T_CTMTQG 2008_KH XDCB_2008 lan 1 sua ngay 27-10" xfId="830"/>
    <cellStyle name="T_CTMTQG 2008_KH XDCB_2008 lan 2 sua ngay 10-11" xfId="831"/>
    <cellStyle name="T_Du an khoi cong moi nam 2010" xfId="832"/>
    <cellStyle name="T_DU AN TKQH VA CHUAN BI DAU TU NAM 2007 sua ngay 9-11" xfId="833"/>
    <cellStyle name="T_DU AN TKQH VA CHUAN BI DAU TU NAM 2007 sua ngay 9-11_Bieu mau danh muc du an thuoc CTMTQG nam 2008" xfId="834"/>
    <cellStyle name="T_DU AN TKQH VA CHUAN BI DAU TU NAM 2007 sua ngay 9-11_Du an khoi cong moi nam 2010" xfId="835"/>
    <cellStyle name="T_DU AN TKQH VA CHUAN BI DAU TU NAM 2007 sua ngay 9-11_Ket qua phan bo von nam 2008" xfId="836"/>
    <cellStyle name="T_DU AN TKQH VA CHUAN BI DAU TU NAM 2007 sua ngay 9-11_KH XDCB_2008 lan 2 sua ngay 10-11" xfId="837"/>
    <cellStyle name="T_du toan dieu chinh  20-8-2006" xfId="838"/>
    <cellStyle name="T_du toan dieu chinh  20-8-2006 2" xfId="839"/>
    <cellStyle name="T_DUONG ONG PHONG" xfId="840"/>
    <cellStyle name="T_DUONG ONG PHONG 2" xfId="841"/>
    <cellStyle name="T_Ke hoach KTXH  nam 2009_PKT thang 11 nam 2008" xfId="842"/>
    <cellStyle name="T_Ket qua dau thau" xfId="843"/>
    <cellStyle name="T_Ket qua phan bo von nam 2008" xfId="844"/>
    <cellStyle name="T_KH XDCB_2008 lan 2 sua ngay 10-11" xfId="845"/>
    <cellStyle name="T_KHOI LUONG NACOC" xfId="846"/>
    <cellStyle name="T_KHOI LUONG NACOC 2" xfId="847"/>
    <cellStyle name="T_Me_Tri_6_07" xfId="848"/>
    <cellStyle name="T_Me_Tri_6_07 2" xfId="849"/>
    <cellStyle name="T_N2 thay dat (N1-1)" xfId="850"/>
    <cellStyle name="T_N2 thay dat (N1-1) 2" xfId="851"/>
    <cellStyle name="T_Phuong an can doi nam 2008" xfId="852"/>
    <cellStyle name="T_Seagame(BTL)" xfId="853"/>
    <cellStyle name="T_So GTVT" xfId="854"/>
    <cellStyle name="T_TDT + duong(8-5-07)" xfId="855"/>
    <cellStyle name="T_tham_tra_du_toan" xfId="856"/>
    <cellStyle name="T_tham_tra_du_toan 2" xfId="857"/>
    <cellStyle name="T_Thiet bi" xfId="858"/>
    <cellStyle name="T_Thiet bi 2" xfId="859"/>
    <cellStyle name="T_Thiet bi TDT M" xfId="860"/>
    <cellStyle name="T_Thiet bi TDT M 2" xfId="861"/>
    <cellStyle name="T_ÿÿÿÿÿ" xfId="862"/>
    <cellStyle name="T_ÿÿÿÿÿ 2" xfId="863"/>
    <cellStyle name="Text Indent A" xfId="864"/>
    <cellStyle name="Text Indent B" xfId="865"/>
    <cellStyle name="Text Indent C" xfId="866"/>
    <cellStyle name="th" xfId="867"/>
    <cellStyle name="th 2" xfId="868"/>
    <cellStyle name="than" xfId="869"/>
    <cellStyle name="þ_x001D_ð¤_x000C_¯þ_x0014_&#13;¨þU_x0001_À_x0004_ _x0015__x000F__x0001__x0001_" xfId="870"/>
    <cellStyle name="þ_x001D_ð·_x000C_æþ'&#13;ßþU_x0001_Ø_x0005_ü_x0014__x0007__x0001__x0001_" xfId="871"/>
    <cellStyle name="þ_x001D_ð·_x000C_æþ'&#13;ßþU_x0001_Ø_x0005_ü_x0014__x0007__x0001__x0001_ 2" xfId="872"/>
    <cellStyle name="þ_x001D_ðÇ%Uý—&amp;Hý9_x0008_Ÿ s&#10;_x0007__x0001__x0001_" xfId="873"/>
    <cellStyle name="þ_x001D_ðK_x000C_Fý_x001B_&#13;9ýU_x0001_Ð_x0008_¦)_x0007__x0001__x0001_" xfId="874"/>
    <cellStyle name="thuong-10" xfId="875"/>
    <cellStyle name="thuong-10 2" xfId="876"/>
    <cellStyle name="thuong-10 3" xfId="877"/>
    <cellStyle name="thuong-11" xfId="878"/>
    <cellStyle name="Thuyet minh" xfId="879"/>
    <cellStyle name="Tien1" xfId="880"/>
    <cellStyle name="Tiêu đề" xfId="881"/>
    <cellStyle name="Tieu_de_2" xfId="882"/>
    <cellStyle name="Times New Roman" xfId="883"/>
    <cellStyle name="tit1" xfId="884"/>
    <cellStyle name="tit2" xfId="885"/>
    <cellStyle name="tit3" xfId="886"/>
    <cellStyle name="tit4" xfId="887"/>
    <cellStyle name="Title" xfId="888"/>
    <cellStyle name="Title 2" xfId="889"/>
    <cellStyle name="Tongcong" xfId="890"/>
    <cellStyle name="Total" xfId="891"/>
    <cellStyle name="Total 2" xfId="892"/>
    <cellStyle name="trang" xfId="893"/>
    <cellStyle name="tt1" xfId="894"/>
    <cellStyle name="Tusental (0)_pldt" xfId="895"/>
    <cellStyle name="Tusental_pldt" xfId="896"/>
    <cellStyle name="ux_3_¼­¿ï-¾È»ê" xfId="897"/>
    <cellStyle name="Valuta (0)_CALPREZZ" xfId="898"/>
    <cellStyle name="Valuta_ PESO ELETTR." xfId="899"/>
    <cellStyle name="Văn bản Cảnh báo" xfId="900"/>
    <cellStyle name="VANG1" xfId="901"/>
    <cellStyle name="viet" xfId="902"/>
    <cellStyle name="viet 2" xfId="903"/>
    <cellStyle name="viet2" xfId="904"/>
    <cellStyle name="viet2 2" xfId="905"/>
    <cellStyle name="VLB-GTKÕ" xfId="906"/>
    <cellStyle name="VLB-GTKÕ 2" xfId="907"/>
    <cellStyle name="VN new romanNormal" xfId="908"/>
    <cellStyle name="Vn Time 13" xfId="909"/>
    <cellStyle name="Vn Time 14" xfId="910"/>
    <cellStyle name="VN time new roman" xfId="911"/>
    <cellStyle name="vnbo" xfId="912"/>
    <cellStyle name="vnhead1" xfId="913"/>
    <cellStyle name="vnhead2" xfId="914"/>
    <cellStyle name="vnhead3" xfId="915"/>
    <cellStyle name="vnhead4" xfId="916"/>
    <cellStyle name="vntxt1" xfId="917"/>
    <cellStyle name="vntxt2" xfId="918"/>
    <cellStyle name="W?hrung [0]_35ERI8T2gbIEMixb4v26icuOo" xfId="919"/>
    <cellStyle name="W?hrung_35ERI8T2gbIEMixb4v26icuOo" xfId="920"/>
    <cellStyle name="Währung [0]_ALLE_ITEMS_280800_EV_NL" xfId="921"/>
    <cellStyle name="Währung_AKE_100N" xfId="922"/>
    <cellStyle name="Walutowy [0]_Invoices2001Slovakia" xfId="923"/>
    <cellStyle name="Walutowy_Invoices2001Slovakia" xfId="924"/>
    <cellStyle name="Warning Text" xfId="925"/>
    <cellStyle name="Warning Text 2" xfId="926"/>
    <cellStyle name="wrap" xfId="927"/>
    <cellStyle name="Wไhrung [0]_35ERI8T2gbIEMixb4v26icuOo" xfId="928"/>
    <cellStyle name="Wไhrung_35ERI8T2gbIEMixb4v26icuOo" xfId="929"/>
    <cellStyle name="xuan" xfId="930"/>
    <cellStyle name="y" xfId="931"/>
    <cellStyle name="Ý kh¸c_B¶ng 1 (2)" xfId="932"/>
    <cellStyle name="Обычный_biadutoan" xfId="933"/>
    <cellStyle name=" [0.00]_ Att. 1- Cover" xfId="934"/>
    <cellStyle name="_ Att. 1- Cover" xfId="935"/>
    <cellStyle name="?_ Att. 1- Cover" xfId="936"/>
    <cellStyle name="똿뗦먛귟 [0.00]_PRODUCT DETAIL Q1" xfId="937"/>
    <cellStyle name="똿뗦먛귟_PRODUCT DETAIL Q1" xfId="938"/>
    <cellStyle name="믅됞 [0.00]_PRODUCT DETAIL Q1" xfId="939"/>
    <cellStyle name="믅됞_PRODUCT DETAIL Q1" xfId="940"/>
    <cellStyle name="백분율_††††† " xfId="941"/>
    <cellStyle name="뷭?_BOOKSHIP" xfId="942"/>
    <cellStyle name="쉼표 [0]_Preliminary &amp; Indirect" xfId="943"/>
    <cellStyle name="안건회계법인" xfId="944"/>
    <cellStyle name="콤마 [ - 유형1" xfId="945"/>
    <cellStyle name="콤마 [ - 유형2" xfId="946"/>
    <cellStyle name="콤마 [ - 유형3" xfId="947"/>
    <cellStyle name="콤마 [ - 유형4" xfId="948"/>
    <cellStyle name="콤마 [ - 유형5" xfId="949"/>
    <cellStyle name="콤마 [ - 유형6" xfId="950"/>
    <cellStyle name="콤마 [ - 유형7" xfId="951"/>
    <cellStyle name="콤마 [ - 유형8" xfId="952"/>
    <cellStyle name="콤마 [0]_ 비목별 월별기술 " xfId="953"/>
    <cellStyle name="콤마_ 비목별 월별기술 " xfId="954"/>
    <cellStyle name="통화 [0]_††††† " xfId="955"/>
    <cellStyle name="통화_††††† " xfId="956"/>
    <cellStyle name="표준_ 97년 경영분석(안)" xfId="957"/>
    <cellStyle name="표줠_Sheet1_1_총괄표 (수출입) (2)" xfId="958"/>
    <cellStyle name="一般_00Q3902REV.1" xfId="959"/>
    <cellStyle name="千分位[0]_00Q3902REV.1" xfId="960"/>
    <cellStyle name="千分位_00Q3902REV.1" xfId="961"/>
    <cellStyle name="桁区切り [0.00]_BE-BQ" xfId="962"/>
    <cellStyle name="桁区切り_08-00 NET Summary" xfId="963"/>
    <cellStyle name="標準_(A1)BOQ " xfId="964"/>
    <cellStyle name="貨幣 [0]_00Q3902REV.1" xfId="965"/>
    <cellStyle name="貨幣[0]_BRE" xfId="966"/>
    <cellStyle name="貨幣_00Q3902REV.1" xfId="967"/>
    <cellStyle name="通貨 [0.00]_BE-BQ" xfId="968"/>
    <cellStyle name="通貨_BE-BQ" xfId="969"/>
    <cellStyle name="非表示" xfId="9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N%20ANH_QLNS\QUY%20TC%20NHA%20NUOC%20NGOAI%20NS\2023\2.%20&#272;&#417;n%20v&#7883;%20%20b&#225;o%20c&#225;o\Bi&#7875;u%20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 2022"/>
      <sheetName val="ƯTH 2023, KH 2024"/>
    </sheetNames>
    <sheetDataSet>
      <sheetData sheetId="0">
        <row r="59">
          <cell r="B59" t="str">
            <v>Quỹ đền ơn đáp nghĩa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zoomScale="80" zoomScaleNormal="80" zoomScalePageLayoutView="0" workbookViewId="0" topLeftCell="A1">
      <pane xSplit="2" ySplit="8" topLeftCell="C1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4" sqref="B14"/>
    </sheetView>
  </sheetViews>
  <sheetFormatPr defaultColWidth="9.140625" defaultRowHeight="15"/>
  <cols>
    <col min="1" max="1" width="4.7109375" style="15" customWidth="1"/>
    <col min="2" max="2" width="38.8515625" style="15" customWidth="1"/>
    <col min="3" max="9" width="11.28125" style="15" customWidth="1"/>
    <col min="10" max="10" width="12.00390625" style="15" customWidth="1"/>
    <col min="11" max="12" width="11.28125" style="15" customWidth="1"/>
    <col min="13" max="13" width="11.28125" style="15" hidden="1" customWidth="1"/>
    <col min="14" max="14" width="0" style="17" hidden="1" customWidth="1"/>
    <col min="15" max="15" width="0" style="15" hidden="1" customWidth="1"/>
    <col min="16" max="16" width="10.7109375" style="15" hidden="1" customWidth="1"/>
    <col min="17" max="16384" width="9.140625" style="15" customWidth="1"/>
  </cols>
  <sheetData>
    <row r="1" spans="1:14" ht="21" customHeight="1">
      <c r="A1" s="127" t="s">
        <v>104</v>
      </c>
      <c r="B1" s="127"/>
      <c r="C1" s="12"/>
      <c r="D1" s="12"/>
      <c r="E1" s="13"/>
      <c r="F1" s="13"/>
      <c r="G1" s="13"/>
      <c r="H1" s="13"/>
      <c r="I1" s="13"/>
      <c r="J1" s="128" t="s">
        <v>26</v>
      </c>
      <c r="K1" s="128"/>
      <c r="L1" s="128"/>
      <c r="M1" s="14"/>
      <c r="N1" s="14"/>
    </row>
    <row r="2" spans="1:13" ht="26.25" customHeight="1">
      <c r="A2" s="125" t="s">
        <v>118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6"/>
    </row>
    <row r="3" spans="1:14" ht="15.75">
      <c r="A3" s="126" t="s">
        <v>120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8"/>
      <c r="N3" s="18"/>
    </row>
    <row r="4" spans="11:13" ht="26.25" customHeight="1">
      <c r="K4" s="129" t="s">
        <v>0</v>
      </c>
      <c r="L4" s="129"/>
      <c r="M4" s="19"/>
    </row>
    <row r="5" spans="1:13" ht="23.25" customHeight="1">
      <c r="A5" s="124" t="s">
        <v>1</v>
      </c>
      <c r="B5" s="124" t="s">
        <v>18</v>
      </c>
      <c r="C5" s="123" t="s">
        <v>106</v>
      </c>
      <c r="D5" s="124" t="s">
        <v>116</v>
      </c>
      <c r="E5" s="124"/>
      <c r="F5" s="124"/>
      <c r="G5" s="124"/>
      <c r="H5" s="124" t="s">
        <v>117</v>
      </c>
      <c r="I5" s="124"/>
      <c r="J5" s="124"/>
      <c r="K5" s="124"/>
      <c r="L5" s="123" t="s">
        <v>128</v>
      </c>
      <c r="M5" s="9"/>
    </row>
    <row r="6" spans="1:13" ht="37.5" customHeight="1">
      <c r="A6" s="124"/>
      <c r="B6" s="124"/>
      <c r="C6" s="123"/>
      <c r="D6" s="124" t="s">
        <v>19</v>
      </c>
      <c r="E6" s="124"/>
      <c r="F6" s="124" t="s">
        <v>4</v>
      </c>
      <c r="G6" s="124" t="s">
        <v>5</v>
      </c>
      <c r="H6" s="124" t="s">
        <v>19</v>
      </c>
      <c r="I6" s="124"/>
      <c r="J6" s="124" t="s">
        <v>4</v>
      </c>
      <c r="K6" s="124" t="s">
        <v>5</v>
      </c>
      <c r="L6" s="123"/>
      <c r="M6" s="9"/>
    </row>
    <row r="7" spans="1:13" ht="72" customHeight="1">
      <c r="A7" s="124"/>
      <c r="B7" s="124"/>
      <c r="C7" s="123"/>
      <c r="D7" s="6" t="s">
        <v>7</v>
      </c>
      <c r="E7" s="6" t="s">
        <v>137</v>
      </c>
      <c r="F7" s="124"/>
      <c r="G7" s="124"/>
      <c r="H7" s="6" t="s">
        <v>7</v>
      </c>
      <c r="I7" s="6" t="s">
        <v>138</v>
      </c>
      <c r="J7" s="124"/>
      <c r="K7" s="124"/>
      <c r="L7" s="123"/>
      <c r="M7" s="9"/>
    </row>
    <row r="8" spans="1:14" s="1" customFormat="1" ht="20.25" customHeight="1">
      <c r="A8" s="5" t="s">
        <v>8</v>
      </c>
      <c r="B8" s="5" t="s">
        <v>9</v>
      </c>
      <c r="C8" s="5">
        <v>1</v>
      </c>
      <c r="D8" s="5">
        <v>2</v>
      </c>
      <c r="E8" s="5">
        <v>3</v>
      </c>
      <c r="F8" s="5">
        <v>4</v>
      </c>
      <c r="G8" s="5" t="s">
        <v>10</v>
      </c>
      <c r="H8" s="5">
        <v>6</v>
      </c>
      <c r="I8" s="5">
        <v>7</v>
      </c>
      <c r="J8" s="5">
        <v>8</v>
      </c>
      <c r="K8" s="5" t="s">
        <v>20</v>
      </c>
      <c r="L8" s="4" t="s">
        <v>21</v>
      </c>
      <c r="M8" s="3"/>
      <c r="N8" s="2"/>
    </row>
    <row r="9" spans="1:16" s="22" customFormat="1" ht="27" customHeight="1">
      <c r="A9" s="53"/>
      <c r="B9" s="54" t="s">
        <v>101</v>
      </c>
      <c r="C9" s="55">
        <f aca="true" t="shared" si="0" ref="C9:L9">C10+C29</f>
        <v>160909.600055</v>
      </c>
      <c r="D9" s="55">
        <f t="shared" si="0"/>
        <v>88807.06126</v>
      </c>
      <c r="E9" s="55">
        <f t="shared" si="0"/>
        <v>2395.546</v>
      </c>
      <c r="F9" s="55">
        <f t="shared" si="0"/>
        <v>85633.01995</v>
      </c>
      <c r="G9" s="55">
        <f t="shared" si="0"/>
        <v>3174.0413099999996</v>
      </c>
      <c r="H9" s="55">
        <f t="shared" si="0"/>
        <v>107796.71878200001</v>
      </c>
      <c r="I9" s="55">
        <f t="shared" si="0"/>
        <v>4860</v>
      </c>
      <c r="J9" s="55">
        <f t="shared" si="0"/>
        <v>106371.163658</v>
      </c>
      <c r="K9" s="55">
        <f t="shared" si="0"/>
        <v>1425.5551240000004</v>
      </c>
      <c r="L9" s="113">
        <f t="shared" si="0"/>
        <v>162335.155179</v>
      </c>
      <c r="M9" s="21"/>
      <c r="N9" s="8"/>
      <c r="P9" s="24">
        <f>C9+H9-J9</f>
        <v>162335.155179</v>
      </c>
    </row>
    <row r="10" spans="1:16" s="22" customFormat="1" ht="21" customHeight="1">
      <c r="A10" s="56" t="s">
        <v>8</v>
      </c>
      <c r="B10" s="57" t="s">
        <v>142</v>
      </c>
      <c r="C10" s="58">
        <f>SUM(C11:C24)</f>
        <v>137334</v>
      </c>
      <c r="D10" s="58">
        <f aca="true" t="shared" si="1" ref="D10:L10">SUM(D11:D24)</f>
        <v>77498.16</v>
      </c>
      <c r="E10" s="58">
        <f t="shared" si="1"/>
        <v>2000</v>
      </c>
      <c r="F10" s="58">
        <f t="shared" si="1"/>
        <v>73623</v>
      </c>
      <c r="G10" s="58">
        <f t="shared" si="1"/>
        <v>3875.16</v>
      </c>
      <c r="H10" s="58">
        <f t="shared" si="1"/>
        <v>90608.94</v>
      </c>
      <c r="I10" s="58">
        <f t="shared" si="1"/>
        <v>4000</v>
      </c>
      <c r="J10" s="58">
        <f t="shared" si="1"/>
        <v>88350</v>
      </c>
      <c r="K10" s="58">
        <f t="shared" si="1"/>
        <v>2258.9400000000005</v>
      </c>
      <c r="L10" s="58">
        <f t="shared" si="1"/>
        <v>139592.94</v>
      </c>
      <c r="M10" s="21"/>
      <c r="N10" s="8"/>
      <c r="P10" s="24">
        <f>L9-P9</f>
        <v>0</v>
      </c>
    </row>
    <row r="11" spans="1:14" ht="21" customHeight="1">
      <c r="A11" s="60" t="s">
        <v>14</v>
      </c>
      <c r="B11" s="61" t="s">
        <v>27</v>
      </c>
      <c r="C11" s="43">
        <v>12160</v>
      </c>
      <c r="D11" s="42">
        <v>236</v>
      </c>
      <c r="E11" s="42">
        <v>0</v>
      </c>
      <c r="F11" s="43"/>
      <c r="G11" s="42">
        <f>D11-F11</f>
        <v>236</v>
      </c>
      <c r="H11" s="42">
        <v>236</v>
      </c>
      <c r="I11" s="42">
        <v>0</v>
      </c>
      <c r="J11" s="42"/>
      <c r="K11" s="42">
        <f>H11-J11</f>
        <v>236</v>
      </c>
      <c r="L11" s="43">
        <f>C11+H11-J11</f>
        <v>12396</v>
      </c>
      <c r="M11" s="45" t="s">
        <v>124</v>
      </c>
      <c r="N11" s="7"/>
    </row>
    <row r="12" spans="1:14" ht="21" customHeight="1">
      <c r="A12" s="60" t="s">
        <v>15</v>
      </c>
      <c r="B12" s="62" t="s">
        <v>90</v>
      </c>
      <c r="C12" s="42">
        <v>175</v>
      </c>
      <c r="D12" s="51">
        <v>544</v>
      </c>
      <c r="E12" s="51">
        <v>0</v>
      </c>
      <c r="F12" s="51">
        <v>443</v>
      </c>
      <c r="G12" s="42">
        <f aca="true" t="shared" si="2" ref="G12:G28">D12-F12</f>
        <v>101</v>
      </c>
      <c r="H12" s="51">
        <v>544</v>
      </c>
      <c r="I12" s="51">
        <v>0</v>
      </c>
      <c r="J12" s="51">
        <v>443</v>
      </c>
      <c r="K12" s="42">
        <f aca="true" t="shared" si="3" ref="K12:K28">H12-J12</f>
        <v>101</v>
      </c>
      <c r="L12" s="43">
        <f aca="true" t="shared" si="4" ref="L12:L28">C12+H12-J12</f>
        <v>276</v>
      </c>
      <c r="M12" s="45" t="s">
        <v>124</v>
      </c>
      <c r="N12" s="8"/>
    </row>
    <row r="13" spans="1:14" ht="21" customHeight="1">
      <c r="A13" s="60" t="s">
        <v>16</v>
      </c>
      <c r="B13" s="62" t="s">
        <v>30</v>
      </c>
      <c r="C13" s="42">
        <v>276</v>
      </c>
      <c r="D13" s="51">
        <v>95</v>
      </c>
      <c r="E13" s="51">
        <v>0</v>
      </c>
      <c r="F13" s="51">
        <v>111</v>
      </c>
      <c r="G13" s="42">
        <f t="shared" si="2"/>
        <v>-16</v>
      </c>
      <c r="H13" s="51">
        <v>95</v>
      </c>
      <c r="I13" s="51">
        <v>0</v>
      </c>
      <c r="J13" s="51">
        <v>111</v>
      </c>
      <c r="K13" s="42">
        <f t="shared" si="3"/>
        <v>-16</v>
      </c>
      <c r="L13" s="43">
        <f t="shared" si="4"/>
        <v>260</v>
      </c>
      <c r="M13" s="45" t="s">
        <v>124</v>
      </c>
      <c r="N13" s="8"/>
    </row>
    <row r="14" spans="1:14" ht="47.25">
      <c r="A14" s="60" t="s">
        <v>17</v>
      </c>
      <c r="B14" s="62" t="s">
        <v>136</v>
      </c>
      <c r="C14" s="42">
        <v>6977</v>
      </c>
      <c r="D14" s="51">
        <v>30820</v>
      </c>
      <c r="E14" s="51">
        <v>0</v>
      </c>
      <c r="F14" s="51">
        <v>31127</v>
      </c>
      <c r="G14" s="42">
        <f t="shared" si="2"/>
        <v>-307</v>
      </c>
      <c r="H14" s="51">
        <v>30820</v>
      </c>
      <c r="I14" s="51">
        <v>0</v>
      </c>
      <c r="J14" s="51">
        <v>31127</v>
      </c>
      <c r="K14" s="42">
        <f t="shared" si="3"/>
        <v>-307</v>
      </c>
      <c r="L14" s="43">
        <f t="shared" si="4"/>
        <v>6670</v>
      </c>
      <c r="M14" s="45" t="s">
        <v>124</v>
      </c>
      <c r="N14" s="8"/>
    </row>
    <row r="15" spans="1:14" s="31" customFormat="1" ht="21" customHeight="1">
      <c r="A15" s="60" t="s">
        <v>35</v>
      </c>
      <c r="B15" s="63" t="s">
        <v>89</v>
      </c>
      <c r="C15" s="43">
        <v>386</v>
      </c>
      <c r="D15" s="43">
        <v>1424</v>
      </c>
      <c r="E15" s="43">
        <v>0</v>
      </c>
      <c r="F15" s="43">
        <v>1424</v>
      </c>
      <c r="G15" s="42">
        <f t="shared" si="2"/>
        <v>0</v>
      </c>
      <c r="H15" s="43">
        <v>1424</v>
      </c>
      <c r="I15" s="43">
        <v>0</v>
      </c>
      <c r="J15" s="43">
        <v>1251</v>
      </c>
      <c r="K15" s="42">
        <f t="shared" si="3"/>
        <v>173</v>
      </c>
      <c r="L15" s="43">
        <f t="shared" si="4"/>
        <v>559</v>
      </c>
      <c r="M15" s="46" t="s">
        <v>124</v>
      </c>
      <c r="N15" s="33"/>
    </row>
    <row r="16" spans="1:14" ht="21" customHeight="1">
      <c r="A16" s="60" t="s">
        <v>36</v>
      </c>
      <c r="B16" s="62" t="s">
        <v>91</v>
      </c>
      <c r="C16" s="42">
        <v>439</v>
      </c>
      <c r="D16" s="64">
        <v>0</v>
      </c>
      <c r="E16" s="64">
        <v>0</v>
      </c>
      <c r="F16" s="64">
        <v>15</v>
      </c>
      <c r="G16" s="42">
        <f t="shared" si="2"/>
        <v>-15</v>
      </c>
      <c r="H16" s="64">
        <v>0</v>
      </c>
      <c r="I16" s="64"/>
      <c r="J16" s="64">
        <f>F16</f>
        <v>15</v>
      </c>
      <c r="K16" s="42">
        <f t="shared" si="3"/>
        <v>-15</v>
      </c>
      <c r="L16" s="43">
        <f t="shared" si="4"/>
        <v>424</v>
      </c>
      <c r="M16" s="45" t="s">
        <v>124</v>
      </c>
      <c r="N16" s="8"/>
    </row>
    <row r="17" spans="1:14" ht="21" customHeight="1">
      <c r="A17" s="60" t="s">
        <v>37</v>
      </c>
      <c r="B17" s="62" t="s">
        <v>92</v>
      </c>
      <c r="C17" s="42">
        <v>575</v>
      </c>
      <c r="D17" s="64">
        <v>20.16</v>
      </c>
      <c r="E17" s="64">
        <v>0</v>
      </c>
      <c r="F17" s="64">
        <v>0</v>
      </c>
      <c r="G17" s="42">
        <f t="shared" si="2"/>
        <v>20.16</v>
      </c>
      <c r="H17" s="64">
        <f>D17</f>
        <v>20.16</v>
      </c>
      <c r="I17" s="64"/>
      <c r="J17" s="64">
        <v>0</v>
      </c>
      <c r="K17" s="42">
        <f t="shared" si="3"/>
        <v>20.16</v>
      </c>
      <c r="L17" s="43">
        <f t="shared" si="4"/>
        <v>595.16</v>
      </c>
      <c r="M17" s="45" t="s">
        <v>124</v>
      </c>
      <c r="N17" s="8"/>
    </row>
    <row r="18" spans="1:14" ht="21" customHeight="1">
      <c r="A18" s="60" t="s">
        <v>38</v>
      </c>
      <c r="B18" s="61" t="s">
        <v>86</v>
      </c>
      <c r="C18" s="42">
        <v>2693</v>
      </c>
      <c r="D18" s="65">
        <v>3100</v>
      </c>
      <c r="E18" s="66">
        <v>0</v>
      </c>
      <c r="F18" s="65">
        <v>5000</v>
      </c>
      <c r="G18" s="42">
        <f t="shared" si="2"/>
        <v>-1900</v>
      </c>
      <c r="H18" s="51">
        <v>6841</v>
      </c>
      <c r="I18" s="51">
        <v>0</v>
      </c>
      <c r="J18" s="51">
        <v>6915</v>
      </c>
      <c r="K18" s="42">
        <f t="shared" si="3"/>
        <v>-74</v>
      </c>
      <c r="L18" s="43">
        <f t="shared" si="4"/>
        <v>2619</v>
      </c>
      <c r="M18" s="45" t="s">
        <v>124</v>
      </c>
      <c r="N18" s="8"/>
    </row>
    <row r="19" spans="1:14" ht="21" customHeight="1">
      <c r="A19" s="60" t="s">
        <v>39</v>
      </c>
      <c r="B19" s="62" t="s">
        <v>87</v>
      </c>
      <c r="C19" s="42">
        <v>7459</v>
      </c>
      <c r="D19" s="65">
        <v>400</v>
      </c>
      <c r="E19" s="66">
        <v>0</v>
      </c>
      <c r="F19" s="65">
        <v>1000</v>
      </c>
      <c r="G19" s="42">
        <f t="shared" si="2"/>
        <v>-600</v>
      </c>
      <c r="H19" s="51">
        <v>389</v>
      </c>
      <c r="I19" s="51">
        <v>0</v>
      </c>
      <c r="J19" s="51">
        <v>3900</v>
      </c>
      <c r="K19" s="42">
        <f t="shared" si="3"/>
        <v>-3511</v>
      </c>
      <c r="L19" s="43">
        <f t="shared" si="4"/>
        <v>3948</v>
      </c>
      <c r="M19" s="45" t="s">
        <v>124</v>
      </c>
      <c r="N19" s="8"/>
    </row>
    <row r="20" spans="1:14" ht="21" customHeight="1">
      <c r="A20" s="60" t="s">
        <v>40</v>
      </c>
      <c r="B20" s="62" t="s">
        <v>60</v>
      </c>
      <c r="C20" s="42">
        <v>413</v>
      </c>
      <c r="D20" s="42">
        <v>0</v>
      </c>
      <c r="E20" s="42">
        <v>0</v>
      </c>
      <c r="F20" s="42">
        <v>0</v>
      </c>
      <c r="G20" s="42">
        <f t="shared" si="2"/>
        <v>0</v>
      </c>
      <c r="H20" s="42">
        <v>601</v>
      </c>
      <c r="I20" s="42">
        <v>0</v>
      </c>
      <c r="J20" s="42">
        <v>225</v>
      </c>
      <c r="K20" s="42">
        <f t="shared" si="3"/>
        <v>376</v>
      </c>
      <c r="L20" s="43">
        <f t="shared" si="4"/>
        <v>789</v>
      </c>
      <c r="M20" s="45" t="s">
        <v>124</v>
      </c>
      <c r="N20" s="8"/>
    </row>
    <row r="21" spans="1:15" ht="21" customHeight="1">
      <c r="A21" s="60" t="s">
        <v>41</v>
      </c>
      <c r="B21" s="61" t="s">
        <v>75</v>
      </c>
      <c r="C21" s="43">
        <v>5803</v>
      </c>
      <c r="D21" s="42">
        <v>2050</v>
      </c>
      <c r="E21" s="42">
        <v>2000</v>
      </c>
      <c r="F21" s="42">
        <v>2050</v>
      </c>
      <c r="G21" s="42">
        <f t="shared" si="2"/>
        <v>0</v>
      </c>
      <c r="H21" s="42">
        <v>1950</v>
      </c>
      <c r="I21" s="42"/>
      <c r="J21" s="43">
        <f>2550+5178</f>
        <v>7728</v>
      </c>
      <c r="K21" s="42">
        <f t="shared" si="3"/>
        <v>-5778</v>
      </c>
      <c r="L21" s="43">
        <f t="shared" si="4"/>
        <v>25</v>
      </c>
      <c r="M21" s="121" t="s">
        <v>129</v>
      </c>
      <c r="N21" s="122"/>
      <c r="O21" s="122"/>
    </row>
    <row r="22" spans="1:14" ht="21" customHeight="1">
      <c r="A22" s="60" t="s">
        <v>51</v>
      </c>
      <c r="B22" s="62" t="s">
        <v>94</v>
      </c>
      <c r="C22" s="42">
        <v>684</v>
      </c>
      <c r="D22" s="42"/>
      <c r="E22" s="42"/>
      <c r="F22" s="42"/>
      <c r="G22" s="42">
        <f t="shared" si="2"/>
        <v>0</v>
      </c>
      <c r="H22" s="42"/>
      <c r="I22" s="42"/>
      <c r="J22" s="42"/>
      <c r="K22" s="42">
        <f t="shared" si="3"/>
        <v>0</v>
      </c>
      <c r="L22" s="43">
        <f t="shared" si="4"/>
        <v>684</v>
      </c>
      <c r="M22" s="45" t="s">
        <v>124</v>
      </c>
      <c r="N22" s="8"/>
    </row>
    <row r="23" spans="1:14" ht="21" customHeight="1">
      <c r="A23" s="60" t="s">
        <v>71</v>
      </c>
      <c r="B23" s="62" t="s">
        <v>95</v>
      </c>
      <c r="C23" s="42">
        <v>304</v>
      </c>
      <c r="D23" s="42"/>
      <c r="E23" s="42"/>
      <c r="F23" s="42"/>
      <c r="G23" s="42">
        <f t="shared" si="2"/>
        <v>0</v>
      </c>
      <c r="H23" s="67">
        <v>1.78</v>
      </c>
      <c r="I23" s="67"/>
      <c r="J23" s="67">
        <v>117</v>
      </c>
      <c r="K23" s="42">
        <f t="shared" si="3"/>
        <v>-115.22</v>
      </c>
      <c r="L23" s="43">
        <f t="shared" si="4"/>
        <v>188.77999999999997</v>
      </c>
      <c r="M23" s="45"/>
      <c r="N23" s="8"/>
    </row>
    <row r="24" spans="1:14" ht="31.5" customHeight="1">
      <c r="A24" s="60" t="s">
        <v>52</v>
      </c>
      <c r="B24" s="62" t="s">
        <v>96</v>
      </c>
      <c r="C24" s="42">
        <f aca="true" t="shared" si="5" ref="C24:L24">SUM(C25:C28)</f>
        <v>98990</v>
      </c>
      <c r="D24" s="42">
        <f t="shared" si="5"/>
        <v>38809</v>
      </c>
      <c r="E24" s="42">
        <f t="shared" si="5"/>
        <v>0</v>
      </c>
      <c r="F24" s="42">
        <f t="shared" si="5"/>
        <v>32453</v>
      </c>
      <c r="G24" s="42">
        <f t="shared" si="5"/>
        <v>6356</v>
      </c>
      <c r="H24" s="42">
        <f t="shared" si="5"/>
        <v>47687</v>
      </c>
      <c r="I24" s="42">
        <f t="shared" si="5"/>
        <v>4000</v>
      </c>
      <c r="J24" s="42">
        <f t="shared" si="5"/>
        <v>36518</v>
      </c>
      <c r="K24" s="42">
        <f t="shared" si="5"/>
        <v>11169</v>
      </c>
      <c r="L24" s="42">
        <f t="shared" si="5"/>
        <v>110159</v>
      </c>
      <c r="M24" s="45" t="s">
        <v>124</v>
      </c>
      <c r="N24" s="8"/>
    </row>
    <row r="25" spans="1:14" ht="21" customHeight="1">
      <c r="A25" s="60" t="s">
        <v>102</v>
      </c>
      <c r="B25" s="62" t="s">
        <v>97</v>
      </c>
      <c r="C25" s="42">
        <v>44898</v>
      </c>
      <c r="D25" s="51">
        <v>4500</v>
      </c>
      <c r="E25" s="51"/>
      <c r="F25" s="51">
        <v>9000</v>
      </c>
      <c r="G25" s="42">
        <f t="shared" si="2"/>
        <v>-4500</v>
      </c>
      <c r="H25" s="51">
        <f>4500+I25+96+145</f>
        <v>8741</v>
      </c>
      <c r="I25" s="51">
        <v>4000</v>
      </c>
      <c r="J25" s="51">
        <v>9000</v>
      </c>
      <c r="K25" s="42">
        <f t="shared" si="3"/>
        <v>-259</v>
      </c>
      <c r="L25" s="43">
        <f t="shared" si="4"/>
        <v>44639</v>
      </c>
      <c r="M25" s="21"/>
      <c r="N25" s="8"/>
    </row>
    <row r="26" spans="1:14" ht="21" customHeight="1">
      <c r="A26" s="60" t="s">
        <v>102</v>
      </c>
      <c r="B26" s="61" t="s">
        <v>98</v>
      </c>
      <c r="C26" s="42">
        <v>18497</v>
      </c>
      <c r="D26" s="51">
        <v>3500</v>
      </c>
      <c r="E26" s="51"/>
      <c r="F26" s="51">
        <v>2048</v>
      </c>
      <c r="G26" s="42">
        <f t="shared" si="2"/>
        <v>1452</v>
      </c>
      <c r="H26" s="51">
        <f>3599</f>
        <v>3599</v>
      </c>
      <c r="I26" s="51"/>
      <c r="J26" s="51">
        <v>2048</v>
      </c>
      <c r="K26" s="42">
        <f t="shared" si="3"/>
        <v>1551</v>
      </c>
      <c r="L26" s="43">
        <f t="shared" si="4"/>
        <v>20048</v>
      </c>
      <c r="M26" s="21"/>
      <c r="N26" s="8"/>
    </row>
    <row r="27" spans="1:14" ht="21" customHeight="1">
      <c r="A27" s="60" t="s">
        <v>102</v>
      </c>
      <c r="B27" s="62" t="s">
        <v>99</v>
      </c>
      <c r="C27" s="42">
        <v>35595</v>
      </c>
      <c r="D27" s="51">
        <v>29583</v>
      </c>
      <c r="E27" s="51"/>
      <c r="F27" s="51">
        <v>20179</v>
      </c>
      <c r="G27" s="42">
        <f t="shared" si="2"/>
        <v>9404</v>
      </c>
      <c r="H27" s="51">
        <v>33467</v>
      </c>
      <c r="I27" s="51">
        <f>I28+I14</f>
        <v>0</v>
      </c>
      <c r="J27" s="51">
        <v>23590</v>
      </c>
      <c r="K27" s="42">
        <f t="shared" si="3"/>
        <v>9877</v>
      </c>
      <c r="L27" s="43">
        <f t="shared" si="4"/>
        <v>45472</v>
      </c>
      <c r="M27" s="21"/>
      <c r="N27" s="8"/>
    </row>
    <row r="28" spans="1:14" ht="21" customHeight="1">
      <c r="A28" s="60" t="s">
        <v>102</v>
      </c>
      <c r="B28" s="62" t="s">
        <v>100</v>
      </c>
      <c r="C28" s="42">
        <v>0</v>
      </c>
      <c r="D28" s="51">
        <v>1226</v>
      </c>
      <c r="E28" s="51"/>
      <c r="F28" s="51">
        <v>1226</v>
      </c>
      <c r="G28" s="42">
        <f t="shared" si="2"/>
        <v>0</v>
      </c>
      <c r="H28" s="51">
        <v>1880</v>
      </c>
      <c r="I28" s="51"/>
      <c r="J28" s="51">
        <v>1880</v>
      </c>
      <c r="K28" s="42">
        <f t="shared" si="3"/>
        <v>0</v>
      </c>
      <c r="L28" s="43">
        <f t="shared" si="4"/>
        <v>0</v>
      </c>
      <c r="M28" s="21"/>
      <c r="N28" s="8"/>
    </row>
    <row r="29" spans="1:15" s="22" customFormat="1" ht="21" customHeight="1">
      <c r="A29" s="56" t="s">
        <v>9</v>
      </c>
      <c r="B29" s="57" t="s">
        <v>143</v>
      </c>
      <c r="C29" s="58">
        <f>C30+C43+C61+C69+C81+C94+C105+C116</f>
        <v>23575.600055000003</v>
      </c>
      <c r="D29" s="58">
        <f aca="true" t="shared" si="6" ref="D29:O29">D30+D43+D61+D69+D81+D94+D105+D116</f>
        <v>11308.90126</v>
      </c>
      <c r="E29" s="58">
        <f t="shared" si="6"/>
        <v>395.546</v>
      </c>
      <c r="F29" s="58">
        <f t="shared" si="6"/>
        <v>12010.01995</v>
      </c>
      <c r="G29" s="58">
        <f t="shared" si="6"/>
        <v>-701.11869</v>
      </c>
      <c r="H29" s="58">
        <f t="shared" si="6"/>
        <v>17187.778782</v>
      </c>
      <c r="I29" s="58">
        <f t="shared" si="6"/>
        <v>860</v>
      </c>
      <c r="J29" s="58">
        <f t="shared" si="6"/>
        <v>18021.163658</v>
      </c>
      <c r="K29" s="58">
        <f t="shared" si="6"/>
        <v>-833.3848760000001</v>
      </c>
      <c r="L29" s="58">
        <f t="shared" si="6"/>
        <v>22742.215179000003</v>
      </c>
      <c r="M29" s="58" t="e">
        <f t="shared" si="6"/>
        <v>#VALUE!</v>
      </c>
      <c r="N29" s="58">
        <f t="shared" si="6"/>
        <v>0</v>
      </c>
      <c r="O29" s="58">
        <f t="shared" si="6"/>
        <v>0</v>
      </c>
    </row>
    <row r="30" spans="1:14" s="28" customFormat="1" ht="21" customHeight="1">
      <c r="A30" s="56" t="s">
        <v>22</v>
      </c>
      <c r="B30" s="57" t="s">
        <v>24</v>
      </c>
      <c r="C30" s="58">
        <f>SUM(C31:C42)</f>
        <v>2132.39</v>
      </c>
      <c r="D30" s="58">
        <f aca="true" t="shared" si="7" ref="D30:L30">SUM(D31:D42)</f>
        <v>901.3889999999999</v>
      </c>
      <c r="E30" s="58">
        <f t="shared" si="7"/>
        <v>100</v>
      </c>
      <c r="F30" s="58">
        <f t="shared" si="7"/>
        <v>876.6300000000001</v>
      </c>
      <c r="G30" s="58">
        <f t="shared" si="7"/>
        <v>24.758999999999986</v>
      </c>
      <c r="H30" s="58">
        <f t="shared" si="7"/>
        <v>851.4060000000001</v>
      </c>
      <c r="I30" s="58">
        <f t="shared" si="7"/>
        <v>100</v>
      </c>
      <c r="J30" s="58">
        <f t="shared" si="7"/>
        <v>722.117</v>
      </c>
      <c r="K30" s="58">
        <f t="shared" si="7"/>
        <v>129.28899999999993</v>
      </c>
      <c r="L30" s="58">
        <f t="shared" si="7"/>
        <v>2261.679</v>
      </c>
      <c r="M30" s="26" t="s">
        <v>124</v>
      </c>
      <c r="N30" s="27"/>
    </row>
    <row r="31" spans="1:14" ht="21" customHeight="1">
      <c r="A31" s="60">
        <v>1</v>
      </c>
      <c r="B31" s="61" t="s">
        <v>27</v>
      </c>
      <c r="C31" s="42">
        <v>87.89000000000004</v>
      </c>
      <c r="D31" s="42"/>
      <c r="E31" s="42" t="s">
        <v>102</v>
      </c>
      <c r="F31" s="42">
        <v>164.28</v>
      </c>
      <c r="G31" s="42">
        <f aca="true" t="shared" si="8" ref="G31:G96">D31-F31</f>
        <v>-164.28</v>
      </c>
      <c r="H31" s="42"/>
      <c r="I31" s="42" t="s">
        <v>102</v>
      </c>
      <c r="J31" s="42"/>
      <c r="K31" s="42">
        <f aca="true" t="shared" si="9" ref="K31:K42">H31-J31</f>
        <v>0</v>
      </c>
      <c r="L31" s="43">
        <f aca="true" t="shared" si="10" ref="L31:L96">C31+H31-J31</f>
        <v>87.89000000000004</v>
      </c>
      <c r="M31" s="21"/>
      <c r="N31" s="8"/>
    </row>
    <row r="32" spans="1:14" ht="21" customHeight="1">
      <c r="A32" s="60">
        <v>2</v>
      </c>
      <c r="B32" s="62" t="s">
        <v>28</v>
      </c>
      <c r="C32" s="42">
        <v>137.70999999999998</v>
      </c>
      <c r="D32" s="42">
        <v>168.86</v>
      </c>
      <c r="E32" s="42" t="s">
        <v>102</v>
      </c>
      <c r="F32" s="42">
        <v>149.98</v>
      </c>
      <c r="G32" s="42">
        <f t="shared" si="8"/>
        <v>18.880000000000024</v>
      </c>
      <c r="H32" s="42">
        <v>142.12000000000003</v>
      </c>
      <c r="I32" s="42" t="s">
        <v>102</v>
      </c>
      <c r="J32" s="42">
        <v>149.847</v>
      </c>
      <c r="K32" s="42">
        <f t="shared" si="9"/>
        <v>-7.726999999999975</v>
      </c>
      <c r="L32" s="43">
        <f t="shared" si="10"/>
        <v>129.98300000000003</v>
      </c>
      <c r="M32" s="21"/>
      <c r="N32" s="8"/>
    </row>
    <row r="33" spans="1:14" ht="21" customHeight="1">
      <c r="A33" s="60">
        <v>3</v>
      </c>
      <c r="B33" s="62" t="s">
        <v>65</v>
      </c>
      <c r="C33" s="42">
        <v>249.84</v>
      </c>
      <c r="D33" s="42">
        <v>84.737</v>
      </c>
      <c r="E33" s="42" t="s">
        <v>102</v>
      </c>
      <c r="F33" s="42">
        <v>92.7</v>
      </c>
      <c r="G33" s="42">
        <f t="shared" si="8"/>
        <v>-7.963000000000008</v>
      </c>
      <c r="H33" s="42">
        <v>53.357</v>
      </c>
      <c r="I33" s="42" t="s">
        <v>102</v>
      </c>
      <c r="J33" s="42">
        <v>78.49000000000001</v>
      </c>
      <c r="K33" s="42">
        <f t="shared" si="9"/>
        <v>-25.13300000000001</v>
      </c>
      <c r="L33" s="43">
        <f t="shared" si="10"/>
        <v>224.707</v>
      </c>
      <c r="M33" s="21"/>
      <c r="N33" s="8"/>
    </row>
    <row r="34" spans="1:14" ht="21" customHeight="1">
      <c r="A34" s="60">
        <v>4</v>
      </c>
      <c r="B34" s="68" t="s">
        <v>64</v>
      </c>
      <c r="C34" s="42">
        <v>217.51999999999998</v>
      </c>
      <c r="D34" s="42">
        <v>91.82900000000001</v>
      </c>
      <c r="E34" s="42" t="s">
        <v>102</v>
      </c>
      <c r="F34" s="42">
        <v>70.9</v>
      </c>
      <c r="G34" s="42">
        <f t="shared" si="8"/>
        <v>20.929000000000002</v>
      </c>
      <c r="H34" s="42">
        <v>91.547</v>
      </c>
      <c r="I34" s="42" t="s">
        <v>102</v>
      </c>
      <c r="J34" s="42">
        <v>67.59</v>
      </c>
      <c r="K34" s="42">
        <f t="shared" si="9"/>
        <v>23.956999999999994</v>
      </c>
      <c r="L34" s="43">
        <f t="shared" si="10"/>
        <v>241.477</v>
      </c>
      <c r="M34" s="21"/>
      <c r="N34" s="8"/>
    </row>
    <row r="35" spans="1:14" ht="21" customHeight="1">
      <c r="A35" s="60">
        <v>5</v>
      </c>
      <c r="B35" s="62" t="s">
        <v>31</v>
      </c>
      <c r="C35" s="41">
        <v>384.55</v>
      </c>
      <c r="D35" s="41">
        <v>199.728</v>
      </c>
      <c r="E35" s="41" t="s">
        <v>102</v>
      </c>
      <c r="F35" s="41">
        <v>234.71</v>
      </c>
      <c r="G35" s="42">
        <f t="shared" si="8"/>
        <v>-34.982</v>
      </c>
      <c r="H35" s="41">
        <v>201.968</v>
      </c>
      <c r="I35" s="41" t="s">
        <v>102</v>
      </c>
      <c r="J35" s="41">
        <v>270.6</v>
      </c>
      <c r="K35" s="42">
        <f t="shared" si="9"/>
        <v>-68.63200000000003</v>
      </c>
      <c r="L35" s="43">
        <f t="shared" si="10"/>
        <v>315.918</v>
      </c>
      <c r="M35" s="21"/>
      <c r="N35" s="8"/>
    </row>
    <row r="36" spans="1:14" ht="21" customHeight="1">
      <c r="A36" s="60">
        <v>6</v>
      </c>
      <c r="B36" s="62" t="s">
        <v>58</v>
      </c>
      <c r="C36" s="41">
        <v>94.3</v>
      </c>
      <c r="D36" s="41">
        <v>71.916</v>
      </c>
      <c r="E36" s="41" t="s">
        <v>102</v>
      </c>
      <c r="F36" s="41">
        <v>77.28</v>
      </c>
      <c r="G36" s="42">
        <f t="shared" si="8"/>
        <v>-5.364000000000004</v>
      </c>
      <c r="H36" s="41">
        <v>63.574999999999996</v>
      </c>
      <c r="I36" s="41" t="s">
        <v>102</v>
      </c>
      <c r="J36" s="41">
        <v>69.54</v>
      </c>
      <c r="K36" s="42">
        <f t="shared" si="9"/>
        <v>-5.9650000000000105</v>
      </c>
      <c r="L36" s="43">
        <f t="shared" si="10"/>
        <v>88.335</v>
      </c>
      <c r="M36" s="21"/>
      <c r="N36" s="8"/>
    </row>
    <row r="37" spans="1:14" ht="21" customHeight="1">
      <c r="A37" s="60">
        <v>7</v>
      </c>
      <c r="B37" s="68" t="s">
        <v>109</v>
      </c>
      <c r="C37" s="42">
        <v>146.39</v>
      </c>
      <c r="D37" s="42">
        <v>80.74000000000001</v>
      </c>
      <c r="E37" s="42" t="s">
        <v>102</v>
      </c>
      <c r="F37" s="42">
        <v>70.7</v>
      </c>
      <c r="G37" s="42">
        <f t="shared" si="8"/>
        <v>10.040000000000006</v>
      </c>
      <c r="H37" s="42">
        <v>78.97999999999999</v>
      </c>
      <c r="I37" s="42" t="s">
        <v>102</v>
      </c>
      <c r="J37" s="42">
        <v>70.4</v>
      </c>
      <c r="K37" s="42">
        <f t="shared" si="9"/>
        <v>8.579999999999984</v>
      </c>
      <c r="L37" s="43">
        <f t="shared" si="10"/>
        <v>154.96999999999997</v>
      </c>
      <c r="M37" s="21"/>
      <c r="N37" s="8"/>
    </row>
    <row r="38" spans="1:14" ht="21" customHeight="1">
      <c r="A38" s="60">
        <v>8</v>
      </c>
      <c r="B38" s="68" t="s">
        <v>34</v>
      </c>
      <c r="C38" s="42">
        <v>56.25</v>
      </c>
      <c r="D38" s="42"/>
      <c r="E38" s="42"/>
      <c r="F38" s="42">
        <v>5</v>
      </c>
      <c r="G38" s="42">
        <f t="shared" si="8"/>
        <v>-5</v>
      </c>
      <c r="H38" s="42"/>
      <c r="I38" s="42"/>
      <c r="J38" s="42">
        <v>5</v>
      </c>
      <c r="K38" s="42">
        <f t="shared" si="9"/>
        <v>-5</v>
      </c>
      <c r="L38" s="43">
        <f t="shared" si="10"/>
        <v>51.25</v>
      </c>
      <c r="M38" s="21"/>
      <c r="N38" s="8"/>
    </row>
    <row r="39" spans="1:14" ht="21" customHeight="1">
      <c r="A39" s="60">
        <v>9</v>
      </c>
      <c r="B39" s="68" t="s">
        <v>110</v>
      </c>
      <c r="C39" s="42">
        <v>90.52</v>
      </c>
      <c r="D39" s="42">
        <v>36.39</v>
      </c>
      <c r="E39" s="42" t="s">
        <v>102</v>
      </c>
      <c r="F39" s="42">
        <v>11.08</v>
      </c>
      <c r="G39" s="42">
        <f t="shared" si="8"/>
        <v>25.310000000000002</v>
      </c>
      <c r="H39" s="42">
        <v>27.85</v>
      </c>
      <c r="I39" s="42"/>
      <c r="J39" s="42">
        <v>10.65</v>
      </c>
      <c r="K39" s="42">
        <f t="shared" si="9"/>
        <v>17.200000000000003</v>
      </c>
      <c r="L39" s="43">
        <f t="shared" si="10"/>
        <v>107.72</v>
      </c>
      <c r="M39" s="21"/>
      <c r="N39" s="8"/>
    </row>
    <row r="40" spans="1:14" ht="21" customHeight="1">
      <c r="A40" s="60">
        <v>10</v>
      </c>
      <c r="B40" s="68" t="s">
        <v>46</v>
      </c>
      <c r="C40" s="42">
        <v>557.4300000000001</v>
      </c>
      <c r="D40" s="42">
        <v>100</v>
      </c>
      <c r="E40" s="42">
        <v>100</v>
      </c>
      <c r="F40" s="42"/>
      <c r="G40" s="42">
        <f t="shared" si="8"/>
        <v>100</v>
      </c>
      <c r="H40" s="42">
        <v>124.82</v>
      </c>
      <c r="I40" s="42">
        <v>100</v>
      </c>
      <c r="J40" s="42"/>
      <c r="K40" s="42">
        <f t="shared" si="9"/>
        <v>124.82</v>
      </c>
      <c r="L40" s="43">
        <f t="shared" si="10"/>
        <v>682.25</v>
      </c>
      <c r="M40" s="21"/>
      <c r="N40" s="8"/>
    </row>
    <row r="41" spans="1:14" ht="21" customHeight="1">
      <c r="A41" s="60">
        <v>11</v>
      </c>
      <c r="B41" s="68" t="s">
        <v>111</v>
      </c>
      <c r="C41" s="42">
        <v>104.99000000000001</v>
      </c>
      <c r="D41" s="42">
        <v>67.189</v>
      </c>
      <c r="E41" s="42"/>
      <c r="F41" s="42"/>
      <c r="G41" s="42">
        <f t="shared" si="8"/>
        <v>67.189</v>
      </c>
      <c r="H41" s="42">
        <v>67.189</v>
      </c>
      <c r="I41" s="42"/>
      <c r="J41" s="42"/>
      <c r="K41" s="42">
        <f t="shared" si="9"/>
        <v>67.189</v>
      </c>
      <c r="L41" s="43">
        <f t="shared" si="10"/>
        <v>172.179</v>
      </c>
      <c r="M41" s="21"/>
      <c r="N41" s="8"/>
    </row>
    <row r="42" spans="1:14" ht="21" customHeight="1">
      <c r="A42" s="60">
        <v>12</v>
      </c>
      <c r="B42" s="61" t="s">
        <v>112</v>
      </c>
      <c r="C42" s="42">
        <v>5</v>
      </c>
      <c r="D42" s="42"/>
      <c r="E42" s="42" t="s">
        <v>102</v>
      </c>
      <c r="F42" s="42"/>
      <c r="G42" s="42">
        <f t="shared" si="8"/>
        <v>0</v>
      </c>
      <c r="H42" s="42"/>
      <c r="I42" s="42"/>
      <c r="J42" s="42"/>
      <c r="K42" s="42">
        <f t="shared" si="9"/>
        <v>0</v>
      </c>
      <c r="L42" s="43">
        <f t="shared" si="10"/>
        <v>5</v>
      </c>
      <c r="M42" s="21"/>
      <c r="N42" s="8"/>
    </row>
    <row r="43" spans="1:14" s="22" customFormat="1" ht="21" customHeight="1">
      <c r="A43" s="56" t="s">
        <v>23</v>
      </c>
      <c r="B43" s="57" t="s">
        <v>42</v>
      </c>
      <c r="C43" s="58">
        <f>SUM(C44:C60)</f>
        <v>2805.9905000000003</v>
      </c>
      <c r="D43" s="58">
        <f aca="true" t="shared" si="11" ref="D43:L43">SUM(D44:D60)</f>
        <v>1431.93605</v>
      </c>
      <c r="E43" s="58">
        <f t="shared" si="11"/>
        <v>150</v>
      </c>
      <c r="F43" s="58">
        <f t="shared" si="11"/>
        <v>1431.93605</v>
      </c>
      <c r="G43" s="58">
        <f t="shared" si="11"/>
        <v>0</v>
      </c>
      <c r="H43" s="58">
        <f t="shared" si="11"/>
        <v>1439.72305</v>
      </c>
      <c r="I43" s="58">
        <f t="shared" si="11"/>
        <v>150</v>
      </c>
      <c r="J43" s="58">
        <f t="shared" si="11"/>
        <v>1567.1589780000002</v>
      </c>
      <c r="K43" s="58">
        <f t="shared" si="11"/>
        <v>-127.43592799999999</v>
      </c>
      <c r="L43" s="58">
        <f t="shared" si="11"/>
        <v>2678.554572000001</v>
      </c>
      <c r="M43" s="21"/>
      <c r="N43" s="8"/>
    </row>
    <row r="44" spans="1:14" ht="21" customHeight="1">
      <c r="A44" s="60">
        <v>1</v>
      </c>
      <c r="B44" s="61" t="s">
        <v>43</v>
      </c>
      <c r="C44" s="41">
        <v>39.399</v>
      </c>
      <c r="D44" s="41">
        <v>0</v>
      </c>
      <c r="E44" s="41"/>
      <c r="F44" s="41">
        <v>0</v>
      </c>
      <c r="G44" s="42">
        <f t="shared" si="8"/>
        <v>0</v>
      </c>
      <c r="H44" s="41">
        <v>0</v>
      </c>
      <c r="I44" s="41"/>
      <c r="J44" s="41">
        <f>22108000/1000000</f>
        <v>22.108</v>
      </c>
      <c r="K44" s="42">
        <f aca="true" t="shared" si="12" ref="K44:K83">H44-J44</f>
        <v>-22.108</v>
      </c>
      <c r="L44" s="43">
        <f t="shared" si="10"/>
        <v>17.291</v>
      </c>
      <c r="M44" s="21"/>
      <c r="N44" s="8"/>
    </row>
    <row r="45" spans="1:14" ht="21" customHeight="1">
      <c r="A45" s="60">
        <v>2</v>
      </c>
      <c r="B45" s="62" t="s">
        <v>30</v>
      </c>
      <c r="C45" s="41">
        <v>468.7660000000001</v>
      </c>
      <c r="D45" s="41">
        <f>88922317/1000000</f>
        <v>88.922317</v>
      </c>
      <c r="E45" s="41"/>
      <c r="F45" s="41">
        <f>88922317/1000000</f>
        <v>88.922317</v>
      </c>
      <c r="G45" s="42">
        <f t="shared" si="8"/>
        <v>0</v>
      </c>
      <c r="H45" s="41">
        <f>88922317/1000000</f>
        <v>88.922317</v>
      </c>
      <c r="I45" s="41"/>
      <c r="J45" s="41">
        <f>60571500/1000000</f>
        <v>60.5715</v>
      </c>
      <c r="K45" s="42">
        <f t="shared" si="12"/>
        <v>28.350817000000006</v>
      </c>
      <c r="L45" s="43">
        <f t="shared" si="10"/>
        <v>497.1168170000001</v>
      </c>
      <c r="M45" s="21"/>
      <c r="N45" s="8"/>
    </row>
    <row r="46" spans="1:14" ht="21" customHeight="1">
      <c r="A46" s="60">
        <v>3</v>
      </c>
      <c r="B46" s="62" t="s">
        <v>29</v>
      </c>
      <c r="C46" s="69">
        <v>423.29100000000017</v>
      </c>
      <c r="D46" s="69">
        <f>61154328/1000000</f>
        <v>61.154328</v>
      </c>
      <c r="E46" s="69"/>
      <c r="F46" s="69">
        <f>61154328/1000000</f>
        <v>61.154328</v>
      </c>
      <c r="G46" s="42">
        <f t="shared" si="8"/>
        <v>0</v>
      </c>
      <c r="H46" s="69">
        <f>61154328/1000000</f>
        <v>61.154328</v>
      </c>
      <c r="I46" s="41"/>
      <c r="J46" s="41">
        <f>30650000/1000000</f>
        <v>30.65</v>
      </c>
      <c r="K46" s="42">
        <f t="shared" si="12"/>
        <v>30.504328</v>
      </c>
      <c r="L46" s="43">
        <f t="shared" si="10"/>
        <v>453.7953280000002</v>
      </c>
      <c r="M46" s="21"/>
      <c r="N46" s="8"/>
    </row>
    <row r="47" spans="1:14" ht="21" customHeight="1">
      <c r="A47" s="70">
        <v>4</v>
      </c>
      <c r="B47" s="68" t="s">
        <v>32</v>
      </c>
      <c r="C47" s="42">
        <v>97.18200000000002</v>
      </c>
      <c r="D47" s="42">
        <f>86934000/1000000</f>
        <v>86.934</v>
      </c>
      <c r="E47" s="42"/>
      <c r="F47" s="42">
        <f>86934000/1000000</f>
        <v>86.934</v>
      </c>
      <c r="G47" s="42">
        <f t="shared" si="8"/>
        <v>0</v>
      </c>
      <c r="H47" s="42">
        <f>86934000/1000000</f>
        <v>86.934</v>
      </c>
      <c r="I47" s="42"/>
      <c r="J47" s="42">
        <f>67923378/1000000</f>
        <v>67.923378</v>
      </c>
      <c r="K47" s="42">
        <f t="shared" si="12"/>
        <v>19.010621999999998</v>
      </c>
      <c r="L47" s="43">
        <f t="shared" si="10"/>
        <v>116.19262200000001</v>
      </c>
      <c r="M47" s="21"/>
      <c r="N47" s="8"/>
    </row>
    <row r="48" spans="1:14" ht="21" customHeight="1">
      <c r="A48" s="60">
        <v>5</v>
      </c>
      <c r="B48" s="61" t="s">
        <v>44</v>
      </c>
      <c r="C48" s="42">
        <v>223.971</v>
      </c>
      <c r="D48" s="42">
        <f>45000224/1000000</f>
        <v>45.000224</v>
      </c>
      <c r="E48" s="42"/>
      <c r="F48" s="42">
        <f>45000224/1000000</f>
        <v>45.000224</v>
      </c>
      <c r="G48" s="42">
        <f t="shared" si="8"/>
        <v>0</v>
      </c>
      <c r="H48" s="42">
        <f>45000224/1000000</f>
        <v>45.000224</v>
      </c>
      <c r="I48" s="42"/>
      <c r="J48" s="42">
        <f>38269600/1000000</f>
        <v>38.2696</v>
      </c>
      <c r="K48" s="42">
        <f t="shared" si="12"/>
        <v>6.730624000000006</v>
      </c>
      <c r="L48" s="43">
        <f t="shared" si="10"/>
        <v>230.701624</v>
      </c>
      <c r="M48" s="21"/>
      <c r="N48" s="8"/>
    </row>
    <row r="49" spans="1:14" ht="21" customHeight="1">
      <c r="A49" s="60">
        <v>6</v>
      </c>
      <c r="B49" s="62" t="s">
        <v>28</v>
      </c>
      <c r="C49" s="42">
        <v>148.994</v>
      </c>
      <c r="D49" s="42">
        <f>124039000/1000000</f>
        <v>124.039</v>
      </c>
      <c r="E49" s="42"/>
      <c r="F49" s="42">
        <f>124039000/1000000</f>
        <v>124.039</v>
      </c>
      <c r="G49" s="42">
        <f t="shared" si="8"/>
        <v>0</v>
      </c>
      <c r="H49" s="42">
        <f>124039000/1000000</f>
        <v>124.039</v>
      </c>
      <c r="I49" s="42"/>
      <c r="J49" s="42">
        <f>101816000/1000000</f>
        <v>101.816</v>
      </c>
      <c r="K49" s="42">
        <f t="shared" si="12"/>
        <v>22.223</v>
      </c>
      <c r="L49" s="43">
        <f t="shared" si="10"/>
        <v>171.217</v>
      </c>
      <c r="M49" s="21"/>
      <c r="N49" s="8"/>
    </row>
    <row r="50" spans="1:14" ht="21" customHeight="1">
      <c r="A50" s="60">
        <v>7</v>
      </c>
      <c r="B50" s="62" t="s">
        <v>33</v>
      </c>
      <c r="C50" s="42">
        <v>194.70600000000002</v>
      </c>
      <c r="D50" s="42">
        <f>59058000/1000000</f>
        <v>59.058</v>
      </c>
      <c r="E50" s="42"/>
      <c r="F50" s="42">
        <f>59058000/1000000</f>
        <v>59.058</v>
      </c>
      <c r="G50" s="42">
        <f t="shared" si="8"/>
        <v>0</v>
      </c>
      <c r="H50" s="42">
        <f>59058000/1000000</f>
        <v>59.058</v>
      </c>
      <c r="I50" s="42"/>
      <c r="J50" s="42">
        <f>42417500/1000000</f>
        <v>42.4175</v>
      </c>
      <c r="K50" s="42">
        <f t="shared" si="12"/>
        <v>16.640500000000003</v>
      </c>
      <c r="L50" s="43">
        <f t="shared" si="10"/>
        <v>211.34650000000002</v>
      </c>
      <c r="M50" s="21"/>
      <c r="N50" s="8"/>
    </row>
    <row r="51" spans="1:14" ht="21" customHeight="1">
      <c r="A51" s="70">
        <v>8</v>
      </c>
      <c r="B51" s="68" t="s">
        <v>31</v>
      </c>
      <c r="C51" s="43">
        <v>382.34099999999995</v>
      </c>
      <c r="D51" s="43">
        <f>224874112/1000000</f>
        <v>224.874112</v>
      </c>
      <c r="E51" s="42"/>
      <c r="F51" s="43">
        <f>224874112/1000000</f>
        <v>224.874112</v>
      </c>
      <c r="G51" s="42">
        <f t="shared" si="8"/>
        <v>0</v>
      </c>
      <c r="H51" s="43">
        <f>224874112/1000000</f>
        <v>224.874112</v>
      </c>
      <c r="I51" s="42"/>
      <c r="J51" s="42">
        <f>155212000/1000000</f>
        <v>155.212</v>
      </c>
      <c r="K51" s="42">
        <f t="shared" si="12"/>
        <v>69.66211200000001</v>
      </c>
      <c r="L51" s="43">
        <f t="shared" si="10"/>
        <v>452.003112</v>
      </c>
      <c r="M51" s="21"/>
      <c r="N51" s="8"/>
    </row>
    <row r="52" spans="1:14" ht="21" customHeight="1">
      <c r="A52" s="60">
        <v>9</v>
      </c>
      <c r="B52" s="61" t="s">
        <v>45</v>
      </c>
      <c r="C52" s="41">
        <v>14.426</v>
      </c>
      <c r="D52" s="41">
        <v>0</v>
      </c>
      <c r="E52" s="41"/>
      <c r="F52" s="41">
        <v>0</v>
      </c>
      <c r="G52" s="42">
        <f t="shared" si="8"/>
        <v>0</v>
      </c>
      <c r="H52" s="41">
        <v>0</v>
      </c>
      <c r="I52" s="41"/>
      <c r="J52" s="41">
        <v>0</v>
      </c>
      <c r="K52" s="42">
        <f t="shared" si="12"/>
        <v>0</v>
      </c>
      <c r="L52" s="43">
        <f t="shared" si="10"/>
        <v>14.426</v>
      </c>
      <c r="M52" s="21"/>
      <c r="N52" s="8"/>
    </row>
    <row r="53" spans="1:14" ht="21" customHeight="1">
      <c r="A53" s="60">
        <v>10</v>
      </c>
      <c r="B53" s="62" t="s">
        <v>50</v>
      </c>
      <c r="C53" s="41">
        <v>2.6799999999999997</v>
      </c>
      <c r="D53" s="41">
        <v>0</v>
      </c>
      <c r="E53" s="41"/>
      <c r="F53" s="41">
        <v>0</v>
      </c>
      <c r="G53" s="42">
        <f t="shared" si="8"/>
        <v>0</v>
      </c>
      <c r="H53" s="41">
        <v>0</v>
      </c>
      <c r="I53" s="41"/>
      <c r="J53" s="41">
        <f>1760000/1000000</f>
        <v>1.76</v>
      </c>
      <c r="K53" s="42">
        <f t="shared" si="12"/>
        <v>-1.76</v>
      </c>
      <c r="L53" s="43">
        <f t="shared" si="10"/>
        <v>0.9199999999999997</v>
      </c>
      <c r="M53" s="21"/>
      <c r="N53" s="8"/>
    </row>
    <row r="54" spans="1:14" ht="21" customHeight="1">
      <c r="A54" s="60">
        <v>11</v>
      </c>
      <c r="B54" s="62" t="s">
        <v>46</v>
      </c>
      <c r="C54" s="41">
        <v>1.69</v>
      </c>
      <c r="D54" s="41">
        <f>150000000/1000000</f>
        <v>150</v>
      </c>
      <c r="E54" s="41">
        <v>150</v>
      </c>
      <c r="F54" s="41">
        <f>150000000/1000000</f>
        <v>150</v>
      </c>
      <c r="G54" s="42">
        <f t="shared" si="8"/>
        <v>0</v>
      </c>
      <c r="H54" s="41">
        <f>150000000/1000000</f>
        <v>150</v>
      </c>
      <c r="I54" s="41">
        <v>150</v>
      </c>
      <c r="J54" s="41">
        <f>150000000/1000000</f>
        <v>150</v>
      </c>
      <c r="K54" s="42">
        <f t="shared" si="12"/>
        <v>0</v>
      </c>
      <c r="L54" s="43">
        <f t="shared" si="10"/>
        <v>1.6899999999999977</v>
      </c>
      <c r="M54" s="21"/>
      <c r="N54" s="8"/>
    </row>
    <row r="55" spans="1:14" ht="21" customHeight="1">
      <c r="A55" s="60">
        <v>12</v>
      </c>
      <c r="B55" s="62" t="s">
        <v>47</v>
      </c>
      <c r="C55" s="41">
        <v>8.782</v>
      </c>
      <c r="D55" s="41">
        <v>0</v>
      </c>
      <c r="E55" s="41"/>
      <c r="F55" s="41">
        <v>0</v>
      </c>
      <c r="G55" s="42">
        <f t="shared" si="8"/>
        <v>0</v>
      </c>
      <c r="H55" s="41">
        <v>0</v>
      </c>
      <c r="I55" s="41"/>
      <c r="J55" s="41">
        <v>0</v>
      </c>
      <c r="K55" s="42">
        <f t="shared" si="12"/>
        <v>0</v>
      </c>
      <c r="L55" s="43">
        <f t="shared" si="10"/>
        <v>8.782</v>
      </c>
      <c r="M55" s="21"/>
      <c r="N55" s="8"/>
    </row>
    <row r="56" spans="1:14" ht="21" customHeight="1">
      <c r="A56" s="60">
        <v>13</v>
      </c>
      <c r="B56" s="62" t="s">
        <v>107</v>
      </c>
      <c r="C56" s="42">
        <v>599.7825</v>
      </c>
      <c r="D56" s="42">
        <f>3954069/1000000</f>
        <v>3.954069</v>
      </c>
      <c r="E56" s="42"/>
      <c r="F56" s="42">
        <f>3954069/1000000</f>
        <v>3.954069</v>
      </c>
      <c r="G56" s="42">
        <f t="shared" si="8"/>
        <v>0</v>
      </c>
      <c r="H56" s="42">
        <f>3954069/1000000</f>
        <v>3.954069</v>
      </c>
      <c r="I56" s="42"/>
      <c r="J56" s="42">
        <f>124633000/1000000</f>
        <v>124.633</v>
      </c>
      <c r="K56" s="42">
        <f t="shared" si="12"/>
        <v>-120.67893099999999</v>
      </c>
      <c r="L56" s="43">
        <f t="shared" si="10"/>
        <v>479.10356900000005</v>
      </c>
      <c r="M56" s="21"/>
      <c r="N56" s="8"/>
    </row>
    <row r="57" spans="1:14" ht="21" customHeight="1">
      <c r="A57" s="60">
        <v>14</v>
      </c>
      <c r="B57" s="68" t="s">
        <v>48</v>
      </c>
      <c r="C57" s="42">
        <v>2</v>
      </c>
      <c r="D57" s="42">
        <v>0</v>
      </c>
      <c r="E57" s="42"/>
      <c r="F57" s="42">
        <v>0</v>
      </c>
      <c r="G57" s="42">
        <f t="shared" si="8"/>
        <v>0</v>
      </c>
      <c r="H57" s="42">
        <v>0</v>
      </c>
      <c r="I57" s="42"/>
      <c r="J57" s="42">
        <f>2000000/1000000</f>
        <v>2</v>
      </c>
      <c r="K57" s="42">
        <f t="shared" si="12"/>
        <v>-2</v>
      </c>
      <c r="L57" s="43">
        <f t="shared" si="10"/>
        <v>0</v>
      </c>
      <c r="M57" s="21"/>
      <c r="N57" s="8"/>
    </row>
    <row r="58" spans="1:14" ht="21" customHeight="1">
      <c r="A58" s="60">
        <v>15</v>
      </c>
      <c r="B58" s="61" t="s">
        <v>49</v>
      </c>
      <c r="C58" s="42">
        <v>0.98</v>
      </c>
      <c r="D58" s="42">
        <v>0</v>
      </c>
      <c r="E58" s="42"/>
      <c r="F58" s="42">
        <v>0</v>
      </c>
      <c r="G58" s="42">
        <f t="shared" si="8"/>
        <v>0</v>
      </c>
      <c r="H58" s="42">
        <v>0</v>
      </c>
      <c r="I58" s="42"/>
      <c r="J58" s="42">
        <f>998000/1000000</f>
        <v>0.998</v>
      </c>
      <c r="K58" s="42">
        <f t="shared" si="12"/>
        <v>-0.998</v>
      </c>
      <c r="L58" s="43">
        <f t="shared" si="10"/>
        <v>-0.018000000000000016</v>
      </c>
      <c r="M58" s="21"/>
      <c r="N58" s="8"/>
    </row>
    <row r="59" spans="1:14" ht="21" customHeight="1">
      <c r="A59" s="60">
        <v>16</v>
      </c>
      <c r="B59" s="62" t="s">
        <v>115</v>
      </c>
      <c r="C59" s="42">
        <v>197</v>
      </c>
      <c r="D59" s="42">
        <f>588000000/1000000</f>
        <v>588</v>
      </c>
      <c r="E59" s="42"/>
      <c r="F59" s="42">
        <f>588000000/1000000</f>
        <v>588</v>
      </c>
      <c r="G59" s="42">
        <f t="shared" si="8"/>
        <v>0</v>
      </c>
      <c r="H59" s="42">
        <f>588000000/1000000</f>
        <v>588</v>
      </c>
      <c r="I59" s="42"/>
      <c r="J59" s="42">
        <f>768000000/1000000</f>
        <v>768</v>
      </c>
      <c r="K59" s="42">
        <f t="shared" si="12"/>
        <v>-180</v>
      </c>
      <c r="L59" s="43">
        <f t="shared" si="10"/>
        <v>17</v>
      </c>
      <c r="M59" s="21"/>
      <c r="N59" s="8"/>
    </row>
    <row r="60" spans="1:12" ht="15.75">
      <c r="A60" s="71">
        <v>17</v>
      </c>
      <c r="B60" s="72" t="s">
        <v>125</v>
      </c>
      <c r="C60" s="73"/>
      <c r="D60" s="73"/>
      <c r="E60" s="73"/>
      <c r="F60" s="73"/>
      <c r="G60" s="42">
        <f t="shared" si="8"/>
        <v>0</v>
      </c>
      <c r="H60" s="73">
        <v>7.787</v>
      </c>
      <c r="I60" s="73"/>
      <c r="J60" s="73">
        <v>0.8</v>
      </c>
      <c r="K60" s="42">
        <f t="shared" si="12"/>
        <v>6.987</v>
      </c>
      <c r="L60" s="43">
        <f t="shared" si="10"/>
        <v>6.987</v>
      </c>
    </row>
    <row r="61" spans="1:14" s="22" customFormat="1" ht="21" customHeight="1">
      <c r="A61" s="74" t="s">
        <v>53</v>
      </c>
      <c r="B61" s="75" t="s">
        <v>54</v>
      </c>
      <c r="C61" s="59">
        <f>SUM(C62:C68)</f>
        <v>1096.772</v>
      </c>
      <c r="D61" s="59">
        <f aca="true" t="shared" si="13" ref="D61:L61">SUM(D62:D68)</f>
        <v>1006.051</v>
      </c>
      <c r="E61" s="59">
        <f t="shared" si="13"/>
        <v>10</v>
      </c>
      <c r="F61" s="59">
        <f t="shared" si="13"/>
        <v>1039.1</v>
      </c>
      <c r="G61" s="59">
        <f t="shared" si="13"/>
        <v>-33.04900000000001</v>
      </c>
      <c r="H61" s="59">
        <f t="shared" si="13"/>
        <v>1006.051</v>
      </c>
      <c r="I61" s="59">
        <f t="shared" si="13"/>
        <v>10</v>
      </c>
      <c r="J61" s="59">
        <f t="shared" si="13"/>
        <v>1039.1</v>
      </c>
      <c r="K61" s="59">
        <f t="shared" si="13"/>
        <v>-33.04900000000001</v>
      </c>
      <c r="L61" s="59">
        <f t="shared" si="13"/>
        <v>1063.723</v>
      </c>
      <c r="M61" s="26" t="s">
        <v>124</v>
      </c>
      <c r="N61" s="8"/>
    </row>
    <row r="62" spans="1:14" ht="21" customHeight="1">
      <c r="A62" s="76" t="s">
        <v>14</v>
      </c>
      <c r="B62" s="63" t="s">
        <v>30</v>
      </c>
      <c r="C62" s="69">
        <v>339.446</v>
      </c>
      <c r="D62" s="77">
        <v>72.76</v>
      </c>
      <c r="E62" s="77"/>
      <c r="F62" s="77">
        <v>77.4</v>
      </c>
      <c r="G62" s="42">
        <f t="shared" si="8"/>
        <v>-4.640000000000001</v>
      </c>
      <c r="H62" s="77">
        <v>72.76</v>
      </c>
      <c r="I62" s="77"/>
      <c r="J62" s="77">
        <v>77.4</v>
      </c>
      <c r="K62" s="42">
        <f t="shared" si="12"/>
        <v>-4.640000000000001</v>
      </c>
      <c r="L62" s="43">
        <f t="shared" si="10"/>
        <v>334.80600000000004</v>
      </c>
      <c r="M62" s="21"/>
      <c r="N62" s="8"/>
    </row>
    <row r="63" spans="1:14" ht="21" customHeight="1">
      <c r="A63" s="76" t="s">
        <v>15</v>
      </c>
      <c r="B63" s="72" t="s">
        <v>29</v>
      </c>
      <c r="C63" s="69">
        <v>264.26</v>
      </c>
      <c r="D63" s="77">
        <v>42.784</v>
      </c>
      <c r="E63" s="77"/>
      <c r="F63" s="77">
        <v>48.5</v>
      </c>
      <c r="G63" s="42">
        <f t="shared" si="8"/>
        <v>-5.716000000000001</v>
      </c>
      <c r="H63" s="77">
        <v>42.784</v>
      </c>
      <c r="I63" s="77"/>
      <c r="J63" s="77">
        <v>48.5</v>
      </c>
      <c r="K63" s="42">
        <f t="shared" si="12"/>
        <v>-5.716000000000001</v>
      </c>
      <c r="L63" s="43">
        <f t="shared" si="10"/>
        <v>258.544</v>
      </c>
      <c r="M63" s="21"/>
      <c r="N63" s="8"/>
    </row>
    <row r="64" spans="1:14" ht="21" customHeight="1">
      <c r="A64" s="76" t="s">
        <v>16</v>
      </c>
      <c r="B64" s="72" t="s">
        <v>31</v>
      </c>
      <c r="C64" s="69">
        <v>161.65699999999998</v>
      </c>
      <c r="D64" s="77">
        <v>180.45</v>
      </c>
      <c r="E64" s="77">
        <v>10</v>
      </c>
      <c r="F64" s="77">
        <v>191.5</v>
      </c>
      <c r="G64" s="42">
        <f t="shared" si="8"/>
        <v>-11.050000000000011</v>
      </c>
      <c r="H64" s="77">
        <v>180.45</v>
      </c>
      <c r="I64" s="77">
        <v>10</v>
      </c>
      <c r="J64" s="77">
        <v>191.5</v>
      </c>
      <c r="K64" s="42">
        <f t="shared" si="12"/>
        <v>-11.050000000000011</v>
      </c>
      <c r="L64" s="43">
        <f t="shared" si="10"/>
        <v>150.60699999999997</v>
      </c>
      <c r="M64" s="21"/>
      <c r="N64" s="8"/>
    </row>
    <row r="65" spans="1:14" ht="21" customHeight="1">
      <c r="A65" s="78" t="s">
        <v>17</v>
      </c>
      <c r="B65" s="79" t="s">
        <v>34</v>
      </c>
      <c r="C65" s="43">
        <v>223.239</v>
      </c>
      <c r="D65" s="64"/>
      <c r="E65" s="64"/>
      <c r="F65" s="64">
        <v>71.2</v>
      </c>
      <c r="G65" s="42">
        <f t="shared" si="8"/>
        <v>-71.2</v>
      </c>
      <c r="H65" s="64"/>
      <c r="I65" s="64"/>
      <c r="J65" s="64">
        <v>71.2</v>
      </c>
      <c r="K65" s="42">
        <f t="shared" si="12"/>
        <v>-71.2</v>
      </c>
      <c r="L65" s="43">
        <f t="shared" si="10"/>
        <v>152.039</v>
      </c>
      <c r="M65" s="21"/>
      <c r="N65" s="8"/>
    </row>
    <row r="66" spans="1:14" ht="21" customHeight="1">
      <c r="A66" s="76" t="s">
        <v>35</v>
      </c>
      <c r="B66" s="63" t="s">
        <v>59</v>
      </c>
      <c r="C66" s="43">
        <v>37.396</v>
      </c>
      <c r="D66" s="64">
        <v>8.5</v>
      </c>
      <c r="E66" s="64"/>
      <c r="F66" s="64">
        <v>8.5</v>
      </c>
      <c r="G66" s="42">
        <f t="shared" si="8"/>
        <v>0</v>
      </c>
      <c r="H66" s="64">
        <v>8.5</v>
      </c>
      <c r="I66" s="64"/>
      <c r="J66" s="64">
        <v>8.5</v>
      </c>
      <c r="K66" s="42">
        <f t="shared" si="12"/>
        <v>0</v>
      </c>
      <c r="L66" s="43">
        <f t="shared" si="10"/>
        <v>37.396</v>
      </c>
      <c r="M66" s="21"/>
      <c r="N66" s="8"/>
    </row>
    <row r="67" spans="1:14" ht="21" customHeight="1">
      <c r="A67" s="76" t="s">
        <v>36</v>
      </c>
      <c r="B67" s="63" t="s">
        <v>43</v>
      </c>
      <c r="C67" s="43">
        <v>70.774</v>
      </c>
      <c r="D67" s="64"/>
      <c r="E67" s="64"/>
      <c r="F67" s="64"/>
      <c r="G67" s="42">
        <f t="shared" si="8"/>
        <v>0</v>
      </c>
      <c r="H67" s="64"/>
      <c r="I67" s="64"/>
      <c r="J67" s="64"/>
      <c r="K67" s="42">
        <f t="shared" si="12"/>
        <v>0</v>
      </c>
      <c r="L67" s="43">
        <f t="shared" si="10"/>
        <v>70.774</v>
      </c>
      <c r="M67" s="21"/>
      <c r="N67" s="8"/>
    </row>
    <row r="68" spans="1:14" ht="21" customHeight="1">
      <c r="A68" s="80">
        <v>7</v>
      </c>
      <c r="B68" s="81" t="s">
        <v>46</v>
      </c>
      <c r="C68" s="36">
        <v>0</v>
      </c>
      <c r="D68" s="64">
        <f>46.57+258.048+326.939+70</f>
        <v>701.557</v>
      </c>
      <c r="E68" s="64"/>
      <c r="F68" s="64">
        <v>642</v>
      </c>
      <c r="G68" s="42">
        <f t="shared" si="8"/>
        <v>59.557000000000016</v>
      </c>
      <c r="H68" s="64">
        <f>D68</f>
        <v>701.557</v>
      </c>
      <c r="I68" s="64"/>
      <c r="J68" s="64">
        <v>642</v>
      </c>
      <c r="K68" s="42">
        <f t="shared" si="12"/>
        <v>59.557000000000016</v>
      </c>
      <c r="L68" s="43">
        <f t="shared" si="10"/>
        <v>59.557000000000016</v>
      </c>
      <c r="M68" s="21"/>
      <c r="N68" s="8"/>
    </row>
    <row r="69" spans="1:14" s="38" customFormat="1" ht="21" customHeight="1">
      <c r="A69" s="82" t="s">
        <v>55</v>
      </c>
      <c r="B69" s="83" t="s">
        <v>56</v>
      </c>
      <c r="C69" s="59">
        <f aca="true" t="shared" si="14" ref="C69:L69">SUM(C70:C80)</f>
        <v>3234.8049849999998</v>
      </c>
      <c r="D69" s="59">
        <f t="shared" si="14"/>
        <v>816.4060000000001</v>
      </c>
      <c r="E69" s="59">
        <f t="shared" si="14"/>
        <v>0</v>
      </c>
      <c r="F69" s="59">
        <f t="shared" si="14"/>
        <v>747.1124000000001</v>
      </c>
      <c r="G69" s="59">
        <f t="shared" si="14"/>
        <v>69.29360000000003</v>
      </c>
      <c r="H69" s="59">
        <f t="shared" si="14"/>
        <v>766.0224010000001</v>
      </c>
      <c r="I69" s="59">
        <f t="shared" si="14"/>
        <v>0</v>
      </c>
      <c r="J69" s="59">
        <f t="shared" si="14"/>
        <v>525.3204000000001</v>
      </c>
      <c r="K69" s="59">
        <f t="shared" si="14"/>
        <v>240.70200099999997</v>
      </c>
      <c r="L69" s="59">
        <f t="shared" si="14"/>
        <v>3475.5069860000003</v>
      </c>
      <c r="M69" s="32"/>
      <c r="N69" s="33"/>
    </row>
    <row r="70" spans="1:14" ht="21" customHeight="1">
      <c r="A70" s="84">
        <v>1</v>
      </c>
      <c r="B70" s="62" t="s">
        <v>43</v>
      </c>
      <c r="C70" s="39">
        <f>0.11+26.13+7+11.0275+8.841+3.95</f>
        <v>57.0585</v>
      </c>
      <c r="D70" s="39"/>
      <c r="E70" s="39"/>
      <c r="F70" s="39"/>
      <c r="G70" s="42">
        <f t="shared" si="8"/>
        <v>0</v>
      </c>
      <c r="H70" s="39"/>
      <c r="I70" s="39"/>
      <c r="J70" s="39">
        <f>26.13+1.5+3.95</f>
        <v>31.58</v>
      </c>
      <c r="K70" s="42">
        <f t="shared" si="12"/>
        <v>-31.58</v>
      </c>
      <c r="L70" s="43">
        <f t="shared" si="10"/>
        <v>25.478500000000004</v>
      </c>
      <c r="M70" s="21"/>
      <c r="N70" s="8"/>
    </row>
    <row r="71" spans="1:14" ht="21" customHeight="1">
      <c r="A71" s="70">
        <v>2</v>
      </c>
      <c r="B71" s="79" t="s">
        <v>57</v>
      </c>
      <c r="C71" s="39">
        <f>0.735+65.722+18+10.858+53+64.47+26.003+21.051+71.008+11.667</f>
        <v>342.51399999999995</v>
      </c>
      <c r="D71" s="39">
        <f>9.6+7+4.91+9+13+10+4.2+13.89+17</f>
        <v>88.60000000000001</v>
      </c>
      <c r="E71" s="39"/>
      <c r="F71" s="39">
        <f>5+7+2.098+8+5+5+3+27.7+15</f>
        <v>77.798</v>
      </c>
      <c r="G71" s="42">
        <f t="shared" si="8"/>
        <v>10.802000000000007</v>
      </c>
      <c r="H71" s="39">
        <f>11.81+6+4.91+10+13.67+10.78+5.29+13.85</f>
        <v>76.31</v>
      </c>
      <c r="I71" s="39"/>
      <c r="J71" s="39">
        <f>2.197+6+2.098+5+0.4+0.9+26.402+2.1</f>
        <v>45.097</v>
      </c>
      <c r="K71" s="42">
        <f t="shared" si="12"/>
        <v>31.213</v>
      </c>
      <c r="L71" s="43">
        <f t="shared" si="10"/>
        <v>373.727</v>
      </c>
      <c r="M71" s="21"/>
      <c r="N71" s="8"/>
    </row>
    <row r="72" spans="1:14" ht="21" customHeight="1">
      <c r="A72" s="84">
        <v>3</v>
      </c>
      <c r="B72" s="63" t="s">
        <v>29</v>
      </c>
      <c r="C72" s="40">
        <f>3.281+57.977+19+9.86+52+36.122+10.267+9.699+49.495+19.318</f>
        <v>267.019</v>
      </c>
      <c r="D72" s="40">
        <f>3+9.6+5+6.47+9+6+8.5+13.89+10</f>
        <v>71.46000000000001</v>
      </c>
      <c r="E72" s="40"/>
      <c r="F72" s="40">
        <f>3+5+4+5.75+9+4+4.5+4.9+10</f>
        <v>50.15</v>
      </c>
      <c r="G72" s="42">
        <f t="shared" si="8"/>
        <v>21.31000000000001</v>
      </c>
      <c r="H72" s="40">
        <f>11.75+4+6.47+11+8.41+0.9+14.71</f>
        <v>57.239999999999995</v>
      </c>
      <c r="I72" s="40"/>
      <c r="J72" s="40">
        <f>2.753+11.92+5.75+26+4.9</f>
        <v>51.323</v>
      </c>
      <c r="K72" s="42">
        <f t="shared" si="12"/>
        <v>5.9169999999999945</v>
      </c>
      <c r="L72" s="43">
        <f t="shared" si="10"/>
        <v>272.93600000000004</v>
      </c>
      <c r="M72" s="21"/>
      <c r="N72" s="8"/>
    </row>
    <row r="73" spans="1:14" ht="21" customHeight="1">
      <c r="A73" s="70">
        <v>4</v>
      </c>
      <c r="B73" s="72" t="s">
        <v>31</v>
      </c>
      <c r="C73" s="40">
        <f>9.425+42.485+16+27.703+13+14+30.437+29.294+23.3383+66.063+38.119</f>
        <v>309.86430000000007</v>
      </c>
      <c r="D73" s="40">
        <f>5+10+7+4.06+13+10+15+11+19.12+5</f>
        <v>99.18</v>
      </c>
      <c r="E73" s="40"/>
      <c r="F73" s="40">
        <f>4+8+7+5+13+8+4+10+27+20</f>
        <v>106</v>
      </c>
      <c r="G73" s="42">
        <f t="shared" si="8"/>
        <v>-6.819999999999993</v>
      </c>
      <c r="H73" s="40">
        <f>5.731+12.45+74.06+14+12.285+14.41+17.706+25.87+17.97+13</f>
        <v>207.482</v>
      </c>
      <c r="I73" s="40"/>
      <c r="J73" s="40">
        <f>3.2+7.485+7+5+11+13.633+2+19.6+12+27+13</f>
        <v>120.918</v>
      </c>
      <c r="K73" s="42">
        <f t="shared" si="12"/>
        <v>86.564</v>
      </c>
      <c r="L73" s="43">
        <f t="shared" si="10"/>
        <v>396.42830000000004</v>
      </c>
      <c r="M73" s="21"/>
      <c r="N73" s="8"/>
    </row>
    <row r="74" spans="1:14" ht="21" customHeight="1">
      <c r="A74" s="84">
        <v>5</v>
      </c>
      <c r="B74" s="72" t="s">
        <v>58</v>
      </c>
      <c r="C74" s="40">
        <f>2.1+33.98+17+1.955+30+8.23+10.528+4.523+38.342+0.136</f>
        <v>146.794</v>
      </c>
      <c r="D74" s="40">
        <f>3+11.2+7+9+8+6+4.4+27.4+16</f>
        <v>92</v>
      </c>
      <c r="E74" s="40"/>
      <c r="F74" s="40">
        <f>1+8+6+10+4+4+12.89+13</f>
        <v>58.89</v>
      </c>
      <c r="G74" s="42">
        <f t="shared" si="8"/>
        <v>33.11</v>
      </c>
      <c r="H74" s="40">
        <f>0.81+10.99+6+10+8.2+8.14+6.57+29.7+2.8</f>
        <v>83.21</v>
      </c>
      <c r="I74" s="40"/>
      <c r="J74" s="40">
        <f>0.84+8.68+20+6.5714+7.3+9.74+2.8</f>
        <v>55.9314</v>
      </c>
      <c r="K74" s="42">
        <f t="shared" si="12"/>
        <v>27.278599999999997</v>
      </c>
      <c r="L74" s="43">
        <f t="shared" si="10"/>
        <v>174.07260000000002</v>
      </c>
      <c r="M74" s="21"/>
      <c r="N74" s="8"/>
    </row>
    <row r="75" spans="1:14" ht="21" customHeight="1">
      <c r="A75" s="70">
        <v>6</v>
      </c>
      <c r="B75" s="79" t="s">
        <v>59</v>
      </c>
      <c r="C75" s="39">
        <f>0.005+7.966+101.8+7+7.173+24+36.907+26.34+25.585+40.359+13.067</f>
        <v>290.202</v>
      </c>
      <c r="D75" s="39">
        <f>2+12+38.1+5+8.432+9+20+15+10.8+27.6+35</f>
        <v>182.932</v>
      </c>
      <c r="E75" s="39"/>
      <c r="F75" s="39">
        <f>11+139.8+4+6.44+15+9+10+10+34.65+20</f>
        <v>259.89</v>
      </c>
      <c r="G75" s="42">
        <f t="shared" si="8"/>
        <v>-76.958</v>
      </c>
      <c r="H75" s="39">
        <f>2.829+12.85+38.1+4+8.432+20+17.765+13.136+10.141+25.3+14.73</f>
        <v>167.283</v>
      </c>
      <c r="I75" s="39"/>
      <c r="J75" s="39">
        <f>11.799+29.18+14.73</f>
        <v>55.709</v>
      </c>
      <c r="K75" s="42">
        <f t="shared" si="12"/>
        <v>111.57399999999998</v>
      </c>
      <c r="L75" s="43">
        <f t="shared" si="10"/>
        <v>401.776</v>
      </c>
      <c r="M75" s="21"/>
      <c r="N75" s="8"/>
    </row>
    <row r="76" spans="1:14" ht="21" customHeight="1">
      <c r="A76" s="84">
        <v>7</v>
      </c>
      <c r="B76" s="63" t="s">
        <v>46</v>
      </c>
      <c r="C76" s="39">
        <f>0.52+0.3</f>
        <v>0.8200000000000001</v>
      </c>
      <c r="D76" s="39">
        <f>6+4.92+10+13.7+12</f>
        <v>46.620000000000005</v>
      </c>
      <c r="E76" s="39"/>
      <c r="F76" s="39">
        <f>6+10+12</f>
        <v>28</v>
      </c>
      <c r="G76" s="42">
        <f t="shared" si="8"/>
        <v>18.620000000000005</v>
      </c>
      <c r="H76" s="39">
        <f>6+4.92+11+1.67</f>
        <v>23.590000000000003</v>
      </c>
      <c r="I76" s="39"/>
      <c r="J76" s="39">
        <f>0.52+1+11+1.67</f>
        <v>14.19</v>
      </c>
      <c r="K76" s="42">
        <f t="shared" si="12"/>
        <v>9.400000000000004</v>
      </c>
      <c r="L76" s="43">
        <f t="shared" si="10"/>
        <v>10.220000000000004</v>
      </c>
      <c r="M76" s="21"/>
      <c r="N76" s="8"/>
    </row>
    <row r="77" spans="1:14" ht="21" customHeight="1">
      <c r="A77" s="70">
        <v>8</v>
      </c>
      <c r="B77" s="72" t="s">
        <v>33</v>
      </c>
      <c r="C77" s="39">
        <f>15+64+10.959+20.904+12.42+43.462+13.25</f>
        <v>179.995</v>
      </c>
      <c r="D77" s="39">
        <f>6+9+155.9</f>
        <v>170.9</v>
      </c>
      <c r="E77" s="39"/>
      <c r="F77" s="39">
        <f>6+7+12+4+24.6+8</f>
        <v>61.6</v>
      </c>
      <c r="G77" s="42">
        <f t="shared" si="8"/>
        <v>109.30000000000001</v>
      </c>
      <c r="H77" s="39">
        <f>6+10+9.54+11.06+10.99+14.07+10.5</f>
        <v>72.16</v>
      </c>
      <c r="I77" s="39"/>
      <c r="J77" s="39">
        <f>3+8+8+14.6+6.48+8.6+10.5</f>
        <v>59.18</v>
      </c>
      <c r="K77" s="42">
        <f t="shared" si="12"/>
        <v>12.979999999999997</v>
      </c>
      <c r="L77" s="43">
        <f t="shared" si="10"/>
        <v>192.975</v>
      </c>
      <c r="M77" s="21"/>
      <c r="N77" s="8"/>
    </row>
    <row r="78" spans="1:14" ht="21" customHeight="1">
      <c r="A78" s="84">
        <v>9</v>
      </c>
      <c r="B78" s="62" t="s">
        <v>60</v>
      </c>
      <c r="C78" s="39">
        <f>4.979+44.08+18+10.304+17+5.205+110.32322</f>
        <v>209.89122</v>
      </c>
      <c r="D78" s="39">
        <f>11.2+9.094+10+4.9+19.32</f>
        <v>54.513999999999996</v>
      </c>
      <c r="E78" s="39"/>
      <c r="F78" s="39">
        <f>11+7+10+1+75.7844</f>
        <v>104.7844</v>
      </c>
      <c r="G78" s="42">
        <f t="shared" si="8"/>
        <v>-50.27040000000001</v>
      </c>
      <c r="H78" s="39">
        <f>0.55+12.9+9.094+14+4.685+19</f>
        <v>60.229</v>
      </c>
      <c r="I78" s="39"/>
      <c r="J78" s="39">
        <f>8.392+7+76</f>
        <v>91.392</v>
      </c>
      <c r="K78" s="42">
        <f t="shared" si="12"/>
        <v>-31.162999999999997</v>
      </c>
      <c r="L78" s="43">
        <f t="shared" si="10"/>
        <v>178.72822000000002</v>
      </c>
      <c r="M78" s="21"/>
      <c r="N78" s="8"/>
    </row>
    <row r="79" spans="1:14" ht="21" customHeight="1">
      <c r="A79" s="70">
        <v>10</v>
      </c>
      <c r="B79" s="68" t="s">
        <v>61</v>
      </c>
      <c r="C79" s="39">
        <f>12.281</f>
        <v>12.281</v>
      </c>
      <c r="D79" s="39">
        <f>5+5.2</f>
        <v>10.2</v>
      </c>
      <c r="E79" s="39"/>
      <c r="F79" s="39"/>
      <c r="G79" s="42">
        <f t="shared" si="8"/>
        <v>10.2</v>
      </c>
      <c r="H79" s="39">
        <v>8.11</v>
      </c>
      <c r="I79" s="39"/>
      <c r="J79" s="39"/>
      <c r="K79" s="42">
        <f t="shared" si="12"/>
        <v>8.11</v>
      </c>
      <c r="L79" s="43">
        <f t="shared" si="10"/>
        <v>20.391</v>
      </c>
      <c r="M79" s="21"/>
      <c r="N79" s="8"/>
    </row>
    <row r="80" spans="1:14" ht="21" customHeight="1">
      <c r="A80" s="84">
        <v>11</v>
      </c>
      <c r="B80" s="61" t="s">
        <v>34</v>
      </c>
      <c r="C80" s="40">
        <f>0.544+1417.821965</f>
        <v>1418.3659650000002</v>
      </c>
      <c r="D80" s="40"/>
      <c r="E80" s="40"/>
      <c r="F80" s="40"/>
      <c r="G80" s="42">
        <f t="shared" si="8"/>
        <v>0</v>
      </c>
      <c r="H80" s="40">
        <v>10.408401</v>
      </c>
      <c r="I80" s="40"/>
      <c r="J80" s="40"/>
      <c r="K80" s="42">
        <f t="shared" si="12"/>
        <v>10.408401</v>
      </c>
      <c r="L80" s="43">
        <f t="shared" si="10"/>
        <v>1428.774366</v>
      </c>
      <c r="M80" s="21"/>
      <c r="N80" s="8"/>
    </row>
    <row r="81" spans="1:14" s="38" customFormat="1" ht="21" customHeight="1">
      <c r="A81" s="82" t="s">
        <v>62</v>
      </c>
      <c r="B81" s="83" t="s">
        <v>63</v>
      </c>
      <c r="C81" s="85">
        <f>SUM(C82:C93)</f>
        <v>3773.528458</v>
      </c>
      <c r="D81" s="85">
        <f aca="true" t="shared" si="15" ref="D81:L81">SUM(D82:D93)</f>
        <v>2173.11661</v>
      </c>
      <c r="E81" s="85">
        <f t="shared" si="15"/>
        <v>50</v>
      </c>
      <c r="F81" s="85">
        <f t="shared" si="15"/>
        <v>1527.5455</v>
      </c>
      <c r="G81" s="85">
        <f t="shared" si="15"/>
        <v>645.57111</v>
      </c>
      <c r="H81" s="85">
        <f t="shared" si="15"/>
        <v>6729.280815000001</v>
      </c>
      <c r="I81" s="85">
        <f t="shared" si="15"/>
        <v>50</v>
      </c>
      <c r="J81" s="85">
        <f t="shared" si="15"/>
        <v>7976.15516</v>
      </c>
      <c r="K81" s="85">
        <f t="shared" si="15"/>
        <v>-1246.874345</v>
      </c>
      <c r="L81" s="85">
        <f t="shared" si="15"/>
        <v>2526.654113</v>
      </c>
      <c r="M81" s="32"/>
      <c r="N81" s="33"/>
    </row>
    <row r="82" spans="1:14" ht="21" customHeight="1">
      <c r="A82" s="60">
        <v>1</v>
      </c>
      <c r="B82" s="62" t="s">
        <v>64</v>
      </c>
      <c r="C82" s="41">
        <v>500.817</v>
      </c>
      <c r="D82" s="41">
        <v>204.216</v>
      </c>
      <c r="E82" s="41">
        <v>0</v>
      </c>
      <c r="F82" s="41">
        <v>121.355</v>
      </c>
      <c r="G82" s="42">
        <f t="shared" si="8"/>
        <v>82.861</v>
      </c>
      <c r="H82" s="41">
        <v>86.51062999999999</v>
      </c>
      <c r="I82" s="41">
        <v>0</v>
      </c>
      <c r="J82" s="41">
        <v>84.313</v>
      </c>
      <c r="K82" s="42">
        <f t="shared" si="12"/>
        <v>2.1976299999999895</v>
      </c>
      <c r="L82" s="43">
        <f t="shared" si="10"/>
        <v>503.01463</v>
      </c>
      <c r="M82" s="21"/>
      <c r="N82" s="8"/>
    </row>
    <row r="83" spans="1:14" s="22" customFormat="1" ht="21" customHeight="1">
      <c r="A83" s="60">
        <v>2</v>
      </c>
      <c r="B83" s="62" t="s">
        <v>65</v>
      </c>
      <c r="C83" s="42">
        <v>143.49399999999997</v>
      </c>
      <c r="D83" s="42">
        <v>100.66999999999999</v>
      </c>
      <c r="E83" s="42">
        <v>0</v>
      </c>
      <c r="F83" s="42">
        <v>42.063</v>
      </c>
      <c r="G83" s="42">
        <f t="shared" si="8"/>
        <v>58.606999999999985</v>
      </c>
      <c r="H83" s="42">
        <v>105.282</v>
      </c>
      <c r="I83" s="42">
        <v>0</v>
      </c>
      <c r="J83" s="42">
        <v>98.34700000000001</v>
      </c>
      <c r="K83" s="42">
        <f t="shared" si="12"/>
        <v>6.934999999999988</v>
      </c>
      <c r="L83" s="43">
        <f t="shared" si="10"/>
        <v>150.42899999999995</v>
      </c>
      <c r="M83" s="21"/>
      <c r="N83" s="8"/>
    </row>
    <row r="84" spans="1:14" ht="21" customHeight="1">
      <c r="A84" s="84">
        <v>3</v>
      </c>
      <c r="B84" s="62" t="s">
        <v>66</v>
      </c>
      <c r="C84" s="42">
        <v>67.253</v>
      </c>
      <c r="D84" s="42">
        <v>44.459</v>
      </c>
      <c r="E84" s="42">
        <v>0</v>
      </c>
      <c r="F84" s="42">
        <v>42.759</v>
      </c>
      <c r="G84" s="42">
        <f t="shared" si="8"/>
        <v>1.7000000000000028</v>
      </c>
      <c r="H84" s="42">
        <v>76.903</v>
      </c>
      <c r="I84" s="42">
        <v>0</v>
      </c>
      <c r="J84" s="42">
        <v>56.653999999999996</v>
      </c>
      <c r="K84" s="42">
        <f aca="true" t="shared" si="16" ref="K84:K121">H84-J84</f>
        <v>20.24900000000001</v>
      </c>
      <c r="L84" s="43">
        <f t="shared" si="10"/>
        <v>87.50200000000001</v>
      </c>
      <c r="M84" s="21"/>
      <c r="N84" s="8"/>
    </row>
    <row r="85" spans="1:14" ht="21" customHeight="1">
      <c r="A85" s="70">
        <v>4</v>
      </c>
      <c r="B85" s="68" t="s">
        <v>44</v>
      </c>
      <c r="C85" s="42">
        <v>112.29</v>
      </c>
      <c r="D85" s="42">
        <v>103.005</v>
      </c>
      <c r="E85" s="42">
        <v>0</v>
      </c>
      <c r="F85" s="42">
        <v>33.005</v>
      </c>
      <c r="G85" s="42">
        <f t="shared" si="8"/>
        <v>70</v>
      </c>
      <c r="H85" s="42">
        <v>71.643</v>
      </c>
      <c r="I85" s="42">
        <v>0</v>
      </c>
      <c r="J85" s="42">
        <v>75.74600000000001</v>
      </c>
      <c r="K85" s="42">
        <f t="shared" si="16"/>
        <v>-4.103000000000009</v>
      </c>
      <c r="L85" s="43">
        <f t="shared" si="10"/>
        <v>108.18699999999998</v>
      </c>
      <c r="M85" s="21"/>
      <c r="N85" s="8"/>
    </row>
    <row r="86" spans="1:14" ht="21" customHeight="1">
      <c r="A86" s="84">
        <v>5</v>
      </c>
      <c r="B86" s="61" t="s">
        <v>28</v>
      </c>
      <c r="C86" s="41">
        <v>163.60410000000002</v>
      </c>
      <c r="D86" s="41">
        <v>70.98261</v>
      </c>
      <c r="E86" s="41">
        <v>0</v>
      </c>
      <c r="F86" s="41">
        <v>59.88099999999999</v>
      </c>
      <c r="G86" s="42">
        <f t="shared" si="8"/>
        <v>11.10161</v>
      </c>
      <c r="H86" s="41">
        <v>88.16969900000001</v>
      </c>
      <c r="I86" s="41">
        <v>0</v>
      </c>
      <c r="J86" s="41">
        <v>80.23616</v>
      </c>
      <c r="K86" s="42">
        <f t="shared" si="16"/>
        <v>7.93353900000001</v>
      </c>
      <c r="L86" s="43">
        <f t="shared" si="10"/>
        <v>171.537639</v>
      </c>
      <c r="M86" s="21"/>
      <c r="N86" s="8"/>
    </row>
    <row r="87" spans="1:14" ht="21" customHeight="1">
      <c r="A87" s="70">
        <v>6</v>
      </c>
      <c r="B87" s="62" t="s">
        <v>31</v>
      </c>
      <c r="C87" s="41">
        <v>705.2850169999998</v>
      </c>
      <c r="D87" s="41">
        <v>390.21400000000006</v>
      </c>
      <c r="E87" s="41">
        <v>0</v>
      </c>
      <c r="F87" s="41">
        <v>159.375</v>
      </c>
      <c r="G87" s="42">
        <f t="shared" si="8"/>
        <v>230.83900000000006</v>
      </c>
      <c r="H87" s="41">
        <v>1134.304061</v>
      </c>
      <c r="I87" s="41">
        <v>0</v>
      </c>
      <c r="J87" s="41">
        <v>997.45</v>
      </c>
      <c r="K87" s="42">
        <f t="shared" si="16"/>
        <v>136.854061</v>
      </c>
      <c r="L87" s="43">
        <f t="shared" si="10"/>
        <v>842.1390779999999</v>
      </c>
      <c r="M87" s="21"/>
      <c r="N87" s="8"/>
    </row>
    <row r="88" spans="1:14" ht="21" customHeight="1">
      <c r="A88" s="84">
        <v>7</v>
      </c>
      <c r="B88" s="62" t="s">
        <v>67</v>
      </c>
      <c r="C88" s="41">
        <v>259.1678</v>
      </c>
      <c r="D88" s="41">
        <v>500</v>
      </c>
      <c r="E88" s="41">
        <v>0</v>
      </c>
      <c r="F88" s="41">
        <v>492.2325</v>
      </c>
      <c r="G88" s="42">
        <f t="shared" si="8"/>
        <v>7.767499999999984</v>
      </c>
      <c r="H88" s="41">
        <v>313.008425</v>
      </c>
      <c r="I88" s="41">
        <v>0</v>
      </c>
      <c r="J88" s="41">
        <v>160.41</v>
      </c>
      <c r="K88" s="42">
        <f t="shared" si="16"/>
        <v>152.598425</v>
      </c>
      <c r="L88" s="43">
        <f t="shared" si="10"/>
        <v>411.76622499999996</v>
      </c>
      <c r="M88" s="21"/>
      <c r="N88" s="8"/>
    </row>
    <row r="89" spans="1:16" ht="21" customHeight="1">
      <c r="A89" s="70">
        <v>8</v>
      </c>
      <c r="B89" s="68" t="s">
        <v>68</v>
      </c>
      <c r="C89" s="42">
        <v>288.168</v>
      </c>
      <c r="D89" s="42">
        <v>100</v>
      </c>
      <c r="E89" s="42">
        <v>50</v>
      </c>
      <c r="F89" s="42">
        <v>0</v>
      </c>
      <c r="G89" s="42">
        <f t="shared" si="8"/>
        <v>100</v>
      </c>
      <c r="H89" s="42">
        <v>172.035</v>
      </c>
      <c r="I89" s="42">
        <v>50</v>
      </c>
      <c r="J89" s="42">
        <v>350</v>
      </c>
      <c r="K89" s="42">
        <f t="shared" si="16"/>
        <v>-177.965</v>
      </c>
      <c r="L89" s="43">
        <f t="shared" si="10"/>
        <v>110.20299999999997</v>
      </c>
      <c r="M89" s="21"/>
      <c r="N89" s="8"/>
      <c r="P89" s="15">
        <v>160</v>
      </c>
    </row>
    <row r="90" spans="1:16" ht="32.25" customHeight="1">
      <c r="A90" s="84">
        <v>9</v>
      </c>
      <c r="B90" s="61" t="s">
        <v>103</v>
      </c>
      <c r="C90" s="42">
        <v>1476.530541</v>
      </c>
      <c r="D90" s="42">
        <v>600</v>
      </c>
      <c r="E90" s="42">
        <v>0</v>
      </c>
      <c r="F90" s="42">
        <v>550</v>
      </c>
      <c r="G90" s="42">
        <f t="shared" si="8"/>
        <v>50</v>
      </c>
      <c r="H90" s="42">
        <v>4610.265</v>
      </c>
      <c r="I90" s="42">
        <v>0</v>
      </c>
      <c r="J90" s="42">
        <v>6017.108</v>
      </c>
      <c r="K90" s="42">
        <f t="shared" si="16"/>
        <v>-1406.8429999999998</v>
      </c>
      <c r="L90" s="43">
        <f t="shared" si="10"/>
        <v>69.68754100000024</v>
      </c>
      <c r="M90" s="21"/>
      <c r="N90" s="8"/>
      <c r="P90" s="15">
        <v>70</v>
      </c>
    </row>
    <row r="91" spans="1:16" ht="21" customHeight="1">
      <c r="A91" s="70">
        <v>10</v>
      </c>
      <c r="B91" s="62" t="s">
        <v>58</v>
      </c>
      <c r="C91" s="42">
        <v>50.43</v>
      </c>
      <c r="D91" s="42">
        <v>58.232</v>
      </c>
      <c r="E91" s="42">
        <v>0</v>
      </c>
      <c r="F91" s="42">
        <v>26.875</v>
      </c>
      <c r="G91" s="42">
        <f t="shared" si="8"/>
        <v>31.357</v>
      </c>
      <c r="H91" s="42">
        <v>69.212</v>
      </c>
      <c r="I91" s="42">
        <v>0</v>
      </c>
      <c r="J91" s="42">
        <v>55.19100000000001</v>
      </c>
      <c r="K91" s="42">
        <f t="shared" si="16"/>
        <v>14.020999999999994</v>
      </c>
      <c r="L91" s="43">
        <f t="shared" si="10"/>
        <v>64.451</v>
      </c>
      <c r="M91" s="21"/>
      <c r="N91" s="8"/>
      <c r="P91" s="15">
        <v>64</v>
      </c>
    </row>
    <row r="92" spans="1:16" ht="21" customHeight="1">
      <c r="A92" s="84">
        <v>11</v>
      </c>
      <c r="B92" s="68" t="s">
        <v>69</v>
      </c>
      <c r="C92" s="42">
        <v>2.0620000000000003</v>
      </c>
      <c r="D92" s="42">
        <v>1.338</v>
      </c>
      <c r="E92" s="42">
        <v>0</v>
      </c>
      <c r="F92" s="42">
        <v>0</v>
      </c>
      <c r="G92" s="42">
        <f t="shared" si="8"/>
        <v>1.338</v>
      </c>
      <c r="H92" s="42">
        <v>1.948</v>
      </c>
      <c r="I92" s="42">
        <v>0</v>
      </c>
      <c r="J92" s="42">
        <v>0.7</v>
      </c>
      <c r="K92" s="42">
        <f t="shared" si="16"/>
        <v>1.248</v>
      </c>
      <c r="L92" s="43">
        <f t="shared" si="10"/>
        <v>3.3099999999999996</v>
      </c>
      <c r="M92" s="21"/>
      <c r="N92" s="8"/>
      <c r="P92" s="15">
        <v>3</v>
      </c>
    </row>
    <row r="93" spans="1:14" ht="21" customHeight="1">
      <c r="A93" s="70">
        <v>12</v>
      </c>
      <c r="B93" s="61" t="s">
        <v>70</v>
      </c>
      <c r="C93" s="41">
        <v>4.427</v>
      </c>
      <c r="D93" s="41">
        <v>0</v>
      </c>
      <c r="E93" s="41">
        <v>0</v>
      </c>
      <c r="F93" s="41">
        <v>0</v>
      </c>
      <c r="G93" s="42">
        <f t="shared" si="8"/>
        <v>0</v>
      </c>
      <c r="H93" s="41">
        <v>0</v>
      </c>
      <c r="I93" s="41">
        <v>0</v>
      </c>
      <c r="J93" s="41">
        <v>0</v>
      </c>
      <c r="K93" s="42">
        <f t="shared" si="16"/>
        <v>0</v>
      </c>
      <c r="L93" s="43">
        <f t="shared" si="10"/>
        <v>4.427</v>
      </c>
      <c r="M93" s="21"/>
      <c r="N93" s="8"/>
    </row>
    <row r="94" spans="1:14" s="22" customFormat="1" ht="21" customHeight="1">
      <c r="A94" s="86" t="s">
        <v>72</v>
      </c>
      <c r="B94" s="87" t="s">
        <v>76</v>
      </c>
      <c r="C94" s="88">
        <f>SUM(C95:C104)</f>
        <v>6715.414052</v>
      </c>
      <c r="D94" s="88">
        <f aca="true" t="shared" si="17" ref="D94:L94">SUM(D95:D104)</f>
        <v>1734.2496</v>
      </c>
      <c r="E94" s="88">
        <f t="shared" si="17"/>
        <v>85.54599999999999</v>
      </c>
      <c r="F94" s="88">
        <f t="shared" si="17"/>
        <v>2929.131</v>
      </c>
      <c r="G94" s="88">
        <f t="shared" si="17"/>
        <v>-1194.8814</v>
      </c>
      <c r="H94" s="88">
        <f t="shared" si="17"/>
        <v>3528.3555159999996</v>
      </c>
      <c r="I94" s="88">
        <f t="shared" si="17"/>
        <v>60</v>
      </c>
      <c r="J94" s="88">
        <f t="shared" si="17"/>
        <v>2782.63112</v>
      </c>
      <c r="K94" s="88">
        <f t="shared" si="17"/>
        <v>745.7243960000001</v>
      </c>
      <c r="L94" s="88">
        <f t="shared" si="17"/>
        <v>7461.138448</v>
      </c>
      <c r="M94" s="26" t="s">
        <v>124</v>
      </c>
      <c r="N94" s="8"/>
    </row>
    <row r="95" spans="1:14" ht="21" customHeight="1">
      <c r="A95" s="60">
        <v>1</v>
      </c>
      <c r="B95" s="62" t="s">
        <v>31</v>
      </c>
      <c r="C95" s="41">
        <v>382.483155</v>
      </c>
      <c r="D95" s="77">
        <v>172.272</v>
      </c>
      <c r="E95" s="89"/>
      <c r="F95" s="77">
        <v>170</v>
      </c>
      <c r="G95" s="42">
        <f t="shared" si="8"/>
        <v>2.2719999999999914</v>
      </c>
      <c r="H95" s="77">
        <v>167.209251</v>
      </c>
      <c r="I95" s="89"/>
      <c r="J95" s="77">
        <f>10+95.719</f>
        <v>105.719</v>
      </c>
      <c r="K95" s="42">
        <f t="shared" si="16"/>
        <v>61.490251</v>
      </c>
      <c r="L95" s="43">
        <f t="shared" si="10"/>
        <v>443.973406</v>
      </c>
      <c r="M95" s="21"/>
      <c r="N95" s="8"/>
    </row>
    <row r="96" spans="1:14" ht="21" customHeight="1">
      <c r="A96" s="60" t="s">
        <v>15</v>
      </c>
      <c r="B96" s="62" t="s">
        <v>30</v>
      </c>
      <c r="C96" s="41">
        <v>567.040788</v>
      </c>
      <c r="D96" s="77">
        <v>114.574</v>
      </c>
      <c r="E96" s="89"/>
      <c r="F96" s="91">
        <v>66.375</v>
      </c>
      <c r="G96" s="42">
        <f t="shared" si="8"/>
        <v>48.199</v>
      </c>
      <c r="H96" s="77">
        <v>118.64071200000004</v>
      </c>
      <c r="I96" s="89"/>
      <c r="J96" s="77">
        <f>56.221</f>
        <v>56.221</v>
      </c>
      <c r="K96" s="42">
        <f t="shared" si="16"/>
        <v>62.41971200000004</v>
      </c>
      <c r="L96" s="43">
        <f t="shared" si="10"/>
        <v>629.4605</v>
      </c>
      <c r="M96" s="21"/>
      <c r="N96" s="8"/>
    </row>
    <row r="97" spans="1:14" s="22" customFormat="1" ht="21" customHeight="1">
      <c r="A97" s="60" t="s">
        <v>16</v>
      </c>
      <c r="B97" s="62" t="s">
        <v>73</v>
      </c>
      <c r="C97" s="42">
        <v>6</v>
      </c>
      <c r="D97" s="64">
        <v>1</v>
      </c>
      <c r="E97" s="90"/>
      <c r="F97" s="77">
        <v>4</v>
      </c>
      <c r="G97" s="42">
        <f aca="true" t="shared" si="18" ref="G97:G121">D97-F97</f>
        <v>-3</v>
      </c>
      <c r="H97" s="64">
        <v>25.8577</v>
      </c>
      <c r="I97" s="90"/>
      <c r="J97" s="64">
        <v>0</v>
      </c>
      <c r="K97" s="42">
        <f t="shared" si="16"/>
        <v>25.8577</v>
      </c>
      <c r="L97" s="43">
        <f aca="true" t="shared" si="19" ref="L97:L121">C97+H97-J97</f>
        <v>31.8577</v>
      </c>
      <c r="M97" s="21"/>
      <c r="N97" s="8"/>
    </row>
    <row r="98" spans="1:14" ht="21" customHeight="1">
      <c r="A98" s="60" t="s">
        <v>17</v>
      </c>
      <c r="B98" s="62" t="s">
        <v>29</v>
      </c>
      <c r="C98" s="42">
        <v>585.6452530000001</v>
      </c>
      <c r="D98" s="64">
        <v>90.752</v>
      </c>
      <c r="E98" s="90"/>
      <c r="F98" s="64">
        <v>98.9</v>
      </c>
      <c r="G98" s="42">
        <f t="shared" si="18"/>
        <v>-8.14800000000001</v>
      </c>
      <c r="H98" s="64">
        <v>115.17115000000001</v>
      </c>
      <c r="I98" s="90"/>
      <c r="J98" s="64">
        <f>86.572</f>
        <v>86.572</v>
      </c>
      <c r="K98" s="42">
        <f t="shared" si="16"/>
        <v>28.59915000000001</v>
      </c>
      <c r="L98" s="43">
        <f t="shared" si="19"/>
        <v>614.2444030000001</v>
      </c>
      <c r="M98" s="21"/>
      <c r="N98" s="8"/>
    </row>
    <row r="99" spans="1:14" ht="21" customHeight="1">
      <c r="A99" s="60">
        <v>5</v>
      </c>
      <c r="B99" s="68" t="s">
        <v>59</v>
      </c>
      <c r="C99" s="42">
        <v>162.55470000000005</v>
      </c>
      <c r="D99" s="64">
        <v>127.925</v>
      </c>
      <c r="E99" s="64">
        <v>25.546</v>
      </c>
      <c r="F99" s="64">
        <v>117.711</v>
      </c>
      <c r="G99" s="42">
        <f t="shared" si="18"/>
        <v>10.213999999999999</v>
      </c>
      <c r="H99" s="64">
        <v>132.150403</v>
      </c>
      <c r="I99" s="90"/>
      <c r="J99" s="64">
        <f>12.43912+101.009</f>
        <v>113.44812</v>
      </c>
      <c r="K99" s="42">
        <f t="shared" si="16"/>
        <v>18.70228300000001</v>
      </c>
      <c r="L99" s="43">
        <f t="shared" si="19"/>
        <v>181.25698300000005</v>
      </c>
      <c r="M99" s="21"/>
      <c r="N99" s="8"/>
    </row>
    <row r="100" spans="1:14" ht="21" customHeight="1">
      <c r="A100" s="60" t="s">
        <v>36</v>
      </c>
      <c r="B100" s="61" t="s">
        <v>32</v>
      </c>
      <c r="C100" s="41">
        <v>93.89415600000001</v>
      </c>
      <c r="D100" s="77">
        <v>57.922</v>
      </c>
      <c r="E100" s="77"/>
      <c r="F100" s="77">
        <v>48.65</v>
      </c>
      <c r="G100" s="42">
        <f t="shared" si="18"/>
        <v>9.271999999999998</v>
      </c>
      <c r="H100" s="77">
        <v>72.8656</v>
      </c>
      <c r="I100" s="89">
        <v>0</v>
      </c>
      <c r="J100" s="77">
        <v>63.551</v>
      </c>
      <c r="K100" s="42">
        <f t="shared" si="16"/>
        <v>9.314599999999999</v>
      </c>
      <c r="L100" s="43">
        <f t="shared" si="19"/>
        <v>103.20875600000001</v>
      </c>
      <c r="M100" s="21"/>
      <c r="N100" s="8"/>
    </row>
    <row r="101" spans="1:14" ht="21" customHeight="1">
      <c r="A101" s="60" t="s">
        <v>37</v>
      </c>
      <c r="B101" s="62" t="s">
        <v>74</v>
      </c>
      <c r="C101" s="41">
        <v>20.416999999999998</v>
      </c>
      <c r="D101" s="77">
        <v>1.9176</v>
      </c>
      <c r="E101" s="77"/>
      <c r="F101" s="77">
        <v>1.495</v>
      </c>
      <c r="G101" s="42">
        <f t="shared" si="18"/>
        <v>0.42259999999999986</v>
      </c>
      <c r="H101" s="77">
        <v>27.342</v>
      </c>
      <c r="I101" s="89">
        <v>0</v>
      </c>
      <c r="J101" s="77">
        <v>12.12</v>
      </c>
      <c r="K101" s="42">
        <f t="shared" si="16"/>
        <v>15.222</v>
      </c>
      <c r="L101" s="43">
        <f t="shared" si="19"/>
        <v>35.639</v>
      </c>
      <c r="M101" s="21"/>
      <c r="N101" s="8"/>
    </row>
    <row r="102" spans="1:14" ht="21" customHeight="1">
      <c r="A102" s="60" t="s">
        <v>38</v>
      </c>
      <c r="B102" s="92" t="s">
        <v>126</v>
      </c>
      <c r="C102" s="41"/>
      <c r="D102" s="64">
        <v>20</v>
      </c>
      <c r="E102" s="64"/>
      <c r="F102" s="64"/>
      <c r="G102" s="42">
        <f t="shared" si="18"/>
        <v>20</v>
      </c>
      <c r="H102" s="64">
        <v>25.414700000000003</v>
      </c>
      <c r="I102" s="89"/>
      <c r="J102" s="64">
        <v>0</v>
      </c>
      <c r="K102" s="42">
        <f t="shared" si="16"/>
        <v>25.414700000000003</v>
      </c>
      <c r="L102" s="43">
        <f t="shared" si="19"/>
        <v>25.414700000000003</v>
      </c>
      <c r="M102" s="21"/>
      <c r="N102" s="8"/>
    </row>
    <row r="103" spans="1:14" ht="21" customHeight="1">
      <c r="A103" s="60" t="s">
        <v>39</v>
      </c>
      <c r="B103" s="62" t="s">
        <v>115</v>
      </c>
      <c r="C103" s="41">
        <v>4113.9</v>
      </c>
      <c r="D103" s="64"/>
      <c r="E103" s="64"/>
      <c r="F103" s="64">
        <v>1400</v>
      </c>
      <c r="G103" s="42">
        <f t="shared" si="18"/>
        <v>-1400</v>
      </c>
      <c r="H103" s="64">
        <v>1765.9</v>
      </c>
      <c r="I103" s="89">
        <v>0</v>
      </c>
      <c r="J103" s="64">
        <v>1495</v>
      </c>
      <c r="K103" s="42">
        <f t="shared" si="16"/>
        <v>270.9000000000001</v>
      </c>
      <c r="L103" s="43">
        <f t="shared" si="19"/>
        <v>4384.799999999999</v>
      </c>
      <c r="M103" s="21"/>
      <c r="N103" s="8"/>
    </row>
    <row r="104" spans="1:14" ht="21" customHeight="1">
      <c r="A104" s="60" t="s">
        <v>40</v>
      </c>
      <c r="B104" s="68" t="s">
        <v>75</v>
      </c>
      <c r="C104" s="42">
        <v>783.479</v>
      </c>
      <c r="D104" s="64">
        <v>1147.887</v>
      </c>
      <c r="E104" s="64">
        <v>60</v>
      </c>
      <c r="F104" s="64">
        <v>1022</v>
      </c>
      <c r="G104" s="42">
        <f t="shared" si="18"/>
        <v>125.88699999999994</v>
      </c>
      <c r="H104" s="64">
        <v>1077.8039999999999</v>
      </c>
      <c r="I104" s="90">
        <v>60</v>
      </c>
      <c r="J104" s="64">
        <v>850</v>
      </c>
      <c r="K104" s="42">
        <f t="shared" si="16"/>
        <v>227.80399999999986</v>
      </c>
      <c r="L104" s="43">
        <f t="shared" si="19"/>
        <v>1011.2829999999999</v>
      </c>
      <c r="M104" s="21"/>
      <c r="N104" s="8"/>
    </row>
    <row r="105" spans="1:14" s="22" customFormat="1" ht="21" customHeight="1">
      <c r="A105" s="74" t="s">
        <v>77</v>
      </c>
      <c r="B105" s="75" t="s">
        <v>78</v>
      </c>
      <c r="C105" s="59">
        <f>SUM(C106:C115)</f>
        <v>2119.5558</v>
      </c>
      <c r="D105" s="59">
        <f aca="true" t="shared" si="20" ref="D105:L105">SUM(D106:D115)</f>
        <v>1601.753</v>
      </c>
      <c r="E105" s="59">
        <f t="shared" si="20"/>
        <v>0</v>
      </c>
      <c r="F105" s="59">
        <f t="shared" si="20"/>
        <v>1200.5650000000003</v>
      </c>
      <c r="G105" s="59">
        <f t="shared" si="20"/>
        <v>401.18800000000005</v>
      </c>
      <c r="H105" s="59">
        <f t="shared" si="20"/>
        <v>1222.94</v>
      </c>
      <c r="I105" s="59">
        <f t="shared" si="20"/>
        <v>490</v>
      </c>
      <c r="J105" s="59">
        <f t="shared" si="20"/>
        <v>1150.681</v>
      </c>
      <c r="K105" s="59">
        <f t="shared" si="20"/>
        <v>72.25900000000007</v>
      </c>
      <c r="L105" s="59">
        <f t="shared" si="20"/>
        <v>2191.8148000000006</v>
      </c>
      <c r="M105" s="35"/>
      <c r="N105" s="8"/>
    </row>
    <row r="106" spans="1:16" ht="21" customHeight="1">
      <c r="A106" s="93">
        <v>1</v>
      </c>
      <c r="B106" s="62" t="s">
        <v>43</v>
      </c>
      <c r="C106" s="41">
        <v>7.892000000000003</v>
      </c>
      <c r="D106" s="41">
        <v>0</v>
      </c>
      <c r="E106" s="41">
        <v>0</v>
      </c>
      <c r="F106" s="41"/>
      <c r="G106" s="42">
        <f t="shared" si="18"/>
        <v>0</v>
      </c>
      <c r="H106" s="41">
        <v>0</v>
      </c>
      <c r="I106" s="41">
        <v>0</v>
      </c>
      <c r="J106" s="41">
        <v>4.433</v>
      </c>
      <c r="K106" s="42">
        <f t="shared" si="16"/>
        <v>-4.433</v>
      </c>
      <c r="L106" s="43">
        <f t="shared" si="19"/>
        <v>3.459000000000003</v>
      </c>
      <c r="M106" s="21"/>
      <c r="N106" s="8"/>
      <c r="O106" s="7"/>
      <c r="P106" s="7"/>
    </row>
    <row r="107" spans="1:16" ht="21" customHeight="1">
      <c r="A107" s="93">
        <v>2</v>
      </c>
      <c r="B107" s="61" t="s">
        <v>31</v>
      </c>
      <c r="C107" s="41">
        <v>516.8004000000001</v>
      </c>
      <c r="D107" s="41">
        <v>687.625</v>
      </c>
      <c r="E107" s="41"/>
      <c r="F107" s="41">
        <v>451.1</v>
      </c>
      <c r="G107" s="42">
        <f t="shared" si="18"/>
        <v>236.52499999999998</v>
      </c>
      <c r="H107" s="41">
        <v>691.186</v>
      </c>
      <c r="I107" s="41">
        <v>490</v>
      </c>
      <c r="J107" s="41">
        <v>703.728</v>
      </c>
      <c r="K107" s="42">
        <f t="shared" si="16"/>
        <v>-12.541999999999916</v>
      </c>
      <c r="L107" s="43">
        <f t="shared" si="19"/>
        <v>504.2584000000003</v>
      </c>
      <c r="M107" s="21"/>
      <c r="N107" s="8"/>
      <c r="O107" s="7"/>
      <c r="P107" s="7"/>
    </row>
    <row r="108" spans="1:16" ht="21" customHeight="1">
      <c r="A108" s="93">
        <v>3</v>
      </c>
      <c r="B108" s="62" t="s">
        <v>79</v>
      </c>
      <c r="C108" s="41">
        <v>185.02740000000003</v>
      </c>
      <c r="D108" s="41">
        <v>144.989</v>
      </c>
      <c r="E108" s="41"/>
      <c r="F108" s="41">
        <v>73.836</v>
      </c>
      <c r="G108" s="42">
        <f t="shared" si="18"/>
        <v>71.153</v>
      </c>
      <c r="H108" s="41">
        <v>108.692</v>
      </c>
      <c r="I108" s="41">
        <v>0</v>
      </c>
      <c r="J108" s="41">
        <v>102.131</v>
      </c>
      <c r="K108" s="42">
        <f t="shared" si="16"/>
        <v>6.560999999999993</v>
      </c>
      <c r="L108" s="43">
        <f t="shared" si="19"/>
        <v>191.5884</v>
      </c>
      <c r="M108" s="21"/>
      <c r="N108" s="8"/>
      <c r="O108" s="7"/>
      <c r="P108" s="7"/>
    </row>
    <row r="109" spans="1:16" ht="21" customHeight="1">
      <c r="A109" s="93">
        <v>4</v>
      </c>
      <c r="B109" s="62" t="s">
        <v>80</v>
      </c>
      <c r="C109" s="41">
        <v>320.39</v>
      </c>
      <c r="D109" s="41">
        <v>158.193</v>
      </c>
      <c r="E109" s="41"/>
      <c r="F109" s="41">
        <v>196.8</v>
      </c>
      <c r="G109" s="42">
        <f t="shared" si="18"/>
        <v>-38.607</v>
      </c>
      <c r="H109" s="41">
        <v>93.97</v>
      </c>
      <c r="I109" s="41">
        <v>0</v>
      </c>
      <c r="J109" s="41">
        <v>94.501</v>
      </c>
      <c r="K109" s="42">
        <f t="shared" si="16"/>
        <v>-0.5310000000000059</v>
      </c>
      <c r="L109" s="43">
        <f t="shared" si="19"/>
        <v>319.85900000000004</v>
      </c>
      <c r="M109" s="21"/>
      <c r="N109" s="8"/>
      <c r="O109" s="7"/>
      <c r="P109" s="7"/>
    </row>
    <row r="110" spans="1:16" s="22" customFormat="1" ht="21" customHeight="1">
      <c r="A110" s="93">
        <v>5</v>
      </c>
      <c r="B110" s="68" t="s">
        <v>28</v>
      </c>
      <c r="C110" s="42">
        <v>57.164</v>
      </c>
      <c r="D110" s="42">
        <v>76.246</v>
      </c>
      <c r="E110" s="42"/>
      <c r="F110" s="42">
        <v>68.209</v>
      </c>
      <c r="G110" s="42">
        <f t="shared" si="18"/>
        <v>8.036999999999992</v>
      </c>
      <c r="H110" s="42">
        <v>104.275</v>
      </c>
      <c r="I110" s="42">
        <v>0</v>
      </c>
      <c r="J110" s="42">
        <v>115.388</v>
      </c>
      <c r="K110" s="42">
        <f t="shared" si="16"/>
        <v>-11.113</v>
      </c>
      <c r="L110" s="43">
        <f t="shared" si="19"/>
        <v>46.051000000000016</v>
      </c>
      <c r="M110" s="21"/>
      <c r="N110" s="8"/>
      <c r="O110" s="7"/>
      <c r="P110" s="7"/>
    </row>
    <row r="111" spans="1:16" ht="25.5" customHeight="1">
      <c r="A111" s="93">
        <v>6</v>
      </c>
      <c r="B111" s="61" t="s">
        <v>81</v>
      </c>
      <c r="C111" s="42">
        <v>51.67599999999999</v>
      </c>
      <c r="D111" s="42">
        <v>73.302</v>
      </c>
      <c r="E111" s="42"/>
      <c r="F111" s="42">
        <v>60.849</v>
      </c>
      <c r="G111" s="42">
        <f t="shared" si="18"/>
        <v>12.45300000000001</v>
      </c>
      <c r="H111" s="42">
        <v>66.215</v>
      </c>
      <c r="I111" s="42">
        <v>0</v>
      </c>
      <c r="J111" s="42">
        <v>38</v>
      </c>
      <c r="K111" s="42">
        <f t="shared" si="16"/>
        <v>28.215000000000003</v>
      </c>
      <c r="L111" s="43">
        <f t="shared" si="19"/>
        <v>79.89099999999999</v>
      </c>
      <c r="M111" s="21"/>
      <c r="N111" s="8"/>
      <c r="O111" s="7"/>
      <c r="P111" s="7"/>
    </row>
    <row r="112" spans="1:16" ht="25.5" customHeight="1">
      <c r="A112" s="93">
        <v>7</v>
      </c>
      <c r="B112" s="62" t="s">
        <v>27</v>
      </c>
      <c r="C112" s="42">
        <v>44.25</v>
      </c>
      <c r="D112" s="42">
        <v>296.908</v>
      </c>
      <c r="E112" s="42"/>
      <c r="F112" s="42">
        <v>297.271</v>
      </c>
      <c r="G112" s="42">
        <f t="shared" si="18"/>
        <v>-0.36299999999999955</v>
      </c>
      <c r="H112" s="42">
        <v>6.95</v>
      </c>
      <c r="I112" s="42">
        <v>0</v>
      </c>
      <c r="J112" s="42"/>
      <c r="K112" s="42">
        <f t="shared" si="16"/>
        <v>6.95</v>
      </c>
      <c r="L112" s="43">
        <f t="shared" si="19"/>
        <v>51.2</v>
      </c>
      <c r="M112" s="21"/>
      <c r="N112" s="8"/>
      <c r="O112" s="7"/>
      <c r="P112" s="7"/>
    </row>
    <row r="113" spans="1:16" ht="21" customHeight="1">
      <c r="A113" s="93">
        <v>8</v>
      </c>
      <c r="B113" s="62" t="s">
        <v>34</v>
      </c>
      <c r="C113" s="41">
        <v>140.54</v>
      </c>
      <c r="D113" s="41">
        <v>30</v>
      </c>
      <c r="E113" s="41"/>
      <c r="F113" s="41">
        <v>30</v>
      </c>
      <c r="G113" s="42">
        <f t="shared" si="18"/>
        <v>0</v>
      </c>
      <c r="H113" s="41">
        <v>59.91</v>
      </c>
      <c r="I113" s="41">
        <v>0</v>
      </c>
      <c r="J113" s="41">
        <v>70</v>
      </c>
      <c r="K113" s="42">
        <f t="shared" si="16"/>
        <v>-10.090000000000003</v>
      </c>
      <c r="L113" s="43">
        <f t="shared" si="19"/>
        <v>130.45</v>
      </c>
      <c r="M113" s="21"/>
      <c r="N113" s="8"/>
      <c r="O113" s="7"/>
      <c r="P113" s="7"/>
    </row>
    <row r="114" spans="1:16" ht="30.75">
      <c r="A114" s="93">
        <v>9</v>
      </c>
      <c r="B114" s="94" t="s">
        <v>108</v>
      </c>
      <c r="C114" s="41">
        <v>49.980999999999995</v>
      </c>
      <c r="D114" s="41">
        <v>34.49</v>
      </c>
      <c r="E114" s="41"/>
      <c r="F114" s="41">
        <v>22.5</v>
      </c>
      <c r="G114" s="42">
        <f t="shared" si="18"/>
        <v>11.990000000000002</v>
      </c>
      <c r="H114" s="41">
        <v>34.49</v>
      </c>
      <c r="I114" s="41">
        <v>0</v>
      </c>
      <c r="J114" s="41">
        <v>22.5</v>
      </c>
      <c r="K114" s="42">
        <f t="shared" si="16"/>
        <v>11.990000000000002</v>
      </c>
      <c r="L114" s="43">
        <f t="shared" si="19"/>
        <v>61.971000000000004</v>
      </c>
      <c r="M114" s="21"/>
      <c r="N114" s="8"/>
      <c r="O114" s="7"/>
      <c r="P114" s="7"/>
    </row>
    <row r="115" spans="1:16" ht="23.25" customHeight="1">
      <c r="A115" s="93">
        <v>10</v>
      </c>
      <c r="B115" s="62" t="s">
        <v>83</v>
      </c>
      <c r="C115" s="41">
        <v>745.835</v>
      </c>
      <c r="D115" s="41">
        <v>100</v>
      </c>
      <c r="E115" s="41"/>
      <c r="F115" s="41"/>
      <c r="G115" s="42">
        <f t="shared" si="18"/>
        <v>100</v>
      </c>
      <c r="H115" s="41">
        <v>57.252</v>
      </c>
      <c r="I115" s="41"/>
      <c r="J115" s="41">
        <v>0</v>
      </c>
      <c r="K115" s="42">
        <f t="shared" si="16"/>
        <v>57.252</v>
      </c>
      <c r="L115" s="43">
        <f t="shared" si="19"/>
        <v>803.087</v>
      </c>
      <c r="M115" s="21"/>
      <c r="N115" s="8"/>
      <c r="O115" s="7"/>
      <c r="P115" s="7"/>
    </row>
    <row r="116" spans="1:14" s="22" customFormat="1" ht="21" customHeight="1">
      <c r="A116" s="95" t="s">
        <v>82</v>
      </c>
      <c r="B116" s="87" t="s">
        <v>84</v>
      </c>
      <c r="C116" s="88">
        <f>SUM(C117:C121)</f>
        <v>1697.1442599999998</v>
      </c>
      <c r="D116" s="88">
        <f aca="true" t="shared" si="21" ref="D116:L116">SUM(D117:D121)</f>
        <v>1644</v>
      </c>
      <c r="E116" s="88">
        <f t="shared" si="21"/>
        <v>0</v>
      </c>
      <c r="F116" s="88">
        <f t="shared" si="21"/>
        <v>2258</v>
      </c>
      <c r="G116" s="88">
        <f t="shared" si="21"/>
        <v>-614</v>
      </c>
      <c r="H116" s="88">
        <f t="shared" si="21"/>
        <v>1644</v>
      </c>
      <c r="I116" s="88">
        <f t="shared" si="21"/>
        <v>0</v>
      </c>
      <c r="J116" s="88">
        <f t="shared" si="21"/>
        <v>2258</v>
      </c>
      <c r="K116" s="88">
        <f t="shared" si="21"/>
        <v>-614</v>
      </c>
      <c r="L116" s="88">
        <f t="shared" si="21"/>
        <v>1083.1442599999998</v>
      </c>
      <c r="M116" s="21"/>
      <c r="N116" s="8"/>
    </row>
    <row r="117" spans="1:14" ht="21" customHeight="1">
      <c r="A117" s="70">
        <v>1</v>
      </c>
      <c r="B117" s="68" t="s">
        <v>30</v>
      </c>
      <c r="C117" s="42">
        <v>289.9955</v>
      </c>
      <c r="D117" s="42">
        <v>84</v>
      </c>
      <c r="E117" s="42"/>
      <c r="F117" s="42">
        <v>53</v>
      </c>
      <c r="G117" s="42">
        <f t="shared" si="18"/>
        <v>31</v>
      </c>
      <c r="H117" s="42">
        <f>D117</f>
        <v>84</v>
      </c>
      <c r="I117" s="42"/>
      <c r="J117" s="42">
        <v>53</v>
      </c>
      <c r="K117" s="42">
        <f t="shared" si="16"/>
        <v>31</v>
      </c>
      <c r="L117" s="43">
        <f t="shared" si="19"/>
        <v>320.9955</v>
      </c>
      <c r="M117" s="21"/>
      <c r="N117" s="8"/>
    </row>
    <row r="118" spans="1:14" ht="21" customHeight="1">
      <c r="A118" s="84">
        <v>2</v>
      </c>
      <c r="B118" s="61" t="s">
        <v>85</v>
      </c>
      <c r="C118" s="42">
        <v>239.17325999999994</v>
      </c>
      <c r="D118" s="42">
        <v>89</v>
      </c>
      <c r="E118" s="42"/>
      <c r="F118" s="42">
        <v>47</v>
      </c>
      <c r="G118" s="42">
        <f t="shared" si="18"/>
        <v>42</v>
      </c>
      <c r="H118" s="42">
        <f>D118</f>
        <v>89</v>
      </c>
      <c r="I118" s="42"/>
      <c r="J118" s="42">
        <v>47</v>
      </c>
      <c r="K118" s="42">
        <f t="shared" si="16"/>
        <v>42</v>
      </c>
      <c r="L118" s="43">
        <f t="shared" si="19"/>
        <v>281.1732599999999</v>
      </c>
      <c r="M118" s="21"/>
      <c r="N118" s="8"/>
    </row>
    <row r="119" spans="1:14" ht="21" customHeight="1">
      <c r="A119" s="70">
        <v>3</v>
      </c>
      <c r="B119" s="62" t="s">
        <v>86</v>
      </c>
      <c r="C119" s="42">
        <v>348.19949999999994</v>
      </c>
      <c r="D119" s="42">
        <v>1348</v>
      </c>
      <c r="E119" s="42"/>
      <c r="F119" s="42">
        <v>1332</v>
      </c>
      <c r="G119" s="42">
        <f t="shared" si="18"/>
        <v>16</v>
      </c>
      <c r="H119" s="42">
        <f>D119</f>
        <v>1348</v>
      </c>
      <c r="I119" s="42"/>
      <c r="J119" s="42">
        <v>1332</v>
      </c>
      <c r="K119" s="42">
        <f t="shared" si="16"/>
        <v>16</v>
      </c>
      <c r="L119" s="43">
        <f t="shared" si="19"/>
        <v>364.19949999999994</v>
      </c>
      <c r="M119" s="21"/>
      <c r="N119" s="8"/>
    </row>
    <row r="120" spans="1:14" ht="21" customHeight="1">
      <c r="A120" s="84">
        <v>4</v>
      </c>
      <c r="B120" s="62" t="s">
        <v>87</v>
      </c>
      <c r="C120" s="42">
        <v>70.89799999999998</v>
      </c>
      <c r="D120" s="42">
        <v>0</v>
      </c>
      <c r="E120" s="42"/>
      <c r="F120" s="42">
        <v>6</v>
      </c>
      <c r="G120" s="42">
        <f t="shared" si="18"/>
        <v>-6</v>
      </c>
      <c r="H120" s="42">
        <f>D120</f>
        <v>0</v>
      </c>
      <c r="I120" s="42"/>
      <c r="J120" s="42">
        <v>6</v>
      </c>
      <c r="K120" s="42">
        <f t="shared" si="16"/>
        <v>-6</v>
      </c>
      <c r="L120" s="43">
        <f t="shared" si="19"/>
        <v>64.89799999999998</v>
      </c>
      <c r="M120" s="21"/>
      <c r="N120" s="8"/>
    </row>
    <row r="121" spans="1:14" ht="21" customHeight="1">
      <c r="A121" s="96">
        <v>5</v>
      </c>
      <c r="B121" s="97" t="s">
        <v>75</v>
      </c>
      <c r="C121" s="98">
        <v>748.8779999999999</v>
      </c>
      <c r="D121" s="98">
        <v>123</v>
      </c>
      <c r="E121" s="98"/>
      <c r="F121" s="98">
        <v>820</v>
      </c>
      <c r="G121" s="42">
        <f t="shared" si="18"/>
        <v>-697</v>
      </c>
      <c r="H121" s="98">
        <f>D121</f>
        <v>123</v>
      </c>
      <c r="I121" s="98"/>
      <c r="J121" s="98">
        <v>820</v>
      </c>
      <c r="K121" s="42">
        <f t="shared" si="16"/>
        <v>-697</v>
      </c>
      <c r="L121" s="43">
        <f t="shared" si="19"/>
        <v>51.87799999999993</v>
      </c>
      <c r="M121" s="21"/>
      <c r="N121" s="8"/>
    </row>
  </sheetData>
  <sheetProtection/>
  <mergeCells count="18">
    <mergeCell ref="C5:C7"/>
    <mergeCell ref="D5:G5"/>
    <mergeCell ref="H5:K5"/>
    <mergeCell ref="F6:F7"/>
    <mergeCell ref="G6:G7"/>
    <mergeCell ref="H6:I6"/>
    <mergeCell ref="J6:J7"/>
    <mergeCell ref="K6:K7"/>
    <mergeCell ref="M21:O21"/>
    <mergeCell ref="L5:L7"/>
    <mergeCell ref="D6:E6"/>
    <mergeCell ref="A2:L2"/>
    <mergeCell ref="A3:L3"/>
    <mergeCell ref="A1:B1"/>
    <mergeCell ref="J1:L1"/>
    <mergeCell ref="K4:L4"/>
    <mergeCell ref="A5:A7"/>
    <mergeCell ref="B5:B7"/>
  </mergeCells>
  <printOptions horizontalCentered="1"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85" r:id="rId3"/>
  <headerFooter>
    <oddFooter>&amp;C&amp;P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" sqref="E15"/>
    </sheetView>
  </sheetViews>
  <sheetFormatPr defaultColWidth="9.140625" defaultRowHeight="15"/>
  <cols>
    <col min="1" max="1" width="4.421875" style="15" customWidth="1"/>
    <col min="2" max="2" width="39.00390625" style="15" customWidth="1"/>
    <col min="3" max="13" width="11.7109375" style="15" customWidth="1"/>
    <col min="14" max="14" width="13.140625" style="15" hidden="1" customWidth="1"/>
    <col min="15" max="15" width="0" style="15" hidden="1" customWidth="1"/>
    <col min="16" max="16" width="10.7109375" style="15" hidden="1" customWidth="1"/>
    <col min="17" max="16384" width="9.140625" style="15" customWidth="1"/>
  </cols>
  <sheetData>
    <row r="1" spans="1:13" ht="21" customHeight="1">
      <c r="A1" s="127" t="s">
        <v>105</v>
      </c>
      <c r="B1" s="127"/>
      <c r="C1" s="127"/>
      <c r="D1" s="127"/>
      <c r="E1" s="13"/>
      <c r="F1" s="13"/>
      <c r="G1" s="13"/>
      <c r="H1" s="13"/>
      <c r="I1" s="13"/>
      <c r="J1" s="13"/>
      <c r="K1" s="128" t="s">
        <v>25</v>
      </c>
      <c r="L1" s="128"/>
      <c r="M1" s="128"/>
    </row>
    <row r="2" spans="1:13" ht="37.5" customHeight="1">
      <c r="A2" s="132" t="s">
        <v>141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2.5" customHeight="1">
      <c r="A3" s="126" t="str">
        <f>'TH 2022'!A3:L3</f>
        <v>(Kèm theo Báo cáo số            /BC-UBND ngày         tháng 11 năm 2023 của UBND tỉnh Bắc Kạn)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3" ht="21" customHeight="1">
      <c r="B4" s="13"/>
      <c r="C4" s="13"/>
      <c r="D4" s="13"/>
      <c r="E4" s="13"/>
      <c r="F4" s="13"/>
      <c r="G4" s="13"/>
      <c r="H4" s="13"/>
      <c r="I4" s="110"/>
      <c r="J4" s="109"/>
      <c r="K4" s="109"/>
      <c r="L4" s="131" t="s">
        <v>0</v>
      </c>
      <c r="M4" s="131"/>
    </row>
    <row r="5" spans="1:13" ht="22.5" customHeight="1">
      <c r="A5" s="133" t="s">
        <v>1</v>
      </c>
      <c r="B5" s="134" t="s">
        <v>2</v>
      </c>
      <c r="C5" s="130" t="s">
        <v>119</v>
      </c>
      <c r="D5" s="130" t="s">
        <v>121</v>
      </c>
      <c r="E5" s="130"/>
      <c r="F5" s="130"/>
      <c r="G5" s="130"/>
      <c r="H5" s="130" t="s">
        <v>140</v>
      </c>
      <c r="I5" s="130" t="s">
        <v>122</v>
      </c>
      <c r="J5" s="130"/>
      <c r="K5" s="130"/>
      <c r="L5" s="130"/>
      <c r="M5" s="130" t="s">
        <v>123</v>
      </c>
    </row>
    <row r="6" spans="1:13" ht="36.75" customHeight="1">
      <c r="A6" s="133"/>
      <c r="B6" s="134"/>
      <c r="C6" s="130"/>
      <c r="D6" s="130" t="s">
        <v>3</v>
      </c>
      <c r="E6" s="130"/>
      <c r="F6" s="130" t="s">
        <v>4</v>
      </c>
      <c r="G6" s="130" t="s">
        <v>5</v>
      </c>
      <c r="H6" s="130"/>
      <c r="I6" s="130" t="s">
        <v>3</v>
      </c>
      <c r="J6" s="130"/>
      <c r="K6" s="130" t="s">
        <v>4</v>
      </c>
      <c r="L6" s="130" t="s">
        <v>6</v>
      </c>
      <c r="M6" s="130"/>
    </row>
    <row r="7" spans="1:13" ht="71.25" customHeight="1">
      <c r="A7" s="133"/>
      <c r="B7" s="134"/>
      <c r="C7" s="130"/>
      <c r="D7" s="114" t="s">
        <v>7</v>
      </c>
      <c r="E7" s="114" t="s">
        <v>139</v>
      </c>
      <c r="F7" s="130"/>
      <c r="G7" s="130"/>
      <c r="H7" s="130"/>
      <c r="I7" s="114" t="s">
        <v>7</v>
      </c>
      <c r="J7" s="114" t="s">
        <v>139</v>
      </c>
      <c r="K7" s="130"/>
      <c r="L7" s="130"/>
      <c r="M7" s="130"/>
    </row>
    <row r="8" spans="1:13" s="20" customFormat="1" ht="21" customHeight="1">
      <c r="A8" s="115" t="s">
        <v>8</v>
      </c>
      <c r="B8" s="116" t="s">
        <v>9</v>
      </c>
      <c r="C8" s="117">
        <v>1</v>
      </c>
      <c r="D8" s="117">
        <v>2</v>
      </c>
      <c r="E8" s="117">
        <v>3</v>
      </c>
      <c r="F8" s="117">
        <v>4</v>
      </c>
      <c r="G8" s="117" t="s">
        <v>10</v>
      </c>
      <c r="H8" s="117" t="s">
        <v>11</v>
      </c>
      <c r="I8" s="117">
        <v>7</v>
      </c>
      <c r="J8" s="117">
        <v>8</v>
      </c>
      <c r="K8" s="117">
        <v>9</v>
      </c>
      <c r="L8" s="117" t="s">
        <v>12</v>
      </c>
      <c r="M8" s="117" t="s">
        <v>13</v>
      </c>
    </row>
    <row r="9" spans="1:16" s="22" customFormat="1" ht="28.5" customHeight="1">
      <c r="A9" s="118"/>
      <c r="B9" s="119" t="s">
        <v>101</v>
      </c>
      <c r="C9" s="120">
        <f>C10+C29</f>
        <v>162335.155179</v>
      </c>
      <c r="D9" s="120">
        <f aca="true" t="shared" si="0" ref="D9:M9">D10+D29</f>
        <v>61700.038881</v>
      </c>
      <c r="E9" s="120">
        <f t="shared" si="0"/>
        <v>461</v>
      </c>
      <c r="F9" s="120">
        <f t="shared" si="0"/>
        <v>78290.812569</v>
      </c>
      <c r="G9" s="120">
        <f t="shared" si="0"/>
        <v>-16590.773688</v>
      </c>
      <c r="H9" s="120">
        <f t="shared" si="0"/>
        <v>145744.381491</v>
      </c>
      <c r="I9" s="120">
        <f t="shared" si="0"/>
        <v>89057.82357800001</v>
      </c>
      <c r="J9" s="120">
        <f t="shared" si="0"/>
        <v>26742</v>
      </c>
      <c r="K9" s="120">
        <f t="shared" si="0"/>
        <v>121222.518</v>
      </c>
      <c r="L9" s="120">
        <f t="shared" si="0"/>
        <v>-32164.694422</v>
      </c>
      <c r="M9" s="120">
        <f t="shared" si="0"/>
        <v>113579.687069</v>
      </c>
      <c r="N9" s="23"/>
      <c r="O9" s="23"/>
      <c r="P9" s="24">
        <f>H9+I9-K9</f>
        <v>113579.68706900002</v>
      </c>
    </row>
    <row r="10" spans="1:15" s="22" customFormat="1" ht="22.5" customHeight="1">
      <c r="A10" s="56" t="s">
        <v>8</v>
      </c>
      <c r="B10" s="57" t="s">
        <v>142</v>
      </c>
      <c r="C10" s="99">
        <f>SUM(C11:C24)</f>
        <v>139592.94</v>
      </c>
      <c r="D10" s="99">
        <f>SUM(D11:D24)</f>
        <v>50034.633357</v>
      </c>
      <c r="E10" s="99">
        <f aca="true" t="shared" si="1" ref="E10:M10">SUM(E11:E24)</f>
        <v>1</v>
      </c>
      <c r="F10" s="99">
        <f t="shared" si="1"/>
        <v>65741</v>
      </c>
      <c r="G10" s="99">
        <f t="shared" si="1"/>
        <v>-15706.366643000001</v>
      </c>
      <c r="H10" s="99">
        <f t="shared" si="1"/>
        <v>123886.573357</v>
      </c>
      <c r="I10" s="99">
        <f t="shared" si="1"/>
        <v>73333</v>
      </c>
      <c r="J10" s="99">
        <f t="shared" si="1"/>
        <v>26202</v>
      </c>
      <c r="K10" s="99">
        <f t="shared" si="1"/>
        <v>112066</v>
      </c>
      <c r="L10" s="99">
        <f t="shared" si="1"/>
        <v>-38733</v>
      </c>
      <c r="M10" s="99">
        <f t="shared" si="1"/>
        <v>85153.573357</v>
      </c>
      <c r="N10" s="11"/>
      <c r="O10" s="24"/>
    </row>
    <row r="11" spans="1:15" ht="22.5" customHeight="1">
      <c r="A11" s="60" t="s">
        <v>14</v>
      </c>
      <c r="B11" s="61" t="s">
        <v>27</v>
      </c>
      <c r="C11" s="44">
        <f>'TH 2022'!L11</f>
        <v>12396</v>
      </c>
      <c r="D11" s="44">
        <v>1649</v>
      </c>
      <c r="E11" s="44"/>
      <c r="F11" s="44">
        <v>5262</v>
      </c>
      <c r="G11" s="44">
        <f>D11-F11</f>
        <v>-3613</v>
      </c>
      <c r="H11" s="44">
        <f>C11+D11-F11</f>
        <v>8783</v>
      </c>
      <c r="I11" s="44">
        <v>1649</v>
      </c>
      <c r="J11" s="44"/>
      <c r="K11" s="44">
        <v>6000</v>
      </c>
      <c r="L11" s="44">
        <f>I11-K11</f>
        <v>-4351</v>
      </c>
      <c r="M11" s="44">
        <f>H11+I11-K11</f>
        <v>4432</v>
      </c>
      <c r="N11" s="11" t="s">
        <v>124</v>
      </c>
      <c r="O11" s="24" t="s">
        <v>130</v>
      </c>
    </row>
    <row r="12" spans="1:15" ht="22.5" customHeight="1">
      <c r="A12" s="60" t="s">
        <v>15</v>
      </c>
      <c r="B12" s="62" t="s">
        <v>90</v>
      </c>
      <c r="C12" s="44">
        <f>'TH 2022'!L12</f>
        <v>276</v>
      </c>
      <c r="D12" s="100">
        <v>100</v>
      </c>
      <c r="E12" s="100">
        <v>0</v>
      </c>
      <c r="F12" s="100">
        <v>300</v>
      </c>
      <c r="G12" s="44">
        <f aca="true" t="shared" si="2" ref="G12:G28">D12-F12</f>
        <v>-200</v>
      </c>
      <c r="H12" s="44">
        <f aca="true" t="shared" si="3" ref="H12:H75">C12+D12-F12</f>
        <v>76</v>
      </c>
      <c r="I12" s="100">
        <v>200</v>
      </c>
      <c r="J12" s="100">
        <v>0</v>
      </c>
      <c r="K12" s="100">
        <v>250</v>
      </c>
      <c r="L12" s="44">
        <f aca="true" t="shared" si="4" ref="L12:L75">I12-K12</f>
        <v>-50</v>
      </c>
      <c r="M12" s="44">
        <f aca="true" t="shared" si="5" ref="M12:M75">H12+I12-K12</f>
        <v>26</v>
      </c>
      <c r="N12" s="11" t="s">
        <v>124</v>
      </c>
      <c r="O12" s="24" t="s">
        <v>131</v>
      </c>
    </row>
    <row r="13" spans="1:15" ht="22.5" customHeight="1">
      <c r="A13" s="60" t="s">
        <v>16</v>
      </c>
      <c r="B13" s="62" t="s">
        <v>30</v>
      </c>
      <c r="C13" s="44">
        <f>'TH 2022'!L13</f>
        <v>260</v>
      </c>
      <c r="D13" s="100">
        <v>85</v>
      </c>
      <c r="E13" s="100">
        <v>0</v>
      </c>
      <c r="F13" s="100">
        <v>100</v>
      </c>
      <c r="G13" s="44">
        <f t="shared" si="2"/>
        <v>-15</v>
      </c>
      <c r="H13" s="44">
        <f t="shared" si="3"/>
        <v>245</v>
      </c>
      <c r="I13" s="100">
        <v>85</v>
      </c>
      <c r="J13" s="100">
        <v>0</v>
      </c>
      <c r="K13" s="100">
        <v>100</v>
      </c>
      <c r="L13" s="44">
        <f t="shared" si="4"/>
        <v>-15</v>
      </c>
      <c r="M13" s="44">
        <f t="shared" si="5"/>
        <v>230</v>
      </c>
      <c r="N13" s="11" t="s">
        <v>124</v>
      </c>
      <c r="O13" s="24" t="s">
        <v>131</v>
      </c>
    </row>
    <row r="14" spans="1:15" ht="36.75" customHeight="1">
      <c r="A14" s="60" t="s">
        <v>17</v>
      </c>
      <c r="B14" s="62" t="s">
        <v>136</v>
      </c>
      <c r="C14" s="44">
        <f>'TH 2022'!L14</f>
        <v>6670</v>
      </c>
      <c r="D14" s="100">
        <v>3200</v>
      </c>
      <c r="E14" s="100">
        <v>0</v>
      </c>
      <c r="F14" s="100">
        <v>6583</v>
      </c>
      <c r="G14" s="44">
        <f t="shared" si="2"/>
        <v>-3383</v>
      </c>
      <c r="H14" s="44">
        <f t="shared" si="3"/>
        <v>3287</v>
      </c>
      <c r="I14" s="100">
        <v>5000</v>
      </c>
      <c r="J14" s="100">
        <v>0</v>
      </c>
      <c r="K14" s="100">
        <v>7000</v>
      </c>
      <c r="L14" s="44">
        <f t="shared" si="4"/>
        <v>-2000</v>
      </c>
      <c r="M14" s="44">
        <f t="shared" si="5"/>
        <v>1287</v>
      </c>
      <c r="N14" s="11" t="s">
        <v>124</v>
      </c>
      <c r="O14" s="24" t="s">
        <v>131</v>
      </c>
    </row>
    <row r="15" spans="1:15" s="31" customFormat="1" ht="22.5" customHeight="1">
      <c r="A15" s="60" t="s">
        <v>35</v>
      </c>
      <c r="B15" s="63" t="s">
        <v>89</v>
      </c>
      <c r="C15" s="101">
        <f>'TH 2022'!L15</f>
        <v>559</v>
      </c>
      <c r="D15" s="69">
        <v>1829</v>
      </c>
      <c r="E15" s="69">
        <v>0</v>
      </c>
      <c r="F15" s="69">
        <v>1732</v>
      </c>
      <c r="G15" s="44">
        <f t="shared" si="2"/>
        <v>97</v>
      </c>
      <c r="H15" s="44">
        <f t="shared" si="3"/>
        <v>656</v>
      </c>
      <c r="I15" s="69">
        <v>17262</v>
      </c>
      <c r="J15" s="69">
        <v>16000</v>
      </c>
      <c r="K15" s="69">
        <v>15000</v>
      </c>
      <c r="L15" s="44">
        <f t="shared" si="4"/>
        <v>2262</v>
      </c>
      <c r="M15" s="44">
        <f t="shared" si="5"/>
        <v>2918</v>
      </c>
      <c r="N15" s="29" t="s">
        <v>124</v>
      </c>
      <c r="O15" s="30"/>
    </row>
    <row r="16" spans="1:15" ht="22.5" customHeight="1">
      <c r="A16" s="60" t="s">
        <v>36</v>
      </c>
      <c r="B16" s="62" t="s">
        <v>91</v>
      </c>
      <c r="C16" s="44">
        <f>'TH 2022'!L16</f>
        <v>424</v>
      </c>
      <c r="D16" s="102">
        <v>120</v>
      </c>
      <c r="E16" s="102"/>
      <c r="F16" s="102">
        <v>15</v>
      </c>
      <c r="G16" s="44">
        <f t="shared" si="2"/>
        <v>105</v>
      </c>
      <c r="H16" s="44">
        <f t="shared" si="3"/>
        <v>529</v>
      </c>
      <c r="I16" s="102">
        <v>20</v>
      </c>
      <c r="J16" s="102"/>
      <c r="K16" s="102">
        <v>30</v>
      </c>
      <c r="L16" s="44">
        <f t="shared" si="4"/>
        <v>-10</v>
      </c>
      <c r="M16" s="44">
        <f t="shared" si="5"/>
        <v>519</v>
      </c>
      <c r="N16" s="11" t="s">
        <v>124</v>
      </c>
      <c r="O16" s="24" t="s">
        <v>132</v>
      </c>
    </row>
    <row r="17" spans="1:15" ht="22.5" customHeight="1">
      <c r="A17" s="60" t="s">
        <v>37</v>
      </c>
      <c r="B17" s="62" t="s">
        <v>92</v>
      </c>
      <c r="C17" s="44">
        <f>'TH 2022'!L17</f>
        <v>595.16</v>
      </c>
      <c r="D17" s="102">
        <v>34.633357</v>
      </c>
      <c r="E17" s="102"/>
      <c r="F17" s="102">
        <v>0</v>
      </c>
      <c r="G17" s="44">
        <f t="shared" si="2"/>
        <v>34.633357</v>
      </c>
      <c r="H17" s="44">
        <f t="shared" si="3"/>
        <v>629.793357</v>
      </c>
      <c r="I17" s="102">
        <v>15</v>
      </c>
      <c r="J17" s="102"/>
      <c r="K17" s="102">
        <v>0</v>
      </c>
      <c r="L17" s="44">
        <f t="shared" si="4"/>
        <v>15</v>
      </c>
      <c r="M17" s="44">
        <f t="shared" si="5"/>
        <v>644.793357</v>
      </c>
      <c r="N17" s="11" t="s">
        <v>124</v>
      </c>
      <c r="O17" s="24" t="s">
        <v>132</v>
      </c>
    </row>
    <row r="18" spans="1:15" ht="22.5" customHeight="1">
      <c r="A18" s="60" t="s">
        <v>38</v>
      </c>
      <c r="B18" s="61" t="s">
        <v>86</v>
      </c>
      <c r="C18" s="44">
        <f>'TH 2022'!L18</f>
        <v>2619</v>
      </c>
      <c r="D18" s="100">
        <f>E18+F18</f>
        <v>13000</v>
      </c>
      <c r="E18" s="100">
        <v>0</v>
      </c>
      <c r="F18" s="100">
        <v>13000</v>
      </c>
      <c r="G18" s="44">
        <f t="shared" si="2"/>
        <v>0</v>
      </c>
      <c r="H18" s="44">
        <f t="shared" si="3"/>
        <v>2619</v>
      </c>
      <c r="I18" s="100">
        <v>10000</v>
      </c>
      <c r="J18" s="100">
        <v>0</v>
      </c>
      <c r="K18" s="100">
        <v>12000</v>
      </c>
      <c r="L18" s="44">
        <f t="shared" si="4"/>
        <v>-2000</v>
      </c>
      <c r="M18" s="44">
        <f t="shared" si="5"/>
        <v>619</v>
      </c>
      <c r="N18" s="11" t="s">
        <v>124</v>
      </c>
      <c r="O18" s="24" t="s">
        <v>133</v>
      </c>
    </row>
    <row r="19" spans="1:15" ht="22.5" customHeight="1">
      <c r="A19" s="60" t="s">
        <v>39</v>
      </c>
      <c r="B19" s="62" t="s">
        <v>87</v>
      </c>
      <c r="C19" s="44">
        <f>'TH 2022'!L19</f>
        <v>3948</v>
      </c>
      <c r="D19" s="100">
        <f>E19+F19</f>
        <v>4000</v>
      </c>
      <c r="E19" s="100">
        <v>0</v>
      </c>
      <c r="F19" s="100">
        <v>4000</v>
      </c>
      <c r="G19" s="44">
        <f t="shared" si="2"/>
        <v>0</v>
      </c>
      <c r="H19" s="44">
        <f t="shared" si="3"/>
        <v>3948</v>
      </c>
      <c r="I19" s="100">
        <v>2500</v>
      </c>
      <c r="J19" s="100">
        <v>0</v>
      </c>
      <c r="K19" s="100">
        <v>1000</v>
      </c>
      <c r="L19" s="44">
        <f t="shared" si="4"/>
        <v>1500</v>
      </c>
      <c r="M19" s="44">
        <f t="shared" si="5"/>
        <v>5448</v>
      </c>
      <c r="N19" s="11" t="s">
        <v>124</v>
      </c>
      <c r="O19" s="24" t="s">
        <v>133</v>
      </c>
    </row>
    <row r="20" spans="1:15" ht="22.5" customHeight="1">
      <c r="A20" s="60" t="s">
        <v>40</v>
      </c>
      <c r="B20" s="62" t="s">
        <v>60</v>
      </c>
      <c r="C20" s="44">
        <f>'TH 2022'!L20</f>
        <v>789</v>
      </c>
      <c r="D20" s="44">
        <v>37</v>
      </c>
      <c r="E20" s="44">
        <v>0</v>
      </c>
      <c r="F20" s="44">
        <v>673</v>
      </c>
      <c r="G20" s="44">
        <f t="shared" si="2"/>
        <v>-636</v>
      </c>
      <c r="H20" s="44">
        <f t="shared" si="3"/>
        <v>153</v>
      </c>
      <c r="I20" s="44">
        <v>100</v>
      </c>
      <c r="J20" s="44"/>
      <c r="K20" s="44">
        <v>200</v>
      </c>
      <c r="L20" s="44">
        <f t="shared" si="4"/>
        <v>-100</v>
      </c>
      <c r="M20" s="44">
        <f t="shared" si="5"/>
        <v>53</v>
      </c>
      <c r="N20" s="11" t="s">
        <v>124</v>
      </c>
      <c r="O20" s="24" t="s">
        <v>134</v>
      </c>
    </row>
    <row r="21" spans="1:15" ht="22.5" customHeight="1">
      <c r="A21" s="60" t="s">
        <v>41</v>
      </c>
      <c r="B21" s="63" t="s">
        <v>93</v>
      </c>
      <c r="C21" s="101">
        <f>'TH 2022'!L21</f>
        <v>25</v>
      </c>
      <c r="D21" s="101">
        <v>1999</v>
      </c>
      <c r="E21" s="101">
        <v>0</v>
      </c>
      <c r="F21" s="101">
        <v>2000</v>
      </c>
      <c r="G21" s="44">
        <f t="shared" si="2"/>
        <v>-1</v>
      </c>
      <c r="H21" s="44">
        <f t="shared" si="3"/>
        <v>24</v>
      </c>
      <c r="I21" s="101">
        <v>10000</v>
      </c>
      <c r="J21" s="101">
        <v>10000</v>
      </c>
      <c r="K21" s="101">
        <v>10024</v>
      </c>
      <c r="L21" s="44">
        <f t="shared" si="4"/>
        <v>-24</v>
      </c>
      <c r="M21" s="44">
        <f t="shared" si="5"/>
        <v>0</v>
      </c>
      <c r="N21" s="52" t="s">
        <v>124</v>
      </c>
      <c r="O21" s="24" t="s">
        <v>135</v>
      </c>
    </row>
    <row r="22" spans="1:15" ht="22.5" customHeight="1">
      <c r="A22" s="60" t="s">
        <v>51</v>
      </c>
      <c r="B22" s="62" t="s">
        <v>94</v>
      </c>
      <c r="C22" s="44">
        <f>'TH 2022'!L22</f>
        <v>684</v>
      </c>
      <c r="D22" s="41"/>
      <c r="E22" s="41"/>
      <c r="F22" s="41"/>
      <c r="G22" s="44">
        <f t="shared" si="2"/>
        <v>0</v>
      </c>
      <c r="H22" s="44">
        <f t="shared" si="3"/>
        <v>684</v>
      </c>
      <c r="I22" s="41"/>
      <c r="J22" s="41"/>
      <c r="K22" s="41">
        <v>0</v>
      </c>
      <c r="L22" s="44">
        <f t="shared" si="4"/>
        <v>0</v>
      </c>
      <c r="M22" s="44">
        <f t="shared" si="5"/>
        <v>684</v>
      </c>
      <c r="N22" s="11" t="s">
        <v>124</v>
      </c>
      <c r="O22" s="24"/>
    </row>
    <row r="23" spans="1:15" ht="22.5" customHeight="1">
      <c r="A23" s="60" t="s">
        <v>71</v>
      </c>
      <c r="B23" s="62" t="s">
        <v>95</v>
      </c>
      <c r="C23" s="44">
        <f>'TH 2022'!L23</f>
        <v>188.77999999999997</v>
      </c>
      <c r="D23" s="41">
        <v>1</v>
      </c>
      <c r="E23" s="41">
        <v>1</v>
      </c>
      <c r="F23" s="41">
        <f>41+30</f>
        <v>71</v>
      </c>
      <c r="G23" s="44">
        <f t="shared" si="2"/>
        <v>-70</v>
      </c>
      <c r="H23" s="44">
        <f t="shared" si="3"/>
        <v>118.77999999999997</v>
      </c>
      <c r="I23" s="41">
        <v>202</v>
      </c>
      <c r="J23" s="41">
        <v>202</v>
      </c>
      <c r="K23" s="41">
        <v>100</v>
      </c>
      <c r="L23" s="44">
        <f t="shared" si="4"/>
        <v>102</v>
      </c>
      <c r="M23" s="44">
        <f t="shared" si="5"/>
        <v>220.77999999999997</v>
      </c>
      <c r="N23" s="11" t="s">
        <v>124</v>
      </c>
      <c r="O23" s="24"/>
    </row>
    <row r="24" spans="1:15" ht="22.5" customHeight="1">
      <c r="A24" s="60" t="s">
        <v>52</v>
      </c>
      <c r="B24" s="62" t="s">
        <v>96</v>
      </c>
      <c r="C24" s="41">
        <f>SUM(C25:C28)</f>
        <v>110159</v>
      </c>
      <c r="D24" s="41">
        <f>SUM(D25:D28)</f>
        <v>23980</v>
      </c>
      <c r="E24" s="41">
        <f>SUM(E25:E28)</f>
        <v>0</v>
      </c>
      <c r="F24" s="41">
        <f>SUM(F25:F28)</f>
        <v>32005</v>
      </c>
      <c r="G24" s="41">
        <f>SUM(G25:G28)</f>
        <v>-8025</v>
      </c>
      <c r="H24" s="44">
        <f t="shared" si="3"/>
        <v>102134</v>
      </c>
      <c r="I24" s="41">
        <f>SUM(I25:I28)</f>
        <v>26300</v>
      </c>
      <c r="J24" s="41">
        <f>SUM(J25:J28)</f>
        <v>0</v>
      </c>
      <c r="K24" s="41">
        <f>SUM(K25:K28)</f>
        <v>60362</v>
      </c>
      <c r="L24" s="44">
        <f t="shared" si="4"/>
        <v>-34062</v>
      </c>
      <c r="M24" s="44">
        <f t="shared" si="5"/>
        <v>68072</v>
      </c>
      <c r="N24" s="11" t="s">
        <v>124</v>
      </c>
      <c r="O24" s="24"/>
    </row>
    <row r="25" spans="1:15" ht="22.5" customHeight="1">
      <c r="A25" s="60" t="s">
        <v>102</v>
      </c>
      <c r="B25" s="62" t="s">
        <v>97</v>
      </c>
      <c r="C25" s="44">
        <f>'TH 2022'!L25</f>
        <v>44639</v>
      </c>
      <c r="D25" s="47">
        <f>E25</f>
        <v>0</v>
      </c>
      <c r="E25" s="48"/>
      <c r="F25" s="47">
        <v>8477</v>
      </c>
      <c r="G25" s="44">
        <f t="shared" si="2"/>
        <v>-8477</v>
      </c>
      <c r="H25" s="44">
        <f t="shared" si="3"/>
        <v>36162</v>
      </c>
      <c r="I25" s="48">
        <f>J25</f>
        <v>0</v>
      </c>
      <c r="J25" s="48">
        <v>0</v>
      </c>
      <c r="K25" s="48">
        <v>36162</v>
      </c>
      <c r="L25" s="44">
        <f t="shared" si="4"/>
        <v>-36162</v>
      </c>
      <c r="M25" s="44">
        <f t="shared" si="5"/>
        <v>0</v>
      </c>
      <c r="N25" s="11"/>
      <c r="O25" s="24"/>
    </row>
    <row r="26" spans="1:15" ht="22.5" customHeight="1">
      <c r="A26" s="60" t="s">
        <v>102</v>
      </c>
      <c r="B26" s="61" t="s">
        <v>98</v>
      </c>
      <c r="C26" s="44">
        <f>'TH 2022'!L26</f>
        <v>20048</v>
      </c>
      <c r="D26" s="49">
        <v>2500</v>
      </c>
      <c r="E26" s="49"/>
      <c r="F26" s="50">
        <v>1500</v>
      </c>
      <c r="G26" s="44">
        <f t="shared" si="2"/>
        <v>1000</v>
      </c>
      <c r="H26" s="44">
        <f t="shared" si="3"/>
        <v>21048</v>
      </c>
      <c r="I26" s="49">
        <v>3500</v>
      </c>
      <c r="J26" s="49"/>
      <c r="K26" s="49">
        <v>2100</v>
      </c>
      <c r="L26" s="44">
        <f t="shared" si="4"/>
        <v>1400</v>
      </c>
      <c r="M26" s="44">
        <f t="shared" si="5"/>
        <v>22448</v>
      </c>
      <c r="N26" s="11"/>
      <c r="O26" s="24"/>
    </row>
    <row r="27" spans="1:15" ht="22.5" customHeight="1">
      <c r="A27" s="60" t="s">
        <v>102</v>
      </c>
      <c r="B27" s="62" t="s">
        <v>99</v>
      </c>
      <c r="C27" s="44">
        <f>'TH 2022'!L27</f>
        <v>45472</v>
      </c>
      <c r="D27" s="41">
        <v>19998</v>
      </c>
      <c r="E27" s="41">
        <v>0</v>
      </c>
      <c r="F27" s="41">
        <v>20546</v>
      </c>
      <c r="G27" s="44">
        <f t="shared" si="2"/>
        <v>-548</v>
      </c>
      <c r="H27" s="44">
        <f t="shared" si="3"/>
        <v>44924</v>
      </c>
      <c r="I27" s="41">
        <v>21200</v>
      </c>
      <c r="J27" s="41">
        <v>0</v>
      </c>
      <c r="K27" s="41">
        <v>20500</v>
      </c>
      <c r="L27" s="44">
        <f t="shared" si="4"/>
        <v>700</v>
      </c>
      <c r="M27" s="44">
        <f t="shared" si="5"/>
        <v>45624</v>
      </c>
      <c r="N27" s="11"/>
      <c r="O27" s="24"/>
    </row>
    <row r="28" spans="1:15" ht="22.5" customHeight="1">
      <c r="A28" s="60" t="s">
        <v>102</v>
      </c>
      <c r="B28" s="62" t="s">
        <v>100</v>
      </c>
      <c r="C28" s="44">
        <f>'TH 2022'!L28</f>
        <v>0</v>
      </c>
      <c r="D28" s="41">
        <v>1482</v>
      </c>
      <c r="E28" s="41">
        <v>0</v>
      </c>
      <c r="F28" s="41">
        <v>1482</v>
      </c>
      <c r="G28" s="44">
        <f t="shared" si="2"/>
        <v>0</v>
      </c>
      <c r="H28" s="44">
        <f t="shared" si="3"/>
        <v>0</v>
      </c>
      <c r="I28" s="41">
        <v>1600</v>
      </c>
      <c r="J28" s="41"/>
      <c r="K28" s="41">
        <v>1600</v>
      </c>
      <c r="L28" s="44">
        <f t="shared" si="4"/>
        <v>0</v>
      </c>
      <c r="M28" s="44">
        <f t="shared" si="5"/>
        <v>0</v>
      </c>
      <c r="N28" s="11"/>
      <c r="O28" s="24"/>
    </row>
    <row r="29" spans="1:15" s="22" customFormat="1" ht="22.5" customHeight="1">
      <c r="A29" s="56" t="s">
        <v>9</v>
      </c>
      <c r="B29" s="57" t="s">
        <v>143</v>
      </c>
      <c r="C29" s="88">
        <f>C30+C43+C61+C69+C81+C94+C105+C116</f>
        <v>22742.215179000003</v>
      </c>
      <c r="D29" s="88">
        <f>D30+D43+D61+D69+D81+D94+D105+D116</f>
        <v>11665.405524</v>
      </c>
      <c r="E29" s="88">
        <f aca="true" t="shared" si="6" ref="E29:M29">E30+E43+E61+E69+E81+E94+E105+E116</f>
        <v>460</v>
      </c>
      <c r="F29" s="88">
        <f t="shared" si="6"/>
        <v>12549.812569000002</v>
      </c>
      <c r="G29" s="88">
        <f t="shared" si="6"/>
        <v>-884.4070450000004</v>
      </c>
      <c r="H29" s="88">
        <f t="shared" si="6"/>
        <v>21857.808134000006</v>
      </c>
      <c r="I29" s="88">
        <f t="shared" si="6"/>
        <v>15724.823578000003</v>
      </c>
      <c r="J29" s="88">
        <f t="shared" si="6"/>
        <v>540</v>
      </c>
      <c r="K29" s="88">
        <f t="shared" si="6"/>
        <v>9156.517999999998</v>
      </c>
      <c r="L29" s="88">
        <f t="shared" si="6"/>
        <v>6568.305578</v>
      </c>
      <c r="M29" s="88">
        <f t="shared" si="6"/>
        <v>28426.113712000002</v>
      </c>
      <c r="N29" s="11"/>
      <c r="O29" s="24"/>
    </row>
    <row r="30" spans="1:15" s="28" customFormat="1" ht="22.5" customHeight="1">
      <c r="A30" s="56" t="s">
        <v>22</v>
      </c>
      <c r="B30" s="57" t="s">
        <v>24</v>
      </c>
      <c r="C30" s="88">
        <f>SUM(C31:C42)</f>
        <v>2261.679</v>
      </c>
      <c r="D30" s="88">
        <f>SUM(D31:D42)</f>
        <v>1143.8</v>
      </c>
      <c r="E30" s="88">
        <f aca="true" t="shared" si="7" ref="E30:O30">SUM(E31:E42)</f>
        <v>100</v>
      </c>
      <c r="F30" s="88">
        <f t="shared" si="7"/>
        <v>1313.9699999999998</v>
      </c>
      <c r="G30" s="88">
        <f t="shared" si="7"/>
        <v>-170.17000000000004</v>
      </c>
      <c r="H30" s="88">
        <f t="shared" si="7"/>
        <v>2091.509</v>
      </c>
      <c r="I30" s="88">
        <f t="shared" si="7"/>
        <v>1148.03</v>
      </c>
      <c r="J30" s="88">
        <f t="shared" si="7"/>
        <v>30</v>
      </c>
      <c r="K30" s="88">
        <f t="shared" si="7"/>
        <v>1049.1000000000001</v>
      </c>
      <c r="L30" s="88">
        <f t="shared" si="7"/>
        <v>98.93</v>
      </c>
      <c r="M30" s="88">
        <f t="shared" si="7"/>
        <v>2190.4390000000003</v>
      </c>
      <c r="N30" s="88">
        <f t="shared" si="7"/>
        <v>0</v>
      </c>
      <c r="O30" s="88">
        <f t="shared" si="7"/>
        <v>0</v>
      </c>
    </row>
    <row r="31" spans="1:15" ht="22.5" customHeight="1">
      <c r="A31" s="60">
        <v>1</v>
      </c>
      <c r="B31" s="61" t="s">
        <v>27</v>
      </c>
      <c r="C31" s="41">
        <f>'TH 2022'!L31</f>
        <v>87.89000000000004</v>
      </c>
      <c r="D31" s="41">
        <v>114.34</v>
      </c>
      <c r="E31" s="41"/>
      <c r="F31" s="41">
        <v>189.08</v>
      </c>
      <c r="G31" s="44">
        <f aca="true" t="shared" si="8" ref="G31:G96">D31-F31</f>
        <v>-74.74000000000001</v>
      </c>
      <c r="H31" s="44">
        <f t="shared" si="3"/>
        <v>13.150000000000034</v>
      </c>
      <c r="I31" s="41">
        <v>154.3</v>
      </c>
      <c r="J31" s="41"/>
      <c r="K31" s="41">
        <v>150</v>
      </c>
      <c r="L31" s="44">
        <f t="shared" si="4"/>
        <v>4.300000000000011</v>
      </c>
      <c r="M31" s="44">
        <f t="shared" si="5"/>
        <v>17.450000000000045</v>
      </c>
      <c r="N31" s="11"/>
      <c r="O31" s="24"/>
    </row>
    <row r="32" spans="1:15" ht="22.5" customHeight="1">
      <c r="A32" s="60">
        <v>2</v>
      </c>
      <c r="B32" s="62" t="s">
        <v>28</v>
      </c>
      <c r="C32" s="41">
        <f>'TH 2022'!L32</f>
        <v>129.98300000000003</v>
      </c>
      <c r="D32" s="41">
        <v>120.27</v>
      </c>
      <c r="E32" s="41" t="s">
        <v>113</v>
      </c>
      <c r="F32" s="41">
        <v>94.5</v>
      </c>
      <c r="G32" s="44">
        <f t="shared" si="8"/>
        <v>25.769999999999996</v>
      </c>
      <c r="H32" s="44">
        <f t="shared" si="3"/>
        <v>155.75300000000004</v>
      </c>
      <c r="I32" s="41">
        <v>139.5</v>
      </c>
      <c r="J32" s="41" t="s">
        <v>113</v>
      </c>
      <c r="K32" s="41">
        <v>132.2</v>
      </c>
      <c r="L32" s="44">
        <f t="shared" si="4"/>
        <v>7.300000000000011</v>
      </c>
      <c r="M32" s="44">
        <f t="shared" si="5"/>
        <v>163.05300000000005</v>
      </c>
      <c r="N32" s="11"/>
      <c r="O32" s="24"/>
    </row>
    <row r="33" spans="1:15" ht="22.5" customHeight="1">
      <c r="A33" s="60">
        <v>3</v>
      </c>
      <c r="B33" s="62" t="s">
        <v>65</v>
      </c>
      <c r="C33" s="41">
        <f>'TH 2022'!L33</f>
        <v>224.707</v>
      </c>
      <c r="D33" s="41">
        <v>50.91</v>
      </c>
      <c r="E33" s="41" t="s">
        <v>113</v>
      </c>
      <c r="F33" s="41">
        <v>86</v>
      </c>
      <c r="G33" s="44">
        <f t="shared" si="8"/>
        <v>-35.09</v>
      </c>
      <c r="H33" s="44">
        <f t="shared" si="3"/>
        <v>189.61699999999996</v>
      </c>
      <c r="I33" s="41">
        <v>92.2</v>
      </c>
      <c r="J33" s="41" t="s">
        <v>114</v>
      </c>
      <c r="K33" s="41">
        <v>107.5</v>
      </c>
      <c r="L33" s="44">
        <f t="shared" si="4"/>
        <v>-15.299999999999997</v>
      </c>
      <c r="M33" s="44">
        <f t="shared" si="5"/>
        <v>174.31699999999995</v>
      </c>
      <c r="N33" s="11"/>
      <c r="O33" s="24"/>
    </row>
    <row r="34" spans="1:15" ht="22.5" customHeight="1">
      <c r="A34" s="60">
        <v>4</v>
      </c>
      <c r="B34" s="68" t="s">
        <v>64</v>
      </c>
      <c r="C34" s="41">
        <f>'TH 2022'!L34</f>
        <v>241.477</v>
      </c>
      <c r="D34" s="41">
        <v>78.29</v>
      </c>
      <c r="E34" s="41" t="s">
        <v>113</v>
      </c>
      <c r="F34" s="41">
        <v>99.9</v>
      </c>
      <c r="G34" s="44">
        <f t="shared" si="8"/>
        <v>-21.61</v>
      </c>
      <c r="H34" s="44">
        <f t="shared" si="3"/>
        <v>219.867</v>
      </c>
      <c r="I34" s="41">
        <v>98.5</v>
      </c>
      <c r="J34" s="41" t="s">
        <v>113</v>
      </c>
      <c r="K34" s="41">
        <v>94.1</v>
      </c>
      <c r="L34" s="44">
        <f t="shared" si="4"/>
        <v>4.400000000000006</v>
      </c>
      <c r="M34" s="44">
        <f t="shared" si="5"/>
        <v>224.26699999999997</v>
      </c>
      <c r="N34" s="11"/>
      <c r="O34" s="24"/>
    </row>
    <row r="35" spans="1:15" ht="22.5" customHeight="1">
      <c r="A35" s="60">
        <v>5</v>
      </c>
      <c r="B35" s="62" t="s">
        <v>31</v>
      </c>
      <c r="C35" s="41">
        <f>'TH 2022'!L35</f>
        <v>315.918</v>
      </c>
      <c r="D35" s="41">
        <v>494.37</v>
      </c>
      <c r="E35" s="41" t="s">
        <v>113</v>
      </c>
      <c r="F35" s="41">
        <v>559.1</v>
      </c>
      <c r="G35" s="44">
        <f t="shared" si="8"/>
        <v>-64.73000000000002</v>
      </c>
      <c r="H35" s="44">
        <f t="shared" si="3"/>
        <v>251.188</v>
      </c>
      <c r="I35" s="41">
        <v>356.3</v>
      </c>
      <c r="J35" s="41" t="s">
        <v>113</v>
      </c>
      <c r="K35" s="41">
        <v>350.1</v>
      </c>
      <c r="L35" s="44">
        <f t="shared" si="4"/>
        <v>6.199999999999989</v>
      </c>
      <c r="M35" s="44">
        <f t="shared" si="5"/>
        <v>257.38800000000003</v>
      </c>
      <c r="N35" s="11"/>
      <c r="O35" s="24"/>
    </row>
    <row r="36" spans="1:15" ht="22.5" customHeight="1">
      <c r="A36" s="60">
        <v>6</v>
      </c>
      <c r="B36" s="62" t="s">
        <v>58</v>
      </c>
      <c r="C36" s="41">
        <f>'TH 2022'!L36</f>
        <v>88.335</v>
      </c>
      <c r="D36" s="41">
        <v>69.81</v>
      </c>
      <c r="E36" s="41" t="s">
        <v>113</v>
      </c>
      <c r="F36" s="41">
        <v>66</v>
      </c>
      <c r="G36" s="44">
        <f t="shared" si="8"/>
        <v>3.8100000000000023</v>
      </c>
      <c r="H36" s="44">
        <f t="shared" si="3"/>
        <v>92.14499999999998</v>
      </c>
      <c r="I36" s="41">
        <v>71.8</v>
      </c>
      <c r="J36" s="41" t="s">
        <v>113</v>
      </c>
      <c r="K36" s="41">
        <v>72.5</v>
      </c>
      <c r="L36" s="44">
        <f t="shared" si="4"/>
        <v>-0.7000000000000028</v>
      </c>
      <c r="M36" s="44">
        <f t="shared" si="5"/>
        <v>91.445</v>
      </c>
      <c r="N36" s="11"/>
      <c r="O36" s="24"/>
    </row>
    <row r="37" spans="1:15" ht="22.5" customHeight="1">
      <c r="A37" s="60">
        <v>7</v>
      </c>
      <c r="B37" s="68" t="s">
        <v>109</v>
      </c>
      <c r="C37" s="41">
        <f>'TH 2022'!L37</f>
        <v>154.96999999999997</v>
      </c>
      <c r="D37" s="41">
        <v>68.91</v>
      </c>
      <c r="E37" s="41" t="s">
        <v>113</v>
      </c>
      <c r="F37" s="41">
        <v>84.56</v>
      </c>
      <c r="G37" s="44">
        <f t="shared" si="8"/>
        <v>-15.650000000000006</v>
      </c>
      <c r="H37" s="44">
        <f t="shared" si="3"/>
        <v>139.31999999999996</v>
      </c>
      <c r="I37" s="41">
        <v>68.72</v>
      </c>
      <c r="J37" s="41" t="s">
        <v>113</v>
      </c>
      <c r="K37" s="41">
        <v>63.5</v>
      </c>
      <c r="L37" s="44">
        <f t="shared" si="4"/>
        <v>5.219999999999999</v>
      </c>
      <c r="M37" s="44">
        <f t="shared" si="5"/>
        <v>144.53999999999996</v>
      </c>
      <c r="N37" s="11"/>
      <c r="O37" s="24"/>
    </row>
    <row r="38" spans="1:15" ht="22.5" customHeight="1">
      <c r="A38" s="60">
        <v>8</v>
      </c>
      <c r="B38" s="68" t="s">
        <v>34</v>
      </c>
      <c r="C38" s="41">
        <f>'TH 2022'!L38</f>
        <v>51.25</v>
      </c>
      <c r="D38" s="41"/>
      <c r="E38" s="41"/>
      <c r="F38" s="41">
        <v>15</v>
      </c>
      <c r="G38" s="44">
        <f t="shared" si="8"/>
        <v>-15</v>
      </c>
      <c r="H38" s="44">
        <f t="shared" si="3"/>
        <v>36.25</v>
      </c>
      <c r="I38" s="41">
        <v>0</v>
      </c>
      <c r="J38" s="41"/>
      <c r="K38" s="41">
        <v>15</v>
      </c>
      <c r="L38" s="44">
        <f t="shared" si="4"/>
        <v>-15</v>
      </c>
      <c r="M38" s="44">
        <f t="shared" si="5"/>
        <v>21.25</v>
      </c>
      <c r="N38" s="11"/>
      <c r="O38" s="24"/>
    </row>
    <row r="39" spans="1:15" ht="22.5" customHeight="1">
      <c r="A39" s="60">
        <v>9</v>
      </c>
      <c r="B39" s="68" t="s">
        <v>110</v>
      </c>
      <c r="C39" s="41">
        <f>'TH 2022'!L39</f>
        <v>107.72</v>
      </c>
      <c r="D39" s="41">
        <v>42.8</v>
      </c>
      <c r="E39" s="41">
        <v>0</v>
      </c>
      <c r="F39" s="41">
        <v>40.13</v>
      </c>
      <c r="G39" s="44">
        <f t="shared" si="8"/>
        <v>2.6699999999999946</v>
      </c>
      <c r="H39" s="44">
        <f t="shared" si="3"/>
        <v>110.38999999999999</v>
      </c>
      <c r="I39" s="41">
        <v>62.51</v>
      </c>
      <c r="J39" s="41">
        <v>30</v>
      </c>
      <c r="K39" s="41">
        <v>60</v>
      </c>
      <c r="L39" s="44">
        <f t="shared" si="4"/>
        <v>2.509999999999998</v>
      </c>
      <c r="M39" s="44">
        <f t="shared" si="5"/>
        <v>112.89999999999998</v>
      </c>
      <c r="N39" s="11"/>
      <c r="O39" s="24"/>
    </row>
    <row r="40" spans="1:15" ht="22.5" customHeight="1">
      <c r="A40" s="60">
        <v>10</v>
      </c>
      <c r="B40" s="68" t="s">
        <v>46</v>
      </c>
      <c r="C40" s="41">
        <f>'TH 2022'!L40</f>
        <v>682.25</v>
      </c>
      <c r="D40" s="41">
        <f>4.1+100</f>
        <v>104.1</v>
      </c>
      <c r="E40" s="41">
        <v>100</v>
      </c>
      <c r="F40" s="41">
        <v>4.1</v>
      </c>
      <c r="G40" s="44">
        <f t="shared" si="8"/>
        <v>100</v>
      </c>
      <c r="H40" s="44">
        <f t="shared" si="3"/>
        <v>782.25</v>
      </c>
      <c r="I40" s="41">
        <v>104.2</v>
      </c>
      <c r="J40" s="41">
        <v>0</v>
      </c>
      <c r="K40" s="41">
        <v>4.2</v>
      </c>
      <c r="L40" s="44">
        <f t="shared" si="4"/>
        <v>100</v>
      </c>
      <c r="M40" s="44">
        <f t="shared" si="5"/>
        <v>882.25</v>
      </c>
      <c r="N40" s="11"/>
      <c r="O40" s="24"/>
    </row>
    <row r="41" spans="1:15" ht="22.5" customHeight="1">
      <c r="A41" s="60">
        <v>11</v>
      </c>
      <c r="B41" s="68" t="s">
        <v>111</v>
      </c>
      <c r="C41" s="41">
        <f>'TH 2022'!L41</f>
        <v>172.179</v>
      </c>
      <c r="D41" s="41"/>
      <c r="E41" s="41"/>
      <c r="F41" s="41">
        <v>70.6</v>
      </c>
      <c r="G41" s="44">
        <f t="shared" si="8"/>
        <v>-70.6</v>
      </c>
      <c r="H41" s="44">
        <f t="shared" si="3"/>
        <v>101.57900000000001</v>
      </c>
      <c r="I41" s="41"/>
      <c r="J41" s="41"/>
      <c r="K41" s="41"/>
      <c r="L41" s="44">
        <f t="shared" si="4"/>
        <v>0</v>
      </c>
      <c r="M41" s="44">
        <f t="shared" si="5"/>
        <v>101.57900000000001</v>
      </c>
      <c r="N41" s="11"/>
      <c r="O41" s="24"/>
    </row>
    <row r="42" spans="1:15" ht="22.5" customHeight="1">
      <c r="A42" s="60">
        <v>12</v>
      </c>
      <c r="B42" s="61" t="s">
        <v>112</v>
      </c>
      <c r="C42" s="41">
        <f>'TH 2022'!L42</f>
        <v>5</v>
      </c>
      <c r="D42" s="41">
        <v>0</v>
      </c>
      <c r="E42" s="41">
        <v>0</v>
      </c>
      <c r="F42" s="41">
        <v>5</v>
      </c>
      <c r="G42" s="44">
        <f t="shared" si="8"/>
        <v>-5</v>
      </c>
      <c r="H42" s="44">
        <f t="shared" si="3"/>
        <v>0</v>
      </c>
      <c r="I42" s="41">
        <v>0</v>
      </c>
      <c r="J42" s="41">
        <v>0</v>
      </c>
      <c r="K42" s="41">
        <v>0</v>
      </c>
      <c r="L42" s="44">
        <f t="shared" si="4"/>
        <v>0</v>
      </c>
      <c r="M42" s="44">
        <f t="shared" si="5"/>
        <v>0</v>
      </c>
      <c r="N42" s="11"/>
      <c r="O42" s="24"/>
    </row>
    <row r="43" spans="1:15" s="22" customFormat="1" ht="22.5" customHeight="1">
      <c r="A43" s="86" t="s">
        <v>23</v>
      </c>
      <c r="B43" s="87" t="s">
        <v>42</v>
      </c>
      <c r="C43" s="88">
        <f>SUM(C44:C60)</f>
        <v>2678.554572000001</v>
      </c>
      <c r="D43" s="88">
        <f aca="true" t="shared" si="9" ref="D43:M43">SUM(D44:D60)</f>
        <v>842.8525689999999</v>
      </c>
      <c r="E43" s="88">
        <f t="shared" si="9"/>
        <v>150</v>
      </c>
      <c r="F43" s="88">
        <f t="shared" si="9"/>
        <v>1323.433569</v>
      </c>
      <c r="G43" s="88">
        <f t="shared" si="9"/>
        <v>-480.581</v>
      </c>
      <c r="H43" s="88">
        <f t="shared" si="9"/>
        <v>2197.9735720000003</v>
      </c>
      <c r="I43" s="88">
        <f t="shared" si="9"/>
        <v>826.222569</v>
      </c>
      <c r="J43" s="88">
        <f t="shared" si="9"/>
        <v>150</v>
      </c>
      <c r="K43" s="88">
        <f t="shared" si="9"/>
        <v>1080</v>
      </c>
      <c r="L43" s="88">
        <f t="shared" si="9"/>
        <v>-253.77743099999995</v>
      </c>
      <c r="M43" s="88">
        <f t="shared" si="9"/>
        <v>1944.1961410000004</v>
      </c>
      <c r="N43" s="11"/>
      <c r="O43" s="24"/>
    </row>
    <row r="44" spans="1:15" ht="22.5" customHeight="1">
      <c r="A44" s="60">
        <v>1</v>
      </c>
      <c r="B44" s="61" t="s">
        <v>43</v>
      </c>
      <c r="C44" s="41">
        <f>'TH 2022'!L44</f>
        <v>17.291</v>
      </c>
      <c r="D44" s="41">
        <v>0</v>
      </c>
      <c r="E44" s="41"/>
      <c r="F44" s="100">
        <f>D44</f>
        <v>0</v>
      </c>
      <c r="G44" s="44">
        <f t="shared" si="8"/>
        <v>0</v>
      </c>
      <c r="H44" s="44">
        <f t="shared" si="3"/>
        <v>17.291</v>
      </c>
      <c r="I44" s="41">
        <v>0</v>
      </c>
      <c r="J44" s="41"/>
      <c r="K44" s="41">
        <v>0</v>
      </c>
      <c r="L44" s="44">
        <f t="shared" si="4"/>
        <v>0</v>
      </c>
      <c r="M44" s="44">
        <f t="shared" si="5"/>
        <v>17.291</v>
      </c>
      <c r="N44" s="11"/>
      <c r="O44" s="24"/>
    </row>
    <row r="45" spans="1:15" ht="22.5" customHeight="1">
      <c r="A45" s="60">
        <v>2</v>
      </c>
      <c r="B45" s="62" t="s">
        <v>30</v>
      </c>
      <c r="C45" s="41">
        <f>'TH 2022'!L45</f>
        <v>497.1168170000001</v>
      </c>
      <c r="D45" s="41">
        <f>122320000/1000000</f>
        <v>122.32</v>
      </c>
      <c r="E45" s="41"/>
      <c r="F45" s="100">
        <f>300000000/1000000</f>
        <v>300</v>
      </c>
      <c r="G45" s="44">
        <f t="shared" si="8"/>
        <v>-177.68</v>
      </c>
      <c r="H45" s="44">
        <f t="shared" si="3"/>
        <v>319.436817</v>
      </c>
      <c r="I45" s="100">
        <f>116590000/1000000</f>
        <v>116.59</v>
      </c>
      <c r="J45" s="41"/>
      <c r="K45" s="41">
        <v>200</v>
      </c>
      <c r="L45" s="44">
        <f t="shared" si="4"/>
        <v>-83.41</v>
      </c>
      <c r="M45" s="44">
        <f t="shared" si="5"/>
        <v>236.02681700000005</v>
      </c>
      <c r="N45" s="11"/>
      <c r="O45" s="24"/>
    </row>
    <row r="46" spans="1:15" ht="22.5" customHeight="1">
      <c r="A46" s="60">
        <v>3</v>
      </c>
      <c r="B46" s="62" t="s">
        <v>29</v>
      </c>
      <c r="C46" s="41">
        <f>'TH 2022'!L46</f>
        <v>453.7953280000002</v>
      </c>
      <c r="D46" s="41">
        <f>85813000/1000000</f>
        <v>85.813</v>
      </c>
      <c r="E46" s="41"/>
      <c r="F46" s="100">
        <f>250000000/1000000</f>
        <v>250</v>
      </c>
      <c r="G46" s="44">
        <f t="shared" si="8"/>
        <v>-164.187</v>
      </c>
      <c r="H46" s="44">
        <f t="shared" si="3"/>
        <v>289.60832800000026</v>
      </c>
      <c r="I46" s="100">
        <f>87140000/1000000</f>
        <v>87.14</v>
      </c>
      <c r="J46" s="41"/>
      <c r="K46" s="41">
        <v>150</v>
      </c>
      <c r="L46" s="44">
        <f t="shared" si="4"/>
        <v>-62.86</v>
      </c>
      <c r="M46" s="44">
        <f t="shared" si="5"/>
        <v>226.74832800000024</v>
      </c>
      <c r="N46" s="11"/>
      <c r="O46" s="24"/>
    </row>
    <row r="47" spans="1:15" ht="22.5" customHeight="1">
      <c r="A47" s="70">
        <v>4</v>
      </c>
      <c r="B47" s="68" t="s">
        <v>32</v>
      </c>
      <c r="C47" s="41">
        <f>'TH 2022'!L47</f>
        <v>116.19262200000001</v>
      </c>
      <c r="D47" s="41">
        <f>75101000/1000000</f>
        <v>75.101</v>
      </c>
      <c r="E47" s="41"/>
      <c r="F47" s="100">
        <f aca="true" t="shared" si="10" ref="F47:F60">D47</f>
        <v>75.101</v>
      </c>
      <c r="G47" s="44">
        <f t="shared" si="8"/>
        <v>0</v>
      </c>
      <c r="H47" s="44">
        <f t="shared" si="3"/>
        <v>116.19262200000003</v>
      </c>
      <c r="I47" s="100">
        <f>77435000/1000000</f>
        <v>77.435</v>
      </c>
      <c r="J47" s="41"/>
      <c r="K47" s="41">
        <v>80</v>
      </c>
      <c r="L47" s="44">
        <f t="shared" si="4"/>
        <v>-2.5649999999999977</v>
      </c>
      <c r="M47" s="44">
        <f t="shared" si="5"/>
        <v>113.62762200000003</v>
      </c>
      <c r="N47" s="11"/>
      <c r="O47" s="24"/>
    </row>
    <row r="48" spans="1:15" ht="22.5" customHeight="1">
      <c r="A48" s="60">
        <v>5</v>
      </c>
      <c r="B48" s="61" t="s">
        <v>44</v>
      </c>
      <c r="C48" s="41">
        <f>'TH 2022'!L48</f>
        <v>230.701624</v>
      </c>
      <c r="D48" s="41">
        <f>61365000/1000000</f>
        <v>61.365</v>
      </c>
      <c r="E48" s="41"/>
      <c r="F48" s="100">
        <f>90000000/1000000</f>
        <v>90</v>
      </c>
      <c r="G48" s="44">
        <f t="shared" si="8"/>
        <v>-28.634999999999998</v>
      </c>
      <c r="H48" s="44">
        <f t="shared" si="3"/>
        <v>202.066624</v>
      </c>
      <c r="I48" s="100">
        <f>58325000/1000000</f>
        <v>58.325</v>
      </c>
      <c r="J48" s="41"/>
      <c r="K48" s="41">
        <v>100</v>
      </c>
      <c r="L48" s="44">
        <f t="shared" si="4"/>
        <v>-41.675</v>
      </c>
      <c r="M48" s="44">
        <f t="shared" si="5"/>
        <v>160.39162399999998</v>
      </c>
      <c r="N48" s="11"/>
      <c r="O48" s="24"/>
    </row>
    <row r="49" spans="1:15" ht="22.5" customHeight="1">
      <c r="A49" s="60">
        <v>6</v>
      </c>
      <c r="B49" s="62" t="s">
        <v>28</v>
      </c>
      <c r="C49" s="41">
        <f>'TH 2022'!L49</f>
        <v>171.217</v>
      </c>
      <c r="D49" s="41">
        <f>101611000/1000000</f>
        <v>101.611</v>
      </c>
      <c r="E49" s="41"/>
      <c r="F49" s="100">
        <f t="shared" si="10"/>
        <v>101.611</v>
      </c>
      <c r="G49" s="44">
        <f t="shared" si="8"/>
        <v>0</v>
      </c>
      <c r="H49" s="44">
        <f t="shared" si="3"/>
        <v>171.21700000000004</v>
      </c>
      <c r="I49" s="100">
        <f>96078000/1000000</f>
        <v>96.078</v>
      </c>
      <c r="J49" s="41"/>
      <c r="K49" s="41">
        <v>100</v>
      </c>
      <c r="L49" s="44">
        <f t="shared" si="4"/>
        <v>-3.921999999999997</v>
      </c>
      <c r="M49" s="44">
        <f t="shared" si="5"/>
        <v>167.29500000000007</v>
      </c>
      <c r="N49" s="11"/>
      <c r="O49" s="24"/>
    </row>
    <row r="50" spans="1:15" ht="22.5" customHeight="1">
      <c r="A50" s="60">
        <v>7</v>
      </c>
      <c r="B50" s="62" t="s">
        <v>33</v>
      </c>
      <c r="C50" s="41">
        <f>'TH 2022'!L50</f>
        <v>211.34650000000002</v>
      </c>
      <c r="D50" s="41">
        <f>49581000/1000000</f>
        <v>49.581</v>
      </c>
      <c r="E50" s="41"/>
      <c r="F50" s="100">
        <f>120000000/1000000</f>
        <v>120</v>
      </c>
      <c r="G50" s="44">
        <f t="shared" si="8"/>
        <v>-70.419</v>
      </c>
      <c r="H50" s="44">
        <f t="shared" si="3"/>
        <v>140.9275</v>
      </c>
      <c r="I50" s="100">
        <f>49495000/1000000</f>
        <v>49.495</v>
      </c>
      <c r="J50" s="41"/>
      <c r="K50" s="41">
        <v>80</v>
      </c>
      <c r="L50" s="44">
        <f t="shared" si="4"/>
        <v>-30.505000000000003</v>
      </c>
      <c r="M50" s="44">
        <f t="shared" si="5"/>
        <v>110.42250000000001</v>
      </c>
      <c r="N50" s="11"/>
      <c r="O50" s="24"/>
    </row>
    <row r="51" spans="1:15" ht="22.5" customHeight="1">
      <c r="A51" s="70">
        <v>8</v>
      </c>
      <c r="B51" s="68" t="s">
        <v>31</v>
      </c>
      <c r="C51" s="41">
        <f>'TH 2022'!L51</f>
        <v>452.003112</v>
      </c>
      <c r="D51" s="41">
        <f>160340000/1000000+1</f>
        <v>161.34</v>
      </c>
      <c r="E51" s="41"/>
      <c r="F51" s="100">
        <v>201</v>
      </c>
      <c r="G51" s="44">
        <f t="shared" si="8"/>
        <v>-39.66</v>
      </c>
      <c r="H51" s="44">
        <f t="shared" si="3"/>
        <v>412.343112</v>
      </c>
      <c r="I51" s="100">
        <f>162454000/1000000</f>
        <v>162.454</v>
      </c>
      <c r="J51" s="41"/>
      <c r="K51" s="41">
        <f>20+300</f>
        <v>320</v>
      </c>
      <c r="L51" s="44">
        <f t="shared" si="4"/>
        <v>-157.546</v>
      </c>
      <c r="M51" s="44">
        <f t="shared" si="5"/>
        <v>254.79711199999997</v>
      </c>
      <c r="N51" s="11"/>
      <c r="O51" s="24"/>
    </row>
    <row r="52" spans="1:15" ht="22.5" customHeight="1">
      <c r="A52" s="60">
        <v>9</v>
      </c>
      <c r="B52" s="61" t="s">
        <v>45</v>
      </c>
      <c r="C52" s="41">
        <f>'TH 2022'!L52</f>
        <v>14.426</v>
      </c>
      <c r="D52" s="41">
        <f>12016000/1000000</f>
        <v>12.016</v>
      </c>
      <c r="E52" s="41"/>
      <c r="F52" s="100">
        <v>12.016</v>
      </c>
      <c r="G52" s="44">
        <f t="shared" si="8"/>
        <v>0</v>
      </c>
      <c r="H52" s="44">
        <f t="shared" si="3"/>
        <v>14.426</v>
      </c>
      <c r="I52" s="100">
        <f>13000000/1000000</f>
        <v>13</v>
      </c>
      <c r="J52" s="41"/>
      <c r="K52" s="41">
        <v>0</v>
      </c>
      <c r="L52" s="44">
        <f t="shared" si="4"/>
        <v>13</v>
      </c>
      <c r="M52" s="44">
        <f t="shared" si="5"/>
        <v>27.426000000000002</v>
      </c>
      <c r="N52" s="11"/>
      <c r="O52" s="24"/>
    </row>
    <row r="53" spans="1:15" ht="22.5" customHeight="1">
      <c r="A53" s="60">
        <v>10</v>
      </c>
      <c r="B53" s="62" t="s">
        <v>50</v>
      </c>
      <c r="C53" s="41">
        <f>'TH 2022'!L53</f>
        <v>0.9199999999999997</v>
      </c>
      <c r="D53" s="41"/>
      <c r="E53" s="41"/>
      <c r="F53" s="100">
        <f t="shared" si="10"/>
        <v>0</v>
      </c>
      <c r="G53" s="44">
        <f t="shared" si="8"/>
        <v>0</v>
      </c>
      <c r="H53" s="44">
        <f t="shared" si="3"/>
        <v>0.9199999999999997</v>
      </c>
      <c r="I53" s="100">
        <v>0</v>
      </c>
      <c r="J53" s="41"/>
      <c r="K53" s="41">
        <v>0</v>
      </c>
      <c r="L53" s="44">
        <f t="shared" si="4"/>
        <v>0</v>
      </c>
      <c r="M53" s="44">
        <f t="shared" si="5"/>
        <v>0.9199999999999997</v>
      </c>
      <c r="N53" s="11"/>
      <c r="O53" s="24"/>
    </row>
    <row r="54" spans="1:15" ht="22.5" customHeight="1">
      <c r="A54" s="60">
        <v>11</v>
      </c>
      <c r="B54" s="62" t="s">
        <v>46</v>
      </c>
      <c r="C54" s="41">
        <f>'TH 2022'!L54</f>
        <v>1.6899999999999977</v>
      </c>
      <c r="D54" s="41">
        <f>160000000/1000000</f>
        <v>160</v>
      </c>
      <c r="E54" s="41">
        <v>150</v>
      </c>
      <c r="F54" s="100">
        <f t="shared" si="10"/>
        <v>160</v>
      </c>
      <c r="G54" s="44">
        <f t="shared" si="8"/>
        <v>0</v>
      </c>
      <c r="H54" s="44">
        <f t="shared" si="3"/>
        <v>1.6899999999999977</v>
      </c>
      <c r="I54" s="100">
        <f>160000000/1000000</f>
        <v>160</v>
      </c>
      <c r="J54" s="41">
        <v>150</v>
      </c>
      <c r="K54" s="41">
        <v>50</v>
      </c>
      <c r="L54" s="44">
        <f t="shared" si="4"/>
        <v>110</v>
      </c>
      <c r="M54" s="44">
        <f t="shared" si="5"/>
        <v>111.69</v>
      </c>
      <c r="N54" s="11"/>
      <c r="O54" s="24"/>
    </row>
    <row r="55" spans="1:15" ht="22.5" customHeight="1">
      <c r="A55" s="60">
        <v>12</v>
      </c>
      <c r="B55" s="62" t="s">
        <v>47</v>
      </c>
      <c r="C55" s="41">
        <f>'TH 2022'!L55</f>
        <v>8.782</v>
      </c>
      <c r="D55" s="41"/>
      <c r="E55" s="41"/>
      <c r="F55" s="100">
        <f t="shared" si="10"/>
        <v>0</v>
      </c>
      <c r="G55" s="44">
        <f t="shared" si="8"/>
        <v>0</v>
      </c>
      <c r="H55" s="44">
        <f t="shared" si="3"/>
        <v>8.782</v>
      </c>
      <c r="I55" s="100">
        <v>0</v>
      </c>
      <c r="J55" s="41"/>
      <c r="K55" s="41">
        <v>0</v>
      </c>
      <c r="L55" s="44">
        <f t="shared" si="4"/>
        <v>0</v>
      </c>
      <c r="M55" s="44">
        <f t="shared" si="5"/>
        <v>8.782</v>
      </c>
      <c r="N55" s="11"/>
      <c r="O55" s="24"/>
    </row>
    <row r="56" spans="1:15" ht="22.5" customHeight="1">
      <c r="A56" s="60">
        <v>16</v>
      </c>
      <c r="B56" s="62" t="s">
        <v>107</v>
      </c>
      <c r="C56" s="41">
        <f>'TH 2022'!L56</f>
        <v>479.10356900000005</v>
      </c>
      <c r="D56" s="41">
        <f>3954069/1000000</f>
        <v>3.954069</v>
      </c>
      <c r="E56" s="41"/>
      <c r="F56" s="100">
        <f t="shared" si="10"/>
        <v>3.954069</v>
      </c>
      <c r="G56" s="44">
        <f t="shared" si="8"/>
        <v>0</v>
      </c>
      <c r="H56" s="44">
        <f t="shared" si="3"/>
        <v>479.10356900000005</v>
      </c>
      <c r="I56" s="100">
        <f>3954069/1000000</f>
        <v>3.954069</v>
      </c>
      <c r="J56" s="41"/>
      <c r="K56" s="41"/>
      <c r="L56" s="44">
        <f t="shared" si="4"/>
        <v>3.954069</v>
      </c>
      <c r="M56" s="44">
        <f t="shared" si="5"/>
        <v>483.05763800000005</v>
      </c>
      <c r="N56" s="11"/>
      <c r="O56" s="24"/>
    </row>
    <row r="57" spans="1:15" ht="22.5" customHeight="1">
      <c r="A57" s="70">
        <v>13</v>
      </c>
      <c r="B57" s="68" t="s">
        <v>48</v>
      </c>
      <c r="C57" s="41">
        <f>'TH 2022'!L57</f>
        <v>0</v>
      </c>
      <c r="D57" s="41"/>
      <c r="E57" s="41"/>
      <c r="F57" s="100">
        <f t="shared" si="10"/>
        <v>0</v>
      </c>
      <c r="G57" s="44">
        <f t="shared" si="8"/>
        <v>0</v>
      </c>
      <c r="H57" s="44">
        <f t="shared" si="3"/>
        <v>0</v>
      </c>
      <c r="I57" s="100"/>
      <c r="J57" s="41"/>
      <c r="K57" s="41">
        <v>0</v>
      </c>
      <c r="L57" s="44">
        <f t="shared" si="4"/>
        <v>0</v>
      </c>
      <c r="M57" s="44">
        <f t="shared" si="5"/>
        <v>0</v>
      </c>
      <c r="N57" s="11"/>
      <c r="O57" s="24"/>
    </row>
    <row r="58" spans="1:15" ht="22.5" customHeight="1">
      <c r="A58" s="60">
        <v>14</v>
      </c>
      <c r="B58" s="61" t="s">
        <v>49</v>
      </c>
      <c r="C58" s="41">
        <f>'TH 2022'!L58</f>
        <v>-0.018000000000000016</v>
      </c>
      <c r="D58" s="41"/>
      <c r="E58" s="41"/>
      <c r="F58" s="100">
        <f t="shared" si="10"/>
        <v>0</v>
      </c>
      <c r="G58" s="44">
        <f t="shared" si="8"/>
        <v>0</v>
      </c>
      <c r="H58" s="44">
        <f t="shared" si="3"/>
        <v>-0.018000000000000016</v>
      </c>
      <c r="I58" s="100"/>
      <c r="J58" s="41"/>
      <c r="K58" s="41">
        <v>0</v>
      </c>
      <c r="L58" s="44">
        <f t="shared" si="4"/>
        <v>0</v>
      </c>
      <c r="M58" s="44">
        <f t="shared" si="5"/>
        <v>-0.018000000000000016</v>
      </c>
      <c r="N58" s="11"/>
      <c r="O58" s="24"/>
    </row>
    <row r="59" spans="1:15" ht="22.5" customHeight="1">
      <c r="A59" s="70">
        <v>15</v>
      </c>
      <c r="B59" s="62" t="s">
        <v>115</v>
      </c>
      <c r="C59" s="41">
        <f>'TH 2022'!L59</f>
        <v>17</v>
      </c>
      <c r="D59" s="41">
        <f>1751500/1000000</f>
        <v>1.7515</v>
      </c>
      <c r="E59" s="41"/>
      <c r="F59" s="100">
        <f t="shared" si="10"/>
        <v>1.7515</v>
      </c>
      <c r="G59" s="44">
        <f t="shared" si="8"/>
        <v>0</v>
      </c>
      <c r="H59" s="44">
        <f t="shared" si="3"/>
        <v>17</v>
      </c>
      <c r="I59" s="100">
        <f>1751500/1000000</f>
        <v>1.7515</v>
      </c>
      <c r="J59" s="41"/>
      <c r="K59" s="41">
        <v>0</v>
      </c>
      <c r="L59" s="44">
        <f t="shared" si="4"/>
        <v>1.7515</v>
      </c>
      <c r="M59" s="44">
        <f t="shared" si="5"/>
        <v>18.7515</v>
      </c>
      <c r="N59" s="11"/>
      <c r="O59" s="24"/>
    </row>
    <row r="60" spans="1:15" ht="22.5" customHeight="1">
      <c r="A60" s="70">
        <v>16</v>
      </c>
      <c r="B60" s="92" t="str">
        <f>'[1]TH 2022'!B59</f>
        <v>Quỹ đền ơn đáp nghĩa</v>
      </c>
      <c r="C60" s="69">
        <f>'TH 2022'!L60</f>
        <v>6.987</v>
      </c>
      <c r="D60" s="69">
        <v>8</v>
      </c>
      <c r="E60" s="69"/>
      <c r="F60" s="69">
        <f t="shared" si="10"/>
        <v>8</v>
      </c>
      <c r="G60" s="44">
        <f t="shared" si="8"/>
        <v>0</v>
      </c>
      <c r="H60" s="44">
        <f t="shared" si="3"/>
        <v>6.987</v>
      </c>
      <c r="I60" s="103"/>
      <c r="J60" s="69"/>
      <c r="K60" s="69"/>
      <c r="L60" s="44">
        <f t="shared" si="4"/>
        <v>0</v>
      </c>
      <c r="M60" s="44">
        <f t="shared" si="5"/>
        <v>6.987</v>
      </c>
      <c r="N60" s="11"/>
      <c r="O60" s="24"/>
    </row>
    <row r="61" spans="1:15" s="22" customFormat="1" ht="22.5" customHeight="1">
      <c r="A61" s="86" t="s">
        <v>53</v>
      </c>
      <c r="B61" s="104" t="s">
        <v>54</v>
      </c>
      <c r="C61" s="88">
        <f>SUM(C62:C68)</f>
        <v>1063.723</v>
      </c>
      <c r="D61" s="88">
        <f>SUM(D62:D68)</f>
        <v>591.93787</v>
      </c>
      <c r="E61" s="88">
        <f aca="true" t="shared" si="11" ref="E61:M61">SUM(E62:E68)</f>
        <v>100</v>
      </c>
      <c r="F61" s="88">
        <f t="shared" si="11"/>
        <v>680.741</v>
      </c>
      <c r="G61" s="88">
        <f t="shared" si="11"/>
        <v>-88.80313</v>
      </c>
      <c r="H61" s="88">
        <f t="shared" si="11"/>
        <v>974.91987</v>
      </c>
      <c r="I61" s="88">
        <f t="shared" si="11"/>
        <v>628.2</v>
      </c>
      <c r="J61" s="88">
        <f t="shared" si="11"/>
        <v>100</v>
      </c>
      <c r="K61" s="88">
        <f t="shared" si="11"/>
        <v>696.585</v>
      </c>
      <c r="L61" s="88">
        <f t="shared" si="11"/>
        <v>-68.38499999999998</v>
      </c>
      <c r="M61" s="88">
        <f t="shared" si="11"/>
        <v>906.5348700000001</v>
      </c>
      <c r="N61" s="25" t="s">
        <v>124</v>
      </c>
      <c r="O61" s="24"/>
    </row>
    <row r="62" spans="1:15" ht="22.5" customHeight="1">
      <c r="A62" s="60" t="s">
        <v>14</v>
      </c>
      <c r="B62" s="61" t="s">
        <v>30</v>
      </c>
      <c r="C62" s="41">
        <f>'TH 2022'!L62</f>
        <v>334.80600000000004</v>
      </c>
      <c r="D62" s="100">
        <f>43.295+0.5</f>
        <v>43.795</v>
      </c>
      <c r="E62" s="100"/>
      <c r="F62" s="100">
        <f>41.497+40.065</f>
        <v>81.562</v>
      </c>
      <c r="G62" s="44">
        <f t="shared" si="8"/>
        <v>-37.766999999999996</v>
      </c>
      <c r="H62" s="44">
        <f t="shared" si="3"/>
        <v>297.03900000000004</v>
      </c>
      <c r="I62" s="100">
        <f>49.2</f>
        <v>49.2</v>
      </c>
      <c r="J62" s="100"/>
      <c r="K62" s="100">
        <f>45.5+40</f>
        <v>85.5</v>
      </c>
      <c r="L62" s="44">
        <f t="shared" si="4"/>
        <v>-36.3</v>
      </c>
      <c r="M62" s="44">
        <f t="shared" si="5"/>
        <v>260.73900000000003</v>
      </c>
      <c r="N62" s="11"/>
      <c r="O62" s="24"/>
    </row>
    <row r="63" spans="1:15" ht="22.5" customHeight="1">
      <c r="A63" s="60" t="s">
        <v>15</v>
      </c>
      <c r="B63" s="62" t="s">
        <v>29</v>
      </c>
      <c r="C63" s="41">
        <f>'TH 2022'!L63</f>
        <v>258.544</v>
      </c>
      <c r="D63" s="100">
        <f>255.786+11.9</f>
        <v>267.686</v>
      </c>
      <c r="E63" s="100"/>
      <c r="F63" s="100">
        <f>287.084+15</f>
        <v>302.084</v>
      </c>
      <c r="G63" s="44">
        <f t="shared" si="8"/>
        <v>-34.398000000000025</v>
      </c>
      <c r="H63" s="44">
        <f t="shared" si="3"/>
        <v>224.14600000000002</v>
      </c>
      <c r="I63" s="100">
        <f>270.3</f>
        <v>270.3</v>
      </c>
      <c r="J63" s="100"/>
      <c r="K63" s="100">
        <f>283.89+15</f>
        <v>298.89</v>
      </c>
      <c r="L63" s="44">
        <f t="shared" si="4"/>
        <v>-28.589999999999975</v>
      </c>
      <c r="M63" s="44">
        <f t="shared" si="5"/>
        <v>195.55600000000004</v>
      </c>
      <c r="N63" s="11"/>
      <c r="O63" s="24"/>
    </row>
    <row r="64" spans="1:15" ht="22.5" customHeight="1">
      <c r="A64" s="60" t="s">
        <v>16</v>
      </c>
      <c r="B64" s="62" t="s">
        <v>31</v>
      </c>
      <c r="C64" s="41">
        <f>'TH 2022'!L64</f>
        <v>150.60699999999997</v>
      </c>
      <c r="D64" s="100">
        <f>101.73+50</f>
        <v>151.73000000000002</v>
      </c>
      <c r="E64" s="100"/>
      <c r="F64" s="100">
        <f>116.095+70</f>
        <v>186.095</v>
      </c>
      <c r="G64" s="44">
        <f t="shared" si="8"/>
        <v>-34.36499999999998</v>
      </c>
      <c r="H64" s="44">
        <f t="shared" si="3"/>
        <v>116.24199999999999</v>
      </c>
      <c r="I64" s="100">
        <f>103.7+70</f>
        <v>173.7</v>
      </c>
      <c r="J64" s="100"/>
      <c r="K64" s="100">
        <f>112.195+90</f>
        <v>202.195</v>
      </c>
      <c r="L64" s="44">
        <f t="shared" si="4"/>
        <v>-28.495000000000005</v>
      </c>
      <c r="M64" s="44">
        <f t="shared" si="5"/>
        <v>87.74700000000001</v>
      </c>
      <c r="N64" s="11"/>
      <c r="O64" s="24"/>
    </row>
    <row r="65" spans="1:15" ht="22.5" customHeight="1">
      <c r="A65" s="60" t="s">
        <v>17</v>
      </c>
      <c r="B65" s="68" t="s">
        <v>34</v>
      </c>
      <c r="C65" s="41">
        <f>'TH 2022'!L65</f>
        <v>152.039</v>
      </c>
      <c r="D65" s="100">
        <v>0.72687</v>
      </c>
      <c r="E65" s="100"/>
      <c r="F65" s="100">
        <v>3</v>
      </c>
      <c r="G65" s="44">
        <f t="shared" si="8"/>
        <v>-2.27313</v>
      </c>
      <c r="H65" s="44">
        <f t="shared" si="3"/>
        <v>149.76586999999998</v>
      </c>
      <c r="I65" s="100"/>
      <c r="J65" s="100"/>
      <c r="K65" s="100"/>
      <c r="L65" s="44">
        <f t="shared" si="4"/>
        <v>0</v>
      </c>
      <c r="M65" s="44">
        <f t="shared" si="5"/>
        <v>149.76586999999998</v>
      </c>
      <c r="N65" s="11"/>
      <c r="O65" s="24"/>
    </row>
    <row r="66" spans="1:15" ht="22.5" customHeight="1">
      <c r="A66" s="60" t="s">
        <v>35</v>
      </c>
      <c r="B66" s="61" t="s">
        <v>59</v>
      </c>
      <c r="C66" s="41">
        <f>'TH 2022'!L66</f>
        <v>37.396</v>
      </c>
      <c r="D66" s="100">
        <v>8</v>
      </c>
      <c r="E66" s="100"/>
      <c r="F66" s="100">
        <v>8</v>
      </c>
      <c r="G66" s="44">
        <f t="shared" si="8"/>
        <v>0</v>
      </c>
      <c r="H66" s="44">
        <f t="shared" si="3"/>
        <v>37.396</v>
      </c>
      <c r="I66" s="100">
        <v>10</v>
      </c>
      <c r="J66" s="100"/>
      <c r="K66" s="100">
        <v>10</v>
      </c>
      <c r="L66" s="44">
        <f t="shared" si="4"/>
        <v>0</v>
      </c>
      <c r="M66" s="44">
        <f t="shared" si="5"/>
        <v>37.396</v>
      </c>
      <c r="N66" s="11"/>
      <c r="O66" s="24"/>
    </row>
    <row r="67" spans="1:15" ht="22.5" customHeight="1">
      <c r="A67" s="60" t="s">
        <v>36</v>
      </c>
      <c r="B67" s="61" t="s">
        <v>43</v>
      </c>
      <c r="C67" s="41">
        <f>'TH 2022'!L67</f>
        <v>70.774</v>
      </c>
      <c r="D67" s="100"/>
      <c r="E67" s="100"/>
      <c r="F67" s="100"/>
      <c r="G67" s="44">
        <f t="shared" si="8"/>
        <v>0</v>
      </c>
      <c r="H67" s="44">
        <f t="shared" si="3"/>
        <v>70.774</v>
      </c>
      <c r="I67" s="100"/>
      <c r="J67" s="100"/>
      <c r="K67" s="100"/>
      <c r="L67" s="44">
        <f t="shared" si="4"/>
        <v>0</v>
      </c>
      <c r="M67" s="44">
        <f t="shared" si="5"/>
        <v>70.774</v>
      </c>
      <c r="N67" s="11"/>
      <c r="O67" s="24"/>
    </row>
    <row r="68" spans="1:15" ht="22.5" customHeight="1">
      <c r="A68" s="80">
        <v>7</v>
      </c>
      <c r="B68" s="81" t="s">
        <v>46</v>
      </c>
      <c r="C68" s="41">
        <f>'TH 2022'!L68</f>
        <v>59.557000000000016</v>
      </c>
      <c r="D68" s="37">
        <v>120</v>
      </c>
      <c r="E68" s="37">
        <v>100</v>
      </c>
      <c r="F68" s="37">
        <v>100</v>
      </c>
      <c r="G68" s="44">
        <f t="shared" si="8"/>
        <v>20</v>
      </c>
      <c r="H68" s="44">
        <f t="shared" si="3"/>
        <v>79.55700000000002</v>
      </c>
      <c r="I68" s="37">
        <v>125</v>
      </c>
      <c r="J68" s="37">
        <v>100</v>
      </c>
      <c r="K68" s="37">
        <v>100</v>
      </c>
      <c r="L68" s="44">
        <f t="shared" si="4"/>
        <v>25</v>
      </c>
      <c r="M68" s="44">
        <f t="shared" si="5"/>
        <v>104.55700000000002</v>
      </c>
      <c r="N68" s="11"/>
      <c r="O68" s="24"/>
    </row>
    <row r="69" spans="1:15" s="38" customFormat="1" ht="22.5" customHeight="1">
      <c r="A69" s="74" t="s">
        <v>55</v>
      </c>
      <c r="B69" s="75" t="s">
        <v>56</v>
      </c>
      <c r="C69" s="85">
        <f aca="true" t="shared" si="12" ref="C69:M69">SUM(C70:C80)</f>
        <v>3475.5069860000003</v>
      </c>
      <c r="D69" s="85">
        <f t="shared" si="12"/>
        <v>650.6151160000001</v>
      </c>
      <c r="E69" s="85">
        <f t="shared" si="12"/>
        <v>0</v>
      </c>
      <c r="F69" s="85">
        <f t="shared" si="12"/>
        <v>1119.092</v>
      </c>
      <c r="G69" s="85">
        <f t="shared" si="12"/>
        <v>-468.476884</v>
      </c>
      <c r="H69" s="85">
        <f t="shared" si="12"/>
        <v>3007.030102</v>
      </c>
      <c r="I69" s="85">
        <f t="shared" si="12"/>
        <v>767.3</v>
      </c>
      <c r="J69" s="85">
        <f t="shared" si="12"/>
        <v>0</v>
      </c>
      <c r="K69" s="85">
        <f t="shared" si="12"/>
        <v>1051.3899999999999</v>
      </c>
      <c r="L69" s="85">
        <f t="shared" si="12"/>
        <v>-284.09000000000003</v>
      </c>
      <c r="M69" s="85">
        <f t="shared" si="12"/>
        <v>2722.9401020000005</v>
      </c>
      <c r="N69" s="29"/>
      <c r="O69" s="30"/>
    </row>
    <row r="70" spans="1:15" ht="22.5" customHeight="1">
      <c r="A70" s="60" t="s">
        <v>14</v>
      </c>
      <c r="B70" s="61" t="s">
        <v>43</v>
      </c>
      <c r="C70" s="41">
        <f>'TH 2022'!L70</f>
        <v>25.478500000000004</v>
      </c>
      <c r="D70" s="105"/>
      <c r="E70" s="105"/>
      <c r="F70" s="105"/>
      <c r="G70" s="44">
        <f t="shared" si="8"/>
        <v>0</v>
      </c>
      <c r="H70" s="44">
        <f t="shared" si="3"/>
        <v>25.478500000000004</v>
      </c>
      <c r="I70" s="105"/>
      <c r="J70" s="105"/>
      <c r="K70" s="105"/>
      <c r="L70" s="44">
        <f t="shared" si="4"/>
        <v>0</v>
      </c>
      <c r="M70" s="44">
        <f t="shared" si="5"/>
        <v>25.478500000000004</v>
      </c>
      <c r="N70" s="11"/>
      <c r="O70" s="24"/>
    </row>
    <row r="71" spans="1:15" ht="22.5" customHeight="1">
      <c r="A71" s="60" t="s">
        <v>15</v>
      </c>
      <c r="B71" s="62" t="s">
        <v>57</v>
      </c>
      <c r="C71" s="41">
        <f>'TH 2022'!L71</f>
        <v>373.727</v>
      </c>
      <c r="D71" s="105">
        <f>9.6+7+5+10+12+6+6+15</f>
        <v>70.6</v>
      </c>
      <c r="E71" s="105"/>
      <c r="F71" s="105">
        <f>9.5+5+5+20+10+3+0.9+5+3</f>
        <v>61.4</v>
      </c>
      <c r="G71" s="44">
        <f t="shared" si="8"/>
        <v>9.199999999999996</v>
      </c>
      <c r="H71" s="44">
        <f t="shared" si="3"/>
        <v>382.927</v>
      </c>
      <c r="I71" s="105">
        <f>9.6+9+5+10+13+8+5+15</f>
        <v>74.6</v>
      </c>
      <c r="J71" s="105"/>
      <c r="K71" s="105">
        <f>9.6+6+5+22+13+4+1+50</f>
        <v>110.6</v>
      </c>
      <c r="L71" s="44">
        <f t="shared" si="4"/>
        <v>-36</v>
      </c>
      <c r="M71" s="44">
        <f t="shared" si="5"/>
        <v>346.927</v>
      </c>
      <c r="N71" s="11"/>
      <c r="O71" s="24"/>
    </row>
    <row r="72" spans="1:15" ht="22.5" customHeight="1">
      <c r="A72" s="60" t="s">
        <v>16</v>
      </c>
      <c r="B72" s="62" t="s">
        <v>29</v>
      </c>
      <c r="C72" s="41">
        <f>'TH 2022'!L72</f>
        <v>272.93600000000004</v>
      </c>
      <c r="D72" s="105">
        <f>3+7.5+10+10+6+1+15+3</f>
        <v>55.5</v>
      </c>
      <c r="E72" s="105"/>
      <c r="F72" s="105">
        <f>3+9.5+7+18+26+13+4+1+196+10</f>
        <v>287.5</v>
      </c>
      <c r="G72" s="44">
        <f t="shared" si="8"/>
        <v>-232</v>
      </c>
      <c r="H72" s="44">
        <f t="shared" si="3"/>
        <v>40.936000000000035</v>
      </c>
      <c r="I72" s="105">
        <f>3+9.6+6+8+10+13+8+1+15+3</f>
        <v>76.6</v>
      </c>
      <c r="J72" s="105"/>
      <c r="K72" s="105">
        <f>3+9.6+7+8+27+13+15+1.2+60+3</f>
        <v>146.8</v>
      </c>
      <c r="L72" s="44">
        <f t="shared" si="4"/>
        <v>-70.20000000000002</v>
      </c>
      <c r="M72" s="44">
        <f t="shared" si="5"/>
        <v>-29.26399999999998</v>
      </c>
      <c r="N72" s="11"/>
      <c r="O72" s="24"/>
    </row>
    <row r="73" spans="1:15" ht="22.5" customHeight="1">
      <c r="A73" s="60" t="s">
        <v>17</v>
      </c>
      <c r="B73" s="61" t="s">
        <v>31</v>
      </c>
      <c r="C73" s="41">
        <f>'TH 2022'!L73</f>
        <v>396.42830000000004</v>
      </c>
      <c r="D73" s="105">
        <f>5+10+3+7+5+5+8+14+15+37.295116+15+5</f>
        <v>129.295116</v>
      </c>
      <c r="E73" s="105"/>
      <c r="F73" s="105">
        <f>5+10+17+15+20+16+20+22+12+35+10</f>
        <v>182</v>
      </c>
      <c r="G73" s="44">
        <f t="shared" si="8"/>
        <v>-52.70488399999999</v>
      </c>
      <c r="H73" s="44">
        <f t="shared" si="3"/>
        <v>343.72341600000004</v>
      </c>
      <c r="I73" s="105">
        <f>5+10+7+5+15+13+14+16+40+15+5</f>
        <v>145</v>
      </c>
      <c r="J73" s="105"/>
      <c r="K73" s="105">
        <f>5+10+18+5+22+10+10+20+72+40+5</f>
        <v>217</v>
      </c>
      <c r="L73" s="44">
        <f t="shared" si="4"/>
        <v>-72</v>
      </c>
      <c r="M73" s="44">
        <f t="shared" si="5"/>
        <v>271.72341600000004</v>
      </c>
      <c r="N73" s="11"/>
      <c r="O73" s="24"/>
    </row>
    <row r="74" spans="1:15" ht="22.5" customHeight="1">
      <c r="A74" s="60" t="s">
        <v>35</v>
      </c>
      <c r="B74" s="62" t="s">
        <v>58</v>
      </c>
      <c r="C74" s="41">
        <f>'TH 2022'!L74</f>
        <v>174.07260000000002</v>
      </c>
      <c r="D74" s="105">
        <f>3+11.2+6+4.5+10+17+8+6+30+3</f>
        <v>98.7</v>
      </c>
      <c r="E74" s="105"/>
      <c r="F74" s="105">
        <f>3+11+84.5+25+8+10+7.9+2</f>
        <v>151.4</v>
      </c>
      <c r="G74" s="44">
        <f t="shared" si="8"/>
        <v>-52.7</v>
      </c>
      <c r="H74" s="44">
        <f t="shared" si="3"/>
        <v>121.3726</v>
      </c>
      <c r="I74" s="105">
        <f>3+11.2+7+5+25+8+8+6+30+3</f>
        <v>106.2</v>
      </c>
      <c r="J74" s="105"/>
      <c r="K74" s="105">
        <f>4+11.2+8+5+26+8+10+7+50+4</f>
        <v>133.2</v>
      </c>
      <c r="L74" s="44">
        <f t="shared" si="4"/>
        <v>-26.999999999999986</v>
      </c>
      <c r="M74" s="44">
        <f t="shared" si="5"/>
        <v>94.37260000000003</v>
      </c>
      <c r="N74" s="11"/>
      <c r="O74" s="24"/>
    </row>
    <row r="75" spans="1:15" ht="22.5" customHeight="1">
      <c r="A75" s="60" t="s">
        <v>36</v>
      </c>
      <c r="B75" s="62" t="s">
        <v>59</v>
      </c>
      <c r="C75" s="41">
        <f>'TH 2022'!L75</f>
        <v>401.776</v>
      </c>
      <c r="D75" s="105">
        <f>2+12.5+37+5+7.3+19+13+10+30+8.99</f>
        <v>144.79000000000002</v>
      </c>
      <c r="E75" s="105"/>
      <c r="F75" s="105">
        <f>2.362+12.5+83+7+7.1+20+16+10+15+31.18+8.99</f>
        <v>213.132</v>
      </c>
      <c r="G75" s="44">
        <f t="shared" si="8"/>
        <v>-68.34199999999998</v>
      </c>
      <c r="H75" s="44">
        <f t="shared" si="3"/>
        <v>333.434</v>
      </c>
      <c r="I75" s="105">
        <f>2+12.5+35+5+9+20+18+14+11+30+2</f>
        <v>158.5</v>
      </c>
      <c r="J75" s="105"/>
      <c r="K75" s="105">
        <f>3+12.5+52+7+8+25+15+12+30+3</f>
        <v>167.5</v>
      </c>
      <c r="L75" s="44">
        <f t="shared" si="4"/>
        <v>-9</v>
      </c>
      <c r="M75" s="44">
        <f t="shared" si="5"/>
        <v>324.434</v>
      </c>
      <c r="N75" s="11"/>
      <c r="O75" s="24"/>
    </row>
    <row r="76" spans="1:15" ht="22.5" customHeight="1">
      <c r="A76" s="60" t="s">
        <v>37</v>
      </c>
      <c r="B76" s="68" t="s">
        <v>46</v>
      </c>
      <c r="C76" s="41">
        <f>'TH 2022'!L76</f>
        <v>10.220000000000004</v>
      </c>
      <c r="D76" s="105">
        <f>6+5+12</f>
        <v>23</v>
      </c>
      <c r="E76" s="105"/>
      <c r="F76" s="105">
        <f>7+9.92+12</f>
        <v>28.92</v>
      </c>
      <c r="G76" s="44">
        <f t="shared" si="8"/>
        <v>-5.920000000000002</v>
      </c>
      <c r="H76" s="44">
        <f aca="true" t="shared" si="13" ref="H76:H121">C76+D76-F76</f>
        <v>4.300000000000004</v>
      </c>
      <c r="I76" s="105">
        <f>6+5+13</f>
        <v>24</v>
      </c>
      <c r="J76" s="105"/>
      <c r="K76" s="105">
        <f>6+5+13</f>
        <v>24</v>
      </c>
      <c r="L76" s="44">
        <f aca="true" t="shared" si="14" ref="L76:L121">I76-K76</f>
        <v>0</v>
      </c>
      <c r="M76" s="44">
        <f aca="true" t="shared" si="15" ref="M76:M121">H76+I76-K76</f>
        <v>4.300000000000004</v>
      </c>
      <c r="N76" s="11"/>
      <c r="O76" s="24"/>
    </row>
    <row r="77" spans="1:15" ht="22.5" customHeight="1">
      <c r="A77" s="60" t="s">
        <v>38</v>
      </c>
      <c r="B77" s="61" t="s">
        <v>33</v>
      </c>
      <c r="C77" s="41">
        <f>'TH 2022'!L77</f>
        <v>192.975</v>
      </c>
      <c r="D77" s="105">
        <v>10.6</v>
      </c>
      <c r="E77" s="105"/>
      <c r="F77" s="105">
        <f>4+9+8+8+5+5.5+10.6</f>
        <v>50.1</v>
      </c>
      <c r="G77" s="44">
        <f t="shared" si="8"/>
        <v>-39.5</v>
      </c>
      <c r="H77" s="44">
        <f t="shared" si="13"/>
        <v>153.475</v>
      </c>
      <c r="I77" s="105">
        <f>6+10+13+2.2+15</f>
        <v>46.2</v>
      </c>
      <c r="J77" s="105"/>
      <c r="K77" s="105">
        <f>5+30+8+10+5+30</f>
        <v>88</v>
      </c>
      <c r="L77" s="44">
        <f t="shared" si="14"/>
        <v>-41.8</v>
      </c>
      <c r="M77" s="44">
        <f t="shared" si="15"/>
        <v>111.67500000000001</v>
      </c>
      <c r="N77" s="11"/>
      <c r="O77" s="24"/>
    </row>
    <row r="78" spans="1:15" ht="22.5" customHeight="1">
      <c r="A78" s="60" t="s">
        <v>39</v>
      </c>
      <c r="B78" s="62" t="s">
        <v>60</v>
      </c>
      <c r="C78" s="41">
        <f>'TH 2022'!L78</f>
        <v>178.72822000000002</v>
      </c>
      <c r="D78" s="105">
        <f>11.2+10+89.93</f>
        <v>111.13000000000001</v>
      </c>
      <c r="E78" s="105"/>
      <c r="F78" s="105">
        <f>11+10+3.63</f>
        <v>24.63</v>
      </c>
      <c r="G78" s="44">
        <f t="shared" si="8"/>
        <v>86.50000000000001</v>
      </c>
      <c r="H78" s="44">
        <f t="shared" si="13"/>
        <v>265.22822</v>
      </c>
      <c r="I78" s="105">
        <f>11.2+10+8+100</f>
        <v>129.2</v>
      </c>
      <c r="J78" s="105"/>
      <c r="K78" s="105">
        <f>11.29+136</f>
        <v>147.29</v>
      </c>
      <c r="L78" s="44">
        <f t="shared" si="14"/>
        <v>-18.090000000000003</v>
      </c>
      <c r="M78" s="44">
        <f t="shared" si="15"/>
        <v>247.13822000000002</v>
      </c>
      <c r="N78" s="11"/>
      <c r="O78" s="24"/>
    </row>
    <row r="79" spans="1:15" ht="22.5" customHeight="1">
      <c r="A79" s="60" t="s">
        <v>40</v>
      </c>
      <c r="B79" s="62" t="s">
        <v>61</v>
      </c>
      <c r="C79" s="41">
        <f>'TH 2022'!L79</f>
        <v>20.391</v>
      </c>
      <c r="D79" s="105">
        <f>7</f>
        <v>7</v>
      </c>
      <c r="E79" s="105"/>
      <c r="F79" s="105">
        <f>7+108.01</f>
        <v>115.01</v>
      </c>
      <c r="G79" s="44">
        <f t="shared" si="8"/>
        <v>-108.01</v>
      </c>
      <c r="H79" s="44">
        <f t="shared" si="13"/>
        <v>-87.619</v>
      </c>
      <c r="I79" s="105">
        <f>7</f>
        <v>7</v>
      </c>
      <c r="J79" s="105"/>
      <c r="K79" s="105">
        <f>7</f>
        <v>7</v>
      </c>
      <c r="L79" s="44">
        <f t="shared" si="14"/>
        <v>0</v>
      </c>
      <c r="M79" s="44">
        <f t="shared" si="15"/>
        <v>-87.619</v>
      </c>
      <c r="N79" s="11"/>
      <c r="O79" s="24"/>
    </row>
    <row r="80" spans="1:15" ht="22.5" customHeight="1">
      <c r="A80" s="60" t="s">
        <v>41</v>
      </c>
      <c r="B80" s="61" t="s">
        <v>34</v>
      </c>
      <c r="C80" s="41">
        <f>'TH 2022'!L80</f>
        <v>1428.774366</v>
      </c>
      <c r="D80" s="105"/>
      <c r="E80" s="105"/>
      <c r="F80" s="105">
        <f>5</f>
        <v>5</v>
      </c>
      <c r="G80" s="44">
        <f t="shared" si="8"/>
        <v>-5</v>
      </c>
      <c r="H80" s="44">
        <f t="shared" si="13"/>
        <v>1423.774366</v>
      </c>
      <c r="I80" s="105"/>
      <c r="J80" s="105"/>
      <c r="K80" s="105">
        <f>10</f>
        <v>10</v>
      </c>
      <c r="L80" s="44">
        <f t="shared" si="14"/>
        <v>-10</v>
      </c>
      <c r="M80" s="44">
        <f t="shared" si="15"/>
        <v>1413.774366</v>
      </c>
      <c r="N80" s="11"/>
      <c r="O80" s="24"/>
    </row>
    <row r="81" spans="1:15" s="22" customFormat="1" ht="22.5" customHeight="1">
      <c r="A81" s="86" t="s">
        <v>62</v>
      </c>
      <c r="B81" s="87" t="s">
        <v>63</v>
      </c>
      <c r="C81" s="88">
        <f>SUM(C82:C93)</f>
        <v>2526.654113</v>
      </c>
      <c r="D81" s="88">
        <f>SUM(D82:D93)</f>
        <v>2157.5910000000003</v>
      </c>
      <c r="E81" s="88">
        <f aca="true" t="shared" si="16" ref="E81:M81">SUM(E82:E93)</f>
        <v>50</v>
      </c>
      <c r="F81" s="88">
        <f t="shared" si="16"/>
        <v>1892.3870000000002</v>
      </c>
      <c r="G81" s="88">
        <f t="shared" si="16"/>
        <v>265.20399999999984</v>
      </c>
      <c r="H81" s="88">
        <f t="shared" si="16"/>
        <v>2791.858113</v>
      </c>
      <c r="I81" s="88">
        <f t="shared" si="16"/>
        <v>7697.756</v>
      </c>
      <c r="J81" s="88">
        <f t="shared" si="16"/>
        <v>50</v>
      </c>
      <c r="K81" s="88">
        <f t="shared" si="16"/>
        <v>930.0730000000001</v>
      </c>
      <c r="L81" s="88">
        <f t="shared" si="16"/>
        <v>6767.683</v>
      </c>
      <c r="M81" s="88">
        <f t="shared" si="16"/>
        <v>9559.541113</v>
      </c>
      <c r="N81" s="11"/>
      <c r="O81" s="24"/>
    </row>
    <row r="82" spans="1:15" ht="22.5" customHeight="1">
      <c r="A82" s="70" t="s">
        <v>14</v>
      </c>
      <c r="B82" s="68" t="s">
        <v>64</v>
      </c>
      <c r="C82" s="41">
        <f>'TH 2022'!L82</f>
        <v>503.01463</v>
      </c>
      <c r="D82" s="41">
        <v>101.186</v>
      </c>
      <c r="E82" s="41">
        <v>0</v>
      </c>
      <c r="F82" s="41">
        <v>95.66</v>
      </c>
      <c r="G82" s="44">
        <f t="shared" si="8"/>
        <v>5.5260000000000105</v>
      </c>
      <c r="H82" s="44">
        <f t="shared" si="13"/>
        <v>508.5406300000001</v>
      </c>
      <c r="I82" s="41">
        <v>162.55</v>
      </c>
      <c r="J82" s="41">
        <v>0</v>
      </c>
      <c r="K82" s="41">
        <v>122.00000000000001</v>
      </c>
      <c r="L82" s="44">
        <f t="shared" si="14"/>
        <v>40.55</v>
      </c>
      <c r="M82" s="44">
        <f t="shared" si="15"/>
        <v>549.0906300000001</v>
      </c>
      <c r="N82" s="11"/>
      <c r="O82" s="24"/>
    </row>
    <row r="83" spans="1:15" ht="22.5" customHeight="1">
      <c r="A83" s="60" t="s">
        <v>15</v>
      </c>
      <c r="B83" s="61" t="s">
        <v>65</v>
      </c>
      <c r="C83" s="41">
        <f>'TH 2022'!L83</f>
        <v>150.42899999999995</v>
      </c>
      <c r="D83" s="41">
        <v>124.116</v>
      </c>
      <c r="E83" s="41">
        <v>0</v>
      </c>
      <c r="F83" s="41">
        <v>94.417</v>
      </c>
      <c r="G83" s="44">
        <f t="shared" si="8"/>
        <v>29.698999999999998</v>
      </c>
      <c r="H83" s="44">
        <f t="shared" si="13"/>
        <v>180.12799999999996</v>
      </c>
      <c r="I83" s="41">
        <v>127.786</v>
      </c>
      <c r="J83" s="41">
        <v>0</v>
      </c>
      <c r="K83" s="41">
        <v>112.30000000000001</v>
      </c>
      <c r="L83" s="44">
        <f t="shared" si="14"/>
        <v>15.48599999999999</v>
      </c>
      <c r="M83" s="44">
        <f t="shared" si="15"/>
        <v>195.61399999999998</v>
      </c>
      <c r="N83" s="11"/>
      <c r="O83" s="24"/>
    </row>
    <row r="84" spans="1:15" ht="22.5" customHeight="1">
      <c r="A84" s="60" t="s">
        <v>16</v>
      </c>
      <c r="B84" s="62" t="s">
        <v>66</v>
      </c>
      <c r="C84" s="41">
        <f>'TH 2022'!L84</f>
        <v>87.50200000000001</v>
      </c>
      <c r="D84" s="41">
        <v>130</v>
      </c>
      <c r="E84" s="41">
        <v>0</v>
      </c>
      <c r="F84" s="41">
        <v>47.58</v>
      </c>
      <c r="G84" s="44">
        <f t="shared" si="8"/>
        <v>82.42</v>
      </c>
      <c r="H84" s="44">
        <f t="shared" si="13"/>
        <v>169.92200000000003</v>
      </c>
      <c r="I84" s="41">
        <v>162</v>
      </c>
      <c r="J84" s="41">
        <v>0</v>
      </c>
      <c r="K84" s="41">
        <v>55.7</v>
      </c>
      <c r="L84" s="44">
        <f t="shared" si="14"/>
        <v>106.3</v>
      </c>
      <c r="M84" s="44">
        <f t="shared" si="15"/>
        <v>276.22200000000004</v>
      </c>
      <c r="N84" s="11"/>
      <c r="O84" s="24"/>
    </row>
    <row r="85" spans="1:15" ht="22.5" customHeight="1">
      <c r="A85" s="60" t="s">
        <v>17</v>
      </c>
      <c r="B85" s="62" t="s">
        <v>44</v>
      </c>
      <c r="C85" s="41">
        <f>'TH 2022'!L85</f>
        <v>108.18699999999998</v>
      </c>
      <c r="D85" s="41">
        <v>34</v>
      </c>
      <c r="E85" s="41">
        <v>0</v>
      </c>
      <c r="F85" s="41">
        <v>67</v>
      </c>
      <c r="G85" s="44">
        <f t="shared" si="8"/>
        <v>-33</v>
      </c>
      <c r="H85" s="44">
        <f t="shared" si="13"/>
        <v>75.18699999999998</v>
      </c>
      <c r="I85" s="41">
        <v>3.8</v>
      </c>
      <c r="J85" s="41">
        <v>0</v>
      </c>
      <c r="K85" s="41">
        <v>64</v>
      </c>
      <c r="L85" s="44">
        <f t="shared" si="14"/>
        <v>-60.2</v>
      </c>
      <c r="M85" s="44">
        <f t="shared" si="15"/>
        <v>14.98699999999998</v>
      </c>
      <c r="N85" s="11"/>
      <c r="O85" s="24"/>
    </row>
    <row r="86" spans="1:15" ht="22.5" customHeight="1">
      <c r="A86" s="60" t="s">
        <v>35</v>
      </c>
      <c r="B86" s="61" t="s">
        <v>28</v>
      </c>
      <c r="C86" s="41">
        <f>'TH 2022'!L86</f>
        <v>171.537639</v>
      </c>
      <c r="D86" s="41">
        <v>108.3</v>
      </c>
      <c r="E86" s="41">
        <v>0</v>
      </c>
      <c r="F86" s="41">
        <v>73.024</v>
      </c>
      <c r="G86" s="44">
        <f t="shared" si="8"/>
        <v>35.275999999999996</v>
      </c>
      <c r="H86" s="44">
        <f t="shared" si="13"/>
        <v>206.81363900000002</v>
      </c>
      <c r="I86" s="41">
        <v>60.88</v>
      </c>
      <c r="J86" s="41">
        <v>0</v>
      </c>
      <c r="K86" s="41">
        <v>83.44800000000001</v>
      </c>
      <c r="L86" s="44">
        <f t="shared" si="14"/>
        <v>-22.568000000000005</v>
      </c>
      <c r="M86" s="44">
        <f t="shared" si="15"/>
        <v>184.245639</v>
      </c>
      <c r="N86" s="11"/>
      <c r="O86" s="24"/>
    </row>
    <row r="87" spans="1:15" ht="22.5" customHeight="1">
      <c r="A87" s="60" t="s">
        <v>36</v>
      </c>
      <c r="B87" s="62" t="s">
        <v>31</v>
      </c>
      <c r="C87" s="41">
        <f>'TH 2022'!L87</f>
        <v>842.1390779999999</v>
      </c>
      <c r="D87" s="41">
        <v>1075.033</v>
      </c>
      <c r="E87" s="41">
        <v>0</v>
      </c>
      <c r="F87" s="41">
        <v>1076.851</v>
      </c>
      <c r="G87" s="44">
        <f t="shared" si="8"/>
        <v>-1.818000000000211</v>
      </c>
      <c r="H87" s="44">
        <f t="shared" si="13"/>
        <v>840.3210779999997</v>
      </c>
      <c r="I87" s="41">
        <v>531.24</v>
      </c>
      <c r="J87" s="41">
        <v>0</v>
      </c>
      <c r="K87" s="41">
        <v>328.225</v>
      </c>
      <c r="L87" s="44">
        <f t="shared" si="14"/>
        <v>203.015</v>
      </c>
      <c r="M87" s="44">
        <f t="shared" si="15"/>
        <v>1043.3360779999998</v>
      </c>
      <c r="N87" s="11"/>
      <c r="O87" s="24"/>
    </row>
    <row r="88" spans="1:15" ht="22.5" customHeight="1">
      <c r="A88" s="60" t="s">
        <v>37</v>
      </c>
      <c r="B88" s="62" t="s">
        <v>67</v>
      </c>
      <c r="C88" s="41">
        <f>'TH 2022'!L88</f>
        <v>411.76622499999996</v>
      </c>
      <c r="D88" s="41">
        <v>0</v>
      </c>
      <c r="E88" s="41">
        <v>0</v>
      </c>
      <c r="F88" s="41">
        <v>81.365</v>
      </c>
      <c r="G88" s="44">
        <f t="shared" si="8"/>
        <v>-81.365</v>
      </c>
      <c r="H88" s="44">
        <f t="shared" si="13"/>
        <v>330.40122499999995</v>
      </c>
      <c r="I88" s="41">
        <v>0</v>
      </c>
      <c r="J88" s="41">
        <v>0</v>
      </c>
      <c r="K88" s="41">
        <v>0</v>
      </c>
      <c r="L88" s="44">
        <f t="shared" si="14"/>
        <v>0</v>
      </c>
      <c r="M88" s="44">
        <f t="shared" si="15"/>
        <v>330.40122499999995</v>
      </c>
      <c r="N88" s="11"/>
      <c r="O88" s="24"/>
    </row>
    <row r="89" spans="1:15" ht="22.5" customHeight="1">
      <c r="A89" s="70" t="s">
        <v>38</v>
      </c>
      <c r="B89" s="68" t="s">
        <v>68</v>
      </c>
      <c r="C89" s="41">
        <f>'TH 2022'!L89</f>
        <v>110.20299999999997</v>
      </c>
      <c r="D89" s="41">
        <v>124</v>
      </c>
      <c r="E89" s="41">
        <v>50</v>
      </c>
      <c r="F89" s="41">
        <v>0</v>
      </c>
      <c r="G89" s="44">
        <f t="shared" si="8"/>
        <v>124</v>
      </c>
      <c r="H89" s="44">
        <f t="shared" si="13"/>
        <v>234.20299999999997</v>
      </c>
      <c r="I89" s="41">
        <v>100</v>
      </c>
      <c r="J89" s="41">
        <v>50</v>
      </c>
      <c r="K89" s="41">
        <v>0</v>
      </c>
      <c r="L89" s="44">
        <f t="shared" si="14"/>
        <v>100</v>
      </c>
      <c r="M89" s="44">
        <f t="shared" si="15"/>
        <v>334.203</v>
      </c>
      <c r="N89" s="11"/>
      <c r="O89" s="24"/>
    </row>
    <row r="90" spans="1:15" ht="22.5" customHeight="1">
      <c r="A90" s="60" t="s">
        <v>39</v>
      </c>
      <c r="B90" s="61" t="s">
        <v>103</v>
      </c>
      <c r="C90" s="41">
        <f>'TH 2022'!L90</f>
        <v>69.68754100000024</v>
      </c>
      <c r="D90" s="41">
        <v>400</v>
      </c>
      <c r="E90" s="41">
        <v>0</v>
      </c>
      <c r="F90" s="41">
        <v>300</v>
      </c>
      <c r="G90" s="44">
        <f t="shared" si="8"/>
        <v>100</v>
      </c>
      <c r="H90" s="44">
        <f t="shared" si="13"/>
        <v>169.68754100000024</v>
      </c>
      <c r="I90" s="41">
        <v>6500</v>
      </c>
      <c r="J90" s="41">
        <v>0</v>
      </c>
      <c r="K90" s="41">
        <v>100</v>
      </c>
      <c r="L90" s="44">
        <f t="shared" si="14"/>
        <v>6400</v>
      </c>
      <c r="M90" s="44">
        <f t="shared" si="15"/>
        <v>6569.687541</v>
      </c>
      <c r="N90" s="11"/>
      <c r="O90" s="24"/>
    </row>
    <row r="91" spans="1:15" ht="22.5" customHeight="1">
      <c r="A91" s="70" t="s">
        <v>40</v>
      </c>
      <c r="B91" s="62" t="s">
        <v>58</v>
      </c>
      <c r="C91" s="41">
        <f>'TH 2022'!L91</f>
        <v>64.451</v>
      </c>
      <c r="D91" s="41">
        <v>59.669999999999995</v>
      </c>
      <c r="E91" s="41">
        <v>0</v>
      </c>
      <c r="F91" s="41">
        <v>53.99</v>
      </c>
      <c r="G91" s="44">
        <f t="shared" si="8"/>
        <v>5.679999999999993</v>
      </c>
      <c r="H91" s="44">
        <f t="shared" si="13"/>
        <v>70.13099999999997</v>
      </c>
      <c r="I91" s="41">
        <v>48.3</v>
      </c>
      <c r="J91" s="41">
        <v>0</v>
      </c>
      <c r="K91" s="41">
        <v>62.7</v>
      </c>
      <c r="L91" s="44">
        <f t="shared" si="14"/>
        <v>-14.400000000000006</v>
      </c>
      <c r="M91" s="44">
        <f t="shared" si="15"/>
        <v>55.730999999999966</v>
      </c>
      <c r="N91" s="11"/>
      <c r="O91" s="24"/>
    </row>
    <row r="92" spans="1:15" ht="22.5" customHeight="1">
      <c r="A92" s="60" t="s">
        <v>41</v>
      </c>
      <c r="B92" s="62" t="s">
        <v>69</v>
      </c>
      <c r="C92" s="41">
        <f>'TH 2022'!L92</f>
        <v>3.3099999999999996</v>
      </c>
      <c r="D92" s="41">
        <v>1.286</v>
      </c>
      <c r="E92" s="41">
        <v>0</v>
      </c>
      <c r="F92" s="41">
        <v>2.5</v>
      </c>
      <c r="G92" s="44">
        <f t="shared" si="8"/>
        <v>-1.214</v>
      </c>
      <c r="H92" s="44">
        <f t="shared" si="13"/>
        <v>2.096</v>
      </c>
      <c r="I92" s="41">
        <v>1.2</v>
      </c>
      <c r="J92" s="41">
        <v>0</v>
      </c>
      <c r="K92" s="41">
        <v>1.7</v>
      </c>
      <c r="L92" s="44">
        <f t="shared" si="14"/>
        <v>-0.5</v>
      </c>
      <c r="M92" s="44">
        <f t="shared" si="15"/>
        <v>1.5960000000000003</v>
      </c>
      <c r="N92" s="11"/>
      <c r="O92" s="24"/>
    </row>
    <row r="93" spans="1:15" ht="22.5" customHeight="1">
      <c r="A93" s="70" t="s">
        <v>51</v>
      </c>
      <c r="B93" s="68" t="s">
        <v>70</v>
      </c>
      <c r="C93" s="41">
        <f>'TH 2022'!L93</f>
        <v>4.427</v>
      </c>
      <c r="D93" s="41"/>
      <c r="E93" s="41"/>
      <c r="F93" s="41"/>
      <c r="G93" s="44">
        <f t="shared" si="8"/>
        <v>0</v>
      </c>
      <c r="H93" s="44">
        <f t="shared" si="13"/>
        <v>4.427</v>
      </c>
      <c r="I93" s="41"/>
      <c r="J93" s="41"/>
      <c r="K93" s="41"/>
      <c r="L93" s="44">
        <f t="shared" si="14"/>
        <v>0</v>
      </c>
      <c r="M93" s="44">
        <f t="shared" si="15"/>
        <v>4.427</v>
      </c>
      <c r="N93" s="11"/>
      <c r="O93" s="24"/>
    </row>
    <row r="94" spans="1:15" s="22" customFormat="1" ht="22.5" customHeight="1">
      <c r="A94" s="86" t="s">
        <v>72</v>
      </c>
      <c r="B94" s="104" t="s">
        <v>76</v>
      </c>
      <c r="C94" s="88">
        <f aca="true" t="shared" si="17" ref="C94:M94">SUM(C95:C104)</f>
        <v>7461.138448</v>
      </c>
      <c r="D94" s="88">
        <f t="shared" si="17"/>
        <v>1708.058841</v>
      </c>
      <c r="E94" s="88">
        <f t="shared" si="17"/>
        <v>60</v>
      </c>
      <c r="F94" s="88">
        <f t="shared" si="17"/>
        <v>1489.172</v>
      </c>
      <c r="G94" s="88">
        <f t="shared" si="17"/>
        <v>218.88684100000003</v>
      </c>
      <c r="H94" s="88">
        <f t="shared" si="17"/>
        <v>7680.025288999999</v>
      </c>
      <c r="I94" s="88">
        <f t="shared" si="17"/>
        <v>2015.397</v>
      </c>
      <c r="J94" s="88">
        <f t="shared" si="17"/>
        <v>60</v>
      </c>
      <c r="K94" s="88">
        <f t="shared" si="17"/>
        <v>1886.02</v>
      </c>
      <c r="L94" s="88">
        <f t="shared" si="17"/>
        <v>129.377</v>
      </c>
      <c r="M94" s="88">
        <f t="shared" si="17"/>
        <v>7809.402289</v>
      </c>
      <c r="N94" s="25" t="s">
        <v>124</v>
      </c>
      <c r="O94" s="24"/>
    </row>
    <row r="95" spans="1:15" ht="22.5" customHeight="1">
      <c r="A95" s="60">
        <v>1</v>
      </c>
      <c r="B95" s="62" t="s">
        <v>31</v>
      </c>
      <c r="C95" s="41">
        <f>'TH 2022'!L95</f>
        <v>443.973406</v>
      </c>
      <c r="D95" s="41">
        <v>192.21699999999998</v>
      </c>
      <c r="E95" s="41">
        <v>0</v>
      </c>
      <c r="F95" s="41">
        <v>159.872</v>
      </c>
      <c r="G95" s="44">
        <f t="shared" si="8"/>
        <v>32.34499999999997</v>
      </c>
      <c r="H95" s="44">
        <f t="shared" si="13"/>
        <v>476.3184059999999</v>
      </c>
      <c r="I95" s="41">
        <v>212.822</v>
      </c>
      <c r="J95" s="41"/>
      <c r="K95" s="41">
        <v>177</v>
      </c>
      <c r="L95" s="44">
        <f t="shared" si="14"/>
        <v>35.822</v>
      </c>
      <c r="M95" s="44">
        <f t="shared" si="15"/>
        <v>512.140406</v>
      </c>
      <c r="N95" s="11"/>
      <c r="O95" s="24"/>
    </row>
    <row r="96" spans="1:15" ht="22.5" customHeight="1">
      <c r="A96" s="60" t="s">
        <v>15</v>
      </c>
      <c r="B96" s="62" t="s">
        <v>30</v>
      </c>
      <c r="C96" s="41">
        <f>'TH 2022'!L96</f>
        <v>629.4605</v>
      </c>
      <c r="D96" s="41">
        <v>135.532</v>
      </c>
      <c r="E96" s="41"/>
      <c r="F96" s="41">
        <v>114.3</v>
      </c>
      <c r="G96" s="44">
        <f t="shared" si="8"/>
        <v>21.232000000000014</v>
      </c>
      <c r="H96" s="44">
        <f t="shared" si="13"/>
        <v>650.6925000000001</v>
      </c>
      <c r="I96" s="41">
        <v>132.563</v>
      </c>
      <c r="J96" s="41"/>
      <c r="K96" s="41">
        <v>96.55</v>
      </c>
      <c r="L96" s="44">
        <f t="shared" si="14"/>
        <v>36.01299999999999</v>
      </c>
      <c r="M96" s="44">
        <f t="shared" si="15"/>
        <v>686.7055000000001</v>
      </c>
      <c r="N96" s="11"/>
      <c r="O96" s="24"/>
    </row>
    <row r="97" spans="1:15" ht="22.5" customHeight="1">
      <c r="A97" s="60" t="s">
        <v>16</v>
      </c>
      <c r="B97" s="61" t="s">
        <v>73</v>
      </c>
      <c r="C97" s="41">
        <f>'TH 2022'!L97</f>
        <v>31.8577</v>
      </c>
      <c r="D97" s="41">
        <v>4</v>
      </c>
      <c r="E97" s="41">
        <v>0</v>
      </c>
      <c r="F97" s="41">
        <v>4</v>
      </c>
      <c r="G97" s="44">
        <f aca="true" t="shared" si="18" ref="G97:G104">D97-F97</f>
        <v>0</v>
      </c>
      <c r="H97" s="44">
        <f t="shared" si="13"/>
        <v>31.8577</v>
      </c>
      <c r="I97" s="41">
        <v>5</v>
      </c>
      <c r="J97" s="41"/>
      <c r="K97" s="41">
        <v>5</v>
      </c>
      <c r="L97" s="44">
        <f t="shared" si="14"/>
        <v>0</v>
      </c>
      <c r="M97" s="44">
        <f t="shared" si="15"/>
        <v>31.8577</v>
      </c>
      <c r="N97" s="11"/>
      <c r="O97" s="24"/>
    </row>
    <row r="98" spans="1:15" ht="22.5" customHeight="1">
      <c r="A98" s="60" t="s">
        <v>17</v>
      </c>
      <c r="B98" s="62" t="s">
        <v>29</v>
      </c>
      <c r="C98" s="41">
        <f>'TH 2022'!L98</f>
        <v>614.2444030000001</v>
      </c>
      <c r="D98" s="41">
        <v>99.20700000000001</v>
      </c>
      <c r="E98" s="41">
        <v>0</v>
      </c>
      <c r="F98" s="41">
        <v>87.4</v>
      </c>
      <c r="G98" s="44">
        <f t="shared" si="18"/>
        <v>11.807000000000002</v>
      </c>
      <c r="H98" s="44">
        <f t="shared" si="13"/>
        <v>626.0514030000002</v>
      </c>
      <c r="I98" s="41">
        <v>102.983</v>
      </c>
      <c r="J98" s="41"/>
      <c r="K98" s="41">
        <v>85.7</v>
      </c>
      <c r="L98" s="44">
        <f t="shared" si="14"/>
        <v>17.283</v>
      </c>
      <c r="M98" s="44">
        <f t="shared" si="15"/>
        <v>643.3344030000001</v>
      </c>
      <c r="N98" s="11"/>
      <c r="O98" s="24"/>
    </row>
    <row r="99" spans="1:15" ht="22.5" customHeight="1">
      <c r="A99" s="60">
        <v>5</v>
      </c>
      <c r="B99" s="62" t="s">
        <v>59</v>
      </c>
      <c r="C99" s="41">
        <f>'TH 2022'!L99</f>
        <v>181.25698300000005</v>
      </c>
      <c r="D99" s="41">
        <v>165.317841</v>
      </c>
      <c r="E99" s="41"/>
      <c r="F99" s="41">
        <v>133.2</v>
      </c>
      <c r="G99" s="44">
        <f t="shared" si="18"/>
        <v>32.117841</v>
      </c>
      <c r="H99" s="44">
        <f t="shared" si="13"/>
        <v>213.37482400000005</v>
      </c>
      <c r="I99" s="41">
        <v>168.692</v>
      </c>
      <c r="J99" s="41"/>
      <c r="K99" s="41">
        <v>137.47</v>
      </c>
      <c r="L99" s="44">
        <f t="shared" si="14"/>
        <v>31.22200000000001</v>
      </c>
      <c r="M99" s="44">
        <f t="shared" si="15"/>
        <v>244.59682400000005</v>
      </c>
      <c r="N99" s="11"/>
      <c r="O99" s="24"/>
    </row>
    <row r="100" spans="1:15" ht="22.5" customHeight="1">
      <c r="A100" s="70" t="s">
        <v>36</v>
      </c>
      <c r="B100" s="68" t="s">
        <v>32</v>
      </c>
      <c r="C100" s="41">
        <f>'TH 2022'!L100</f>
        <v>103.20875600000001</v>
      </c>
      <c r="D100" s="41">
        <v>65.785</v>
      </c>
      <c r="E100" s="41">
        <v>0</v>
      </c>
      <c r="F100" s="41">
        <v>59.099999999999994</v>
      </c>
      <c r="G100" s="44">
        <f t="shared" si="18"/>
        <v>6.685000000000002</v>
      </c>
      <c r="H100" s="44">
        <f t="shared" si="13"/>
        <v>109.89375600000002</v>
      </c>
      <c r="I100" s="41">
        <v>67.337</v>
      </c>
      <c r="J100" s="41">
        <v>0</v>
      </c>
      <c r="K100" s="41">
        <v>58.3</v>
      </c>
      <c r="L100" s="44">
        <f t="shared" si="14"/>
        <v>9.037000000000006</v>
      </c>
      <c r="M100" s="44">
        <f t="shared" si="15"/>
        <v>118.93075600000004</v>
      </c>
      <c r="N100" s="11"/>
      <c r="O100" s="24"/>
    </row>
    <row r="101" spans="1:15" ht="22.5" customHeight="1">
      <c r="A101" s="60" t="s">
        <v>37</v>
      </c>
      <c r="B101" s="61" t="s">
        <v>74</v>
      </c>
      <c r="C101" s="41">
        <f>'TH 2022'!L101</f>
        <v>35.639</v>
      </c>
      <c r="D101" s="41">
        <v>6</v>
      </c>
      <c r="E101" s="41">
        <v>0</v>
      </c>
      <c r="F101" s="41">
        <v>6</v>
      </c>
      <c r="G101" s="44">
        <f t="shared" si="18"/>
        <v>0</v>
      </c>
      <c r="H101" s="44">
        <f t="shared" si="13"/>
        <v>35.639</v>
      </c>
      <c r="I101" s="41">
        <v>6</v>
      </c>
      <c r="J101" s="41">
        <v>0</v>
      </c>
      <c r="K101" s="41">
        <v>6</v>
      </c>
      <c r="L101" s="44">
        <f t="shared" si="14"/>
        <v>0</v>
      </c>
      <c r="M101" s="44">
        <f t="shared" si="15"/>
        <v>35.639</v>
      </c>
      <c r="N101" s="11"/>
      <c r="O101" s="24"/>
    </row>
    <row r="102" spans="1:15" ht="22.5" customHeight="1">
      <c r="A102" s="70" t="s">
        <v>38</v>
      </c>
      <c r="B102" s="72" t="s">
        <v>127</v>
      </c>
      <c r="C102" s="41">
        <f>'TH 2022'!L102</f>
        <v>25.414700000000003</v>
      </c>
      <c r="D102" s="41"/>
      <c r="E102" s="41"/>
      <c r="F102" s="41"/>
      <c r="G102" s="44">
        <f t="shared" si="18"/>
        <v>0</v>
      </c>
      <c r="H102" s="44">
        <f t="shared" si="13"/>
        <v>25.414700000000003</v>
      </c>
      <c r="I102" s="41"/>
      <c r="J102" s="41"/>
      <c r="K102" s="41"/>
      <c r="L102" s="44">
        <f t="shared" si="14"/>
        <v>0</v>
      </c>
      <c r="M102" s="44">
        <f t="shared" si="15"/>
        <v>25.414700000000003</v>
      </c>
      <c r="N102" s="11"/>
      <c r="O102" s="24"/>
    </row>
    <row r="103" spans="1:15" ht="22.5" customHeight="1">
      <c r="A103" s="60" t="s">
        <v>39</v>
      </c>
      <c r="B103" s="62" t="s">
        <v>115</v>
      </c>
      <c r="C103" s="41">
        <f>'TH 2022'!L103</f>
        <v>4384.799999999999</v>
      </c>
      <c r="D103" s="41">
        <v>930</v>
      </c>
      <c r="E103" s="41"/>
      <c r="F103" s="41">
        <v>925.3</v>
      </c>
      <c r="G103" s="44">
        <f t="shared" si="18"/>
        <v>4.7000000000000455</v>
      </c>
      <c r="H103" s="44">
        <f t="shared" si="13"/>
        <v>4389.499999999999</v>
      </c>
      <c r="I103" s="41">
        <v>1200</v>
      </c>
      <c r="J103" s="41"/>
      <c r="K103" s="41">
        <v>1200</v>
      </c>
      <c r="L103" s="44">
        <f t="shared" si="14"/>
        <v>0</v>
      </c>
      <c r="M103" s="44">
        <f t="shared" si="15"/>
        <v>4389.499999999999</v>
      </c>
      <c r="N103" s="11"/>
      <c r="O103" s="24"/>
    </row>
    <row r="104" spans="1:15" ht="22.5" customHeight="1">
      <c r="A104" s="70" t="s">
        <v>40</v>
      </c>
      <c r="B104" s="62" t="s">
        <v>75</v>
      </c>
      <c r="C104" s="41">
        <f>'TH 2022'!L104</f>
        <v>1011.2829999999999</v>
      </c>
      <c r="D104" s="41">
        <v>110</v>
      </c>
      <c r="E104" s="41">
        <v>60</v>
      </c>
      <c r="F104" s="41">
        <v>0</v>
      </c>
      <c r="G104" s="44">
        <f t="shared" si="18"/>
        <v>110</v>
      </c>
      <c r="H104" s="44">
        <f t="shared" si="13"/>
        <v>1121.283</v>
      </c>
      <c r="I104" s="41">
        <v>120</v>
      </c>
      <c r="J104" s="41">
        <v>60</v>
      </c>
      <c r="K104" s="41">
        <v>120</v>
      </c>
      <c r="L104" s="44">
        <f t="shared" si="14"/>
        <v>0</v>
      </c>
      <c r="M104" s="44">
        <f t="shared" si="15"/>
        <v>1121.283</v>
      </c>
      <c r="N104" s="11"/>
      <c r="O104" s="24"/>
    </row>
    <row r="105" spans="1:15" s="22" customFormat="1" ht="22.5" customHeight="1">
      <c r="A105" s="82" t="s">
        <v>77</v>
      </c>
      <c r="B105" s="83" t="s">
        <v>78</v>
      </c>
      <c r="C105" s="85">
        <f>SUM(C106:C115)</f>
        <v>2191.8148000000006</v>
      </c>
      <c r="D105" s="85">
        <f>SUM(D106:D115)</f>
        <v>2269.9880000000003</v>
      </c>
      <c r="E105" s="85">
        <f aca="true" t="shared" si="19" ref="E105:M105">SUM(E106:E115)</f>
        <v>0</v>
      </c>
      <c r="F105" s="85">
        <f t="shared" si="19"/>
        <v>2484.584</v>
      </c>
      <c r="G105" s="85">
        <f t="shared" si="19"/>
        <v>-214.59599999999995</v>
      </c>
      <c r="H105" s="85">
        <f t="shared" si="19"/>
        <v>1977.2188000000006</v>
      </c>
      <c r="I105" s="85">
        <f t="shared" si="19"/>
        <v>2241.7</v>
      </c>
      <c r="J105" s="85">
        <f t="shared" si="19"/>
        <v>150</v>
      </c>
      <c r="K105" s="85">
        <f t="shared" si="19"/>
        <v>2069.95</v>
      </c>
      <c r="L105" s="85">
        <f t="shared" si="19"/>
        <v>171.75000000000006</v>
      </c>
      <c r="M105" s="85">
        <f t="shared" si="19"/>
        <v>2148.9688000000006</v>
      </c>
      <c r="N105" s="34" t="s">
        <v>124</v>
      </c>
      <c r="O105" s="24"/>
    </row>
    <row r="106" spans="1:16" ht="22.5" customHeight="1">
      <c r="A106" s="84">
        <v>1</v>
      </c>
      <c r="B106" s="62" t="s">
        <v>43</v>
      </c>
      <c r="C106" s="41">
        <f>'TH 2022'!L106</f>
        <v>3.459000000000003</v>
      </c>
      <c r="D106" s="89">
        <v>0</v>
      </c>
      <c r="E106" s="89">
        <v>0</v>
      </c>
      <c r="F106" s="89">
        <v>3</v>
      </c>
      <c r="G106" s="44">
        <f aca="true" t="shared" si="20" ref="G106:G121">D106-F106</f>
        <v>-3</v>
      </c>
      <c r="H106" s="44">
        <f t="shared" si="13"/>
        <v>0.4590000000000032</v>
      </c>
      <c r="I106" s="41">
        <v>0</v>
      </c>
      <c r="J106" s="41">
        <v>0</v>
      </c>
      <c r="K106" s="41">
        <v>0</v>
      </c>
      <c r="L106" s="44">
        <f t="shared" si="14"/>
        <v>0</v>
      </c>
      <c r="M106" s="44">
        <f t="shared" si="15"/>
        <v>0.4590000000000032</v>
      </c>
      <c r="N106" s="11"/>
      <c r="O106" s="24"/>
      <c r="P106" s="10"/>
    </row>
    <row r="107" spans="1:16" ht="22.5" customHeight="1">
      <c r="A107" s="84">
        <v>2</v>
      </c>
      <c r="B107" s="61" t="s">
        <v>31</v>
      </c>
      <c r="C107" s="41">
        <f>'TH 2022'!L107</f>
        <v>504.2584000000003</v>
      </c>
      <c r="D107" s="111">
        <v>1736.175</v>
      </c>
      <c r="E107" s="111">
        <v>0</v>
      </c>
      <c r="F107" s="111">
        <v>1959.61</v>
      </c>
      <c r="G107" s="44">
        <f t="shared" si="20"/>
        <v>-223.43499999999995</v>
      </c>
      <c r="H107" s="44">
        <f t="shared" si="13"/>
        <v>280.82340000000045</v>
      </c>
      <c r="I107" s="111">
        <v>1591.97</v>
      </c>
      <c r="J107" s="111">
        <v>0</v>
      </c>
      <c r="K107" s="111">
        <v>1621.77</v>
      </c>
      <c r="L107" s="44">
        <f t="shared" si="14"/>
        <v>-29.799999999999955</v>
      </c>
      <c r="M107" s="44">
        <f t="shared" si="15"/>
        <v>251.0234000000005</v>
      </c>
      <c r="N107" s="11"/>
      <c r="O107" s="24"/>
      <c r="P107" s="10"/>
    </row>
    <row r="108" spans="1:16" ht="22.5" customHeight="1">
      <c r="A108" s="84">
        <v>3</v>
      </c>
      <c r="B108" s="62" t="s">
        <v>79</v>
      </c>
      <c r="C108" s="41">
        <f>'TH 2022'!L108</f>
        <v>191.5884</v>
      </c>
      <c r="D108" s="112">
        <v>105.715</v>
      </c>
      <c r="E108" s="112">
        <v>0</v>
      </c>
      <c r="F108" s="112">
        <v>114.796</v>
      </c>
      <c r="G108" s="44">
        <f t="shared" si="20"/>
        <v>-9.081000000000003</v>
      </c>
      <c r="H108" s="44">
        <f t="shared" si="13"/>
        <v>182.50740000000002</v>
      </c>
      <c r="I108" s="112">
        <v>109.41</v>
      </c>
      <c r="J108" s="112">
        <v>0</v>
      </c>
      <c r="K108" s="112">
        <v>102.41</v>
      </c>
      <c r="L108" s="44">
        <f t="shared" si="14"/>
        <v>7</v>
      </c>
      <c r="M108" s="44">
        <f t="shared" si="15"/>
        <v>189.50740000000005</v>
      </c>
      <c r="N108" s="11"/>
      <c r="O108" s="24"/>
      <c r="P108" s="10"/>
    </row>
    <row r="109" spans="1:16" ht="22.5" customHeight="1">
      <c r="A109" s="84">
        <v>4</v>
      </c>
      <c r="B109" s="62" t="s">
        <v>80</v>
      </c>
      <c r="C109" s="41">
        <f>'TH 2022'!L109</f>
        <v>319.85900000000004</v>
      </c>
      <c r="D109" s="112">
        <v>127.316</v>
      </c>
      <c r="E109" s="112">
        <v>0</v>
      </c>
      <c r="F109" s="112">
        <v>139.21</v>
      </c>
      <c r="G109" s="44">
        <f t="shared" si="20"/>
        <v>-11.894000000000005</v>
      </c>
      <c r="H109" s="44">
        <f t="shared" si="13"/>
        <v>307.96500000000003</v>
      </c>
      <c r="I109" s="112">
        <v>129.31</v>
      </c>
      <c r="J109" s="112">
        <v>0</v>
      </c>
      <c r="K109" s="112">
        <v>80.81</v>
      </c>
      <c r="L109" s="44">
        <f t="shared" si="14"/>
        <v>48.5</v>
      </c>
      <c r="M109" s="44">
        <f t="shared" si="15"/>
        <v>356.46500000000003</v>
      </c>
      <c r="N109" s="11"/>
      <c r="O109" s="24"/>
      <c r="P109" s="10"/>
    </row>
    <row r="110" spans="1:16" ht="22.5" customHeight="1">
      <c r="A110" s="84">
        <v>5</v>
      </c>
      <c r="B110" s="68" t="s">
        <v>28</v>
      </c>
      <c r="C110" s="41">
        <f>'TH 2022'!L110</f>
        <v>46.051000000000016</v>
      </c>
      <c r="D110" s="112">
        <v>98.875</v>
      </c>
      <c r="E110" s="112">
        <v>0</v>
      </c>
      <c r="F110" s="112">
        <v>99.215</v>
      </c>
      <c r="G110" s="44">
        <f t="shared" si="20"/>
        <v>-0.3400000000000034</v>
      </c>
      <c r="H110" s="44">
        <f t="shared" si="13"/>
        <v>45.71100000000001</v>
      </c>
      <c r="I110" s="112">
        <v>93.1</v>
      </c>
      <c r="J110" s="112">
        <v>0</v>
      </c>
      <c r="K110" s="112">
        <v>95.55</v>
      </c>
      <c r="L110" s="44">
        <f t="shared" si="14"/>
        <v>-2.450000000000003</v>
      </c>
      <c r="M110" s="44">
        <f t="shared" si="15"/>
        <v>43.26100000000001</v>
      </c>
      <c r="N110" s="11"/>
      <c r="O110" s="24"/>
      <c r="P110" s="10"/>
    </row>
    <row r="111" spans="1:16" ht="22.5" customHeight="1">
      <c r="A111" s="84">
        <v>6</v>
      </c>
      <c r="B111" s="61" t="s">
        <v>81</v>
      </c>
      <c r="C111" s="41">
        <f>'TH 2022'!L111</f>
        <v>79.89099999999999</v>
      </c>
      <c r="D111" s="112">
        <v>68.655</v>
      </c>
      <c r="E111" s="112">
        <v>0</v>
      </c>
      <c r="F111" s="112">
        <v>78.75</v>
      </c>
      <c r="G111" s="44">
        <f t="shared" si="20"/>
        <v>-10.094999999999999</v>
      </c>
      <c r="H111" s="44">
        <f t="shared" si="13"/>
        <v>69.79599999999999</v>
      </c>
      <c r="I111" s="112">
        <v>72.91</v>
      </c>
      <c r="J111" s="112">
        <v>0</v>
      </c>
      <c r="K111" s="112">
        <v>67.41</v>
      </c>
      <c r="L111" s="44">
        <f t="shared" si="14"/>
        <v>5.5</v>
      </c>
      <c r="M111" s="44">
        <f t="shared" si="15"/>
        <v>75.29599999999999</v>
      </c>
      <c r="N111" s="11"/>
      <c r="O111" s="24"/>
      <c r="P111" s="10"/>
    </row>
    <row r="112" spans="1:16" ht="22.5" customHeight="1">
      <c r="A112" s="84">
        <v>7</v>
      </c>
      <c r="B112" s="62" t="s">
        <v>27</v>
      </c>
      <c r="C112" s="41">
        <f>'TH 2022'!L112</f>
        <v>51.2</v>
      </c>
      <c r="D112" s="112">
        <v>0</v>
      </c>
      <c r="E112" s="112">
        <v>0</v>
      </c>
      <c r="F112" s="112">
        <v>51.2</v>
      </c>
      <c r="G112" s="44">
        <f t="shared" si="20"/>
        <v>-51.2</v>
      </c>
      <c r="H112" s="44">
        <f t="shared" si="13"/>
        <v>0</v>
      </c>
      <c r="I112" s="112">
        <v>0</v>
      </c>
      <c r="J112" s="112">
        <v>0</v>
      </c>
      <c r="K112" s="112">
        <v>0</v>
      </c>
      <c r="L112" s="44">
        <f t="shared" si="14"/>
        <v>0</v>
      </c>
      <c r="M112" s="44">
        <f t="shared" si="15"/>
        <v>0</v>
      </c>
      <c r="N112" s="11"/>
      <c r="O112" s="24"/>
      <c r="P112" s="10"/>
    </row>
    <row r="113" spans="1:16" ht="22.5" customHeight="1">
      <c r="A113" s="84">
        <v>8</v>
      </c>
      <c r="B113" s="62" t="s">
        <v>34</v>
      </c>
      <c r="C113" s="41">
        <f>'TH 2022'!L113</f>
        <v>130.45</v>
      </c>
      <c r="D113" s="112">
        <v>0</v>
      </c>
      <c r="E113" s="112">
        <v>0</v>
      </c>
      <c r="F113" s="112">
        <v>0</v>
      </c>
      <c r="G113" s="44">
        <f t="shared" si="20"/>
        <v>0</v>
      </c>
      <c r="H113" s="44">
        <f t="shared" si="13"/>
        <v>130.45</v>
      </c>
      <c r="I113" s="112">
        <v>0</v>
      </c>
      <c r="J113" s="112">
        <v>0</v>
      </c>
      <c r="K113" s="112">
        <v>60</v>
      </c>
      <c r="L113" s="44">
        <f t="shared" si="14"/>
        <v>-60</v>
      </c>
      <c r="M113" s="44">
        <f t="shared" si="15"/>
        <v>70.44999999999999</v>
      </c>
      <c r="N113" s="11"/>
      <c r="O113" s="24"/>
      <c r="P113" s="10"/>
    </row>
    <row r="114" spans="1:16" ht="33" customHeight="1">
      <c r="A114" s="84">
        <v>9</v>
      </c>
      <c r="B114" s="62" t="s">
        <v>108</v>
      </c>
      <c r="C114" s="41">
        <f>'TH 2022'!L114</f>
        <v>61.971000000000004</v>
      </c>
      <c r="D114" s="112">
        <v>33.252</v>
      </c>
      <c r="E114" s="112">
        <v>0</v>
      </c>
      <c r="F114" s="112">
        <v>38.803</v>
      </c>
      <c r="G114" s="44">
        <f t="shared" si="20"/>
        <v>-5.550999999999995</v>
      </c>
      <c r="H114" s="44">
        <f t="shared" si="13"/>
        <v>56.420000000000016</v>
      </c>
      <c r="I114" s="112">
        <v>45</v>
      </c>
      <c r="J114" s="112">
        <v>0</v>
      </c>
      <c r="K114" s="112">
        <v>42</v>
      </c>
      <c r="L114" s="44">
        <f t="shared" si="14"/>
        <v>3</v>
      </c>
      <c r="M114" s="44">
        <f t="shared" si="15"/>
        <v>59.420000000000016</v>
      </c>
      <c r="N114" s="11"/>
      <c r="O114" s="24"/>
      <c r="P114" s="10"/>
    </row>
    <row r="115" spans="1:16" ht="22.5" customHeight="1">
      <c r="A115" s="84">
        <v>10</v>
      </c>
      <c r="B115" s="62" t="s">
        <v>83</v>
      </c>
      <c r="C115" s="41">
        <f>'TH 2022'!L115</f>
        <v>803.087</v>
      </c>
      <c r="D115" s="112">
        <v>100</v>
      </c>
      <c r="E115" s="112">
        <v>0</v>
      </c>
      <c r="F115" s="112">
        <v>0</v>
      </c>
      <c r="G115" s="44">
        <f t="shared" si="20"/>
        <v>100</v>
      </c>
      <c r="H115" s="44">
        <f t="shared" si="13"/>
        <v>903.087</v>
      </c>
      <c r="I115" s="112">
        <v>200</v>
      </c>
      <c r="J115" s="112">
        <v>150</v>
      </c>
      <c r="K115" s="112">
        <v>0</v>
      </c>
      <c r="L115" s="44">
        <f t="shared" si="14"/>
        <v>200</v>
      </c>
      <c r="M115" s="44">
        <f t="shared" si="15"/>
        <v>1103.087</v>
      </c>
      <c r="N115" s="11"/>
      <c r="O115" s="24"/>
      <c r="P115" s="10"/>
    </row>
    <row r="116" spans="1:15" s="22" customFormat="1" ht="22.5" customHeight="1">
      <c r="A116" s="56" t="s">
        <v>82</v>
      </c>
      <c r="B116" s="57" t="s">
        <v>84</v>
      </c>
      <c r="C116" s="88">
        <f aca="true" t="shared" si="21" ref="C116:M116">SUM(C117:C121)</f>
        <v>1083.1442599999998</v>
      </c>
      <c r="D116" s="88">
        <f t="shared" si="21"/>
        <v>2300.5621279999996</v>
      </c>
      <c r="E116" s="88">
        <f t="shared" si="21"/>
        <v>0</v>
      </c>
      <c r="F116" s="88">
        <f t="shared" si="21"/>
        <v>2246.433</v>
      </c>
      <c r="G116" s="88">
        <f t="shared" si="21"/>
        <v>54.129127999999824</v>
      </c>
      <c r="H116" s="88">
        <f t="shared" si="21"/>
        <v>1137.2733879999996</v>
      </c>
      <c r="I116" s="88">
        <f t="shared" si="21"/>
        <v>400.218009</v>
      </c>
      <c r="J116" s="88">
        <f t="shared" si="21"/>
        <v>0</v>
      </c>
      <c r="K116" s="88">
        <f t="shared" si="21"/>
        <v>393.4</v>
      </c>
      <c r="L116" s="88">
        <f t="shared" si="21"/>
        <v>6.818008999999975</v>
      </c>
      <c r="M116" s="88">
        <f t="shared" si="21"/>
        <v>1144.0913969999995</v>
      </c>
      <c r="N116" s="25" t="s">
        <v>124</v>
      </c>
      <c r="O116" s="24"/>
    </row>
    <row r="117" spans="1:15" ht="22.5" customHeight="1">
      <c r="A117" s="60" t="s">
        <v>14</v>
      </c>
      <c r="B117" s="61" t="s">
        <v>30</v>
      </c>
      <c r="C117" s="41">
        <f>'TH 2022'!L117</f>
        <v>320.9955</v>
      </c>
      <c r="D117" s="41">
        <v>78.185</v>
      </c>
      <c r="E117" s="41">
        <v>0</v>
      </c>
      <c r="F117" s="41">
        <v>34.45</v>
      </c>
      <c r="G117" s="44">
        <f t="shared" si="20"/>
        <v>43.735</v>
      </c>
      <c r="H117" s="44">
        <f t="shared" si="13"/>
        <v>364.7305</v>
      </c>
      <c r="I117" s="41">
        <v>104.711002</v>
      </c>
      <c r="J117" s="41">
        <v>0</v>
      </c>
      <c r="K117" s="41">
        <v>70.5</v>
      </c>
      <c r="L117" s="44">
        <f t="shared" si="14"/>
        <v>34.21100199999999</v>
      </c>
      <c r="M117" s="44">
        <f t="shared" si="15"/>
        <v>398.941502</v>
      </c>
      <c r="N117" s="11"/>
      <c r="O117" s="24"/>
    </row>
    <row r="118" spans="1:15" ht="22.5" customHeight="1">
      <c r="A118" s="60" t="s">
        <v>15</v>
      </c>
      <c r="B118" s="62" t="s">
        <v>88</v>
      </c>
      <c r="C118" s="41">
        <f>'TH 2022'!L118</f>
        <v>281.1732599999999</v>
      </c>
      <c r="D118" s="41">
        <v>66.066918</v>
      </c>
      <c r="E118" s="41">
        <v>0</v>
      </c>
      <c r="F118" s="41">
        <v>53.86</v>
      </c>
      <c r="G118" s="44">
        <f t="shared" si="20"/>
        <v>12.206918000000002</v>
      </c>
      <c r="H118" s="44">
        <f t="shared" si="13"/>
        <v>293.3801779999999</v>
      </c>
      <c r="I118" s="41">
        <v>100.411003</v>
      </c>
      <c r="J118" s="41">
        <v>0</v>
      </c>
      <c r="K118" s="41">
        <v>75.9</v>
      </c>
      <c r="L118" s="44">
        <f t="shared" si="14"/>
        <v>24.511002999999988</v>
      </c>
      <c r="M118" s="44">
        <f t="shared" si="15"/>
        <v>317.89118099999985</v>
      </c>
      <c r="N118" s="11"/>
      <c r="O118" s="24"/>
    </row>
    <row r="119" spans="1:15" ht="22.5" customHeight="1">
      <c r="A119" s="60" t="s">
        <v>16</v>
      </c>
      <c r="B119" s="62" t="s">
        <v>86</v>
      </c>
      <c r="C119" s="41">
        <f>'TH 2022'!L119</f>
        <v>364.19949999999994</v>
      </c>
      <c r="D119" s="41">
        <v>1268.79021</v>
      </c>
      <c r="E119" s="41">
        <v>0</v>
      </c>
      <c r="F119" s="41">
        <v>1318.123</v>
      </c>
      <c r="G119" s="44">
        <f t="shared" si="20"/>
        <v>-49.33279000000016</v>
      </c>
      <c r="H119" s="44">
        <f t="shared" si="13"/>
        <v>314.8667099999998</v>
      </c>
      <c r="I119" s="41">
        <v>95.096004</v>
      </c>
      <c r="J119" s="41">
        <v>0</v>
      </c>
      <c r="K119" s="41">
        <v>47</v>
      </c>
      <c r="L119" s="44">
        <f t="shared" si="14"/>
        <v>48.09600399999999</v>
      </c>
      <c r="M119" s="44">
        <f t="shared" si="15"/>
        <v>362.9627139999998</v>
      </c>
      <c r="N119" s="11"/>
      <c r="O119" s="24"/>
    </row>
    <row r="120" spans="1:15" ht="22.5" customHeight="1">
      <c r="A120" s="60" t="s">
        <v>17</v>
      </c>
      <c r="B120" s="61" t="s">
        <v>87</v>
      </c>
      <c r="C120" s="41">
        <f>'TH 2022'!L120</f>
        <v>64.89799999999998</v>
      </c>
      <c r="D120" s="41">
        <v>0</v>
      </c>
      <c r="E120" s="41"/>
      <c r="F120" s="41">
        <v>10</v>
      </c>
      <c r="G120" s="44">
        <f t="shared" si="20"/>
        <v>-10</v>
      </c>
      <c r="H120" s="44">
        <f t="shared" si="13"/>
        <v>54.89799999999998</v>
      </c>
      <c r="I120" s="41">
        <v>0</v>
      </c>
      <c r="J120" s="41"/>
      <c r="K120" s="41">
        <v>0</v>
      </c>
      <c r="L120" s="44">
        <f t="shared" si="14"/>
        <v>0</v>
      </c>
      <c r="M120" s="44">
        <f t="shared" si="15"/>
        <v>54.89799999999998</v>
      </c>
      <c r="N120" s="11"/>
      <c r="O120" s="24"/>
    </row>
    <row r="121" spans="1:15" ht="22.5" customHeight="1">
      <c r="A121" s="106" t="s">
        <v>35</v>
      </c>
      <c r="B121" s="107" t="s">
        <v>75</v>
      </c>
      <c r="C121" s="108">
        <f>'TH 2022'!L121</f>
        <v>51.87799999999993</v>
      </c>
      <c r="D121" s="108">
        <v>887.52</v>
      </c>
      <c r="E121" s="108"/>
      <c r="F121" s="108">
        <v>830</v>
      </c>
      <c r="G121" s="44">
        <f t="shared" si="20"/>
        <v>57.51999999999998</v>
      </c>
      <c r="H121" s="44">
        <f t="shared" si="13"/>
        <v>109.39799999999991</v>
      </c>
      <c r="I121" s="108">
        <v>100</v>
      </c>
      <c r="J121" s="108"/>
      <c r="K121" s="108">
        <v>200</v>
      </c>
      <c r="L121" s="44">
        <f t="shared" si="14"/>
        <v>-100</v>
      </c>
      <c r="M121" s="44">
        <f t="shared" si="15"/>
        <v>9.39799999999991</v>
      </c>
      <c r="O121" s="24"/>
    </row>
  </sheetData>
  <sheetProtection/>
  <mergeCells count="18">
    <mergeCell ref="D6:E6"/>
    <mergeCell ref="K1:M1"/>
    <mergeCell ref="A2:M2"/>
    <mergeCell ref="A5:A7"/>
    <mergeCell ref="B5:B7"/>
    <mergeCell ref="A3:M3"/>
    <mergeCell ref="A1:D1"/>
    <mergeCell ref="C5:C7"/>
    <mergeCell ref="D5:G5"/>
    <mergeCell ref="H5:H7"/>
    <mergeCell ref="I5:L5"/>
    <mergeCell ref="L4:M4"/>
    <mergeCell ref="F6:F7"/>
    <mergeCell ref="G6:G7"/>
    <mergeCell ref="I6:J6"/>
    <mergeCell ref="K6:K7"/>
    <mergeCell ref="L6:L7"/>
    <mergeCell ref="M5:M7"/>
  </mergeCells>
  <printOptions horizontalCentered="1"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78" r:id="rId3"/>
  <headerFooter>
    <oddFooter>&amp;C&amp;P</oddFooter>
  </headerFooter>
  <colBreaks count="1" manualBreakCount="1">
    <brk id="13" max="11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</dc:creator>
  <cp:keywords/>
  <dc:description/>
  <cp:lastModifiedBy>ismail - [2010]</cp:lastModifiedBy>
  <cp:lastPrinted>2023-11-17T01:13:04Z</cp:lastPrinted>
  <dcterms:created xsi:type="dcterms:W3CDTF">2018-08-06T04:21:31Z</dcterms:created>
  <dcterms:modified xsi:type="dcterms:W3CDTF">2023-11-17T01:13:10Z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DDYPFUVZ5X6F-6-6214</vt:lpwstr>
  </property>
  <property fmtid="{D5CDD505-2E9C-101B-9397-08002B2CF9AE}" pid="4" name="_dlc_DocIdItemGu">
    <vt:lpwstr>58f4e973-96f1-46eb-823d-c2bce2b6c053</vt:lpwstr>
  </property>
  <property fmtid="{D5CDD505-2E9C-101B-9397-08002B2CF9AE}" pid="5" name="_dlc_DocIdU">
    <vt:lpwstr>https://dbdc.backan.gov.vn/_layouts/15/DocIdRedir.aspx?ID=DDYPFUVZ5X6F-6-6214, DDYPFUVZ5X6F-6-6214</vt:lpwstr>
  </property>
  <property fmtid="{D5CDD505-2E9C-101B-9397-08002B2CF9AE}" pid="6" name="MaTinB">
    <vt:lpwstr>49cf939c33962b5e</vt:lpwstr>
  </property>
</Properties>
</file>