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4.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8_{E7C49610-0C2C-4D23-820F-E3A1866F2236}" xr6:coauthVersionLast="47" xr6:coauthVersionMax="47" xr10:uidLastSave="{00000000-0000-0000-0000-000000000000}"/>
  <bookViews>
    <workbookView xWindow="-110" yWindow="-110" windowWidth="19420" windowHeight="10300" firstSheet="1" activeTab="16" xr2:uid="{00000000-000D-0000-FFFF-FFFF00000000}"/>
  </bookViews>
  <sheets>
    <sheet name="Sheet1" sheetId="12" state="hidden" r:id="rId1"/>
    <sheet name="Nguồn" sheetId="24" r:id="rId2"/>
    <sheet name="PB" sheetId="27" r:id="rId3"/>
    <sheet name="PA chi tiết" sheetId="16" r:id="rId4"/>
    <sheet name="1" sheetId="23" r:id="rId5"/>
    <sheet name="2" sheetId="20" r:id="rId6"/>
    <sheet name="TD1-3" sheetId="28" r:id="rId7"/>
    <sheet name="tIỂU DỰ ÁN 1- DA3" sheetId="19" state="hidden" r:id="rId8"/>
    <sheet name="TDA 2-3" sheetId="25" r:id="rId9"/>
    <sheet name="ND1-TDA 1-4" sheetId="5" r:id="rId10"/>
    <sheet name="ND2-TDA1-4" sheetId="6" r:id="rId11"/>
    <sheet name="TDA 2-4" sheetId="7" r:id="rId12"/>
    <sheet name="TDA3-4" sheetId="8" r:id="rId13"/>
    <sheet name="5" sheetId="26" r:id="rId14"/>
    <sheet name="TDA1-6" sheetId="9" r:id="rId15"/>
    <sheet name="TDA2-6" sheetId="11" r:id="rId16"/>
    <sheet name="7" sheetId="10" r:id="rId17"/>
  </sheets>
  <definedNames>
    <definedName name="bookmark5" localSheetId="9">'ND1-TDA 1-4'!$G$19</definedName>
    <definedName name="bookmark6" localSheetId="10">'ND2-TDA1-4'!$B$22</definedName>
    <definedName name="bookmark7" localSheetId="10">'ND2-TDA1-4'!$B$24</definedName>
    <definedName name="_xlnm.Print_Titles" localSheetId="1">Nguồn!$4:$6</definedName>
    <definedName name="_xlnm.Print_Titles" localSheetId="3">'PA chi tiết'!$A:$B</definedName>
    <definedName name="_xlnm.Print_Area" localSheetId="4">'1'!$A$1:$P$17</definedName>
    <definedName name="_xlnm.Print_Area" localSheetId="5">'2'!$A$1:$R$33</definedName>
    <definedName name="_xlnm.Print_Area" localSheetId="16">'7'!$A$1:$V$36</definedName>
    <definedName name="_xlnm.Print_Area" localSheetId="9">'ND1-TDA 1-4'!$A$1:$O$33</definedName>
    <definedName name="_xlnm.Print_Area" localSheetId="10">'ND2-TDA1-4'!$A$1:$R$31</definedName>
    <definedName name="_xlnm.Print_Area" localSheetId="3">'PA chi tiết'!$A$1:$BH$31</definedName>
    <definedName name="_xlnm.Print_Area" localSheetId="11">'TDA 2-4'!$A$1:$N$23</definedName>
    <definedName name="_xlnm.Print_Area" localSheetId="14">'TDA1-6'!$A$1:$P$36</definedName>
    <definedName name="_xlnm.Print_Area" localSheetId="15">'TDA2-6'!$A$1:$P$34</definedName>
    <definedName name="_xlnm.Print_Area" localSheetId="12">'TDA3-4'!$A$1:$N$28</definedName>
    <definedName name="_xlnm.Print_Area" localSheetId="7">'tIỂU DỰ ÁN 1- DA3'!$A$1:$J$24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2" i="16" l="1"/>
  <c r="C2" i="16"/>
  <c r="V16" i="5" l="1"/>
  <c r="V11" i="5"/>
  <c r="V9" i="5"/>
  <c r="U16" i="5"/>
  <c r="U11" i="5"/>
  <c r="U9" i="5"/>
  <c r="N8" i="5" l="1"/>
  <c r="N17" i="5" s="1"/>
  <c r="M50" i="24"/>
  <c r="M49" i="24" s="1"/>
  <c r="M48" i="24" s="1"/>
  <c r="L50" i="24"/>
  <c r="L49" i="24" s="1"/>
  <c r="L48" i="24" s="1"/>
  <c r="K50" i="24"/>
  <c r="K49" i="24" s="1"/>
  <c r="K48" i="24" s="1"/>
  <c r="H50" i="24"/>
  <c r="H49" i="24" s="1"/>
  <c r="H48" i="24" s="1"/>
  <c r="G50" i="24"/>
  <c r="G49" i="24" s="1"/>
  <c r="G48" i="24" s="1"/>
  <c r="F50" i="24"/>
  <c r="F49" i="24" s="1"/>
  <c r="F48" i="24" s="1"/>
  <c r="D10" i="24"/>
  <c r="X12" i="16"/>
  <c r="X11" i="16" s="1"/>
  <c r="V13" i="16"/>
  <c r="X13" i="16"/>
  <c r="W13" i="16"/>
  <c r="U13" i="16" s="1"/>
  <c r="BG18" i="16"/>
  <c r="E18" i="16" s="1"/>
  <c r="BF18" i="16"/>
  <c r="D18" i="16" s="1"/>
  <c r="N17" i="16"/>
  <c r="M17" i="16"/>
  <c r="J17" i="16"/>
  <c r="L13" i="27" s="1"/>
  <c r="K13" i="16"/>
  <c r="J13" i="16"/>
  <c r="K17" i="16"/>
  <c r="Q13" i="27" s="1"/>
  <c r="S7" i="10"/>
  <c r="R7" i="10"/>
  <c r="Q7" i="10"/>
  <c r="P7" i="10"/>
  <c r="V13" i="10"/>
  <c r="T13" i="10" s="1"/>
  <c r="M7" i="8"/>
  <c r="L7" i="8"/>
  <c r="O7" i="5"/>
  <c r="O16" i="5"/>
  <c r="O11" i="5"/>
  <c r="O9" i="5"/>
  <c r="M8" i="5"/>
  <c r="M17" i="5" s="1"/>
  <c r="H8" i="5"/>
  <c r="E8" i="5"/>
  <c r="I10" i="20"/>
  <c r="I9" i="28"/>
  <c r="L7" i="25"/>
  <c r="M8" i="25"/>
  <c r="M7" i="25" s="1"/>
  <c r="L8" i="25"/>
  <c r="Q7" i="20"/>
  <c r="P7" i="20"/>
  <c r="R9" i="20"/>
  <c r="I14" i="27" l="1"/>
  <c r="H14" i="27" s="1"/>
  <c r="N14" i="27"/>
  <c r="M14" i="27" s="1"/>
  <c r="L17" i="16"/>
  <c r="BE18" i="16"/>
  <c r="C18" i="16"/>
  <c r="O8" i="5"/>
  <c r="O17" i="5" s="1"/>
  <c r="D14" i="27" l="1"/>
  <c r="C14" i="27" s="1"/>
  <c r="Q15" i="16"/>
  <c r="P15" i="16"/>
  <c r="N31" i="16"/>
  <c r="N30" i="16"/>
  <c r="N29" i="16"/>
  <c r="N28" i="16"/>
  <c r="N27" i="16"/>
  <c r="N26" i="16"/>
  <c r="N25" i="16"/>
  <c r="N24" i="16"/>
  <c r="M31" i="16"/>
  <c r="M30" i="16"/>
  <c r="M29" i="16"/>
  <c r="M28" i="16"/>
  <c r="M27" i="16"/>
  <c r="M26" i="16"/>
  <c r="M25" i="16"/>
  <c r="M24" i="16"/>
  <c r="R17" i="28"/>
  <c r="L17" i="28"/>
  <c r="K17" i="28"/>
  <c r="E17" i="28"/>
  <c r="C17" i="28"/>
  <c r="R16" i="28"/>
  <c r="L16" i="28"/>
  <c r="K16" i="28"/>
  <c r="M16" i="28" s="1"/>
  <c r="E16" i="28"/>
  <c r="C16" i="28"/>
  <c r="R15" i="28"/>
  <c r="L15" i="28"/>
  <c r="K15" i="28"/>
  <c r="E15" i="28"/>
  <c r="C15" i="28"/>
  <c r="R14" i="28"/>
  <c r="L14" i="28"/>
  <c r="K14" i="28"/>
  <c r="E14" i="28"/>
  <c r="C14" i="28"/>
  <c r="R13" i="28"/>
  <c r="L13" i="28"/>
  <c r="K13" i="28"/>
  <c r="E13" i="28"/>
  <c r="C13" i="28"/>
  <c r="R12" i="28"/>
  <c r="L12" i="28"/>
  <c r="K12" i="28"/>
  <c r="E12" i="28"/>
  <c r="C12" i="28"/>
  <c r="R11" i="28"/>
  <c r="L11" i="28"/>
  <c r="K11" i="28"/>
  <c r="E11" i="28"/>
  <c r="C11" i="28"/>
  <c r="R10" i="28"/>
  <c r="L10" i="28"/>
  <c r="K10" i="28"/>
  <c r="E10" i="28"/>
  <c r="C10" i="28"/>
  <c r="R8" i="28"/>
  <c r="Q7" i="28"/>
  <c r="Q6" i="28" s="1"/>
  <c r="P7" i="28"/>
  <c r="A2" i="28"/>
  <c r="E9" i="28" l="1"/>
  <c r="M10" i="28"/>
  <c r="M14" i="28"/>
  <c r="O15" i="16"/>
  <c r="M12" i="28"/>
  <c r="M13" i="28"/>
  <c r="M11" i="28"/>
  <c r="M15" i="28"/>
  <c r="P6" i="28"/>
  <c r="U6" i="28" s="1"/>
  <c r="V6" i="28" s="1"/>
  <c r="M17" i="28"/>
  <c r="R9" i="28"/>
  <c r="R7" i="28"/>
  <c r="M9" i="28" l="1"/>
  <c r="R6" i="28"/>
  <c r="O14" i="28" l="1"/>
  <c r="V14" i="28" s="1"/>
  <c r="O17" i="28"/>
  <c r="V17" i="28" s="1"/>
  <c r="O13" i="28"/>
  <c r="V13" i="28" s="1"/>
  <c r="O12" i="28"/>
  <c r="V12" i="28" s="1"/>
  <c r="O15" i="28"/>
  <c r="V15" i="28" s="1"/>
  <c r="O11" i="28"/>
  <c r="V11" i="28" s="1"/>
  <c r="O10" i="28"/>
  <c r="V10" i="28" s="1"/>
  <c r="O16" i="28"/>
  <c r="V16" i="28" s="1"/>
  <c r="N15" i="28"/>
  <c r="U15" i="28" s="1"/>
  <c r="N13" i="28"/>
  <c r="U13" i="28" s="1"/>
  <c r="N12" i="28"/>
  <c r="U12" i="28" s="1"/>
  <c r="N14" i="28"/>
  <c r="U14" i="28" s="1"/>
  <c r="N10" i="28"/>
  <c r="U10" i="28" s="1"/>
  <c r="N17" i="28"/>
  <c r="U17" i="28" s="1"/>
  <c r="N11" i="28"/>
  <c r="U11" i="28" s="1"/>
  <c r="N16" i="28"/>
  <c r="U16" i="28" s="1"/>
  <c r="D5" i="26" l="1"/>
  <c r="K31" i="24"/>
  <c r="J31" i="24"/>
  <c r="F31" i="24"/>
  <c r="E31" i="24"/>
  <c r="M12" i="24"/>
  <c r="K12" i="24"/>
  <c r="J12" i="24"/>
  <c r="H12" i="24"/>
  <c r="F12" i="24"/>
  <c r="E12" i="24"/>
  <c r="G18" i="27" l="1"/>
  <c r="F18" i="27"/>
  <c r="D18" i="27"/>
  <c r="G17" i="27"/>
  <c r="F17" i="27"/>
  <c r="D17" i="27"/>
  <c r="G16" i="27"/>
  <c r="F16" i="27"/>
  <c r="E16" i="27"/>
  <c r="G15" i="27"/>
  <c r="F15" i="27"/>
  <c r="D15" i="27"/>
  <c r="G13" i="27"/>
  <c r="F13" i="27"/>
  <c r="E13" i="27"/>
  <c r="G12" i="27"/>
  <c r="F12" i="27"/>
  <c r="E12" i="27"/>
  <c r="AO12" i="16"/>
  <c r="AN12" i="16"/>
  <c r="AF12" i="16"/>
  <c r="AE12" i="16"/>
  <c r="Z12" i="16"/>
  <c r="Y12" i="16"/>
  <c r="N12" i="16"/>
  <c r="M12" i="16"/>
  <c r="H12" i="16"/>
  <c r="G12" i="16"/>
  <c r="G11" i="27"/>
  <c r="E11" i="27"/>
  <c r="G10" i="27"/>
  <c r="M9" i="7" l="1"/>
  <c r="L15" i="24"/>
  <c r="K15" i="24"/>
  <c r="G15" i="24"/>
  <c r="F15" i="24"/>
  <c r="M20" i="24"/>
  <c r="I13" i="24"/>
  <c r="AU22" i="16" l="1"/>
  <c r="O18" i="27" s="1"/>
  <c r="M18" i="27" s="1"/>
  <c r="AT22" i="16"/>
  <c r="J18" i="27" s="1"/>
  <c r="AD19" i="16"/>
  <c r="AD22" i="16"/>
  <c r="AD21" i="16"/>
  <c r="AD17" i="16"/>
  <c r="AD16" i="16"/>
  <c r="AD15" i="16"/>
  <c r="AD14" i="16"/>
  <c r="AD13" i="16"/>
  <c r="AD20" i="16"/>
  <c r="AA24" i="16"/>
  <c r="AA19" i="16"/>
  <c r="AA22" i="16"/>
  <c r="AA21" i="16"/>
  <c r="AA17" i="16"/>
  <c r="AA16" i="16"/>
  <c r="AA14" i="16"/>
  <c r="AA13" i="16"/>
  <c r="AD12" i="16" l="1"/>
  <c r="H18" i="27"/>
  <c r="E18" i="27"/>
  <c r="C18" i="27" s="1"/>
  <c r="E22" i="16"/>
  <c r="BG15" i="16"/>
  <c r="BF15" i="16"/>
  <c r="BD15" i="16"/>
  <c r="BC15" i="16"/>
  <c r="BG14" i="16"/>
  <c r="BF14" i="16"/>
  <c r="BD14" i="16"/>
  <c r="BC14" i="16"/>
  <c r="I10" i="27" s="1"/>
  <c r="BG17" i="16"/>
  <c r="BF17" i="16"/>
  <c r="BD17" i="16"/>
  <c r="BC17" i="16"/>
  <c r="AV17" i="16"/>
  <c r="AS17" i="16"/>
  <c r="AR17" i="16"/>
  <c r="AQ17" i="16"/>
  <c r="AP17" i="16" s="1"/>
  <c r="AM17" i="16"/>
  <c r="AG17" i="16"/>
  <c r="W17" i="16"/>
  <c r="V17" i="16"/>
  <c r="R17" i="16"/>
  <c r="O17" i="16"/>
  <c r="I17" i="16"/>
  <c r="F17" i="16"/>
  <c r="BD16" i="16"/>
  <c r="BC16" i="16"/>
  <c r="AZ16" i="16" s="1"/>
  <c r="AV15" i="16"/>
  <c r="AS15" i="16"/>
  <c r="AR15" i="16"/>
  <c r="AQ15" i="16"/>
  <c r="AP15" i="16" s="1"/>
  <c r="AM15" i="16"/>
  <c r="AG15" i="16"/>
  <c r="L15" i="16"/>
  <c r="I15" i="16"/>
  <c r="F15" i="16"/>
  <c r="P11" i="11"/>
  <c r="P10" i="11"/>
  <c r="AX19" i="16"/>
  <c r="AW19" i="16"/>
  <c r="BE22" i="16"/>
  <c r="BB22" i="16"/>
  <c r="BA22" i="16"/>
  <c r="AZ22" i="16"/>
  <c r="AV22" i="16"/>
  <c r="AR22" i="16"/>
  <c r="AS22" i="16"/>
  <c r="AM22" i="16"/>
  <c r="AG22" i="16"/>
  <c r="W22" i="16"/>
  <c r="V22" i="16"/>
  <c r="U22" i="16" s="1"/>
  <c r="R22" i="16"/>
  <c r="O22" i="16"/>
  <c r="L22" i="16"/>
  <c r="I22" i="16"/>
  <c r="F22" i="16"/>
  <c r="AU21" i="16"/>
  <c r="O17" i="27" s="1"/>
  <c r="M17" i="27" s="1"/>
  <c r="AT21" i="16"/>
  <c r="AU14" i="16"/>
  <c r="AT14" i="16"/>
  <c r="BE21" i="16"/>
  <c r="BB21" i="16"/>
  <c r="BA21" i="16"/>
  <c r="AZ21" i="16"/>
  <c r="AV21" i="16"/>
  <c r="AM21" i="16"/>
  <c r="AG21" i="16"/>
  <c r="W21" i="16"/>
  <c r="V21" i="16"/>
  <c r="R21" i="16"/>
  <c r="L21" i="16"/>
  <c r="I21" i="16"/>
  <c r="F21" i="16"/>
  <c r="AO25" i="16"/>
  <c r="AN25" i="16"/>
  <c r="AO27" i="16"/>
  <c r="AN27" i="16"/>
  <c r="AM31" i="16"/>
  <c r="AM30" i="16"/>
  <c r="AM29" i="16"/>
  <c r="AM28" i="16"/>
  <c r="AM26" i="16"/>
  <c r="AM24" i="16"/>
  <c r="AM19" i="16"/>
  <c r="AM16" i="16"/>
  <c r="AM14" i="16"/>
  <c r="AM13" i="16"/>
  <c r="AM20" i="16"/>
  <c r="AC31" i="16"/>
  <c r="AC30" i="16"/>
  <c r="AC29" i="16"/>
  <c r="AC28" i="16"/>
  <c r="AC27" i="16"/>
  <c r="AC26" i="16"/>
  <c r="AB31" i="16"/>
  <c r="AB30" i="16"/>
  <c r="AB29" i="16"/>
  <c r="AB28" i="16"/>
  <c r="AB27" i="16"/>
  <c r="AB26" i="16"/>
  <c r="AC25" i="16"/>
  <c r="AB25" i="16"/>
  <c r="AC20" i="16"/>
  <c r="AB20" i="16"/>
  <c r="BE16" i="16"/>
  <c r="AV16" i="16"/>
  <c r="AS16" i="16"/>
  <c r="AR16" i="16"/>
  <c r="AQ16" i="16"/>
  <c r="AG16" i="16"/>
  <c r="W16" i="16"/>
  <c r="V16" i="16"/>
  <c r="R16" i="16"/>
  <c r="L16" i="16"/>
  <c r="I16" i="16"/>
  <c r="F16" i="16"/>
  <c r="Q31" i="16"/>
  <c r="P27" i="27" s="1"/>
  <c r="Q30" i="16"/>
  <c r="P26" i="27" s="1"/>
  <c r="Q29" i="16"/>
  <c r="P25" i="27" s="1"/>
  <c r="Q28" i="16"/>
  <c r="P24" i="27" s="1"/>
  <c r="Q27" i="16"/>
  <c r="P23" i="27" s="1"/>
  <c r="Q26" i="16"/>
  <c r="P22" i="27" s="1"/>
  <c r="Q25" i="16"/>
  <c r="P21" i="27" s="1"/>
  <c r="Q24" i="16"/>
  <c r="P20" i="27" s="1"/>
  <c r="P31" i="16"/>
  <c r="K27" i="27" s="1"/>
  <c r="P30" i="16"/>
  <c r="P29" i="16"/>
  <c r="P28" i="16"/>
  <c r="K24" i="27" s="1"/>
  <c r="P27" i="16"/>
  <c r="P26" i="16"/>
  <c r="P25" i="16"/>
  <c r="K21" i="27" s="1"/>
  <c r="P24" i="16"/>
  <c r="Z23" i="16"/>
  <c r="Z11" i="16" s="1"/>
  <c r="J36" i="24" s="1"/>
  <c r="I36" i="24" s="1"/>
  <c r="Y23" i="16"/>
  <c r="Y11" i="16" s="1"/>
  <c r="E36" i="24" s="1"/>
  <c r="D36" i="24" s="1"/>
  <c r="N23" i="16"/>
  <c r="N11" i="16" s="1"/>
  <c r="M32" i="24" s="1"/>
  <c r="M23" i="16"/>
  <c r="M11" i="16" s="1"/>
  <c r="H32" i="24" s="1"/>
  <c r="O19" i="16"/>
  <c r="O14" i="16"/>
  <c r="O13" i="16"/>
  <c r="O20" i="16"/>
  <c r="C36" i="24" l="1"/>
  <c r="AY22" i="16"/>
  <c r="N10" i="27"/>
  <c r="D10" i="27" s="1"/>
  <c r="F27" i="27"/>
  <c r="F21" i="27"/>
  <c r="F24" i="27"/>
  <c r="H31" i="24"/>
  <c r="D32" i="24"/>
  <c r="M31" i="24"/>
  <c r="I32" i="24"/>
  <c r="BA16" i="16"/>
  <c r="AY16" i="16" s="1"/>
  <c r="N12" i="27"/>
  <c r="M12" i="27" s="1"/>
  <c r="D14" i="16"/>
  <c r="J10" i="27"/>
  <c r="AT12" i="16"/>
  <c r="E14" i="16"/>
  <c r="O10" i="27"/>
  <c r="AU12" i="16"/>
  <c r="E19" i="16"/>
  <c r="O15" i="27"/>
  <c r="M15" i="27" s="1"/>
  <c r="AQ21" i="16"/>
  <c r="J17" i="27"/>
  <c r="I13" i="27"/>
  <c r="I11" i="27"/>
  <c r="AM12" i="16"/>
  <c r="D19" i="16"/>
  <c r="J15" i="27"/>
  <c r="D16" i="16"/>
  <c r="I12" i="27"/>
  <c r="BB17" i="16"/>
  <c r="N13" i="27"/>
  <c r="M13" i="27" s="1"/>
  <c r="BB15" i="16"/>
  <c r="N11" i="27"/>
  <c r="K11" i="27"/>
  <c r="P12" i="16"/>
  <c r="O29" i="16"/>
  <c r="K25" i="27"/>
  <c r="F25" i="27" s="1"/>
  <c r="P11" i="27"/>
  <c r="Q12" i="16"/>
  <c r="O30" i="16"/>
  <c r="K26" i="27"/>
  <c r="F26" i="27" s="1"/>
  <c r="O27" i="16"/>
  <c r="K23" i="27"/>
  <c r="F23" i="27" s="1"/>
  <c r="O24" i="16"/>
  <c r="K20" i="27"/>
  <c r="P19" i="27"/>
  <c r="O26" i="16"/>
  <c r="K22" i="27"/>
  <c r="F22" i="27" s="1"/>
  <c r="AN23" i="16"/>
  <c r="AN11" i="16" s="1"/>
  <c r="AA25" i="16"/>
  <c r="AC12" i="16"/>
  <c r="N16" i="27"/>
  <c r="AA27" i="16"/>
  <c r="AA28" i="16"/>
  <c r="AB12" i="16"/>
  <c r="I16" i="27"/>
  <c r="O21" i="16"/>
  <c r="AY21" i="16"/>
  <c r="U17" i="16"/>
  <c r="U16" i="16"/>
  <c r="AA30" i="16"/>
  <c r="U21" i="16"/>
  <c r="O28" i="16"/>
  <c r="AP16" i="16"/>
  <c r="E17" i="16"/>
  <c r="AM27" i="16"/>
  <c r="BE17" i="16"/>
  <c r="E16" i="16"/>
  <c r="AA26" i="16"/>
  <c r="D22" i="16"/>
  <c r="E21" i="16"/>
  <c r="AA29" i="16"/>
  <c r="AA20" i="16"/>
  <c r="AA12" i="16" s="1"/>
  <c r="AZ15" i="16"/>
  <c r="AA31" i="16"/>
  <c r="BE15" i="16"/>
  <c r="D20" i="16"/>
  <c r="AZ17" i="16"/>
  <c r="D21" i="16"/>
  <c r="D15" i="16"/>
  <c r="BA15" i="16"/>
  <c r="E20" i="16"/>
  <c r="D17" i="16"/>
  <c r="O31" i="16"/>
  <c r="AO23" i="16"/>
  <c r="AO11" i="16" s="1"/>
  <c r="E15" i="16"/>
  <c r="BA17" i="16"/>
  <c r="AY17" i="16" s="1"/>
  <c r="AS21" i="16"/>
  <c r="BB16" i="16"/>
  <c r="AB23" i="16"/>
  <c r="AQ22" i="16"/>
  <c r="AR21" i="16"/>
  <c r="O16" i="16"/>
  <c r="AM25" i="16"/>
  <c r="P23" i="16"/>
  <c r="AC23" i="16"/>
  <c r="O25" i="16"/>
  <c r="Q23" i="16"/>
  <c r="M10" i="27" l="1"/>
  <c r="D13" i="27"/>
  <c r="E10" i="27"/>
  <c r="C10" i="27" s="1"/>
  <c r="H41" i="24"/>
  <c r="M41" i="24"/>
  <c r="C32" i="24"/>
  <c r="H10" i="27"/>
  <c r="H17" i="27"/>
  <c r="E17" i="27"/>
  <c r="C17" i="27" s="1"/>
  <c r="H15" i="27"/>
  <c r="E15" i="27"/>
  <c r="C15" i="27" s="1"/>
  <c r="D11" i="27"/>
  <c r="C13" i="27"/>
  <c r="H13" i="27"/>
  <c r="H12" i="27"/>
  <c r="D12" i="27"/>
  <c r="C12" i="27" s="1"/>
  <c r="O12" i="16"/>
  <c r="C15" i="16"/>
  <c r="Q11" i="16"/>
  <c r="M11" i="27"/>
  <c r="P8" i="27"/>
  <c r="P7" i="27" s="1"/>
  <c r="F20" i="27"/>
  <c r="F19" i="27" s="1"/>
  <c r="K19" i="27"/>
  <c r="C17" i="16"/>
  <c r="P11" i="16"/>
  <c r="K8" i="27"/>
  <c r="F11" i="27"/>
  <c r="H11" i="27"/>
  <c r="AM23" i="16"/>
  <c r="AM11" i="16" s="1"/>
  <c r="M16" i="27"/>
  <c r="AC11" i="16"/>
  <c r="J37" i="24" s="1"/>
  <c r="H16" i="27"/>
  <c r="D16" i="27"/>
  <c r="AB11" i="16"/>
  <c r="E37" i="24" s="1"/>
  <c r="AY15" i="16"/>
  <c r="AA23" i="16"/>
  <c r="AA11" i="16" s="1"/>
  <c r="O23" i="16"/>
  <c r="C21" i="16"/>
  <c r="C16" i="16"/>
  <c r="AP22" i="16"/>
  <c r="C22" i="16"/>
  <c r="AP21" i="16"/>
  <c r="L33" i="24" l="1"/>
  <c r="I33" i="24" s="1"/>
  <c r="I31" i="24" s="1"/>
  <c r="I14" i="24"/>
  <c r="I12" i="24" s="1"/>
  <c r="L12" i="24"/>
  <c r="L7" i="24" s="1"/>
  <c r="O11" i="16"/>
  <c r="C11" i="27"/>
  <c r="F8" i="27"/>
  <c r="F7" i="27" s="1"/>
  <c r="K7" i="27"/>
  <c r="C16" i="27"/>
  <c r="G33" i="24"/>
  <c r="I19" i="24"/>
  <c r="I37" i="24"/>
  <c r="I41" i="24"/>
  <c r="D19" i="24"/>
  <c r="D41" i="24"/>
  <c r="V12" i="10"/>
  <c r="U12" i="10"/>
  <c r="V11" i="10"/>
  <c r="U11" i="10"/>
  <c r="V10" i="10"/>
  <c r="U10" i="10"/>
  <c r="V9" i="10"/>
  <c r="U9" i="10"/>
  <c r="T9" i="10"/>
  <c r="Q6" i="10"/>
  <c r="Y26" i="10" s="1"/>
  <c r="S6" i="10"/>
  <c r="P6" i="10"/>
  <c r="O8" i="11"/>
  <c r="O7" i="11" s="1"/>
  <c r="O6" i="11" s="1"/>
  <c r="N8" i="11"/>
  <c r="N7" i="11" s="1"/>
  <c r="O13" i="9"/>
  <c r="N13" i="9"/>
  <c r="O9" i="9"/>
  <c r="O8" i="9" s="1"/>
  <c r="N9" i="9"/>
  <c r="P14" i="9"/>
  <c r="P13" i="9" s="1"/>
  <c r="P10" i="9"/>
  <c r="P11" i="9"/>
  <c r="E7" i="26"/>
  <c r="E6" i="26"/>
  <c r="C5" i="26"/>
  <c r="E5" i="26" s="1"/>
  <c r="X26" i="10" l="1"/>
  <c r="X5" i="10"/>
  <c r="T12" i="10"/>
  <c r="T11" i="10"/>
  <c r="T10" i="10"/>
  <c r="N8" i="9"/>
  <c r="O7" i="9"/>
  <c r="N7" i="9"/>
  <c r="L31" i="24"/>
  <c r="L26" i="24" s="1"/>
  <c r="C41" i="24"/>
  <c r="C19" i="24"/>
  <c r="D33" i="24"/>
  <c r="G31" i="24"/>
  <c r="G26" i="24" s="1"/>
  <c r="D14" i="24"/>
  <c r="G12" i="24"/>
  <c r="G7" i="24" s="1"/>
  <c r="R6" i="10"/>
  <c r="Y5" i="10" s="1"/>
  <c r="L8" i="7"/>
  <c r="C14" i="24" l="1"/>
  <c r="D31" i="24"/>
  <c r="C31" i="24" s="1"/>
  <c r="C33" i="24"/>
  <c r="J16" i="5"/>
  <c r="J15" i="5"/>
  <c r="J14" i="5"/>
  <c r="J13" i="5"/>
  <c r="J12" i="5"/>
  <c r="J11" i="5"/>
  <c r="J10" i="5"/>
  <c r="J9" i="5"/>
  <c r="C8" i="5"/>
  <c r="N9" i="25"/>
  <c r="N8" i="25" s="1"/>
  <c r="E10" i="25"/>
  <c r="I18" i="25"/>
  <c r="I17" i="25"/>
  <c r="I16" i="25"/>
  <c r="I15" i="25"/>
  <c r="I14" i="25"/>
  <c r="I13" i="25"/>
  <c r="I12" i="25"/>
  <c r="I11" i="25"/>
  <c r="C11" i="11"/>
  <c r="C12" i="11"/>
  <c r="E12" i="11"/>
  <c r="C13" i="11"/>
  <c r="E13" i="11"/>
  <c r="C14" i="11"/>
  <c r="E14" i="11"/>
  <c r="C15" i="11"/>
  <c r="E15" i="11"/>
  <c r="C16" i="11"/>
  <c r="E16" i="11"/>
  <c r="C17" i="11"/>
  <c r="E17" i="11"/>
  <c r="C18" i="11"/>
  <c r="E18" i="11"/>
  <c r="C19" i="11"/>
  <c r="E19" i="11"/>
  <c r="I11" i="11"/>
  <c r="K12" i="11"/>
  <c r="K13" i="11"/>
  <c r="K14" i="11"/>
  <c r="K15" i="11"/>
  <c r="K16" i="11"/>
  <c r="K17" i="11"/>
  <c r="K18" i="11"/>
  <c r="K19" i="11"/>
  <c r="N18" i="25"/>
  <c r="N17" i="25"/>
  <c r="N16" i="25"/>
  <c r="N15" i="25"/>
  <c r="N14" i="25"/>
  <c r="N13" i="25"/>
  <c r="N12" i="25"/>
  <c r="N11" i="25"/>
  <c r="E8" i="25"/>
  <c r="E11" i="11" l="1"/>
  <c r="J8" i="5"/>
  <c r="I10" i="25"/>
  <c r="J18" i="25" s="1"/>
  <c r="P18" i="25" s="1"/>
  <c r="J12" i="25"/>
  <c r="P12" i="25" s="1"/>
  <c r="N10" i="25"/>
  <c r="N7" i="25" s="1"/>
  <c r="K18" i="25"/>
  <c r="R18" i="25" s="1"/>
  <c r="J11" i="25" l="1"/>
  <c r="P11" i="25" s="1"/>
  <c r="J13" i="25"/>
  <c r="P13" i="25" s="1"/>
  <c r="K15" i="25"/>
  <c r="R15" i="25" s="1"/>
  <c r="K17" i="25"/>
  <c r="R17" i="25" s="1"/>
  <c r="K14" i="25"/>
  <c r="R14" i="25" s="1"/>
  <c r="K16" i="25"/>
  <c r="R16" i="25" s="1"/>
  <c r="J15" i="25"/>
  <c r="P15" i="25" s="1"/>
  <c r="L9" i="5"/>
  <c r="K9" i="5"/>
  <c r="L16" i="5"/>
  <c r="S16" i="5" s="1"/>
  <c r="K16" i="5"/>
  <c r="L15" i="5"/>
  <c r="S15" i="5" s="1"/>
  <c r="K15" i="5"/>
  <c r="Q15" i="5" s="1"/>
  <c r="L14" i="5"/>
  <c r="K14" i="5"/>
  <c r="Q14" i="5" s="1"/>
  <c r="L10" i="5"/>
  <c r="S10" i="5" s="1"/>
  <c r="L13" i="5"/>
  <c r="K13" i="5"/>
  <c r="Q13" i="5" s="1"/>
  <c r="L12" i="5"/>
  <c r="S12" i="5" s="1"/>
  <c r="K12" i="5"/>
  <c r="Q12" i="5" s="1"/>
  <c r="L11" i="5"/>
  <c r="S11" i="5" s="1"/>
  <c r="K11" i="5"/>
  <c r="Q11" i="5" s="1"/>
  <c r="K10" i="5"/>
  <c r="Q10" i="5" s="1"/>
  <c r="K12" i="25"/>
  <c r="R12" i="25" s="1"/>
  <c r="J14" i="25"/>
  <c r="P14" i="25" s="1"/>
  <c r="J17" i="25"/>
  <c r="P17" i="25" s="1"/>
  <c r="K13" i="25"/>
  <c r="R13" i="25" s="1"/>
  <c r="J16" i="25"/>
  <c r="P16" i="25" s="1"/>
  <c r="K11" i="25"/>
  <c r="R11" i="25" s="1"/>
  <c r="S14" i="5"/>
  <c r="S13" i="5"/>
  <c r="S9" i="5"/>
  <c r="Q16" i="5"/>
  <c r="Q9" i="5"/>
  <c r="X23" i="10" l="1"/>
  <c r="M45" i="24" l="1"/>
  <c r="K45" i="24"/>
  <c r="K34" i="24"/>
  <c r="J27" i="24"/>
  <c r="M23" i="24"/>
  <c r="K23" i="24"/>
  <c r="J8" i="24"/>
  <c r="U17" i="10" l="1"/>
  <c r="U16" i="10"/>
  <c r="U15" i="10"/>
  <c r="D37" i="24"/>
  <c r="L18" i="20"/>
  <c r="L17" i="20"/>
  <c r="L16" i="20"/>
  <c r="L15" i="20"/>
  <c r="L14" i="20"/>
  <c r="L12" i="20"/>
  <c r="L11" i="20"/>
  <c r="K18" i="20"/>
  <c r="K17" i="20"/>
  <c r="K16" i="20"/>
  <c r="K15" i="20"/>
  <c r="K14" i="20"/>
  <c r="K13" i="20"/>
  <c r="K12" i="20"/>
  <c r="K11" i="20"/>
  <c r="M11" i="20" s="1"/>
  <c r="C37" i="24" l="1"/>
  <c r="M12" i="20"/>
  <c r="H45" i="24"/>
  <c r="F45" i="24"/>
  <c r="F34" i="24"/>
  <c r="E27" i="24"/>
  <c r="H23" i="24"/>
  <c r="F23" i="24"/>
  <c r="E8" i="24"/>
  <c r="D13" i="24"/>
  <c r="C13" i="24" s="1"/>
  <c r="D12" i="24" l="1"/>
  <c r="C12" i="24" s="1"/>
  <c r="W19" i="16" l="1"/>
  <c r="W14" i="16"/>
  <c r="V19" i="16"/>
  <c r="V14" i="16"/>
  <c r="AL13" i="16"/>
  <c r="AL12" i="16" s="1"/>
  <c r="AK13" i="16"/>
  <c r="AK12" i="16" s="1"/>
  <c r="BG13" i="16"/>
  <c r="BG12" i="16" s="1"/>
  <c r="BD13" i="16"/>
  <c r="N9" i="27" s="1"/>
  <c r="BG31" i="16"/>
  <c r="BG30" i="16"/>
  <c r="BG29" i="16"/>
  <c r="BG28" i="16"/>
  <c r="BG27" i="16"/>
  <c r="BG26" i="16"/>
  <c r="BG25" i="16"/>
  <c r="BG24" i="16"/>
  <c r="BF31" i="16"/>
  <c r="BF30" i="16"/>
  <c r="BF29" i="16"/>
  <c r="BF28" i="16"/>
  <c r="BF27" i="16"/>
  <c r="BF26" i="16"/>
  <c r="BF25" i="16"/>
  <c r="BF24" i="16"/>
  <c r="BD31" i="16"/>
  <c r="BD30" i="16"/>
  <c r="BD29" i="16"/>
  <c r="BD28" i="16"/>
  <c r="BD27" i="16"/>
  <c r="BD26" i="16"/>
  <c r="BD25" i="16"/>
  <c r="BD24" i="16"/>
  <c r="BC31" i="16"/>
  <c r="BC30" i="16"/>
  <c r="BC29" i="16"/>
  <c r="BC28" i="16"/>
  <c r="BC27" i="16"/>
  <c r="BC26" i="16"/>
  <c r="BC25" i="16"/>
  <c r="BC24" i="16"/>
  <c r="AC7" i="10"/>
  <c r="AA7" i="10"/>
  <c r="AD7" i="10"/>
  <c r="Z7" i="10"/>
  <c r="AX31" i="16"/>
  <c r="AX30" i="16"/>
  <c r="AX29" i="16"/>
  <c r="AX28" i="16"/>
  <c r="AX27" i="16"/>
  <c r="AX26" i="16"/>
  <c r="AX25" i="16"/>
  <c r="AX24" i="16"/>
  <c r="AW31" i="16"/>
  <c r="AW30" i="16"/>
  <c r="AW29" i="16"/>
  <c r="AW28" i="16"/>
  <c r="AW27" i="16"/>
  <c r="AW26" i="16"/>
  <c r="AW25" i="16"/>
  <c r="AW24" i="16"/>
  <c r="S7" i="11"/>
  <c r="R7" i="11"/>
  <c r="AU31" i="16"/>
  <c r="O27" i="27" s="1"/>
  <c r="AU30" i="16"/>
  <c r="O26" i="27" s="1"/>
  <c r="AU29" i="16"/>
  <c r="AU28" i="16"/>
  <c r="AU27" i="16"/>
  <c r="O23" i="27" s="1"/>
  <c r="AU26" i="16"/>
  <c r="O22" i="27" s="1"/>
  <c r="AU25" i="16"/>
  <c r="AU24" i="16"/>
  <c r="AT31" i="16"/>
  <c r="AT30" i="16"/>
  <c r="AT29" i="16"/>
  <c r="AT28" i="16"/>
  <c r="AT27" i="16"/>
  <c r="J23" i="27" s="1"/>
  <c r="AT26" i="16"/>
  <c r="J22" i="27" s="1"/>
  <c r="AT25" i="16"/>
  <c r="AT24" i="16"/>
  <c r="AL31" i="16"/>
  <c r="AL30" i="16"/>
  <c r="AL29" i="16"/>
  <c r="AL28" i="16"/>
  <c r="AL27" i="16"/>
  <c r="AL26" i="16"/>
  <c r="AL25" i="16"/>
  <c r="AL24" i="16"/>
  <c r="AK31" i="16"/>
  <c r="AK30" i="16"/>
  <c r="AK29" i="16"/>
  <c r="AK28" i="16"/>
  <c r="AK27" i="16"/>
  <c r="AK26" i="16"/>
  <c r="AK25" i="16"/>
  <c r="AK24" i="16"/>
  <c r="Q7" i="8"/>
  <c r="R7" i="8"/>
  <c r="AI13" i="16"/>
  <c r="AI27" i="16"/>
  <c r="AH27" i="16"/>
  <c r="AI25" i="16"/>
  <c r="AH25" i="16"/>
  <c r="AF31" i="16"/>
  <c r="AF30" i="16"/>
  <c r="AF29" i="16"/>
  <c r="AF28" i="16"/>
  <c r="AF27" i="16"/>
  <c r="W27" i="16" s="1"/>
  <c r="AF26" i="16"/>
  <c r="AF25" i="16"/>
  <c r="AF24" i="16"/>
  <c r="AE31" i="16"/>
  <c r="AE30" i="16"/>
  <c r="AE29" i="16"/>
  <c r="AE28" i="16"/>
  <c r="AE27" i="16"/>
  <c r="AE26" i="16"/>
  <c r="AE25" i="16"/>
  <c r="AE24" i="16"/>
  <c r="J24" i="27" l="1"/>
  <c r="O24" i="27"/>
  <c r="T13" i="16"/>
  <c r="O25" i="27"/>
  <c r="T27" i="16"/>
  <c r="AI12" i="16"/>
  <c r="N20" i="27"/>
  <c r="J27" i="27"/>
  <c r="E27" i="27" s="1"/>
  <c r="J26" i="27"/>
  <c r="E26" i="27" s="1"/>
  <c r="J25" i="27"/>
  <c r="O21" i="27"/>
  <c r="J21" i="27"/>
  <c r="E23" i="27"/>
  <c r="E22" i="27"/>
  <c r="AD26" i="16"/>
  <c r="I22" i="27"/>
  <c r="W26" i="16"/>
  <c r="N22" i="27"/>
  <c r="V12" i="16"/>
  <c r="N23" i="27"/>
  <c r="W28" i="16"/>
  <c r="N24" i="27"/>
  <c r="W12" i="16"/>
  <c r="AD28" i="16"/>
  <c r="I24" i="27"/>
  <c r="AD29" i="16"/>
  <c r="I25" i="27"/>
  <c r="W29" i="16"/>
  <c r="N25" i="27"/>
  <c r="N8" i="27"/>
  <c r="BD12" i="16"/>
  <c r="AD30" i="16"/>
  <c r="I26" i="27"/>
  <c r="W30" i="16"/>
  <c r="N26" i="27"/>
  <c r="W25" i="16"/>
  <c r="N21" i="27"/>
  <c r="E24" i="27"/>
  <c r="AD31" i="16"/>
  <c r="I27" i="27"/>
  <c r="W31" i="16"/>
  <c r="N27" i="27"/>
  <c r="J20" i="27"/>
  <c r="O20" i="27"/>
  <c r="AD25" i="16"/>
  <c r="I21" i="27"/>
  <c r="AD27" i="16"/>
  <c r="I23" i="27"/>
  <c r="AD24" i="16"/>
  <c r="I20" i="27"/>
  <c r="AI23" i="16"/>
  <c r="AI11" i="16" s="1"/>
  <c r="AH23" i="16"/>
  <c r="AK23" i="16"/>
  <c r="AK11" i="16" s="1"/>
  <c r="AL23" i="16"/>
  <c r="AL11" i="16" s="1"/>
  <c r="AT23" i="16"/>
  <c r="AT11" i="16" s="1"/>
  <c r="AU23" i="16"/>
  <c r="AU11" i="16" s="1"/>
  <c r="BC23" i="16"/>
  <c r="BD23" i="16"/>
  <c r="BF23" i="16"/>
  <c r="BG23" i="16"/>
  <c r="BG11" i="16" s="1"/>
  <c r="U14" i="16"/>
  <c r="V24" i="16"/>
  <c r="AE23" i="16"/>
  <c r="AE11" i="16" s="1"/>
  <c r="W24" i="16"/>
  <c r="AF23" i="16"/>
  <c r="AF11" i="16" s="1"/>
  <c r="AW23" i="16"/>
  <c r="AX23" i="16"/>
  <c r="U20" i="16"/>
  <c r="U19" i="16"/>
  <c r="F19" i="16"/>
  <c r="F14" i="16"/>
  <c r="F13" i="16"/>
  <c r="F20" i="16"/>
  <c r="F31" i="16"/>
  <c r="F30" i="16"/>
  <c r="F29" i="16"/>
  <c r="F28" i="16"/>
  <c r="F26" i="16"/>
  <c r="F24" i="16"/>
  <c r="I19" i="16"/>
  <c r="I14" i="16"/>
  <c r="I20" i="16"/>
  <c r="L14" i="16"/>
  <c r="L13" i="16"/>
  <c r="L20" i="16"/>
  <c r="L31" i="16"/>
  <c r="L30" i="16"/>
  <c r="L29" i="16"/>
  <c r="L28" i="16"/>
  <c r="L27" i="16"/>
  <c r="L26" i="16"/>
  <c r="L25" i="16"/>
  <c r="L24" i="16"/>
  <c r="AG28" i="16"/>
  <c r="K25" i="16"/>
  <c r="K26" i="16"/>
  <c r="Q22" i="27" s="1"/>
  <c r="K27" i="16"/>
  <c r="K28" i="16"/>
  <c r="Q24" i="27" s="1"/>
  <c r="K29" i="16"/>
  <c r="Q25" i="27" s="1"/>
  <c r="K30" i="16"/>
  <c r="Q26" i="27" s="1"/>
  <c r="K31" i="16"/>
  <c r="K24" i="16"/>
  <c r="J26" i="16"/>
  <c r="L22" i="27" s="1"/>
  <c r="J25" i="16"/>
  <c r="J27" i="16"/>
  <c r="J28" i="16"/>
  <c r="L24" i="27" s="1"/>
  <c r="J29" i="16"/>
  <c r="L25" i="27" s="1"/>
  <c r="J30" i="16"/>
  <c r="L26" i="27" s="1"/>
  <c r="J31" i="16"/>
  <c r="L27" i="27" s="1"/>
  <c r="J24" i="16"/>
  <c r="L20" i="27" s="1"/>
  <c r="G27" i="16"/>
  <c r="G25" i="16"/>
  <c r="M7" i="7"/>
  <c r="M6" i="7" s="1"/>
  <c r="A2" i="20"/>
  <c r="K9" i="23"/>
  <c r="K8" i="23"/>
  <c r="E9" i="23"/>
  <c r="E8" i="23"/>
  <c r="K22" i="10"/>
  <c r="K21" i="10"/>
  <c r="K20" i="10"/>
  <c r="K19" i="10"/>
  <c r="K18" i="10"/>
  <c r="K17" i="10"/>
  <c r="K16" i="10"/>
  <c r="K15" i="10"/>
  <c r="AW13" i="16"/>
  <c r="P12" i="9"/>
  <c r="P9" i="9" s="1"/>
  <c r="P8" i="9" s="1"/>
  <c r="K23" i="9"/>
  <c r="K22" i="9"/>
  <c r="K21" i="9"/>
  <c r="K20" i="9"/>
  <c r="K19" i="9"/>
  <c r="K18" i="9"/>
  <c r="K17" i="9"/>
  <c r="K16" i="9"/>
  <c r="N8" i="8"/>
  <c r="AH13" i="16"/>
  <c r="M6" i="8"/>
  <c r="L6" i="8"/>
  <c r="I17" i="8"/>
  <c r="I16" i="8"/>
  <c r="I15" i="8"/>
  <c r="I14" i="8"/>
  <c r="I13" i="8"/>
  <c r="I12" i="8"/>
  <c r="I11" i="8"/>
  <c r="I10" i="8"/>
  <c r="I11" i="7"/>
  <c r="I10" i="7"/>
  <c r="I9" i="7" s="1"/>
  <c r="K10" i="7" s="1"/>
  <c r="Q10" i="7" s="1"/>
  <c r="C11" i="7"/>
  <c r="C10" i="7"/>
  <c r="M15" i="6"/>
  <c r="M14" i="6"/>
  <c r="M13" i="6"/>
  <c r="M12" i="6"/>
  <c r="M11" i="6"/>
  <c r="M10" i="6"/>
  <c r="M9" i="6"/>
  <c r="M8" i="6"/>
  <c r="Q27" i="27" l="1"/>
  <c r="E31" i="16"/>
  <c r="E25" i="27"/>
  <c r="AH12" i="16"/>
  <c r="AH11" i="16" s="1"/>
  <c r="D24" i="27"/>
  <c r="U12" i="16"/>
  <c r="O19" i="27"/>
  <c r="E21" i="27"/>
  <c r="AD23" i="16"/>
  <c r="AD11" i="16" s="1"/>
  <c r="L21" i="27"/>
  <c r="E24" i="16"/>
  <c r="Q20" i="27"/>
  <c r="G20" i="27" s="1"/>
  <c r="D27" i="16"/>
  <c r="L23" i="27"/>
  <c r="H23" i="27" s="1"/>
  <c r="D27" i="27"/>
  <c r="N19" i="27"/>
  <c r="N7" i="27" s="1"/>
  <c r="D26" i="27"/>
  <c r="D23" i="27"/>
  <c r="D25" i="27"/>
  <c r="D21" i="27"/>
  <c r="D20" i="27"/>
  <c r="I19" i="27"/>
  <c r="E20" i="27"/>
  <c r="J19" i="27"/>
  <c r="AW12" i="16"/>
  <c r="AW11" i="16" s="1"/>
  <c r="F44" i="24" s="1"/>
  <c r="D44" i="24" s="1"/>
  <c r="J9" i="27"/>
  <c r="F12" i="16"/>
  <c r="BD11" i="16"/>
  <c r="J46" i="24" s="1"/>
  <c r="D22" i="27"/>
  <c r="W23" i="16"/>
  <c r="W11" i="16" s="1"/>
  <c r="E26" i="16"/>
  <c r="M22" i="27"/>
  <c r="D26" i="16"/>
  <c r="D24" i="16"/>
  <c r="D31" i="16"/>
  <c r="H27" i="27"/>
  <c r="A3" i="6"/>
  <c r="A2" i="7" s="1"/>
  <c r="A2" i="8" s="1"/>
  <c r="A3" i="25"/>
  <c r="A3" i="5"/>
  <c r="D30" i="16"/>
  <c r="E30" i="16"/>
  <c r="M26" i="27"/>
  <c r="D29" i="16"/>
  <c r="E29" i="16"/>
  <c r="M25" i="27"/>
  <c r="D25" i="16"/>
  <c r="D28" i="16"/>
  <c r="H24" i="27"/>
  <c r="E28" i="16"/>
  <c r="M40" i="24"/>
  <c r="I40" i="24" s="1"/>
  <c r="I18" i="24"/>
  <c r="E38" i="24"/>
  <c r="E35" i="24" s="1"/>
  <c r="E51" i="24" s="1"/>
  <c r="K43" i="24"/>
  <c r="H40" i="24"/>
  <c r="D40" i="24" s="1"/>
  <c r="D18" i="24"/>
  <c r="I25" i="24"/>
  <c r="J47" i="24"/>
  <c r="I47" i="24" s="1"/>
  <c r="F43" i="24"/>
  <c r="J38" i="24"/>
  <c r="J35" i="24" s="1"/>
  <c r="J51" i="24" s="1"/>
  <c r="L23" i="16"/>
  <c r="M39" i="24"/>
  <c r="G23" i="16"/>
  <c r="G11" i="16" s="1"/>
  <c r="J23" i="16"/>
  <c r="K23" i="16"/>
  <c r="X8" i="10"/>
  <c r="BC13" i="16"/>
  <c r="BF13" i="16"/>
  <c r="BF12" i="16" s="1"/>
  <c r="BF11" i="16" s="1"/>
  <c r="X14" i="10"/>
  <c r="X16" i="10"/>
  <c r="K11" i="11"/>
  <c r="M12" i="11" s="1"/>
  <c r="K15" i="9"/>
  <c r="L18" i="9" s="1"/>
  <c r="R18" i="9" s="1"/>
  <c r="I9" i="8"/>
  <c r="J16" i="8" s="1"/>
  <c r="Q16" i="8" s="1"/>
  <c r="N8" i="7"/>
  <c r="N7" i="7" s="1"/>
  <c r="L7" i="7"/>
  <c r="L6" i="7" s="1"/>
  <c r="K7" i="23"/>
  <c r="M8" i="23" s="1"/>
  <c r="K14" i="10"/>
  <c r="O16" i="10" s="1"/>
  <c r="AD16" i="10" s="1"/>
  <c r="N10" i="8"/>
  <c r="N9" i="8"/>
  <c r="M7" i="6"/>
  <c r="R12" i="20"/>
  <c r="R13" i="20"/>
  <c r="R14" i="20"/>
  <c r="R17" i="20"/>
  <c r="R18" i="20"/>
  <c r="L13" i="20"/>
  <c r="M13" i="20" s="1"/>
  <c r="M18" i="20"/>
  <c r="M17" i="20"/>
  <c r="M16" i="20"/>
  <c r="M14" i="20"/>
  <c r="E18" i="20"/>
  <c r="C18" i="20"/>
  <c r="E17" i="20"/>
  <c r="C17" i="20"/>
  <c r="E16" i="20"/>
  <c r="C16" i="20"/>
  <c r="E15" i="20"/>
  <c r="C15" i="20"/>
  <c r="E14" i="20"/>
  <c r="C14" i="20"/>
  <c r="E13" i="20"/>
  <c r="C13" i="20"/>
  <c r="E12" i="20"/>
  <c r="C12" i="20"/>
  <c r="E11" i="20"/>
  <c r="E10" i="20" s="1"/>
  <c r="C11" i="20"/>
  <c r="D13" i="16" l="1"/>
  <c r="Y9" i="23"/>
  <c r="Y8" i="23"/>
  <c r="X9" i="23"/>
  <c r="X8" i="23"/>
  <c r="L9" i="23"/>
  <c r="E50" i="24"/>
  <c r="E49" i="24" s="1"/>
  <c r="E48" i="24" s="1"/>
  <c r="D51" i="24"/>
  <c r="J50" i="24"/>
  <c r="J49" i="24" s="1"/>
  <c r="J48" i="24" s="1"/>
  <c r="I51" i="24"/>
  <c r="I50" i="24" s="1"/>
  <c r="I49" i="24" s="1"/>
  <c r="I48" i="24" s="1"/>
  <c r="H39" i="24"/>
  <c r="H34" i="24" s="1"/>
  <c r="I9" i="27"/>
  <c r="E19" i="27"/>
  <c r="J23" i="24"/>
  <c r="D22" i="24"/>
  <c r="C20" i="27"/>
  <c r="L19" i="27"/>
  <c r="P8" i="23"/>
  <c r="H25" i="16"/>
  <c r="K12" i="8"/>
  <c r="R12" i="8" s="1"/>
  <c r="J14" i="8"/>
  <c r="Q14" i="8" s="1"/>
  <c r="K15" i="8"/>
  <c r="R15" i="8" s="1"/>
  <c r="K17" i="8"/>
  <c r="R17" i="8" s="1"/>
  <c r="K13" i="8"/>
  <c r="R13" i="8" s="1"/>
  <c r="K11" i="8"/>
  <c r="R11" i="8" s="1"/>
  <c r="K14" i="8"/>
  <c r="R14" i="8" s="1"/>
  <c r="J12" i="8"/>
  <c r="N12" i="8" s="1"/>
  <c r="K10" i="8"/>
  <c r="R10" i="8" s="1"/>
  <c r="J13" i="8"/>
  <c r="N13" i="8" s="1"/>
  <c r="J11" i="8"/>
  <c r="N11" i="8" s="1"/>
  <c r="J17" i="8"/>
  <c r="Q17" i="8" s="1"/>
  <c r="BC12" i="16"/>
  <c r="BC11" i="16" s="1"/>
  <c r="E46" i="24" s="1"/>
  <c r="J8" i="27"/>
  <c r="J7" i="27" s="1"/>
  <c r="H21" i="27"/>
  <c r="D19" i="27"/>
  <c r="C18" i="24"/>
  <c r="C40" i="24"/>
  <c r="G24" i="27"/>
  <c r="C24" i="27" s="1"/>
  <c r="M24" i="27"/>
  <c r="G27" i="27"/>
  <c r="C27" i="27" s="1"/>
  <c r="M27" i="27"/>
  <c r="H20" i="27"/>
  <c r="A3" i="9"/>
  <c r="A2" i="11" s="1"/>
  <c r="A2" i="10" s="1"/>
  <c r="A2" i="26"/>
  <c r="G26" i="27"/>
  <c r="C26" i="27" s="1"/>
  <c r="H26" i="27"/>
  <c r="G22" i="27"/>
  <c r="C22" i="27" s="1"/>
  <c r="H22" i="27"/>
  <c r="G25" i="27"/>
  <c r="C25" i="27" s="1"/>
  <c r="H25" i="27"/>
  <c r="M20" i="27"/>
  <c r="E15" i="24"/>
  <c r="D16" i="24"/>
  <c r="D43" i="24"/>
  <c r="F42" i="24"/>
  <c r="F26" i="24" s="1"/>
  <c r="I43" i="24"/>
  <c r="H29" i="24"/>
  <c r="H9" i="24"/>
  <c r="H8" i="24" s="1"/>
  <c r="I46" i="24"/>
  <c r="I45" i="24" s="1"/>
  <c r="J45" i="24"/>
  <c r="E34" i="24"/>
  <c r="D38" i="24"/>
  <c r="D35" i="24" s="1"/>
  <c r="I24" i="24"/>
  <c r="I23" i="24" s="1"/>
  <c r="H15" i="24"/>
  <c r="D17" i="24"/>
  <c r="I16" i="24"/>
  <c r="J15" i="24"/>
  <c r="D39" i="24"/>
  <c r="E47" i="24"/>
  <c r="D47" i="24" s="1"/>
  <c r="D25" i="24"/>
  <c r="I38" i="24"/>
  <c r="I35" i="24" s="1"/>
  <c r="J34" i="24"/>
  <c r="F20" i="24"/>
  <c r="F7" i="24" s="1"/>
  <c r="D21" i="24"/>
  <c r="I21" i="24"/>
  <c r="I39" i="24"/>
  <c r="M34" i="24"/>
  <c r="I17" i="24"/>
  <c r="M15" i="24"/>
  <c r="L16" i="9"/>
  <c r="R16" i="9" s="1"/>
  <c r="L9" i="27"/>
  <c r="L8" i="27" s="1"/>
  <c r="X15" i="10"/>
  <c r="L16" i="10"/>
  <c r="Z16" i="10" s="1"/>
  <c r="L15" i="10"/>
  <c r="Z15" i="10" s="1"/>
  <c r="L20" i="10"/>
  <c r="Z20" i="10" s="1"/>
  <c r="AA23" i="10"/>
  <c r="AA8" i="10"/>
  <c r="L21" i="10"/>
  <c r="Z21" i="10" s="1"/>
  <c r="M18" i="9"/>
  <c r="S18" i="9" s="1"/>
  <c r="L19" i="9"/>
  <c r="R19" i="9" s="1"/>
  <c r="M21" i="9"/>
  <c r="S21" i="9" s="1"/>
  <c r="L22" i="9"/>
  <c r="R22" i="9" s="1"/>
  <c r="M16" i="9"/>
  <c r="S16" i="9" s="1"/>
  <c r="L23" i="9"/>
  <c r="R23" i="9" s="1"/>
  <c r="L21" i="9"/>
  <c r="R21" i="9" s="1"/>
  <c r="M22" i="9"/>
  <c r="S22" i="9" s="1"/>
  <c r="L20" i="9"/>
  <c r="R20" i="9" s="1"/>
  <c r="M23" i="9"/>
  <c r="S23" i="9" s="1"/>
  <c r="L17" i="9"/>
  <c r="R17" i="9" s="1"/>
  <c r="M19" i="9"/>
  <c r="S19" i="9" s="1"/>
  <c r="M20" i="9"/>
  <c r="S20" i="9" s="1"/>
  <c r="M17" i="9"/>
  <c r="S17" i="9" s="1"/>
  <c r="Q11" i="8"/>
  <c r="J10" i="8"/>
  <c r="Q10" i="8" s="1"/>
  <c r="J15" i="8"/>
  <c r="K16" i="8"/>
  <c r="R16" i="8" s="1"/>
  <c r="R8" i="20"/>
  <c r="R7" i="20" s="1"/>
  <c r="M9" i="23"/>
  <c r="H27" i="16" s="1"/>
  <c r="L8" i="23"/>
  <c r="N16" i="10"/>
  <c r="AC16" i="10" s="1"/>
  <c r="M22" i="10"/>
  <c r="AA22" i="10" s="1"/>
  <c r="M15" i="10"/>
  <c r="AA15" i="10" s="1"/>
  <c r="N15" i="10"/>
  <c r="AC15" i="10" s="1"/>
  <c r="M18" i="10"/>
  <c r="AA18" i="10" s="1"/>
  <c r="O20" i="10"/>
  <c r="AD20" i="10" s="1"/>
  <c r="O17" i="10"/>
  <c r="AD17" i="10" s="1"/>
  <c r="N19" i="10"/>
  <c r="AC19" i="10" s="1"/>
  <c r="O18" i="10"/>
  <c r="AD18" i="10" s="1"/>
  <c r="N18" i="10"/>
  <c r="AC18" i="10" s="1"/>
  <c r="N20" i="10"/>
  <c r="O19" i="10"/>
  <c r="AD19" i="10" s="1"/>
  <c r="N21" i="10"/>
  <c r="M19" i="10"/>
  <c r="L18" i="10"/>
  <c r="Z18" i="10" s="1"/>
  <c r="M21" i="10"/>
  <c r="AA21" i="10" s="1"/>
  <c r="O21" i="10"/>
  <c r="AD21" i="10" s="1"/>
  <c r="L19" i="10"/>
  <c r="Z19" i="10" s="1"/>
  <c r="M16" i="10"/>
  <c r="O22" i="10"/>
  <c r="L22" i="10"/>
  <c r="N17" i="10"/>
  <c r="AC17" i="10" s="1"/>
  <c r="M17" i="10"/>
  <c r="AA17" i="10" s="1"/>
  <c r="O15" i="10"/>
  <c r="N22" i="10"/>
  <c r="AC22" i="10" s="1"/>
  <c r="L17" i="10"/>
  <c r="Z17" i="10" s="1"/>
  <c r="M20" i="10"/>
  <c r="L19" i="11"/>
  <c r="R19" i="11" s="1"/>
  <c r="L14" i="11"/>
  <c r="R14" i="11" s="1"/>
  <c r="L18" i="11"/>
  <c r="R18" i="11" s="1"/>
  <c r="L17" i="11"/>
  <c r="R17" i="11" s="1"/>
  <c r="L12" i="11"/>
  <c r="R12" i="11" s="1"/>
  <c r="L16" i="11"/>
  <c r="R16" i="11" s="1"/>
  <c r="N6" i="11"/>
  <c r="L15" i="11"/>
  <c r="R15" i="11" s="1"/>
  <c r="L13" i="11"/>
  <c r="R13" i="11" s="1"/>
  <c r="N16" i="8"/>
  <c r="N14" i="8"/>
  <c r="N17" i="8"/>
  <c r="J10" i="7"/>
  <c r="P10" i="7" s="1"/>
  <c r="K11" i="7"/>
  <c r="Q11" i="7" s="1"/>
  <c r="J11" i="7"/>
  <c r="P11" i="7" s="1"/>
  <c r="O8" i="6"/>
  <c r="V8" i="6" s="1"/>
  <c r="N8" i="6"/>
  <c r="O15" i="6"/>
  <c r="V15" i="6" s="1"/>
  <c r="N15" i="6"/>
  <c r="O14" i="6"/>
  <c r="V14" i="6" s="1"/>
  <c r="N14" i="6"/>
  <c r="O13" i="6"/>
  <c r="V13" i="6" s="1"/>
  <c r="N13" i="6"/>
  <c r="O9" i="6"/>
  <c r="V9" i="6" s="1"/>
  <c r="O12" i="6"/>
  <c r="V12" i="6" s="1"/>
  <c r="N12" i="6"/>
  <c r="T12" i="6" s="1"/>
  <c r="O11" i="6"/>
  <c r="V11" i="6" s="1"/>
  <c r="N11" i="6"/>
  <c r="N9" i="6"/>
  <c r="O10" i="6"/>
  <c r="V10" i="6" s="1"/>
  <c r="N10" i="6"/>
  <c r="R15" i="20"/>
  <c r="R16" i="20"/>
  <c r="R11" i="20"/>
  <c r="M15" i="20"/>
  <c r="L19" i="16"/>
  <c r="L12" i="16" s="1"/>
  <c r="L11" i="16" s="1"/>
  <c r="AQ24" i="16"/>
  <c r="AJ24" i="16"/>
  <c r="AZ25" i="16"/>
  <c r="BA25" i="16"/>
  <c r="AZ26" i="16"/>
  <c r="BA26" i="16"/>
  <c r="AZ27" i="16"/>
  <c r="BA27" i="16"/>
  <c r="AZ28" i="16"/>
  <c r="BA28" i="16"/>
  <c r="AZ29" i="16"/>
  <c r="BA29" i="16"/>
  <c r="AZ30" i="16"/>
  <c r="BA30" i="16"/>
  <c r="AZ31" i="16"/>
  <c r="BA31" i="16"/>
  <c r="AZ20" i="16"/>
  <c r="BA20" i="16"/>
  <c r="AZ13" i="16"/>
  <c r="BA13" i="16"/>
  <c r="AZ14" i="16"/>
  <c r="BA14" i="16"/>
  <c r="AZ19" i="16"/>
  <c r="BA19" i="16"/>
  <c r="BA24" i="16"/>
  <c r="AZ24" i="16"/>
  <c r="AQ25" i="16"/>
  <c r="AR25" i="16"/>
  <c r="AQ26" i="16"/>
  <c r="AR26" i="16"/>
  <c r="AQ27" i="16"/>
  <c r="AR27" i="16"/>
  <c r="AQ28" i="16"/>
  <c r="AR28" i="16"/>
  <c r="AQ29" i="16"/>
  <c r="AR29" i="16"/>
  <c r="AQ30" i="16"/>
  <c r="AR30" i="16"/>
  <c r="AQ31" i="16"/>
  <c r="AR31" i="16"/>
  <c r="AQ20" i="16"/>
  <c r="AR20" i="16"/>
  <c r="AQ13" i="16"/>
  <c r="AQ14" i="16"/>
  <c r="AR14" i="16"/>
  <c r="AQ19" i="16"/>
  <c r="AR19" i="16"/>
  <c r="AR24" i="16"/>
  <c r="V8" i="10"/>
  <c r="V7" i="10" s="1"/>
  <c r="P15" i="9"/>
  <c r="P7" i="9" s="1"/>
  <c r="P16" i="9"/>
  <c r="P17" i="9"/>
  <c r="P18" i="9"/>
  <c r="P19" i="9"/>
  <c r="P20" i="9"/>
  <c r="P21" i="9"/>
  <c r="P22" i="9"/>
  <c r="P23" i="9"/>
  <c r="N9" i="7"/>
  <c r="N6" i="7" s="1"/>
  <c r="J6" i="19"/>
  <c r="J7" i="19"/>
  <c r="J8" i="19"/>
  <c r="J9" i="19"/>
  <c r="J10" i="19"/>
  <c r="J11" i="19"/>
  <c r="J12" i="19"/>
  <c r="J13" i="19"/>
  <c r="J15" i="19"/>
  <c r="J16" i="19"/>
  <c r="J17" i="19"/>
  <c r="J18" i="19"/>
  <c r="J19" i="19"/>
  <c r="J20" i="19"/>
  <c r="J21" i="19"/>
  <c r="J22" i="19"/>
  <c r="J5" i="19"/>
  <c r="I23" i="19"/>
  <c r="I14" i="19" s="1"/>
  <c r="H23" i="19"/>
  <c r="G22" i="19"/>
  <c r="G21" i="19"/>
  <c r="G20" i="19"/>
  <c r="G19" i="19"/>
  <c r="G18" i="19"/>
  <c r="G17" i="19"/>
  <c r="G16" i="19"/>
  <c r="G15" i="19"/>
  <c r="F14" i="19"/>
  <c r="E14" i="19"/>
  <c r="D14" i="19"/>
  <c r="C14" i="19"/>
  <c r="D13" i="19"/>
  <c r="C13" i="19"/>
  <c r="D12" i="19"/>
  <c r="C12" i="19"/>
  <c r="D11" i="19"/>
  <c r="C11" i="19"/>
  <c r="D10" i="19"/>
  <c r="C10" i="19"/>
  <c r="D9" i="19"/>
  <c r="C9" i="19"/>
  <c r="D8" i="19"/>
  <c r="C8" i="19"/>
  <c r="D7" i="19"/>
  <c r="C7" i="19"/>
  <c r="D6" i="19"/>
  <c r="C6" i="19"/>
  <c r="F5" i="19"/>
  <c r="C5" i="19"/>
  <c r="C51" i="24" l="1"/>
  <c r="C50" i="24" s="1"/>
  <c r="D50" i="24"/>
  <c r="D49" i="24" s="1"/>
  <c r="E23" i="24"/>
  <c r="E7" i="24" s="1"/>
  <c r="AZ12" i="16"/>
  <c r="Q13" i="8"/>
  <c r="R10" i="20"/>
  <c r="Q9" i="27"/>
  <c r="Q23" i="27"/>
  <c r="F27" i="16"/>
  <c r="E27" i="16"/>
  <c r="Q21" i="27"/>
  <c r="H23" i="16"/>
  <c r="H11" i="16" s="1"/>
  <c r="E25" i="16"/>
  <c r="F25" i="16"/>
  <c r="H19" i="27"/>
  <c r="Q12" i="8"/>
  <c r="BA12" i="16"/>
  <c r="AQ12" i="16"/>
  <c r="D9" i="27"/>
  <c r="D8" i="27" s="1"/>
  <c r="D7" i="27" s="1"/>
  <c r="I8" i="27"/>
  <c r="I7" i="27" s="1"/>
  <c r="J26" i="24"/>
  <c r="C17" i="24"/>
  <c r="D20" i="24"/>
  <c r="C21" i="24"/>
  <c r="C25" i="24"/>
  <c r="C47" i="24"/>
  <c r="C38" i="24"/>
  <c r="D42" i="24"/>
  <c r="C43" i="24"/>
  <c r="C39" i="24"/>
  <c r="C16" i="24"/>
  <c r="K12" i="16"/>
  <c r="K11" i="16" s="1"/>
  <c r="J12" i="16"/>
  <c r="J11" i="16" s="1"/>
  <c r="H30" i="24" s="1"/>
  <c r="D30" i="24" s="1"/>
  <c r="D29" i="24"/>
  <c r="H28" i="24"/>
  <c r="D46" i="24"/>
  <c r="C46" i="24" s="1"/>
  <c r="E45" i="24"/>
  <c r="E26" i="24" s="1"/>
  <c r="J7" i="24"/>
  <c r="D15" i="24"/>
  <c r="I15" i="24"/>
  <c r="I34" i="24"/>
  <c r="D12" i="16"/>
  <c r="I13" i="16"/>
  <c r="I12" i="16" s="1"/>
  <c r="AZ23" i="16"/>
  <c r="AQ23" i="16"/>
  <c r="AR23" i="16"/>
  <c r="BA23" i="16"/>
  <c r="Q6" i="20"/>
  <c r="V20" i="10"/>
  <c r="AA20" i="10"/>
  <c r="V19" i="10"/>
  <c r="AA19" i="10"/>
  <c r="U21" i="10"/>
  <c r="AC21" i="10"/>
  <c r="V15" i="10"/>
  <c r="T15" i="10" s="1"/>
  <c r="AD15" i="10"/>
  <c r="U20" i="10"/>
  <c r="AC20" i="10"/>
  <c r="U22" i="10"/>
  <c r="Z22" i="10"/>
  <c r="X6" i="10"/>
  <c r="Z23" i="10"/>
  <c r="Z8" i="10"/>
  <c r="V22" i="10"/>
  <c r="AD22" i="10"/>
  <c r="D5" i="19"/>
  <c r="V16" i="10"/>
  <c r="T16" i="10" s="1"/>
  <c r="AA16" i="10"/>
  <c r="M10" i="20"/>
  <c r="AY29" i="16"/>
  <c r="N15" i="8"/>
  <c r="Q15" i="8"/>
  <c r="N10" i="7"/>
  <c r="R9" i="6"/>
  <c r="T9" i="6"/>
  <c r="R14" i="6"/>
  <c r="T14" i="6"/>
  <c r="R11" i="6"/>
  <c r="T11" i="6"/>
  <c r="R15" i="6"/>
  <c r="T15" i="6"/>
  <c r="R8" i="6"/>
  <c r="T8" i="6"/>
  <c r="R10" i="6"/>
  <c r="T10" i="6"/>
  <c r="R13" i="6"/>
  <c r="T13" i="6"/>
  <c r="P9" i="23"/>
  <c r="AY13" i="16"/>
  <c r="AY25" i="16"/>
  <c r="AP25" i="16"/>
  <c r="AP29" i="16"/>
  <c r="V17" i="10"/>
  <c r="V18" i="10"/>
  <c r="U18" i="10"/>
  <c r="V21" i="10"/>
  <c r="U19" i="10"/>
  <c r="N11" i="7"/>
  <c r="R12" i="6"/>
  <c r="AP20" i="16"/>
  <c r="AP28" i="16"/>
  <c r="AY20" i="16"/>
  <c r="AY28" i="16"/>
  <c r="AP19" i="16"/>
  <c r="AP31" i="16"/>
  <c r="AP27" i="16"/>
  <c r="AY19" i="16"/>
  <c r="AY31" i="16"/>
  <c r="AY27" i="16"/>
  <c r="AP14" i="16"/>
  <c r="AP30" i="16"/>
  <c r="AP26" i="16"/>
  <c r="AY14" i="16"/>
  <c r="AY30" i="16"/>
  <c r="AY26" i="16"/>
  <c r="J23" i="19"/>
  <c r="AP24" i="16"/>
  <c r="AY24" i="16"/>
  <c r="H14" i="19"/>
  <c r="J14" i="19" s="1"/>
  <c r="G14" i="19"/>
  <c r="T20" i="10" l="1"/>
  <c r="C49" i="24"/>
  <c r="D48" i="24"/>
  <c r="C48" i="24" s="1"/>
  <c r="F23" i="16"/>
  <c r="F11" i="16" s="1"/>
  <c r="T22" i="10"/>
  <c r="D24" i="24"/>
  <c r="C24" i="24" s="1"/>
  <c r="AZ11" i="16"/>
  <c r="O13" i="20"/>
  <c r="N13" i="20"/>
  <c r="N15" i="20"/>
  <c r="U15" i="20" s="1"/>
  <c r="O12" i="20"/>
  <c r="N12" i="20"/>
  <c r="U12" i="20" s="1"/>
  <c r="N14" i="20"/>
  <c r="O11" i="20"/>
  <c r="V11" i="20" s="1"/>
  <c r="N11" i="20"/>
  <c r="U11" i="20" s="1"/>
  <c r="N16" i="20"/>
  <c r="U16" i="20" s="1"/>
  <c r="O18" i="20"/>
  <c r="N18" i="20"/>
  <c r="U18" i="20" s="1"/>
  <c r="O17" i="20"/>
  <c r="V17" i="20" s="1"/>
  <c r="N17" i="20"/>
  <c r="U17" i="20" s="1"/>
  <c r="O16" i="20"/>
  <c r="O14" i="20"/>
  <c r="V14" i="20" s="1"/>
  <c r="O15" i="20"/>
  <c r="M29" i="24"/>
  <c r="G21" i="27"/>
  <c r="M21" i="27"/>
  <c r="Q19" i="27"/>
  <c r="M23" i="27"/>
  <c r="G23" i="27"/>
  <c r="C23" i="27" s="1"/>
  <c r="C15" i="24"/>
  <c r="AQ11" i="16"/>
  <c r="AY12" i="16"/>
  <c r="BA11" i="16"/>
  <c r="D9" i="24"/>
  <c r="D34" i="24"/>
  <c r="C34" i="24" s="1"/>
  <c r="C35" i="24"/>
  <c r="P6" i="20"/>
  <c r="U6" i="20" s="1"/>
  <c r="V6" i="20" s="1"/>
  <c r="G9" i="27"/>
  <c r="L7" i="27"/>
  <c r="H9" i="27"/>
  <c r="Q8" i="27"/>
  <c r="D45" i="24"/>
  <c r="C45" i="24" s="1"/>
  <c r="H27" i="24"/>
  <c r="H26" i="24" s="1"/>
  <c r="D28" i="24"/>
  <c r="M30" i="24"/>
  <c r="I30" i="24" s="1"/>
  <c r="I11" i="24"/>
  <c r="AY23" i="16"/>
  <c r="AP23" i="16"/>
  <c r="R6" i="20"/>
  <c r="T21" i="10"/>
  <c r="T19" i="10"/>
  <c r="P7" i="23"/>
  <c r="U14" i="20"/>
  <c r="Z25" i="10"/>
  <c r="U13" i="20"/>
  <c r="R7" i="6"/>
  <c r="V12" i="20"/>
  <c r="V18" i="20"/>
  <c r="V16" i="20"/>
  <c r="V15" i="20"/>
  <c r="V13" i="20"/>
  <c r="T18" i="10"/>
  <c r="T17" i="10"/>
  <c r="U14" i="10"/>
  <c r="V14" i="10"/>
  <c r="V6" i="10" s="1"/>
  <c r="I24" i="16"/>
  <c r="S13" i="16"/>
  <c r="V25" i="16"/>
  <c r="V26" i="16"/>
  <c r="S26" i="16" s="1"/>
  <c r="V27" i="16"/>
  <c r="S27" i="16" s="1"/>
  <c r="V28" i="16"/>
  <c r="S28" i="16" s="1"/>
  <c r="V29" i="16"/>
  <c r="S29" i="16" s="1"/>
  <c r="V30" i="16"/>
  <c r="S30" i="16" s="1"/>
  <c r="V31" i="16"/>
  <c r="S31" i="16" s="1"/>
  <c r="S20" i="16"/>
  <c r="AG24" i="16"/>
  <c r="I25" i="16"/>
  <c r="I26" i="16"/>
  <c r="I27" i="16"/>
  <c r="I28" i="16"/>
  <c r="I29" i="16"/>
  <c r="I30" i="16"/>
  <c r="I31" i="16"/>
  <c r="BB25" i="16"/>
  <c r="BB26" i="16"/>
  <c r="BB27" i="16"/>
  <c r="BB28" i="16"/>
  <c r="BB29" i="16"/>
  <c r="BB30" i="16"/>
  <c r="BB31" i="16"/>
  <c r="BB20" i="16"/>
  <c r="BB13" i="16"/>
  <c r="BB14" i="16"/>
  <c r="BB19" i="16"/>
  <c r="BB24" i="16"/>
  <c r="AG25" i="16"/>
  <c r="AG26" i="16"/>
  <c r="AG27" i="16"/>
  <c r="AG29" i="16"/>
  <c r="AG30" i="16"/>
  <c r="AG31" i="16"/>
  <c r="AG20" i="16"/>
  <c r="AG13" i="16"/>
  <c r="AG14" i="16"/>
  <c r="AG19" i="16"/>
  <c r="BE25" i="16"/>
  <c r="BE26" i="16"/>
  <c r="BE27" i="16"/>
  <c r="BE28" i="16"/>
  <c r="BE29" i="16"/>
  <c r="BE30" i="16"/>
  <c r="BE31" i="16"/>
  <c r="BE20" i="16"/>
  <c r="BE13" i="16"/>
  <c r="BE14" i="16"/>
  <c r="BE19" i="16"/>
  <c r="BE24" i="16"/>
  <c r="AV25" i="16"/>
  <c r="AV26" i="16"/>
  <c r="AV27" i="16"/>
  <c r="AV28" i="16"/>
  <c r="AV29" i="16"/>
  <c r="AV30" i="16"/>
  <c r="AV31" i="16"/>
  <c r="AV20" i="16"/>
  <c r="AV14" i="16"/>
  <c r="AV19" i="16"/>
  <c r="AV24" i="16"/>
  <c r="AS14" i="16"/>
  <c r="AS24" i="16"/>
  <c r="AS25" i="16"/>
  <c r="AS26" i="16"/>
  <c r="AS27" i="16"/>
  <c r="AS28" i="16"/>
  <c r="AS29" i="16"/>
  <c r="AS30" i="16"/>
  <c r="AS31" i="16"/>
  <c r="AS20" i="16"/>
  <c r="AS13" i="16"/>
  <c r="AS19" i="16"/>
  <c r="T25" i="16"/>
  <c r="T26" i="16"/>
  <c r="T28" i="16"/>
  <c r="T29" i="16"/>
  <c r="T30" i="16"/>
  <c r="T31" i="16"/>
  <c r="T20" i="16"/>
  <c r="T12" i="16" s="1"/>
  <c r="AJ13" i="16"/>
  <c r="AJ20" i="16"/>
  <c r="AJ31" i="16"/>
  <c r="AJ30" i="16"/>
  <c r="AJ29" i="16"/>
  <c r="AJ28" i="16"/>
  <c r="AJ27" i="16"/>
  <c r="AJ26" i="16"/>
  <c r="AJ25" i="16"/>
  <c r="D23" i="24" l="1"/>
  <c r="C23" i="24" s="1"/>
  <c r="AJ12" i="16"/>
  <c r="BE12" i="16"/>
  <c r="Q7" i="27"/>
  <c r="M19" i="27"/>
  <c r="C21" i="27"/>
  <c r="C19" i="27" s="1"/>
  <c r="G19" i="27"/>
  <c r="M9" i="24"/>
  <c r="M8" i="24" s="1"/>
  <c r="M7" i="24" s="1"/>
  <c r="I10" i="24"/>
  <c r="I29" i="24"/>
  <c r="M28" i="24"/>
  <c r="M27" i="24" s="1"/>
  <c r="M26" i="24" s="1"/>
  <c r="H8" i="27"/>
  <c r="H7" i="27" s="1"/>
  <c r="S12" i="16"/>
  <c r="AG12" i="16"/>
  <c r="AY11" i="16"/>
  <c r="BB12" i="16"/>
  <c r="AS12" i="16"/>
  <c r="D8" i="24"/>
  <c r="D27" i="24"/>
  <c r="C30" i="24"/>
  <c r="D11" i="24"/>
  <c r="G8" i="27"/>
  <c r="BE23" i="16"/>
  <c r="V23" i="16"/>
  <c r="V11" i="16" s="1"/>
  <c r="AJ23" i="16"/>
  <c r="AJ11" i="16" s="1"/>
  <c r="AS23" i="16"/>
  <c r="BB23" i="16"/>
  <c r="AV23" i="16"/>
  <c r="AG23" i="16"/>
  <c r="I23" i="16"/>
  <c r="I11" i="16" s="1"/>
  <c r="T14" i="10"/>
  <c r="R14" i="16"/>
  <c r="T24" i="16"/>
  <c r="T23" i="16" s="1"/>
  <c r="T11" i="16" s="1"/>
  <c r="S25" i="16"/>
  <c r="C25" i="16" s="1"/>
  <c r="R19" i="16"/>
  <c r="C19" i="16"/>
  <c r="R20" i="16"/>
  <c r="C20" i="16"/>
  <c r="R30" i="16"/>
  <c r="C30" i="16"/>
  <c r="R28" i="16"/>
  <c r="C28" i="16"/>
  <c r="R26" i="16"/>
  <c r="C26" i="16"/>
  <c r="C31" i="16"/>
  <c r="R31" i="16"/>
  <c r="C29" i="16"/>
  <c r="R29" i="16"/>
  <c r="C27" i="16"/>
  <c r="R27" i="16"/>
  <c r="U24" i="16"/>
  <c r="U30" i="16"/>
  <c r="U28" i="16"/>
  <c r="U26" i="16"/>
  <c r="S24" i="16"/>
  <c r="U31" i="16"/>
  <c r="U29" i="16"/>
  <c r="U27" i="16"/>
  <c r="U25" i="16"/>
  <c r="R13" i="16"/>
  <c r="BB11" i="16" l="1"/>
  <c r="BE11" i="16"/>
  <c r="G7" i="27"/>
  <c r="I28" i="24"/>
  <c r="C29" i="24"/>
  <c r="I9" i="24"/>
  <c r="C10" i="24"/>
  <c r="AS11" i="16"/>
  <c r="R12" i="16"/>
  <c r="AG11" i="16"/>
  <c r="C11" i="24"/>
  <c r="D26" i="24"/>
  <c r="H7" i="24"/>
  <c r="D7" i="24"/>
  <c r="S23" i="16"/>
  <c r="S11" i="16" s="1"/>
  <c r="U23" i="16"/>
  <c r="U11" i="16" s="1"/>
  <c r="R25" i="16"/>
  <c r="D23" i="16"/>
  <c r="D11" i="16" s="1"/>
  <c r="E23" i="16"/>
  <c r="R24" i="16"/>
  <c r="I8" i="24" l="1"/>
  <c r="C9" i="24"/>
  <c r="C28" i="24"/>
  <c r="I27" i="24"/>
  <c r="R23" i="16"/>
  <c r="R11" i="16" s="1"/>
  <c r="C24" i="16"/>
  <c r="C23" i="16" s="1"/>
  <c r="U8" i="10"/>
  <c r="U7" i="10" s="1"/>
  <c r="C27" i="24" l="1"/>
  <c r="C8" i="24"/>
  <c r="U6" i="10"/>
  <c r="T8" i="10"/>
  <c r="T7" i="10" s="1"/>
  <c r="T6" i="10" s="1"/>
  <c r="A2" i="19"/>
  <c r="P9" i="11" l="1"/>
  <c r="P8" i="11" s="1"/>
  <c r="AX13" i="16"/>
  <c r="E13" i="16" s="1"/>
  <c r="M19" i="11"/>
  <c r="M18" i="11"/>
  <c r="M17" i="11"/>
  <c r="M14" i="11"/>
  <c r="M16" i="11"/>
  <c r="M15" i="11"/>
  <c r="M13" i="11"/>
  <c r="C14" i="16"/>
  <c r="N7" i="8"/>
  <c r="N6" i="8" s="1"/>
  <c r="O9" i="27" l="1"/>
  <c r="AX12" i="16"/>
  <c r="AX11" i="16" s="1"/>
  <c r="E12" i="16"/>
  <c r="E11" i="16" s="1"/>
  <c r="P16" i="11"/>
  <c r="S16" i="11"/>
  <c r="P15" i="11"/>
  <c r="S15" i="11"/>
  <c r="P19" i="11"/>
  <c r="S19" i="11"/>
  <c r="P13" i="11"/>
  <c r="S13" i="11"/>
  <c r="P14" i="11"/>
  <c r="S14" i="11"/>
  <c r="P18" i="11"/>
  <c r="S18" i="11"/>
  <c r="AR13" i="16"/>
  <c r="AR12" i="16" s="1"/>
  <c r="AR11" i="16" s="1"/>
  <c r="AV13" i="16"/>
  <c r="AV12" i="16" s="1"/>
  <c r="AV11" i="16" s="1"/>
  <c r="P12" i="11"/>
  <c r="S12" i="11"/>
  <c r="P17" i="11"/>
  <c r="S17" i="11"/>
  <c r="E12" i="12"/>
  <c r="D12" i="12"/>
  <c r="C12" i="12" s="1"/>
  <c r="E17" i="12"/>
  <c r="D17" i="12"/>
  <c r="C20" i="12"/>
  <c r="C16" i="12"/>
  <c r="C18" i="12"/>
  <c r="C19" i="12"/>
  <c r="E9" i="12"/>
  <c r="D9" i="12"/>
  <c r="C8" i="12"/>
  <c r="C10" i="12"/>
  <c r="C11" i="12"/>
  <c r="C13" i="12"/>
  <c r="C14" i="12"/>
  <c r="C15" i="12"/>
  <c r="C7" i="12"/>
  <c r="A2" i="12"/>
  <c r="O8" i="27" l="1"/>
  <c r="O7" i="27" s="1"/>
  <c r="E9" i="27"/>
  <c r="M9" i="27"/>
  <c r="M8" i="27" s="1"/>
  <c r="M7" i="27" s="1"/>
  <c r="K44" i="24"/>
  <c r="R9" i="11"/>
  <c r="AP13" i="16"/>
  <c r="AP12" i="16" s="1"/>
  <c r="AP11" i="16" s="1"/>
  <c r="C17" i="12"/>
  <c r="E6" i="12"/>
  <c r="D6" i="12"/>
  <c r="C9" i="12"/>
  <c r="C6" i="12" l="1"/>
  <c r="E8" i="27"/>
  <c r="E7" i="27" s="1"/>
  <c r="C9" i="27"/>
  <c r="C8" i="27" s="1"/>
  <c r="C7" i="27" s="1"/>
  <c r="I44" i="24"/>
  <c r="C44" i="24" s="1"/>
  <c r="K42" i="24"/>
  <c r="K26" i="24" s="1"/>
  <c r="I22" i="24"/>
  <c r="C22" i="24" s="1"/>
  <c r="K20" i="24"/>
  <c r="K7" i="24" s="1"/>
  <c r="C13" i="16"/>
  <c r="C9" i="8"/>
  <c r="G17" i="8"/>
  <c r="G16" i="8"/>
  <c r="G15" i="8"/>
  <c r="G14" i="8"/>
  <c r="G13" i="8"/>
  <c r="G12" i="8"/>
  <c r="G11" i="8"/>
  <c r="G10" i="8"/>
  <c r="C12" i="16" l="1"/>
  <c r="C11" i="16" s="1"/>
  <c r="I20" i="24"/>
  <c r="C20" i="24" s="1"/>
  <c r="I42" i="24"/>
  <c r="C42" i="24" s="1"/>
  <c r="G9" i="8"/>
  <c r="I26" i="24" l="1"/>
  <c r="C26" i="24" s="1"/>
  <c r="I7" i="24"/>
  <c r="C7" i="24" s="1"/>
  <c r="E22" i="10"/>
  <c r="C22" i="10"/>
  <c r="E21" i="10"/>
  <c r="C21" i="10"/>
  <c r="E20" i="10"/>
  <c r="C20" i="10"/>
  <c r="E19" i="10"/>
  <c r="C19" i="10"/>
  <c r="E18" i="10"/>
  <c r="C18" i="10"/>
  <c r="E17" i="10"/>
  <c r="C17" i="10"/>
  <c r="E16" i="10"/>
  <c r="C16" i="10"/>
  <c r="E15" i="10"/>
  <c r="C15" i="10"/>
  <c r="I14" i="10"/>
  <c r="C14" i="10"/>
  <c r="E23" i="9"/>
  <c r="C23" i="9"/>
  <c r="E22" i="9"/>
  <c r="C22" i="9"/>
  <c r="E21" i="9"/>
  <c r="C21" i="9"/>
  <c r="E20" i="9"/>
  <c r="C20" i="9"/>
  <c r="E19" i="9"/>
  <c r="C19" i="9"/>
  <c r="E18" i="9"/>
  <c r="C18" i="9"/>
  <c r="E17" i="9"/>
  <c r="C17" i="9"/>
  <c r="E16" i="9"/>
  <c r="C16" i="9"/>
  <c r="I15" i="9"/>
  <c r="C15" i="9"/>
  <c r="E15" i="9" l="1"/>
  <c r="E14" i="10"/>
  <c r="E17" i="8"/>
  <c r="C17" i="8"/>
  <c r="E16" i="8"/>
  <c r="C16" i="8"/>
  <c r="E15" i="8"/>
  <c r="C15" i="8"/>
  <c r="E14" i="8"/>
  <c r="C14" i="8"/>
  <c r="E13" i="8"/>
  <c r="C13" i="8"/>
  <c r="E12" i="8"/>
  <c r="C12" i="8"/>
  <c r="E11" i="8"/>
  <c r="C11" i="8"/>
  <c r="E10" i="8"/>
  <c r="C10" i="8"/>
  <c r="E11" i="7"/>
  <c r="E9" i="8" l="1"/>
  <c r="E10" i="7"/>
  <c r="I7" i="6"/>
  <c r="E15" i="6"/>
  <c r="C15" i="6"/>
  <c r="E14" i="6"/>
  <c r="C14" i="6"/>
  <c r="E13" i="6"/>
  <c r="C13" i="6"/>
  <c r="E12" i="6"/>
  <c r="C12" i="6"/>
  <c r="E11" i="6"/>
  <c r="C11" i="6"/>
  <c r="E10" i="6"/>
  <c r="C10" i="6"/>
  <c r="E9" i="6"/>
  <c r="C9" i="6"/>
  <c r="E8" i="6"/>
  <c r="C8" i="6"/>
  <c r="K7" i="6"/>
  <c r="C7" i="6"/>
  <c r="E7" i="6" l="1"/>
  <c r="P7" i="11" l="1"/>
  <c r="P6"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Tác giả</author>
  </authors>
  <commentList>
    <comment ref="E51" authorId="0" shapeId="0" xr:uid="{00000000-0006-0000-0100-000001000000}">
      <text>
        <r>
          <rPr>
            <b/>
            <sz val="11"/>
            <color indexed="81"/>
            <rFont val="Tahoma"/>
            <family val="2"/>
          </rPr>
          <t>Tác giả:</t>
        </r>
        <r>
          <rPr>
            <sz val="11"/>
            <color indexed="81"/>
            <rFont val="Tahoma"/>
            <family val="2"/>
          </rPr>
          <t xml:space="preserve">
chênh lệch với số của sở lao động 7.031 do áp sai tiêu chi đối với huyện Na Rì ở ND 1, Tiểu DA1, Da4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Tác giả</author>
  </authors>
  <commentList>
    <comment ref="G5" authorId="0" shapeId="0" xr:uid="{00000000-0006-0000-0800-000001000000}">
      <text>
        <r>
          <rPr>
            <b/>
            <sz val="9"/>
            <color indexed="81"/>
            <rFont val="Tahoma"/>
            <family val="2"/>
          </rPr>
          <t>Tác giả:</t>
        </r>
        <r>
          <rPr>
            <sz val="9"/>
            <color indexed="81"/>
            <rFont val="Tahoma"/>
            <family val="2"/>
          </rPr>
          <t xml:space="preserve">
Theo số liệu năm 2020 báo cáo KHPTKTXH năm 2022</t>
        </r>
      </text>
    </comment>
    <comment ref="H18" authorId="0" shapeId="0" xr:uid="{00000000-0006-0000-0800-000002000000}">
      <text>
        <r>
          <rPr>
            <b/>
            <sz val="9"/>
            <color indexed="81"/>
            <rFont val="Tahoma"/>
            <family val="2"/>
          </rPr>
          <t>Tác giả:</t>
        </r>
        <r>
          <rPr>
            <sz val="9"/>
            <color indexed="81"/>
            <rFont val="Tahoma"/>
            <family val="2"/>
          </rPr>
          <t xml:space="preserve">
Tuyển sinh dưới 200 học sinh hệ số 0,5; Sở lao động đang để 0,6</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Tác giả</author>
  </authors>
  <commentList>
    <comment ref="H5" authorId="0" shapeId="0" xr:uid="{00000000-0006-0000-0900-000001000000}">
      <text>
        <r>
          <rPr>
            <b/>
            <sz val="9"/>
            <color indexed="81"/>
            <rFont val="Tahoma"/>
            <family val="2"/>
          </rPr>
          <t>Tác giả:</t>
        </r>
        <r>
          <rPr>
            <sz val="9"/>
            <color indexed="81"/>
            <rFont val="Tahoma"/>
            <family val="2"/>
          </rPr>
          <t xml:space="preserve">
Theo số liệu năm 2020 báo cáo KHPTKTXH năm 2022</t>
        </r>
      </text>
    </comment>
    <comment ref="I15" authorId="0" shapeId="0" xr:uid="{00000000-0006-0000-0900-000002000000}">
      <text>
        <r>
          <rPr>
            <b/>
            <sz val="9"/>
            <color indexed="81"/>
            <rFont val="Tahoma"/>
            <family val="2"/>
          </rPr>
          <t>Tác giả:</t>
        </r>
        <r>
          <rPr>
            <sz val="9"/>
            <color indexed="81"/>
            <rFont val="Tahoma"/>
            <family val="2"/>
          </rPr>
          <t xml:space="preserve">
Tuyển sinh dưới 200 học sinh hệ số 0,5; Sở lao động đang để 0,6</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Tác giả</author>
  </authors>
  <commentList>
    <comment ref="K5" authorId="0" shapeId="0" xr:uid="{00000000-0006-0000-0A00-000001000000}">
      <text>
        <r>
          <rPr>
            <b/>
            <sz val="9"/>
            <color indexed="81"/>
            <rFont val="Tahoma"/>
            <family val="2"/>
          </rPr>
          <t>Tác giả:</t>
        </r>
        <r>
          <rPr>
            <sz val="9"/>
            <color indexed="81"/>
            <rFont val="Tahoma"/>
            <family val="2"/>
          </rPr>
          <t xml:space="preserve">
Theo số liệu năm 2020 báo cáo KHPTKTXH năm 2022</t>
        </r>
      </text>
    </comment>
    <comment ref="L15" authorId="0" shapeId="0" xr:uid="{00000000-0006-0000-0A00-000002000000}">
      <text>
        <r>
          <rPr>
            <b/>
            <sz val="9"/>
            <color indexed="81"/>
            <rFont val="Tahoma"/>
            <family val="2"/>
          </rPr>
          <t>Tác giả:</t>
        </r>
        <r>
          <rPr>
            <sz val="9"/>
            <color indexed="81"/>
            <rFont val="Tahoma"/>
            <family val="2"/>
          </rPr>
          <t xml:space="preserve">
Tuyển sinh dưới 200 học sinh hệ số 0,5; Sở lao động đang để 0,6</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Tác giả</author>
  </authors>
  <commentList>
    <comment ref="H13" authorId="0" shapeId="0" xr:uid="{00000000-0006-0000-0C00-000001000000}">
      <text>
        <r>
          <rPr>
            <b/>
            <sz val="9"/>
            <color indexed="81"/>
            <rFont val="Tahoma"/>
            <family val="2"/>
          </rPr>
          <t>Tác giả:</t>
        </r>
        <r>
          <rPr>
            <sz val="9"/>
            <color indexed="81"/>
            <rFont val="Tahoma"/>
            <family val="2"/>
          </rPr>
          <t xml:space="preserve">
từ 20.000-30.000: hệ số 1,3
Sở LĐ đang để 1,0</t>
        </r>
      </text>
    </comment>
  </commentList>
</comments>
</file>

<file path=xl/sharedStrings.xml><?xml version="1.0" encoding="utf-8"?>
<sst xmlns="http://schemas.openxmlformats.org/spreadsheetml/2006/main" count="1045" uniqueCount="361">
  <si>
    <t>STT</t>
  </si>
  <si>
    <t>Đơn vị</t>
  </si>
  <si>
    <t>Tiêu chí</t>
  </si>
  <si>
    <t>Huyện Ba Bể</t>
  </si>
  <si>
    <t>Huyện Pác Nặm</t>
  </si>
  <si>
    <t>Tổng</t>
  </si>
  <si>
    <t>I</t>
  </si>
  <si>
    <t>II</t>
  </si>
  <si>
    <t>Huyện Ngân Sơn</t>
  </si>
  <si>
    <t>Số đơn vị hành chính cấp xã</t>
  </si>
  <si>
    <t>Thành phố Bắc Kạn</t>
  </si>
  <si>
    <t>Huyện Bạch Thông</t>
  </si>
  <si>
    <t>Huyện Chợ Đồn</t>
  </si>
  <si>
    <t>Huyện Chợ Mới</t>
  </si>
  <si>
    <t>Huyện Na Rì</t>
  </si>
  <si>
    <t>Tổng hệ số điểm dự kiến</t>
  </si>
  <si>
    <t>Tiêu chí tỷ lệ hộ nghèo và hộ cận nghèo</t>
  </si>
  <si>
    <t>Tổng số hộ nghèo và hộ cận nghèo</t>
  </si>
  <si>
    <t>Địa bàn khó khăn</t>
  </si>
  <si>
    <t>X</t>
  </si>
  <si>
    <t>Trường Cao đẳng Bắc Kạn</t>
  </si>
  <si>
    <t>Cấp tỉnh</t>
  </si>
  <si>
    <t>III</t>
  </si>
  <si>
    <t>Tổng điểm</t>
  </si>
  <si>
    <t>Tiểu dự án 1</t>
  </si>
  <si>
    <t>Tiểu dự án 2</t>
  </si>
  <si>
    <t>BIỂU TỔNG HỢP DỰ KIẾN KẾ HOẠCH VỐN THỰC HIỆN CHƯƠNG TRÌNH MTQG GIẢM NGHÈO BỀN VỮNG GIAI ĐOẠN 2021-2025</t>
  </si>
  <si>
    <t>Đơn vị: Triệu đồng</t>
  </si>
  <si>
    <t>Dự án, tiểu dự án</t>
  </si>
  <si>
    <t>Tổng kế hoạch vốn</t>
  </si>
  <si>
    <t>Trong đó</t>
  </si>
  <si>
    <t>ĐTPT</t>
  </si>
  <si>
    <t>SN</t>
  </si>
  <si>
    <t>TỔNG</t>
  </si>
  <si>
    <t>Dự án 1: Hỗ trợ đầu tư phát triển hạ tầng kinh tế - xã hội các huyện nghèo</t>
  </si>
  <si>
    <t>Ghi chú</t>
  </si>
  <si>
    <t>Chi tiết biểu số 01</t>
  </si>
  <si>
    <t>Dự án 2: Đa dạng hóa sinh kế, phát triển mô hình giảm nghèo</t>
  </si>
  <si>
    <t>Chi tiết biểu số 02</t>
  </si>
  <si>
    <t>Dự án 3: Hỗ trợ phát triển sản xuất, cải thiện dinh dưỡng</t>
  </si>
  <si>
    <t>Tiểu dự án 1: Hỗ trợ phát triển sản xuất trong lĩnh vực nông nghiệp</t>
  </si>
  <si>
    <t>Phân bổ tối đa 10% cho các Sở, ban, ngành cấp tỉnh; phân bổ tối thiểu 90% cho các địa phương theo dự án phát triển sản xuất theo chuỗi giá trị được cấp có thẩm quyền phê duyệt</t>
  </si>
  <si>
    <t>Tiểu dự án 2: Cải thiện dinh dưỡng</t>
  </si>
  <si>
    <t>Chi tiết biểu số 03</t>
  </si>
  <si>
    <t>Dự án 4: Phát triển giáo dục nghề nghiệp, việc làm bền vữn</t>
  </si>
  <si>
    <t>Tiểu dự án 1: Phát triển giáo dục nghề nghiệp vùng nghèo, vùng khó khăn</t>
  </si>
  <si>
    <t>Vốn đầu tư: Phân bổ vốn theo danh mục đầu tư xây dựng công trình cụ thể, được cấp có thẩm quyền phê duyệt, giao Ủy ban nhân dân tỉnh phân bổ chi tiết.
Vốn sự nghiệp: Chi tiết tại biểu số 04, 05</t>
  </si>
  <si>
    <t>Tiểu dự án 2: Hỗ trợ người lao động đi làm việc ở nước ngoài theo hợp đồng</t>
  </si>
  <si>
    <t>Chi tiết biểu số 06</t>
  </si>
  <si>
    <t>Tiểu dự án 3: Hỗ trợ việc làm bền vững</t>
  </si>
  <si>
    <t>Chi tiết biểu số 08</t>
  </si>
  <si>
    <t>Dự án 5: Hỗ trợ nhà ở cho hộ nghèo, hộ cận nghèo trên địa bàn các huyện nghèo</t>
  </si>
  <si>
    <t>Phân bổ theo nhu cầu thực tế của các địa phương, giao Uỷ ban nhân dân tỉnh phân bổ chi tiết.</t>
  </si>
  <si>
    <t>Dự án 6: Truyền thông và giảm nghèo về thông tin</t>
  </si>
  <si>
    <t>Tiểu dự án 1: Giảm nghèo về thông tin</t>
  </si>
  <si>
    <t>Chi tiết biểu số 07</t>
  </si>
  <si>
    <t>Tiểu dự án 2: Truyền thông về giảm nghèo đa chiều</t>
  </si>
  <si>
    <t>Chi tiết biểu số 09</t>
  </si>
  <si>
    <t>Dự án 7: Nâng cao năng lực và giám sát, đánh giá Chương trình</t>
  </si>
  <si>
    <t>Chi tiết biểu số 10</t>
  </si>
  <si>
    <t>3.1</t>
  </si>
  <si>
    <t>3.2</t>
  </si>
  <si>
    <t>4.1</t>
  </si>
  <si>
    <t>4.2</t>
  </si>
  <si>
    <t>4.3</t>
  </si>
  <si>
    <t>6.1</t>
  </si>
  <si>
    <t>6.2</t>
  </si>
  <si>
    <t>Nội dung hỗ trợ một số cơ sở giáo dục nghề nghiệp công lập trên địa bàn tỉnh</t>
  </si>
  <si>
    <t>Nội dung sự nghiệp</t>
  </si>
  <si>
    <t>Trong đó:</t>
  </si>
  <si>
    <t>Tổng cộng dự án 4</t>
  </si>
  <si>
    <t>Tiểu dự án 1: Nâng cao năng lực thực hiện Chương trình</t>
  </si>
  <si>
    <t>Tiểu dự án 2: Giám sát, đánh giá</t>
  </si>
  <si>
    <t>THUYẾT MINH PHÂN BỔ DỰ ÁN 1: HỖ TRỢ ĐẦU TƯ PHÁT TRIỂN HẠ TẦNG KTXH CÁC HUYỆN NGHÈO</t>
  </si>
  <si>
    <t>THUYẾT MINH PHÂN BỔ DỰ ÁN 2: ĐA DẠNG HÓA SINH KẾ, PHÁT TRIỂN MÔ HÌNH GIẢM NGHÈO</t>
  </si>
  <si>
    <t>Nội dung: Hỗ trợ một số cơ sở giáo dục nghề nghiệp công lập trên địa bàn tỉnh</t>
  </si>
  <si>
    <t>Nội dung: Hỗ trợ đào tạo nghề cho người lao động thuộc hộ nghèo, hộ cận nghèo, hộ mới thoát nghèo, người lao động có thu nhập thấp</t>
  </si>
  <si>
    <t>THUYẾT MINH PHÂN BỔ TIỂU DỰ ÁN 2 - DỰ ÁN 4: HỖ TRỢ NGƯỜI LAO ĐỘNG ĐI LÀM VIỆC Ở NƯỚC NGOÀI THEO HỢP ĐỒNG</t>
  </si>
  <si>
    <t>THUYẾT MINH PHÂN BỔ TIỂU DỰ ÁN 3 - DỰ ÁN 4: HỖ TRỢ VIỆC LÀM BỀN VỮNG</t>
  </si>
  <si>
    <t>THUYẾT MINH PHÂN BỔ TIỂU DỰ ÁN 1 - DỰ ÁN 6 GIẢM NGHÈO VỀ THÔNG TIN</t>
  </si>
  <si>
    <t>THUYẾT MINH PHÂN BỔ TIỂU DỰ ÁN 2 - DỰ ÁN 6: TRUYỀN THÔNG VỀ GIẢM NGHÈO ĐA CHIỀU</t>
  </si>
  <si>
    <t>Dự kiến KH vốn NSTW năm 2022 (triệu đồng )</t>
  </si>
  <si>
    <t>THUYẾT MINH PHÂN BỔ VỐN DỰ ÁN 7: NÂNG CAO NĂNG LỰC VÀ GIÁM SÁT, ĐÁNH GIÁ CHƯƠNG TRÌNH</t>
  </si>
  <si>
    <t>Dự kiến KH vốn NSĐP cân đối năm 2022 (triệu đồng)</t>
  </si>
  <si>
    <t>Tổng vốn Chương trình</t>
  </si>
  <si>
    <t>Chi tiết từng dự án thành phần</t>
  </si>
  <si>
    <t xml:space="preserve">Dự án 4: Phát triển giáo dục nghề nghiệp, việc làm bền vững </t>
  </si>
  <si>
    <t xml:space="preserve">Tổng </t>
  </si>
  <si>
    <t>NSTW</t>
  </si>
  <si>
    <t>NSĐP</t>
  </si>
  <si>
    <t>Nội dung hỗ trợ đào tạo nghề cho người lao động thuộc hộ nghèo, hộ cận nghèo, hộ mới thoát nghèo; người có thu nhập thấp</t>
  </si>
  <si>
    <t xml:space="preserve">Sở Thông tin và Truyền thông </t>
  </si>
  <si>
    <t>THUYẾT MINH PHÂN BỔ TIỂU DỰ ÁN 1 DỰ ÁN 3: HỖ TRỢ PHÁT TRIỂN SẢN XUẤT TRONG LĨNH VỰC NÔNG NGHIỆP NĂM 2022</t>
  </si>
  <si>
    <t>Tổng cộng (triệu đồng)</t>
  </si>
  <si>
    <t>Tổng cộng dự án 6</t>
  </si>
  <si>
    <t>Tổng cộng dự án 7</t>
  </si>
  <si>
    <t xml:space="preserve">THUYẾT MINH NỘI DUNG 2  - TIỂU DỰ ÁN 1 - DỰ ÁN 4: PHÁT TRIỂN GIÁO DỤC NGHỀ NGHIỆP VÙNG NGHÈO, VÙNG KHÓ KHĂN </t>
  </si>
  <si>
    <t>Tiêu chí 1: Tổng tỷ lệ hộ nghèo và hộ cận nghèo</t>
  </si>
  <si>
    <t>Tiêu chí 2: Tổng số hộ nghèo và hộ cận nghèo</t>
  </si>
  <si>
    <t>Quy đổi ra Hệ số</t>
  </si>
  <si>
    <t>Số liệu thống kê</t>
  </si>
  <si>
    <t>Quy đổi ra Hệ số (HNi)</t>
  </si>
  <si>
    <t>Tiêu chí 3: Địa bàn khó khăn</t>
  </si>
  <si>
    <t>Tiêu chí 4: Số đơn vị hành chính cấp xã</t>
  </si>
  <si>
    <t>Quy đổi ra Hệ số (ĐVi)</t>
  </si>
  <si>
    <t>A</t>
  </si>
  <si>
    <t>B</t>
  </si>
  <si>
    <t>Tổng hệ số tiêu chí vùng khó khăn</t>
  </si>
  <si>
    <t>Yi = HNi * 2,5 + ĐVi</t>
  </si>
  <si>
    <t>CẤP HUYỆN</t>
  </si>
  <si>
    <t>CẤP TỈNH</t>
  </si>
  <si>
    <t>Sở Lao động - Thương binh và Xã hội</t>
  </si>
  <si>
    <t xml:space="preserve">Vốn NSTW bình quân (Q)
</t>
  </si>
  <si>
    <t>Quy đổi ra hệ số</t>
  </si>
  <si>
    <t xml:space="preserve">Vốn NSĐP bình quân (Q)
</t>
  </si>
  <si>
    <t>6=1+…+5</t>
  </si>
  <si>
    <t>4 = (1+2)*3</t>
  </si>
  <si>
    <t>C</t>
  </si>
  <si>
    <t>D</t>
  </si>
  <si>
    <t>E</t>
  </si>
  <si>
    <t>7=4*5</t>
  </si>
  <si>
    <t>8=4*6</t>
  </si>
  <si>
    <t>F</t>
  </si>
  <si>
    <t>G</t>
  </si>
  <si>
    <t>11=9+10</t>
  </si>
  <si>
    <t>9=6*7</t>
  </si>
  <si>
    <t>10=6*8</t>
  </si>
  <si>
    <t>Tiêu chí 3: Lực lượng lao động đủ 15 tuổi trờ lên</t>
  </si>
  <si>
    <t>Cấp huyện</t>
  </si>
  <si>
    <t>Sở Lao động - TB&amp;XH</t>
  </si>
  <si>
    <t>9=7+8</t>
  </si>
  <si>
    <t>TỔNG CỘNG</t>
  </si>
  <si>
    <t>5=(1+2)*(3+4)</t>
  </si>
  <si>
    <t>10=8+9</t>
  </si>
  <si>
    <t>8=5*6</t>
  </si>
  <si>
    <t>9=5*7</t>
  </si>
  <si>
    <t>10=5*6</t>
  </si>
  <si>
    <t>11=5*7</t>
  </si>
  <si>
    <t>12=5*8</t>
  </si>
  <si>
    <t>13=5*9</t>
  </si>
  <si>
    <t>15=10+12</t>
  </si>
  <si>
    <t>16=11+13</t>
  </si>
  <si>
    <t>14=15+16</t>
  </si>
  <si>
    <t>Tiêu chí 1: Quy mô dân số (số hộ dân)</t>
  </si>
  <si>
    <t>Tiêu chí 2: Tổng tỷ lệ hộ nghèo và hộ cận nghèo</t>
  </si>
  <si>
    <t>5 = 1+...+4</t>
  </si>
  <si>
    <t>8 = 5*6</t>
  </si>
  <si>
    <t>9 = 5*7</t>
  </si>
  <si>
    <t>Tổng số các hệ số tiêu chí (Xi)</t>
  </si>
  <si>
    <r>
      <t>C</t>
    </r>
    <r>
      <rPr>
        <b/>
        <vertAlign val="subscript"/>
        <sz val="14"/>
        <color rgb="FF000000"/>
        <rFont val="Times New Roman"/>
        <family val="1"/>
      </rPr>
      <t>i</t>
    </r>
    <r>
      <rPr>
        <b/>
        <sz val="14"/>
        <color rgb="FF000000"/>
        <rFont val="Times New Roman"/>
        <family val="1"/>
      </rPr>
      <t xml:space="preserve"> = Q.X</t>
    </r>
    <r>
      <rPr>
        <b/>
        <vertAlign val="subscript"/>
        <sz val="14"/>
        <color rgb="FF000000"/>
        <rFont val="Times New Roman"/>
        <family val="1"/>
      </rPr>
      <t>i</t>
    </r>
    <r>
      <rPr>
        <b/>
        <sz val="14"/>
        <color rgb="FF000000"/>
        <rFont val="Times New Roman"/>
        <family val="1"/>
      </rPr>
      <t>.Y</t>
    </r>
    <r>
      <rPr>
        <b/>
        <vertAlign val="subscript"/>
        <sz val="14"/>
        <color rgb="FF000000"/>
        <rFont val="Times New Roman"/>
        <family val="1"/>
      </rPr>
      <t>i</t>
    </r>
  </si>
  <si>
    <r>
      <t>C</t>
    </r>
    <r>
      <rPr>
        <b/>
        <vertAlign val="subscript"/>
        <sz val="14"/>
        <color rgb="FF000000"/>
        <rFont val="Times New Roman"/>
        <family val="1"/>
      </rPr>
      <t>i</t>
    </r>
    <r>
      <rPr>
        <b/>
        <sz val="14"/>
        <color rgb="FF000000"/>
        <rFont val="Times New Roman"/>
        <family val="1"/>
      </rPr>
      <t xml:space="preserve"> </t>
    </r>
    <r>
      <rPr>
        <sz val="14"/>
        <color rgb="FF000000"/>
        <rFont val="Times New Roman"/>
        <family val="1"/>
      </rPr>
      <t>là vốn ngân sách nhà nước phân bổ cho địa phương thứ i.</t>
    </r>
  </si>
  <si>
    <r>
      <t>X</t>
    </r>
    <r>
      <rPr>
        <b/>
        <vertAlign val="subscript"/>
        <sz val="14"/>
        <color rgb="FF000000"/>
        <rFont val="Times New Roman"/>
        <family val="1"/>
      </rPr>
      <t>i</t>
    </r>
    <r>
      <rPr>
        <sz val="14"/>
        <color rgb="FF000000"/>
        <rFont val="Times New Roman"/>
        <family val="1"/>
      </rPr>
      <t xml:space="preserve"> là tổng số các hệ số tiêu chí tổng tỷ lệ hộ nghèo và hộ cận nghèo; tổng số hộ nghèo và hộ cận nghèo của địa phương thứ i.</t>
    </r>
  </si>
  <si>
    <r>
      <t>Y</t>
    </r>
    <r>
      <rPr>
        <b/>
        <vertAlign val="subscript"/>
        <sz val="14"/>
        <color rgb="FF000000"/>
        <rFont val="Times New Roman"/>
        <family val="1"/>
      </rPr>
      <t>i</t>
    </r>
    <r>
      <rPr>
        <sz val="14"/>
        <color rgb="FF000000"/>
        <rFont val="Times New Roman"/>
        <family val="1"/>
      </rPr>
      <t xml:space="preserve"> là tổng hệ số tiêu chí vùng khó khăn, số đơn vị hành chính cấp xã của địa phương thứ i, được tính theo công thức: </t>
    </r>
    <r>
      <rPr>
        <b/>
        <sz val="14"/>
        <color rgb="FF000000"/>
        <rFont val="Times New Roman"/>
        <family val="1"/>
      </rPr>
      <t>Y</t>
    </r>
    <r>
      <rPr>
        <b/>
        <vertAlign val="subscript"/>
        <sz val="14"/>
        <color rgb="FF000000"/>
        <rFont val="Times New Roman"/>
        <family val="1"/>
      </rPr>
      <t>i</t>
    </r>
    <r>
      <rPr>
        <sz val="14"/>
        <color rgb="FF000000"/>
        <rFont val="Times New Roman"/>
        <family val="1"/>
      </rPr>
      <t xml:space="preserve"> = HN</t>
    </r>
    <r>
      <rPr>
        <vertAlign val="subscript"/>
        <sz val="14"/>
        <color rgb="FF000000"/>
        <rFont val="Times New Roman"/>
        <family val="1"/>
      </rPr>
      <t>i</t>
    </r>
    <r>
      <rPr>
        <sz val="14"/>
        <color rgb="FF000000"/>
        <rFont val="Times New Roman"/>
        <family val="1"/>
      </rPr>
      <t xml:space="preserve"> x 2,5 + ĐV</t>
    </r>
    <r>
      <rPr>
        <vertAlign val="subscript"/>
        <sz val="14"/>
        <color rgb="FF000000"/>
        <rFont val="Times New Roman"/>
        <family val="1"/>
      </rPr>
      <t>i</t>
    </r>
  </si>
  <si>
    <r>
      <t>HN</t>
    </r>
    <r>
      <rPr>
        <vertAlign val="subscript"/>
        <sz val="14"/>
        <color rgb="FF000000"/>
        <rFont val="Times New Roman"/>
        <family val="1"/>
      </rPr>
      <t>i</t>
    </r>
    <r>
      <rPr>
        <sz val="14"/>
        <color rgb="FF000000"/>
        <rFont val="Times New Roman"/>
        <family val="1"/>
      </rPr>
      <t xml:space="preserve"> là hệ số của địa bàn khó khăn (huyện nghèo) của địa phương thứ i.</t>
    </r>
  </si>
  <si>
    <r>
      <t>ĐV</t>
    </r>
    <r>
      <rPr>
        <vertAlign val="subscript"/>
        <sz val="14"/>
        <color rgb="FF000000"/>
        <rFont val="Times New Roman"/>
        <family val="1"/>
      </rPr>
      <t>i</t>
    </r>
    <r>
      <rPr>
        <sz val="14"/>
        <color rgb="FF000000"/>
        <rFont val="Times New Roman"/>
        <family val="1"/>
      </rPr>
      <t xml:space="preserve"> là hệ số đơn vị hành chính cấp xã của địa phương thứ i.</t>
    </r>
  </si>
  <si>
    <r>
      <t xml:space="preserve">Q </t>
    </r>
    <r>
      <rPr>
        <sz val="14"/>
        <color rgb="FF000000"/>
        <rFont val="Times New Roman"/>
        <family val="1"/>
      </rPr>
      <t>là vốn bình quân của một huyện, được tính theo công thức:</t>
    </r>
  </si>
  <si>
    <t>Vốn NSĐP bình quân (Q)</t>
  </si>
  <si>
    <t>5 = 2+4</t>
  </si>
  <si>
    <t>6 = 3*2,5+4</t>
  </si>
  <si>
    <t>7=5*6</t>
  </si>
  <si>
    <t>10 = 7*8</t>
  </si>
  <si>
    <t>11 = 7*9</t>
  </si>
  <si>
    <t>12=10+11</t>
  </si>
  <si>
    <t xml:space="preserve"> - Phân bổ vốn ngân sách nhà nước cho dự án: Phân bổ tối đa 15% cho các Sở, ban, ngành cấp tỉnh; phân bổ tối thiểu 85% cho các địa phương</t>
  </si>
  <si>
    <t xml:space="preserve"> - Vốn ngân sách nhà nước phân bổ cho từng địa phương được tính theo công thức: </t>
  </si>
  <si>
    <r>
      <t>Công thức tính: A</t>
    </r>
    <r>
      <rPr>
        <vertAlign val="subscript"/>
        <sz val="14"/>
        <color rgb="FF000000"/>
        <rFont val="Times New Roman"/>
        <family val="1"/>
      </rPr>
      <t>i</t>
    </r>
    <r>
      <rPr>
        <sz val="14"/>
        <color rgb="FF000000"/>
        <rFont val="Times New Roman"/>
        <family val="1"/>
      </rPr>
      <t xml:space="preserve"> = Q.X</t>
    </r>
    <r>
      <rPr>
        <vertAlign val="subscript"/>
        <sz val="14"/>
        <color rgb="FF000000"/>
        <rFont val="Times New Roman"/>
        <family val="1"/>
      </rPr>
      <t>i</t>
    </r>
  </si>
  <si>
    <r>
      <t>A</t>
    </r>
    <r>
      <rPr>
        <b/>
        <vertAlign val="subscript"/>
        <sz val="14"/>
        <color rgb="FF000000"/>
        <rFont val="Times New Roman"/>
        <family val="1"/>
      </rPr>
      <t>i</t>
    </r>
    <r>
      <rPr>
        <sz val="14"/>
        <color rgb="FF000000"/>
        <rFont val="Times New Roman"/>
        <family val="1"/>
      </rPr>
      <t xml:space="preserve"> là vốn ngân sách nhà nước phân bổ cho huyện thứ i.</t>
    </r>
  </si>
  <si>
    <r>
      <t>X</t>
    </r>
    <r>
      <rPr>
        <b/>
        <vertAlign val="subscript"/>
        <sz val="14"/>
        <color rgb="FF000000"/>
        <rFont val="Times New Roman"/>
        <family val="1"/>
      </rPr>
      <t>i</t>
    </r>
    <r>
      <rPr>
        <sz val="14"/>
        <color rgb="FF000000"/>
        <rFont val="Times New Roman"/>
        <family val="1"/>
      </rPr>
      <t xml:space="preserve"> là tổng số các hệ số tiêu chí của huyện thứ i.</t>
    </r>
  </si>
  <si>
    <r>
      <t>Q</t>
    </r>
    <r>
      <rPr>
        <sz val="14"/>
        <color rgb="FF000000"/>
        <rFont val="Times New Roman"/>
        <family val="1"/>
      </rPr>
      <t xml:space="preserve"> là vốn bình quân của một huyện, được tính theo công thức:</t>
    </r>
  </si>
  <si>
    <t>Quy đổi ra hệ số (TLi)</t>
  </si>
  <si>
    <t xml:space="preserve">Tiêu chí 2: Tổng số hộ nghèo và hộ cận nghèo </t>
  </si>
  <si>
    <t>Quy đổi ra hệ số (QMi)</t>
  </si>
  <si>
    <t xml:space="preserve">Tiêu chí 3: Địa bàn khó khăn </t>
  </si>
  <si>
    <t>Quy đổi ra hệ số (HNi)</t>
  </si>
  <si>
    <t xml:space="preserve">Tiêu chí 4: Số đơn vị hành chính cấp xã </t>
  </si>
  <si>
    <t>Quy đổi ra hệ số (ĐVi)</t>
  </si>
  <si>
    <t xml:space="preserve">Tiêu chí 5: Số lượng tuyển sinh </t>
  </si>
  <si>
    <t>Quy đổi ra hệ số (TSi)</t>
  </si>
  <si>
    <t xml:space="preserve">Vốn ngân sách nhà nước phân bố cho từng địa phương được tính theo công thức: </t>
  </si>
  <si>
    <r>
      <t>K</t>
    </r>
    <r>
      <rPr>
        <b/>
        <vertAlign val="subscript"/>
        <sz val="14"/>
        <color rgb="FF000000"/>
        <rFont val="Times New Roman"/>
        <family val="1"/>
      </rPr>
      <t>i</t>
    </r>
    <r>
      <rPr>
        <b/>
        <sz val="14"/>
        <color rgb="FF000000"/>
        <rFont val="Times New Roman"/>
        <family val="1"/>
      </rPr>
      <t xml:space="preserve"> = Q.X</t>
    </r>
    <r>
      <rPr>
        <b/>
        <vertAlign val="subscript"/>
        <sz val="14"/>
        <color rgb="FF000000"/>
        <rFont val="Times New Roman"/>
        <family val="1"/>
      </rPr>
      <t>i</t>
    </r>
  </si>
  <si>
    <r>
      <t>K</t>
    </r>
    <r>
      <rPr>
        <b/>
        <vertAlign val="subscript"/>
        <sz val="14"/>
        <color rgb="FF000000"/>
        <rFont val="Times New Roman"/>
        <family val="1"/>
      </rPr>
      <t>i</t>
    </r>
    <r>
      <rPr>
        <sz val="14"/>
        <color rgb="FF000000"/>
        <rFont val="Times New Roman"/>
        <family val="1"/>
      </rPr>
      <t xml:space="preserve"> là vốn ngân sách nhà nước phân bổ cho địa phương thứ i.</t>
    </r>
  </si>
  <si>
    <r>
      <t>X</t>
    </r>
    <r>
      <rPr>
        <b/>
        <vertAlign val="subscript"/>
        <sz val="14"/>
        <color rgb="FF000000"/>
        <rFont val="Times New Roman"/>
        <family val="1"/>
      </rPr>
      <t>i</t>
    </r>
    <r>
      <rPr>
        <sz val="14"/>
        <color rgb="FF000000"/>
        <rFont val="Times New Roman"/>
        <family val="1"/>
      </rPr>
      <t xml:space="preserve"> là tổng số các hệ số tiêu chí của đơn vị thứ i, được tính theo công thức:</t>
    </r>
  </si>
  <si>
    <r>
      <t>X</t>
    </r>
    <r>
      <rPr>
        <vertAlign val="subscript"/>
        <sz val="14"/>
        <color rgb="FF000000"/>
        <rFont val="Times New Roman"/>
        <family val="1"/>
      </rPr>
      <t>i</t>
    </r>
    <r>
      <rPr>
        <sz val="14"/>
        <color rgb="FF000000"/>
        <rFont val="Times New Roman"/>
        <family val="1"/>
      </rPr>
      <t xml:space="preserve"> = TL</t>
    </r>
    <r>
      <rPr>
        <vertAlign val="subscript"/>
        <sz val="14"/>
        <color rgb="FF000000"/>
        <rFont val="Times New Roman"/>
        <family val="1"/>
      </rPr>
      <t>i</t>
    </r>
    <r>
      <rPr>
        <sz val="14"/>
        <color rgb="FF000000"/>
        <rFont val="Times New Roman"/>
        <family val="1"/>
      </rPr>
      <t xml:space="preserve"> + QM</t>
    </r>
    <r>
      <rPr>
        <vertAlign val="subscript"/>
        <sz val="14"/>
        <color rgb="FF000000"/>
        <rFont val="Times New Roman"/>
        <family val="1"/>
      </rPr>
      <t>i</t>
    </r>
    <r>
      <rPr>
        <sz val="14"/>
        <color rgb="FF000000"/>
        <rFont val="Times New Roman"/>
        <family val="1"/>
      </rPr>
      <t xml:space="preserve"> + HN</t>
    </r>
    <r>
      <rPr>
        <vertAlign val="subscript"/>
        <sz val="14"/>
        <color rgb="FF000000"/>
        <rFont val="Times New Roman"/>
        <family val="1"/>
      </rPr>
      <t>i</t>
    </r>
    <r>
      <rPr>
        <sz val="14"/>
        <color rgb="FF000000"/>
        <rFont val="Times New Roman"/>
        <family val="1"/>
      </rPr>
      <t xml:space="preserve"> + ĐV</t>
    </r>
    <r>
      <rPr>
        <vertAlign val="subscript"/>
        <sz val="14"/>
        <color rgb="FF000000"/>
        <rFont val="Times New Roman"/>
        <family val="1"/>
      </rPr>
      <t>i</t>
    </r>
    <r>
      <rPr>
        <sz val="14"/>
        <color rgb="FF000000"/>
        <rFont val="Times New Roman"/>
        <family val="1"/>
      </rPr>
      <t xml:space="preserve"> + TS</t>
    </r>
    <r>
      <rPr>
        <vertAlign val="subscript"/>
        <sz val="14"/>
        <color rgb="FF000000"/>
        <rFont val="Times New Roman"/>
        <family val="1"/>
      </rPr>
      <t>i</t>
    </r>
  </si>
  <si>
    <r>
      <t>TL</t>
    </r>
    <r>
      <rPr>
        <vertAlign val="subscript"/>
        <sz val="14"/>
        <color rgb="FF000000"/>
        <rFont val="Times New Roman"/>
        <family val="1"/>
      </rPr>
      <t>i</t>
    </r>
    <r>
      <rPr>
        <sz val="14"/>
        <color rgb="FF000000"/>
        <rFont val="Times New Roman"/>
        <family val="1"/>
      </rPr>
      <t xml:space="preserve"> là hệ số tiêu chí tổng tỷ lệ hộ nghèo và hộ cận nghèo của địa phương thứ i.</t>
    </r>
  </si>
  <si>
    <r>
      <t>QM</t>
    </r>
    <r>
      <rPr>
        <vertAlign val="subscript"/>
        <sz val="14"/>
        <color rgb="FF000000"/>
        <rFont val="Times New Roman"/>
        <family val="1"/>
      </rPr>
      <t>i</t>
    </r>
    <r>
      <rPr>
        <sz val="14"/>
        <color rgb="FF000000"/>
        <rFont val="Times New Roman"/>
        <family val="1"/>
      </rPr>
      <t xml:space="preserve"> là hệ số tiêu chí tổng số hộ nghèo và hộ cận nghèo của địa phương thứ i.</t>
    </r>
  </si>
  <si>
    <r>
      <t>TS</t>
    </r>
    <r>
      <rPr>
        <vertAlign val="subscript"/>
        <sz val="14"/>
        <color rgb="FF000000"/>
        <rFont val="Times New Roman"/>
        <family val="1"/>
      </rPr>
      <t>i</t>
    </r>
    <r>
      <rPr>
        <sz val="14"/>
        <color rgb="FF000000"/>
        <rFont val="Times New Roman"/>
        <family val="1"/>
      </rPr>
      <t xml:space="preserve"> là hệ số tiêu chí số lượng tuyển sinh của của địa phương thứ i.</t>
    </r>
  </si>
  <si>
    <r>
      <t>Q</t>
    </r>
    <r>
      <rPr>
        <sz val="14"/>
        <color rgb="FF000000"/>
        <rFont val="Times New Roman"/>
        <family val="1"/>
      </rPr>
      <t xml:space="preserve"> là vốn bình quân của một đơn vị, được tính theo công thức:</t>
    </r>
  </si>
  <si>
    <r>
      <t>L</t>
    </r>
    <r>
      <rPr>
        <b/>
        <vertAlign val="subscript"/>
        <sz val="14"/>
        <color rgb="FF000000"/>
        <rFont val="Times New Roman"/>
        <family val="1"/>
      </rPr>
      <t>i</t>
    </r>
    <r>
      <rPr>
        <b/>
        <sz val="14"/>
        <color rgb="FF000000"/>
        <rFont val="Times New Roman"/>
        <family val="1"/>
      </rPr>
      <t xml:space="preserve"> = Q.X</t>
    </r>
    <r>
      <rPr>
        <b/>
        <vertAlign val="subscript"/>
        <sz val="14"/>
        <color rgb="FF000000"/>
        <rFont val="Times New Roman"/>
        <family val="1"/>
      </rPr>
      <t>i</t>
    </r>
    <r>
      <rPr>
        <b/>
        <sz val="14"/>
        <color rgb="FF000000"/>
        <rFont val="Times New Roman"/>
        <family val="1"/>
      </rPr>
      <t>.Y</t>
    </r>
    <r>
      <rPr>
        <b/>
        <vertAlign val="subscript"/>
        <sz val="14"/>
        <color rgb="FF000000"/>
        <rFont val="Times New Roman"/>
        <family val="1"/>
      </rPr>
      <t>i</t>
    </r>
  </si>
  <si>
    <r>
      <t>L</t>
    </r>
    <r>
      <rPr>
        <b/>
        <vertAlign val="subscript"/>
        <sz val="14"/>
        <color rgb="FF000000"/>
        <rFont val="Times New Roman"/>
        <family val="1"/>
      </rPr>
      <t>i</t>
    </r>
    <r>
      <rPr>
        <sz val="14"/>
        <color rgb="FF000000"/>
        <rFont val="Times New Roman"/>
        <family val="1"/>
      </rPr>
      <t xml:space="preserve"> là vốn ngân sách nhà nước phân bổ cho địa phương thứ i.</t>
    </r>
  </si>
  <si>
    <r>
      <t>Y</t>
    </r>
    <r>
      <rPr>
        <b/>
        <vertAlign val="subscript"/>
        <sz val="14"/>
        <color rgb="FF000000"/>
        <rFont val="Times New Roman"/>
        <family val="1"/>
      </rPr>
      <t>i</t>
    </r>
    <r>
      <rPr>
        <sz val="14"/>
        <color rgb="FF000000"/>
        <rFont val="Times New Roman"/>
        <family val="1"/>
      </rPr>
      <t xml:space="preserve"> là hệ số của địa bàn khó khăn (huyện nghèo) của địa phương thứ i.</t>
    </r>
  </si>
  <si>
    <t>Quy đổi ra hệ số (Yi)</t>
  </si>
  <si>
    <r>
      <t>M</t>
    </r>
    <r>
      <rPr>
        <b/>
        <vertAlign val="subscript"/>
        <sz val="14"/>
        <color rgb="FF000000"/>
        <rFont val="Times New Roman"/>
        <family val="1"/>
      </rPr>
      <t>i</t>
    </r>
    <r>
      <rPr>
        <b/>
        <sz val="14"/>
        <color rgb="FF000000"/>
        <rFont val="Times New Roman"/>
        <family val="1"/>
      </rPr>
      <t xml:space="preserve"> = Q.X</t>
    </r>
    <r>
      <rPr>
        <b/>
        <vertAlign val="subscript"/>
        <sz val="14"/>
        <color rgb="FF000000"/>
        <rFont val="Times New Roman"/>
        <family val="1"/>
      </rPr>
      <t>i</t>
    </r>
    <r>
      <rPr>
        <b/>
        <sz val="14"/>
        <color rgb="FF000000"/>
        <rFont val="Times New Roman"/>
        <family val="1"/>
      </rPr>
      <t>.Y</t>
    </r>
    <r>
      <rPr>
        <b/>
        <vertAlign val="subscript"/>
        <sz val="14"/>
        <color rgb="FF000000"/>
        <rFont val="Times New Roman"/>
        <family val="1"/>
      </rPr>
      <t>i</t>
    </r>
  </si>
  <si>
    <r>
      <t>M</t>
    </r>
    <r>
      <rPr>
        <b/>
        <vertAlign val="subscript"/>
        <sz val="14"/>
        <color rgb="FF000000"/>
        <rFont val="Times New Roman"/>
        <family val="1"/>
      </rPr>
      <t>i</t>
    </r>
    <r>
      <rPr>
        <b/>
        <sz val="14"/>
        <color rgb="FF000000"/>
        <rFont val="Times New Roman"/>
        <family val="1"/>
      </rPr>
      <t xml:space="preserve"> </t>
    </r>
    <r>
      <rPr>
        <sz val="14"/>
        <color rgb="FF000000"/>
        <rFont val="Times New Roman"/>
        <family val="1"/>
      </rPr>
      <t>là vốn ngân sách nhà nước phân bổ cho địa phương thứ i.</t>
    </r>
  </si>
  <si>
    <r>
      <t>Y</t>
    </r>
    <r>
      <rPr>
        <b/>
        <vertAlign val="subscript"/>
        <sz val="14"/>
        <color rgb="FF000000"/>
        <rFont val="Times New Roman"/>
        <family val="1"/>
      </rPr>
      <t>i</t>
    </r>
    <r>
      <rPr>
        <sz val="14"/>
        <color rgb="FF000000"/>
        <rFont val="Times New Roman"/>
        <family val="1"/>
      </rPr>
      <t xml:space="preserve"> là hệ số lực lượng lao động từ đủ 15 tuổi trở lên của địa phương thứ i.</t>
    </r>
  </si>
  <si>
    <r>
      <t>N</t>
    </r>
    <r>
      <rPr>
        <b/>
        <vertAlign val="subscript"/>
        <sz val="14"/>
        <color rgb="FF000000"/>
        <rFont val="Times New Roman"/>
        <family val="1"/>
      </rPr>
      <t>i</t>
    </r>
    <r>
      <rPr>
        <b/>
        <sz val="14"/>
        <color rgb="FF000000"/>
        <rFont val="Times New Roman"/>
        <family val="1"/>
      </rPr>
      <t xml:space="preserve"> = Q.X</t>
    </r>
    <r>
      <rPr>
        <b/>
        <vertAlign val="subscript"/>
        <sz val="14"/>
        <color rgb="FF000000"/>
        <rFont val="Times New Roman"/>
        <family val="1"/>
      </rPr>
      <t>i</t>
    </r>
    <r>
      <rPr>
        <b/>
        <sz val="14"/>
        <color rgb="FF000000"/>
        <rFont val="Times New Roman"/>
        <family val="1"/>
      </rPr>
      <t>.Y</t>
    </r>
    <r>
      <rPr>
        <b/>
        <vertAlign val="subscript"/>
        <sz val="14"/>
        <color rgb="FF000000"/>
        <rFont val="Times New Roman"/>
        <family val="1"/>
      </rPr>
      <t>i</t>
    </r>
  </si>
  <si>
    <r>
      <t>N</t>
    </r>
    <r>
      <rPr>
        <b/>
        <vertAlign val="subscript"/>
        <sz val="14"/>
        <color rgb="FF000000"/>
        <rFont val="Times New Roman"/>
        <family val="1"/>
      </rPr>
      <t>i</t>
    </r>
    <r>
      <rPr>
        <sz val="14"/>
        <color rgb="FF000000"/>
        <rFont val="Times New Roman"/>
        <family val="1"/>
      </rPr>
      <t xml:space="preserve"> là vốn ngân sách nhà nước phân bổ cho địa phương thứ i.</t>
    </r>
  </si>
  <si>
    <r>
      <t>Y</t>
    </r>
    <r>
      <rPr>
        <b/>
        <vertAlign val="subscript"/>
        <sz val="14"/>
        <color rgb="FF000000"/>
        <rFont val="Times New Roman"/>
        <family val="1"/>
      </rPr>
      <t>i</t>
    </r>
    <r>
      <rPr>
        <sz val="14"/>
        <color rgb="FF000000"/>
        <rFont val="Times New Roman"/>
        <family val="1"/>
      </rPr>
      <t xml:space="preserve"> là tổng hệ số tiêu chí vùng khó khăn, số đơn vị hành chính cấp xã của địa phương thứ i, được tính theo công thức: </t>
    </r>
    <r>
      <rPr>
        <b/>
        <sz val="14"/>
        <color rgb="FF000000"/>
        <rFont val="Times New Roman"/>
        <family val="1"/>
      </rPr>
      <t>Y</t>
    </r>
    <r>
      <rPr>
        <b/>
        <vertAlign val="subscript"/>
        <sz val="14"/>
        <color rgb="FF000000"/>
        <rFont val="Times New Roman"/>
        <family val="1"/>
      </rPr>
      <t>i</t>
    </r>
    <r>
      <rPr>
        <sz val="14"/>
        <color rgb="FF000000"/>
        <rFont val="Times New Roman"/>
        <family val="1"/>
      </rPr>
      <t xml:space="preserve"> = HN</t>
    </r>
    <r>
      <rPr>
        <vertAlign val="subscript"/>
        <sz val="14"/>
        <color rgb="FF000000"/>
        <rFont val="Times New Roman"/>
        <family val="1"/>
      </rPr>
      <t>i</t>
    </r>
    <r>
      <rPr>
        <sz val="14"/>
        <color rgb="FF000000"/>
        <rFont val="Times New Roman"/>
        <family val="1"/>
      </rPr>
      <t xml:space="preserve"> + ĐV</t>
    </r>
    <r>
      <rPr>
        <vertAlign val="subscript"/>
        <sz val="14"/>
        <color rgb="FF000000"/>
        <rFont val="Times New Roman"/>
        <family val="1"/>
      </rPr>
      <t>i</t>
    </r>
  </si>
  <si>
    <r>
      <t>P</t>
    </r>
    <r>
      <rPr>
        <b/>
        <vertAlign val="subscript"/>
        <sz val="14"/>
        <color rgb="FF000000"/>
        <rFont val="Times New Roman"/>
        <family val="1"/>
      </rPr>
      <t>i</t>
    </r>
    <r>
      <rPr>
        <b/>
        <sz val="14"/>
        <color rgb="FF000000"/>
        <rFont val="Times New Roman"/>
        <family val="1"/>
      </rPr>
      <t xml:space="preserve"> = Q.X</t>
    </r>
    <r>
      <rPr>
        <b/>
        <vertAlign val="subscript"/>
        <sz val="14"/>
        <color rgb="FF000000"/>
        <rFont val="Times New Roman"/>
        <family val="1"/>
      </rPr>
      <t>i</t>
    </r>
    <r>
      <rPr>
        <b/>
        <sz val="14"/>
        <color rgb="FF000000"/>
        <rFont val="Times New Roman"/>
        <family val="1"/>
      </rPr>
      <t>.Y</t>
    </r>
    <r>
      <rPr>
        <b/>
        <vertAlign val="subscript"/>
        <sz val="14"/>
        <color rgb="FF000000"/>
        <rFont val="Times New Roman"/>
        <family val="1"/>
      </rPr>
      <t>i</t>
    </r>
  </si>
  <si>
    <r>
      <t>P</t>
    </r>
    <r>
      <rPr>
        <b/>
        <vertAlign val="subscript"/>
        <sz val="14"/>
        <color rgb="FF000000"/>
        <rFont val="Times New Roman"/>
        <family val="1"/>
      </rPr>
      <t>i</t>
    </r>
    <r>
      <rPr>
        <sz val="14"/>
        <color rgb="FF000000"/>
        <rFont val="Times New Roman"/>
        <family val="1"/>
      </rPr>
      <t xml:space="preserve"> là vốn ngân sách nhà nước phân bổ cho địa phương thứ i.</t>
    </r>
  </si>
  <si>
    <r>
      <t>R</t>
    </r>
    <r>
      <rPr>
        <b/>
        <vertAlign val="subscript"/>
        <sz val="14"/>
        <color rgb="FF000000"/>
        <rFont val="Times New Roman"/>
        <family val="1"/>
      </rPr>
      <t>i</t>
    </r>
    <r>
      <rPr>
        <b/>
        <sz val="14"/>
        <color rgb="FF000000"/>
        <rFont val="Times New Roman"/>
        <family val="1"/>
      </rPr>
      <t xml:space="preserve"> = Q.X</t>
    </r>
    <r>
      <rPr>
        <b/>
        <vertAlign val="subscript"/>
        <sz val="14"/>
        <color rgb="FF000000"/>
        <rFont val="Times New Roman"/>
        <family val="1"/>
      </rPr>
      <t>i</t>
    </r>
    <r>
      <rPr>
        <b/>
        <sz val="14"/>
        <color rgb="FF000000"/>
        <rFont val="Times New Roman"/>
        <family val="1"/>
      </rPr>
      <t>.Y</t>
    </r>
    <r>
      <rPr>
        <b/>
        <vertAlign val="subscript"/>
        <sz val="14"/>
        <color rgb="FF000000"/>
        <rFont val="Times New Roman"/>
        <family val="1"/>
      </rPr>
      <t>i</t>
    </r>
  </si>
  <si>
    <r>
      <t>R</t>
    </r>
    <r>
      <rPr>
        <b/>
        <vertAlign val="subscript"/>
        <sz val="14"/>
        <color rgb="FF000000"/>
        <rFont val="Times New Roman"/>
        <family val="1"/>
      </rPr>
      <t>i</t>
    </r>
    <r>
      <rPr>
        <sz val="14"/>
        <color rgb="FF000000"/>
        <rFont val="Times New Roman"/>
        <family val="1"/>
      </rPr>
      <t xml:space="preserve"> là vốn ngân sách nhà nước phân bổ cho địa phương thứ i.</t>
    </r>
  </si>
  <si>
    <t>Ghi chú: Phương pháp tính, xác định phân bổ vốn cho địa phương</t>
  </si>
  <si>
    <t>TW</t>
  </si>
  <si>
    <t>ĐP</t>
  </si>
  <si>
    <t xml:space="preserve"> - Phân bổ tối đa 18% cho các Sở, ban, ngành cấp tỉnh; phân bổ tối thiểu 82% cho các địa phương.</t>
  </si>
  <si>
    <t xml:space="preserve"> - Phân bổ NSNN của Tiểu dự án: Phân bổ tối đa 10% cho các Sở, ban, ngành cấp tỉnh; tối thiểu 90% cho các địa phương.</t>
  </si>
  <si>
    <t xml:space="preserve"> - Vốn ngân sách nhà nước phân bổ cho từng địa phương được tính theo công thức:</t>
  </si>
  <si>
    <t xml:space="preserve"> - Phân bổ ngân sách nhà nước của Tiểu dự án: Phân bổ tối đa 30% cho các Sở, ban, ngành cấp tỉnh và nhu cầu kinh phí thực hiện nội dung đặc thù giảm nghèo thông tin theo hướng dẫn của cơ quan chủ trì Tiểu dự án (gọi là D); phần ngân sách còn lại (100% - 30% - D) thực hiện phân bổ cho các địa phương.</t>
  </si>
  <si>
    <t xml:space="preserve"> - Phân bổ ngân sách nhà nước của Tiểu dự án: Phân bổ tối đa 35% cho các Sở, ban, ngành cấp tỉnh; phân bổ tối thiểu 65% cho các địa phương.</t>
  </si>
  <si>
    <t>TDA1</t>
  </si>
  <si>
    <t>TDA 2</t>
  </si>
  <si>
    <t xml:space="preserve"> - Phân bổ tối đa 25% cho các Sở, ban, ngành cấp tỉnh; phân bổ tối thiểu 75% cho các địa phương.</t>
  </si>
  <si>
    <t>Phân bổ tối đa 20% tổng số vốn sự nghiệp của tiểu dự án cho các Sở, ban, ngành cấp tỉnh</t>
  </si>
  <si>
    <t>Tổng cộng</t>
  </si>
  <si>
    <t>Đơn vị tính: Triệu đồng</t>
  </si>
  <si>
    <t>Dự án/ Tiểu dự án</t>
  </si>
  <si>
    <t>Chia theo lĩnh vực</t>
  </si>
  <si>
    <t>Sự nghiệp giáo dục, đào tạo và dạy nghề</t>
  </si>
  <si>
    <t>Sự nghiệp văn hóa thông tin</t>
  </si>
  <si>
    <t>Sự nghiệp kinh tế</t>
  </si>
  <si>
    <t>-</t>
  </si>
  <si>
    <t xml:space="preserve"> +</t>
  </si>
  <si>
    <t>Vốn chưa phân bổ</t>
  </si>
  <si>
    <t>Dự án 1. Hỗ trợ đầu tư phát triển hạ tầng KTXH các huyện nghèo, các xã ĐBKK vùng bãi ngang, ven biển và hải đảo</t>
  </si>
  <si>
    <t>TDA 1. Hỗ trợ đầu tư phát triển hạ tầng KTXH tại các huyện nghèo, xã ĐBKK vùng bãi ngang, ven biển và hải đảo</t>
  </si>
  <si>
    <t>Hoạt động 1. Hỗ trợ đầu tư cơ sở hạ tầng tại các huyện nghèo</t>
  </si>
  <si>
    <t xml:space="preserve">Dự án 2. Đa dạng hóa sinh kế, phát triển mô hình giảm nghèo </t>
  </si>
  <si>
    <t xml:space="preserve">Dự án 3. Hỗ trợ phát triển sản xuất, cải thiện dinh dưỡng </t>
  </si>
  <si>
    <t>Tiểu dự án 1. Hỗ trợ PTSX trong lĩnh vực nông nghiệp</t>
  </si>
  <si>
    <t>Dự án 4.  Phát triển giáo dục nghề nghiệp, việc làm bền vững</t>
  </si>
  <si>
    <t>Tiểu dự án 1. Phát triển giáo dục nghề nghiệp vùng nghèo, vùng khó khăn</t>
  </si>
  <si>
    <t>Tiểu dự án 3. Hỗ trợ việc làm bền vững</t>
  </si>
  <si>
    <t>Tiểu dự án 2. Hỗ trợ người LĐ đi làm việc ở nước ngoài theo hợp đồng</t>
  </si>
  <si>
    <t>Dự án 6. Truyền thông và giảm nghèo về thông tin</t>
  </si>
  <si>
    <t>Tiểu dự án 1. Giảm nghèo về thông tin</t>
  </si>
  <si>
    <t>Tiểu dự án 2. Truyền thông về giảm nghèo đa chiều</t>
  </si>
  <si>
    <t>Dự án 7. Nâng cao năng lực và giám sát, đánh giá Chương trình</t>
  </si>
  <si>
    <t>Tiểu dự án 1. Nâng cao năng lực thực hiện Chương trình</t>
  </si>
  <si>
    <t>Tiểu dự án 2. Giám sát, đánh giá</t>
  </si>
  <si>
    <t>Sở LĐ-TB&amp;XH</t>
  </si>
  <si>
    <t>Tổng số các hệ số tiêu chí 1 và 2 (Xi)</t>
  </si>
  <si>
    <t>Tổng vốn giao</t>
  </si>
  <si>
    <t>Vốn trình phân bổ</t>
  </si>
  <si>
    <t>+</t>
  </si>
  <si>
    <t>Vốn đối ứng ngân sách địa phương (mức tối thiểu 3%)</t>
  </si>
  <si>
    <t>Biểu 2.1</t>
  </si>
  <si>
    <t>Biểu 2.3</t>
  </si>
  <si>
    <t>Biểu 2</t>
  </si>
  <si>
    <t>Biểu 2.4</t>
  </si>
  <si>
    <t>Biểu 2.5</t>
  </si>
  <si>
    <t>Biểu 2.6</t>
  </si>
  <si>
    <t>Biểu 2.7</t>
  </si>
  <si>
    <t>Biểu 2.8</t>
  </si>
  <si>
    <t>Lĩnh vực chi: Sự nghiệp kinh tế</t>
  </si>
  <si>
    <t>Lĩnh vực: Sự nghiệp giáo dục - đào tạo và dạy nghề</t>
  </si>
  <si>
    <t>Lĩnh vực: Sự nghiệp văn hóa - thông tin</t>
  </si>
  <si>
    <t>Tiêu chí 3: Đặc điểm địa lý của huyện nghèo</t>
  </si>
  <si>
    <t>Số liệu thống kê huyện nghèo</t>
  </si>
  <si>
    <t>Số liệu thống kê huyện nghèo thuộc khu vực miền núi, vùng cao</t>
  </si>
  <si>
    <t>Số lương tuyển sinh đơn vị theo sở lao động cung cấp</t>
  </si>
  <si>
    <t>Quy đổi ra hệ số (DDi)</t>
  </si>
  <si>
    <t>12,3</t>
  </si>
  <si>
    <t>16,4</t>
  </si>
  <si>
    <t>12,2</t>
  </si>
  <si>
    <t>12,7</t>
  </si>
  <si>
    <t>11,3</t>
  </si>
  <si>
    <t>8,2</t>
  </si>
  <si>
    <t>Số liệu thống kê (%)</t>
  </si>
  <si>
    <t>4=(1*3+2)*3</t>
  </si>
  <si>
    <t xml:space="preserve">Tiêu chí 1: Địa bàn khó khăn </t>
  </si>
  <si>
    <t xml:space="preserve">Tiêu chí 2: Số đơn vị hành chính cấp xã </t>
  </si>
  <si>
    <t>Tiêu chí 3: Tỷ lệ suy dinh dưỡng cân nặng của trẻ em dưới 5 tuổi (Theo số liệu năm 2020 trong BC KH phát triển kinh tế xã hội năm 2022 của các địa phương)</t>
  </si>
  <si>
    <t>Sở Y tế</t>
  </si>
  <si>
    <t>Yi = HNi x 3 + Đvi</t>
  </si>
  <si>
    <t>Ei = Q.Yi.Ddi</t>
  </si>
  <si>
    <t>DDi là hệ số tỷ lệ suy dinh dưỡng cân nặng trẻ em dưới 5 tuổi của địa phương thứ i.</t>
  </si>
  <si>
    <t>Ei  là vốn ngân sách nhà nước phân bổ cho địa phương thứ i.</t>
  </si>
  <si>
    <r>
      <t>Y</t>
    </r>
    <r>
      <rPr>
        <b/>
        <vertAlign val="subscript"/>
        <sz val="10"/>
        <color rgb="FF000000"/>
        <rFont val="Arial"/>
        <family val="2"/>
      </rPr>
      <t>i</t>
    </r>
    <r>
      <rPr>
        <sz val="10"/>
        <color rgb="FF000000"/>
        <rFont val="Arial"/>
        <family val="2"/>
      </rPr>
      <t xml:space="preserve"> là tổng hệ số tiêu chí vùng khó khăn, số đơn vị hành chính cấp xã của địa phương thứ i, được tính theo công thức</t>
    </r>
  </si>
  <si>
    <t>G là tổng số vốn NSNN (bao gồm vốn NSTW: 5.196 triệu đồng và vốn NSĐP: 156 triệu đồng) phân bổ cho các địa phương.</t>
  </si>
  <si>
    <t>Quy đổi ra hệ số (Tri)</t>
  </si>
  <si>
    <t>Tiêu chí 3: Cơ sở giáo dục nghề nghiệp công lập của tỉnh</t>
  </si>
  <si>
    <t xml:space="preserve">Tiêu chí 4: Số lượng tuyển sinh </t>
  </si>
  <si>
    <t>Báo Bắc Kạn</t>
  </si>
  <si>
    <t>Đài Phát thanh và Truyền hình</t>
  </si>
  <si>
    <t>Sở Thông tin và truyền thông</t>
  </si>
  <si>
    <t>Nhiệm vụ đặc thù (D)</t>
  </si>
  <si>
    <t>1.1</t>
  </si>
  <si>
    <t>1.2</t>
  </si>
  <si>
    <t>1.3</t>
  </si>
  <si>
    <t xml:space="preserve">Phân bổ tối đa 30% cho các Sở, ban, ngành cấp tỉnh </t>
  </si>
  <si>
    <t>Sở Tư pháp</t>
  </si>
  <si>
    <t>I. Cấp tỉnh</t>
  </si>
  <si>
    <t>II. Cấp huyện</t>
  </si>
  <si>
    <t>Lĩnh vực chi: Sự nghiệp y tế</t>
  </si>
  <si>
    <t>Dự án 1: Hỗ trợ đầu tư phát triển hạ tầng kinh tế xã hội các huyện nghèo</t>
  </si>
  <si>
    <t>THUYẾT MINH PHÂN BỔ TIỂU DỰ ÁN 5- HỖ TRỢ NHÀ Ở CHO HỘ NGHÈO, HỘ CẬN NGHÈO TRÊN ĐỊA BÀN HUYỆN NGHÈO</t>
  </si>
  <si>
    <t>Dự án 5: Hỗ trợ nhà ở cho hộ nghèo, hộ cận nghèo trên địa bàn huyện nghèo</t>
  </si>
  <si>
    <t>Tiểu dự án 2. Cải thiện dinh dưỡng</t>
  </si>
  <si>
    <t>Sự nghiệp y tế</t>
  </si>
  <si>
    <t>Dự án 5. Hỗ trợ nhà ở cho hộ nghèo, hộ cận nghèo trên địa bàn huyện nghèo</t>
  </si>
  <si>
    <t>Tổng hợp thep đơn vị, địa phương và theo lĩnh vực</t>
  </si>
  <si>
    <t>Tên đơn vị, địa phương</t>
  </si>
  <si>
    <t>Ngân sách Trung ương</t>
  </si>
  <si>
    <t>Ngân sách địa phương đối ứng</t>
  </si>
  <si>
    <t>Tổng số</t>
  </si>
  <si>
    <t>Các huyện, thành phố</t>
  </si>
  <si>
    <t>2.1</t>
  </si>
  <si>
    <t>Tiêu chí 3: Tỷ lệ suy dinh dưỡng cân nặng của trẻ em dưới 5 tuổi</t>
  </si>
  <si>
    <t xml:space="preserve"> Tiểu dự án 2: Cải thiện dinh dưỡng</t>
  </si>
  <si>
    <t xml:space="preserve">Biểu 2.2 </t>
  </si>
  <si>
    <t>Biểu 2.9</t>
  </si>
  <si>
    <t>Biểu 2.10</t>
  </si>
  <si>
    <t>Biểu 2.11</t>
  </si>
  <si>
    <t>Nguồn ngân sách trung ương</t>
  </si>
  <si>
    <t>THUYẾT MINH PHÂN BỔ TIỂU DỰ ÁN 2 DỰ ÁN 3: CẢI THIỆN DINH DƯỠNG</t>
  </si>
  <si>
    <t>THUYẾT MINH  NỘI DUNG 1 TIỂU DỰ ÁN 1 - DỰ ÁN 4: PHÁT TRIỂN GIÁO DỤC NGHỀ NGHIỆP VÙNG NGHÈO, VÙNG KHÓ KHĂN</t>
  </si>
  <si>
    <t>Ủy ban Mặt trận tổ quốc Việt Nam</t>
  </si>
  <si>
    <t>2=3+…+6</t>
  </si>
  <si>
    <t>7=8+…+11</t>
  </si>
  <si>
    <t xml:space="preserve"> - Phân bổ vốn ngân sách nhà nước cho dự án: Phân bổ tối đa 10% cho các Sở, ban, ngành cấp tỉnh; phân bổ tối thiểu 90% cho các địa phương</t>
  </si>
  <si>
    <t>Biểu 2.12</t>
  </si>
  <si>
    <t>Hỗ trợ một số cơ sở giáo dục nghề nghiệp công lập trên địa bàn tỉnh</t>
  </si>
  <si>
    <t>Hỗ trợ đào tạo nghề cho người lao động thuộc hộ nghèo, hộ cận nghèo, hộ mới thoát nghèo; người có thu nhập thấp</t>
  </si>
  <si>
    <r>
      <t xml:space="preserve">G </t>
    </r>
    <r>
      <rPr>
        <sz val="14"/>
        <color rgb="FF000000"/>
        <rFont val="Times New Roman"/>
        <family val="1"/>
      </rPr>
      <t>là tổng số vốn của ngân sách nhà nước (bao gồm vốn NSTW hỗ trợ: 12.463 triệu đồng và vốn NSĐP đối ứng: 374 triệu đồng) phân bổ cho các huyện nghèo.</t>
    </r>
  </si>
  <si>
    <t>G là tổng số vốn ngân sách nhà nước (bao gồm vốn NSTW là 42.316 triệu đồng và vốn NSĐP đối ứng: 1.269 triệu đồng) phân bổ cho các địa phương để thực hiện Dự án 2.</t>
  </si>
  <si>
    <t>Tổng nguồn vốn</t>
  </si>
  <si>
    <t>Kinh phí còn lại chưa phân bổ (III = I - II)</t>
  </si>
  <si>
    <t>Tổng kinh phí phân bổ</t>
  </si>
  <si>
    <t>G là tổng số vốn NSNN (bao gồm vốn NSTW: 16.978 triệu đồng và vốn NSĐP: 509 triệu đồng) phân bổ cho các địa phương.</t>
  </si>
  <si>
    <t>G là tổng số vốn NSNN (bao gồm vốn NSTW: 1.676 triệu đồng và vốn NSĐP: 50 triệu đồng) phân bổ cho các địa phương.</t>
  </si>
  <si>
    <t>G là tổng số vốn NSNN (bao gồm vốn NSTW: 6.333 triệu đồng và vốn NSĐP: 190 triệu đồng) phân bổ cho các địa phương.</t>
  </si>
  <si>
    <t>Ghi chú: Đề án hỗ trợ nhà ở cho hộ nghèo, hộ cận nghèo đã được UBND tỉnh phê duyệt tại Quyết định số 2112/QĐ-UBND ngày 31/10/2022</t>
  </si>
  <si>
    <t>G là tổng số vốn NSNN (bao gồm vốn NSTW 6.502 triệu đồng và vốn NSĐP 195 triệu đồng) phân bổ cho các địa phương.</t>
  </si>
  <si>
    <t>G là tổng số vốn NSNN (bao gồm vốn NSTW: 2.444 triệu đồng và vốn NSĐP: 74 triệu đồng) phân bổ cho các địa phương.</t>
  </si>
  <si>
    <t>KH vốn NSTW năm 2024 (triệu đồng)</t>
  </si>
  <si>
    <t>KH vốn NSĐP năm 2024 (triệu đồng)</t>
  </si>
  <si>
    <t>Sở Xây dựng</t>
  </si>
  <si>
    <t>G là tổng số vốn NSNN (bao gồm vốn NSTW: 9.897 triệu đồng và vốn NSĐP: 296 triệu đồng) phân bổ cho các địa phương để thực hiện Dự án 7.</t>
  </si>
  <si>
    <t>BIỂU TỔNG HỢP PHÂN BỔ VÀ GIAO DỰ TOÁN KINH PHÍ SỰ NGHIỆP CHƯƠNG TRÌNH MỤC TIÊU QUỐC GIA GIẢM NGHÈO BỀN VỮNG NĂM 2024</t>
  </si>
  <si>
    <t xml:space="preserve"> PHÂN BỔ VỐN SỰ NGHIỆP THUỘC CHƯƠNG TRÌNH MTQG GIẢM NGHÈO BỀN VỮNG NĂM 2024</t>
  </si>
  <si>
    <t xml:space="preserve">THUYẾT MINH PHÂN BỔ TIỂU DỰ ÁN 1, DỰ ÁN 3: HỖ TRỢ PHÁT TRIỂN SẢN XUẤT TRONG LĨNH VỰC NÔNG NGHIỆP </t>
  </si>
  <si>
    <t xml:space="preserve"> - Về cơ cấu vốn phân bổ gồm: Vốn NSTW: 12.463 triệu đồng và đối ứng NSĐP: 374 triệu đồng.</t>
  </si>
  <si>
    <t xml:space="preserve"> - Về cơ cấu vốn phân bổ gồm: Vốn NSTW: 42.316 triệu đồng và đối ứng NSĐP: 1.269 triệu đồng.</t>
  </si>
  <si>
    <t xml:space="preserve"> - Về cơ cấu vốn phân bổ gồm: Vốn NSTW: 20.981 triệu đồng và đối ứng NSĐP: 630 triệu đồng.</t>
  </si>
  <si>
    <t xml:space="preserve"> - Về cơ cấu vốn phân bổ gồm: Vốn NSTW: 38.006 triệu đồng và đối ứng NSĐP: 1.140 triệu đồng.</t>
  </si>
  <si>
    <t xml:space="preserve"> - Về cơ cấu vốn phân bổ gồm: Vốn NSTW: 10.995 triệu đồng và đối ứng NSĐP: 330 triệu đồng.</t>
  </si>
  <si>
    <t xml:space="preserve"> - Về cơ cấu vốn phân bổ gồm: Vốn NSTW: 8.946 triệu đồng và đối ứng NSĐP: 269 triệu đồng.</t>
  </si>
  <si>
    <t xml:space="preserve"> - Về cơ cấu vốn phân bổ gồm: Vốn NSTW: 9.879 triệu đồng và đối ứng NSĐP: 296 triệu đồng.</t>
  </si>
  <si>
    <t>BẢNG TỔNG HỢP NGUỒN KINH PHÍ SỰ NGHIỆP THỰC HIỆN CHƯƠNG TRÌNH MTQG GIẢM NGHÈO BỀN VỮNG NĂM 2024</t>
  </si>
  <si>
    <t>Tổng dự toán năm 2024</t>
  </si>
  <si>
    <t>Tạm thời phân bổ cho Trường Cao đẳng Bắc Kạn là cơ sở giáo dục nghề nghiệp công lập; Trung tâm giáo dục nghề nghiệp- Giáo dục thường xuyên thuộc 02 huyện nghèo (Ngân Sơn và Pác Nặm) là đối tượng thụ hưởng theo Nghị quyết số 164/NQ-CP ngày 04/10/2023 của Chính phủ; số kinh phí còn lại tiếp tục phân bổ khi Nghị quyết số 03/2022/NQ-HĐND sửa đổi</t>
  </si>
  <si>
    <t>Dự toán phân bổ và giao năm 2024</t>
  </si>
  <si>
    <t>Tổng số vốn NSNN (bao gồm vốn NSTW: 11.999 triệu đồng và vốn NSĐP: 360 triệu đồng) phân bổ cho các địa phương.</t>
  </si>
  <si>
    <t>Phân bổ theo Nghị quyết số         /NQ-HĐND ngày       /12/2023 của HĐND tỉnh về việc Sửa đổi, bổ sung một số nội dung của Quy định ban hành kèm theo Nghị Quyết số 03/2022/NQ-HĐND ngày 27/4/2022 của Hội đồng nhân dân tỉnh: phân bổ theo tỷ lệ: Trường Cao đẳng Bắc Kạn 80%, Trung tâm Giáo dục nghề nghiệp - Giáo dục thường xuyên huyện Ngân Sơn: 10%, Trung tâm Giáo dục nghề nghiệp - Giáo dục thường xuyên huyện Pác Nặm 10%</t>
  </si>
  <si>
    <t>G là tổng số vốn ngân sách nhà nước (bao gồm vốn NSTW là 17.493 triệu đồng và vốn NSĐP đối ứng: 525 triệu đồng) phân bổ cho các địa phương để thực hiện Tiểu dự án 1, Dự án 3.</t>
  </si>
  <si>
    <t>(Kèm theo Báo cáo số 809/BC-UBND ngày 27 tháng 11 năm 2023 của UBND tỉnh)</t>
  </si>
  <si>
    <t>Sở Lao động- Thương binh và Xã hội</t>
  </si>
  <si>
    <t>Sở Nông nghiệp và Phát triển nông thôn</t>
  </si>
  <si>
    <t>Ủy ban mặt trận tổ quốc Việt Nam tỉnh</t>
  </si>
  <si>
    <t>Ủy ban Mặt trận tổ quốc Việt Nam tỉnh</t>
  </si>
  <si>
    <t>Sở Thông tin và Truyền thông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</si>
</sst>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_);_(* \(#,##0\);_(* &quot;-&quot;_);_(@_)"/>
    <numFmt numFmtId="165" formatCode="_(* #,##0.00_);_(* \(#,##0.00\);_(* &quot;-&quot;??_);_(@_)"/>
    <numFmt numFmtId="166" formatCode="_-* #,##0.00\ _₫_-;\-* #,##0.00\ _₫_-;_-* &quot;-&quot;??\ _₫_-;_-@_-"/>
    <numFmt numFmtId="167" formatCode="_(* #,##0_);_(* \(#,##0\);_(* &quot;-&quot;??_);_(@_)"/>
    <numFmt numFmtId="168" formatCode="0.0"/>
    <numFmt numFmtId="169" formatCode="_(* #,##0.00_);_(* \(#,##0.00\);_(* &quot;-&quot;_);_(@_)"/>
    <numFmt numFmtId="170" formatCode="_(* #,##0.000_);_(* \(#,##0.000\);_(* &quot;-&quot;??_);_(@_)"/>
    <numFmt numFmtId="171" formatCode="_(* #,##0.0_);_(* \(#,##0.0\);_(* &quot;-&quot;??_);_(@_)"/>
    <numFmt numFmtId="172" formatCode="_(* #,##0.000000_);_(* \(#,##0.000000\);_(* &quot;-&quot;??_);_(@_)"/>
    <numFmt numFmtId="173" formatCode="0.0000"/>
    <numFmt numFmtId="174" formatCode="_-* #,##0.0\ _₫_-;\-* #,##0.0\ _₫_-;_-* &quot;-&quot;?\ _₫_-;_-@_-"/>
  </numFmts>
  <fonts count="49" x14ac:knownFonts="1">
    <font>
      <sz val="11"/>
      <color theme="1"/>
      <name val="Arial"/>
      <family val="2"/>
      <scheme val="minor"/>
    </font>
    <font>
      <sz val="11"/>
      <color theme="1"/>
      <name val="Arial"/>
      <family val="2"/>
      <scheme val="minor"/>
    </font>
    <font>
      <sz val="12"/>
      <color theme="1"/>
      <name val="Times New Roman"/>
      <family val="1"/>
    </font>
    <font>
      <b/>
      <sz val="14"/>
      <color theme="1"/>
      <name val="Times New Roman"/>
      <family val="1"/>
    </font>
    <font>
      <b/>
      <sz val="16"/>
      <color theme="1"/>
      <name val="Times New Roman"/>
      <family val="1"/>
    </font>
    <font>
      <i/>
      <sz val="14"/>
      <color theme="1"/>
      <name val="Times New Roman"/>
      <family val="1"/>
    </font>
    <font>
      <sz val="14"/>
      <color theme="1"/>
      <name val="Times New Roman"/>
      <family val="1"/>
    </font>
    <font>
      <b/>
      <i/>
      <sz val="14"/>
      <color theme="1"/>
      <name val="Times New Roman"/>
      <family val="1"/>
    </font>
    <font>
      <b/>
      <sz val="14"/>
      <name val="Times New Roman"/>
      <family val="1"/>
    </font>
    <font>
      <sz val="14"/>
      <name val="Times New Roman"/>
      <family val="1"/>
    </font>
    <font>
      <b/>
      <sz val="13"/>
      <color theme="1"/>
      <name val="Times New Roman"/>
      <family val="1"/>
    </font>
    <font>
      <sz val="20"/>
      <color theme="1"/>
      <name val="Times New Roman"/>
      <family val="1"/>
    </font>
    <font>
      <i/>
      <sz val="18"/>
      <color theme="1"/>
      <name val="Times New Roman"/>
      <family val="1"/>
    </font>
    <font>
      <sz val="14"/>
      <color rgb="FFFF0000"/>
      <name val="Times New Roman"/>
      <family val="1"/>
    </font>
    <font>
      <b/>
      <sz val="12"/>
      <color theme="1"/>
      <name val="Times New Roman"/>
      <family val="1"/>
    </font>
    <font>
      <b/>
      <sz val="12"/>
      <name val="Times New Roman"/>
      <family val="1"/>
    </font>
    <font>
      <sz val="12"/>
      <name val="Times New Roman"/>
      <family val="1"/>
    </font>
    <font>
      <b/>
      <sz val="10"/>
      <color theme="1"/>
      <name val="Times New Roman"/>
      <family val="1"/>
    </font>
    <font>
      <b/>
      <i/>
      <sz val="10"/>
      <color theme="1"/>
      <name val="Times New Roman"/>
      <family val="1"/>
    </font>
    <font>
      <sz val="10"/>
      <color theme="1"/>
      <name val="Times New Roman"/>
      <family val="1"/>
    </font>
    <font>
      <i/>
      <sz val="12"/>
      <color theme="1"/>
      <name val="Times New Roman"/>
      <family val="1"/>
    </font>
    <font>
      <sz val="9"/>
      <color indexed="81"/>
      <name val="Tahoma"/>
      <family val="2"/>
    </font>
    <font>
      <b/>
      <sz val="9"/>
      <color indexed="81"/>
      <name val="Tahoma"/>
      <family val="2"/>
    </font>
    <font>
      <sz val="11"/>
      <color theme="1"/>
      <name val="Times New Roman"/>
      <family val="1"/>
    </font>
    <font>
      <sz val="14"/>
      <color rgb="FF000000"/>
      <name val="Times New Roman"/>
      <family val="1"/>
    </font>
    <font>
      <b/>
      <sz val="14"/>
      <color rgb="FF000000"/>
      <name val="Times New Roman"/>
      <family val="1"/>
    </font>
    <font>
      <b/>
      <vertAlign val="subscript"/>
      <sz val="14"/>
      <color rgb="FF000000"/>
      <name val="Times New Roman"/>
      <family val="1"/>
    </font>
    <font>
      <vertAlign val="subscript"/>
      <sz val="14"/>
      <color rgb="FF000000"/>
      <name val="Times New Roman"/>
      <family val="1"/>
    </font>
    <font>
      <sz val="12"/>
      <name val="Times New Roman"/>
      <family val="2"/>
    </font>
    <font>
      <b/>
      <sz val="12"/>
      <name val="Times New Roman"/>
      <family val="2"/>
    </font>
    <font>
      <b/>
      <sz val="14"/>
      <name val="Times New Roman"/>
      <family val="2"/>
    </font>
    <font>
      <i/>
      <sz val="12"/>
      <name val="Times New Roman"/>
      <family val="2"/>
    </font>
    <font>
      <sz val="10"/>
      <name val="Times New Roman"/>
      <family val="2"/>
    </font>
    <font>
      <b/>
      <sz val="10"/>
      <color theme="1"/>
      <name val="Arial Narrow"/>
      <family val="2"/>
    </font>
    <font>
      <sz val="10"/>
      <color theme="1"/>
      <name val="Arial Narrow"/>
      <family val="2"/>
    </font>
    <font>
      <b/>
      <sz val="11"/>
      <color theme="1"/>
      <name val="Times New Roman"/>
      <family val="1"/>
    </font>
    <font>
      <b/>
      <vertAlign val="subscript"/>
      <sz val="10"/>
      <color rgb="FF000000"/>
      <name val="Arial"/>
      <family val="2"/>
    </font>
    <font>
      <sz val="10"/>
      <color rgb="FF000000"/>
      <name val="Arial"/>
      <family val="2"/>
    </font>
    <font>
      <sz val="13"/>
      <color theme="1"/>
      <name val="Times New Roman"/>
      <family val="1"/>
    </font>
    <font>
      <i/>
      <sz val="13"/>
      <color theme="1"/>
      <name val="Times New Roman"/>
      <family val="1"/>
    </font>
    <font>
      <b/>
      <sz val="9"/>
      <color theme="1"/>
      <name val="Times New Roman"/>
      <family val="1"/>
    </font>
    <font>
      <b/>
      <sz val="12"/>
      <name val="Arial Narrow"/>
      <family val="2"/>
    </font>
    <font>
      <sz val="12"/>
      <name val="Arial Narrow"/>
      <family val="2"/>
    </font>
    <font>
      <i/>
      <sz val="12"/>
      <name val="Arial Narrow"/>
      <family val="2"/>
    </font>
    <font>
      <sz val="10"/>
      <color rgb="FFFF0000"/>
      <name val="Arial Narrow"/>
      <family val="2"/>
    </font>
    <font>
      <b/>
      <sz val="13"/>
      <name val="Times New Roman"/>
      <family val="1"/>
    </font>
    <font>
      <sz val="13"/>
      <name val="Times New Roman"/>
      <family val="1"/>
    </font>
    <font>
      <sz val="11"/>
      <color indexed="81"/>
      <name val="Tahoma"/>
      <family val="2"/>
    </font>
    <font>
      <b/>
      <sz val="11"/>
      <color indexed="81"/>
      <name val="Tahoma"/>
      <family val="2"/>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551">
    <xf numFmtId="0" fontId="0" fillId="0" borderId="0" xfId="0"/>
    <xf numFmtId="0" fontId="2" fillId="2" borderId="0" xfId="0" applyFont="1" applyFill="1" applyAlignment="1">
      <alignment horizontal="center" vertical="center" wrapText="1"/>
    </xf>
    <xf numFmtId="0" fontId="6" fillId="2" borderId="0" xfId="0" applyFont="1" applyFill="1" applyBorder="1" applyAlignment="1">
      <alignment vertical="center" wrapText="1"/>
    </xf>
    <xf numFmtId="0" fontId="8"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2" fontId="8" fillId="2" borderId="1"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2" borderId="3" xfId="0" applyFont="1" applyFill="1" applyBorder="1" applyAlignment="1">
      <alignment horizontal="center" vertical="center" wrapText="1"/>
    </xf>
    <xf numFmtId="167" fontId="3" fillId="2" borderId="4" xfId="1" applyNumberFormat="1" applyFont="1" applyFill="1" applyBorder="1" applyAlignment="1">
      <alignment horizontal="center" vertical="center" wrapText="1"/>
    </xf>
    <xf numFmtId="167" fontId="3" fillId="2" borderId="3" xfId="1" applyNumberFormat="1" applyFont="1" applyFill="1" applyBorder="1" applyAlignment="1">
      <alignment horizontal="center" vertical="center" wrapText="1"/>
    </xf>
    <xf numFmtId="0" fontId="3" fillId="2" borderId="0" xfId="0" applyFont="1" applyFill="1" applyAlignment="1">
      <alignment horizontal="center" vertical="center" wrapText="1"/>
    </xf>
    <xf numFmtId="167" fontId="6" fillId="2" borderId="1" xfId="1" applyNumberFormat="1" applyFont="1" applyFill="1" applyBorder="1" applyAlignment="1">
      <alignment horizontal="center" vertical="center" wrapText="1"/>
    </xf>
    <xf numFmtId="0" fontId="6" fillId="2" borderId="0" xfId="0" applyFont="1" applyFill="1" applyAlignment="1">
      <alignment vertical="center" wrapText="1"/>
    </xf>
    <xf numFmtId="0" fontId="6" fillId="2" borderId="1" xfId="0"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168" fontId="6" fillId="2" borderId="1" xfId="0" applyNumberFormat="1"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2" fontId="9" fillId="2" borderId="1" xfId="0" applyNumberFormat="1" applyFont="1" applyFill="1" applyBorder="1" applyAlignment="1">
      <alignment horizontal="center" vertical="center" wrapText="1"/>
    </xf>
    <xf numFmtId="0" fontId="6" fillId="2" borderId="0" xfId="0" applyFont="1" applyFill="1" applyAlignment="1">
      <alignment horizontal="center" vertical="center" wrapText="1"/>
    </xf>
    <xf numFmtId="167" fontId="6" fillId="2" borderId="0" xfId="1" applyNumberFormat="1" applyFont="1" applyFill="1" applyAlignment="1">
      <alignment horizontal="center" vertical="center" wrapText="1"/>
    </xf>
    <xf numFmtId="167" fontId="3" fillId="2" borderId="1" xfId="1" applyNumberFormat="1" applyFont="1" applyFill="1" applyBorder="1" applyAlignment="1">
      <alignment horizontal="center" vertical="center" wrapText="1"/>
    </xf>
    <xf numFmtId="0" fontId="3" fillId="2" borderId="1" xfId="0" applyFont="1" applyFill="1" applyBorder="1" applyAlignment="1">
      <alignment vertical="center" wrapText="1"/>
    </xf>
    <xf numFmtId="0" fontId="3" fillId="2" borderId="0" xfId="0" applyFont="1" applyFill="1" applyAlignment="1">
      <alignment vertical="center" wrapText="1"/>
    </xf>
    <xf numFmtId="0" fontId="6"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5" fillId="0" borderId="5" xfId="0" applyFont="1" applyBorder="1" applyAlignment="1">
      <alignment vertical="center" wrapText="1"/>
    </xf>
    <xf numFmtId="0" fontId="5" fillId="0" borderId="5" xfId="0" applyFont="1" applyBorder="1" applyAlignment="1">
      <alignment horizontal="center" vertical="center" wrapText="1"/>
    </xf>
    <xf numFmtId="0" fontId="3" fillId="0" borderId="0" xfId="0" applyFont="1" applyAlignment="1">
      <alignment vertical="center" wrapText="1"/>
    </xf>
    <xf numFmtId="0" fontId="3" fillId="0" borderId="1" xfId="0" applyFont="1" applyBorder="1" applyAlignment="1">
      <alignment vertical="center" wrapText="1"/>
    </xf>
    <xf numFmtId="0" fontId="6" fillId="0" borderId="1" xfId="0" applyFont="1" applyBorder="1" applyAlignment="1">
      <alignment horizontal="center" vertical="center" wrapText="1"/>
    </xf>
    <xf numFmtId="3" fontId="6" fillId="0" borderId="1" xfId="0" applyNumberFormat="1"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justify" vertical="center" wrapText="1"/>
    </xf>
    <xf numFmtId="3" fontId="3"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3" fontId="5" fillId="0" borderId="1" xfId="0" applyNumberFormat="1" applyFont="1" applyBorder="1" applyAlignment="1">
      <alignment vertical="center" wrapText="1"/>
    </xf>
    <xf numFmtId="0" fontId="5" fillId="0" borderId="0" xfId="0" applyFont="1" applyAlignment="1">
      <alignment vertical="center" wrapText="1"/>
    </xf>
    <xf numFmtId="0" fontId="5" fillId="0" borderId="1" xfId="0" applyFont="1" applyBorder="1" applyAlignment="1">
      <alignment vertical="center" wrapText="1"/>
    </xf>
    <xf numFmtId="0" fontId="6" fillId="0" borderId="0" xfId="0" applyFont="1" applyAlignment="1">
      <alignment horizontal="center" vertical="center"/>
    </xf>
    <xf numFmtId="0" fontId="11" fillId="0" borderId="0" xfId="0" applyFont="1" applyAlignment="1">
      <alignment horizontal="center" vertical="center"/>
    </xf>
    <xf numFmtId="3" fontId="3" fillId="2" borderId="0" xfId="0" applyNumberFormat="1" applyFont="1" applyFill="1" applyAlignment="1">
      <alignment vertical="center" wrapText="1"/>
    </xf>
    <xf numFmtId="164" fontId="3" fillId="2" borderId="1" xfId="2" applyFont="1" applyFill="1" applyBorder="1" applyAlignment="1">
      <alignment vertical="center" wrapText="1"/>
    </xf>
    <xf numFmtId="3" fontId="6" fillId="2" borderId="0" xfId="0" applyNumberFormat="1" applyFont="1" applyFill="1" applyAlignment="1">
      <alignment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167" fontId="3" fillId="2" borderId="3" xfId="1"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3" fontId="6" fillId="0" borderId="0" xfId="0" applyNumberFormat="1" applyFont="1" applyAlignment="1">
      <alignment horizontal="center" vertical="center"/>
    </xf>
    <xf numFmtId="169" fontId="3" fillId="2" borderId="1" xfId="2" applyNumberFormat="1" applyFont="1" applyFill="1" applyBorder="1" applyAlignment="1">
      <alignment vertical="center" wrapText="1"/>
    </xf>
    <xf numFmtId="0" fontId="12" fillId="0" borderId="0" xfId="0" applyFont="1" applyBorder="1" applyAlignment="1">
      <alignment horizontal="right" vertical="center"/>
    </xf>
    <xf numFmtId="0" fontId="12" fillId="0" borderId="0" xfId="0" applyFont="1" applyBorder="1" applyAlignment="1">
      <alignment horizontal="right"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168" fontId="13" fillId="2" borderId="1" xfId="0" applyNumberFormat="1" applyFont="1" applyFill="1" applyBorder="1" applyAlignment="1">
      <alignment horizontal="center" vertical="center" wrapText="1"/>
    </xf>
    <xf numFmtId="2" fontId="13" fillId="2" borderId="1" xfId="0" applyNumberFormat="1" applyFont="1" applyFill="1" applyBorder="1" applyAlignment="1">
      <alignment horizontal="center" vertical="center" wrapText="1"/>
    </xf>
    <xf numFmtId="3" fontId="6" fillId="2" borderId="1" xfId="0" applyNumberFormat="1" applyFont="1" applyFill="1" applyBorder="1" applyAlignment="1">
      <alignment vertical="center" wrapText="1"/>
    </xf>
    <xf numFmtId="3" fontId="3" fillId="2" borderId="1" xfId="0" applyNumberFormat="1" applyFont="1" applyFill="1" applyBorder="1" applyAlignment="1">
      <alignment vertical="center" wrapText="1"/>
    </xf>
    <xf numFmtId="0" fontId="14" fillId="2" borderId="3" xfId="0" applyFont="1" applyFill="1" applyBorder="1" applyAlignment="1">
      <alignment horizontal="center" vertical="center" wrapText="1"/>
    </xf>
    <xf numFmtId="167" fontId="14" fillId="2" borderId="4" xfId="1" applyNumberFormat="1" applyFont="1" applyFill="1" applyBorder="1" applyAlignment="1">
      <alignment horizontal="center" vertical="center" wrapText="1"/>
    </xf>
    <xf numFmtId="167" fontId="14" fillId="2" borderId="3" xfId="1"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4" fillId="2" borderId="0" xfId="0" applyFont="1" applyFill="1" applyAlignment="1">
      <alignment horizontal="center" vertical="center" wrapText="1"/>
    </xf>
    <xf numFmtId="0" fontId="15" fillId="2" borderId="1" xfId="0" applyFont="1" applyFill="1" applyBorder="1" applyAlignment="1">
      <alignment horizontal="center" vertical="center" wrapText="1"/>
    </xf>
    <xf numFmtId="3" fontId="15" fillId="2" borderId="1" xfId="0" applyNumberFormat="1" applyFont="1" applyFill="1" applyBorder="1" applyAlignment="1">
      <alignment horizontal="center" vertical="center" wrapText="1"/>
    </xf>
    <xf numFmtId="0" fontId="2" fillId="2" borderId="0" xfId="0" applyFont="1" applyFill="1" applyAlignment="1">
      <alignment vertical="center" wrapText="1"/>
    </xf>
    <xf numFmtId="0" fontId="17" fillId="0" borderId="0" xfId="0" applyFont="1" applyAlignment="1">
      <alignment horizontal="center" vertical="center"/>
    </xf>
    <xf numFmtId="0" fontId="19" fillId="0" borderId="0" xfId="0" applyFont="1" applyAlignment="1">
      <alignment horizontal="center" vertical="center"/>
    </xf>
    <xf numFmtId="0" fontId="19" fillId="0" borderId="0" xfId="0" applyFont="1" applyAlignment="1">
      <alignment horizontal="center" vertical="center" wrapText="1"/>
    </xf>
    <xf numFmtId="167" fontId="3" fillId="2" borderId="1" xfId="1" applyNumberFormat="1" applyFont="1" applyFill="1" applyBorder="1" applyAlignment="1">
      <alignment horizontal="center" vertical="center" wrapText="1"/>
    </xf>
    <xf numFmtId="0" fontId="3" fillId="0" borderId="3"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167" fontId="3" fillId="2" borderId="3" xfId="1" applyNumberFormat="1" applyFont="1" applyFill="1" applyBorder="1" applyAlignment="1">
      <alignment horizontal="center" vertical="center" wrapText="1"/>
    </xf>
    <xf numFmtId="167" fontId="14" fillId="2" borderId="1" xfId="1"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4" fillId="2" borderId="3" xfId="0" applyFont="1" applyFill="1" applyBorder="1" applyAlignment="1">
      <alignment horizontal="center" vertical="center" wrapText="1"/>
    </xf>
    <xf numFmtId="167" fontId="14" fillId="2" borderId="3" xfId="1" applyNumberFormat="1" applyFont="1" applyFill="1" applyBorder="1" applyAlignment="1">
      <alignment horizontal="center" vertical="center" wrapText="1"/>
    </xf>
    <xf numFmtId="0" fontId="14" fillId="0" borderId="3" xfId="0" applyFont="1" applyBorder="1" applyAlignment="1">
      <alignment horizontal="center" vertical="center" wrapText="1"/>
    </xf>
    <xf numFmtId="3" fontId="14" fillId="2" borderId="0" xfId="0" applyNumberFormat="1" applyFont="1" applyFill="1" applyAlignment="1">
      <alignment horizontal="center" vertical="center" wrapText="1"/>
    </xf>
    <xf numFmtId="0" fontId="10" fillId="0" borderId="3" xfId="0" applyFont="1" applyBorder="1" applyAlignment="1">
      <alignment horizontal="center" vertical="center" wrapText="1"/>
    </xf>
    <xf numFmtId="0" fontId="3" fillId="2" borderId="10" xfId="0" applyFont="1" applyFill="1" applyBorder="1" applyAlignment="1">
      <alignment horizontal="center" vertical="center" wrapText="1"/>
    </xf>
    <xf numFmtId="167" fontId="3" fillId="2" borderId="8" xfId="1"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3" fillId="2" borderId="3" xfId="0" applyFont="1" applyFill="1" applyBorder="1" applyAlignment="1">
      <alignment horizontal="justify" vertical="center" wrapText="1"/>
    </xf>
    <xf numFmtId="0" fontId="3" fillId="2" borderId="1" xfId="0" applyFont="1" applyFill="1" applyBorder="1" applyAlignment="1">
      <alignment horizontal="justify" vertical="center" wrapText="1"/>
    </xf>
    <xf numFmtId="0" fontId="6" fillId="2" borderId="3" xfId="0" applyFont="1" applyFill="1" applyBorder="1" applyAlignment="1">
      <alignment horizontal="justify" vertical="center" wrapText="1"/>
    </xf>
    <xf numFmtId="0" fontId="6" fillId="2" borderId="4" xfId="0" applyFont="1" applyFill="1" applyBorder="1" applyAlignment="1">
      <alignment horizontal="center" vertical="center" wrapText="1"/>
    </xf>
    <xf numFmtId="167" fontId="6" fillId="2" borderId="3" xfId="1"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justify" vertical="center" wrapText="1"/>
    </xf>
    <xf numFmtId="0" fontId="6" fillId="2" borderId="11" xfId="0" applyFont="1" applyFill="1" applyBorder="1" applyAlignment="1">
      <alignment horizontal="center" vertical="center" wrapText="1"/>
    </xf>
    <xf numFmtId="3" fontId="6" fillId="2" borderId="11" xfId="0" applyNumberFormat="1" applyFont="1" applyFill="1" applyBorder="1" applyAlignment="1">
      <alignment horizontal="center" vertical="center" wrapText="1"/>
    </xf>
    <xf numFmtId="168" fontId="6" fillId="2" borderId="11" xfId="0" applyNumberFormat="1" applyFont="1" applyFill="1" applyBorder="1" applyAlignment="1">
      <alignment horizontal="center" vertical="center" wrapText="1"/>
    </xf>
    <xf numFmtId="2" fontId="6" fillId="2" borderId="11"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2" xfId="0" applyFont="1" applyFill="1" applyBorder="1" applyAlignment="1">
      <alignment horizontal="justify" vertical="center" wrapText="1"/>
    </xf>
    <xf numFmtId="0" fontId="6" fillId="2" borderId="12" xfId="0" applyFont="1" applyFill="1" applyBorder="1" applyAlignment="1">
      <alignment horizontal="center" vertical="center" wrapText="1"/>
    </xf>
    <xf numFmtId="3" fontId="6" fillId="2" borderId="12" xfId="0" applyNumberFormat="1" applyFont="1" applyFill="1" applyBorder="1" applyAlignment="1">
      <alignment horizontal="center" vertical="center" wrapText="1"/>
    </xf>
    <xf numFmtId="168" fontId="6" fillId="2" borderId="12" xfId="0" applyNumberFormat="1" applyFont="1" applyFill="1" applyBorder="1" applyAlignment="1">
      <alignment horizontal="center" vertical="center" wrapText="1"/>
    </xf>
    <xf numFmtId="2" fontId="6" fillId="2" borderId="12"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3" xfId="0" applyFont="1" applyFill="1" applyBorder="1" applyAlignment="1">
      <alignment horizontal="justify" vertical="center" wrapText="1"/>
    </xf>
    <xf numFmtId="0" fontId="6" fillId="2" borderId="13" xfId="0" applyFont="1" applyFill="1" applyBorder="1" applyAlignment="1">
      <alignment horizontal="center" vertical="center" wrapText="1"/>
    </xf>
    <xf numFmtId="3" fontId="6" fillId="2" borderId="13" xfId="0" applyNumberFormat="1" applyFont="1" applyFill="1" applyBorder="1" applyAlignment="1">
      <alignment horizontal="center" vertical="center" wrapText="1"/>
    </xf>
    <xf numFmtId="168" fontId="6" fillId="2" borderId="13" xfId="0" applyNumberFormat="1" applyFont="1" applyFill="1" applyBorder="1" applyAlignment="1">
      <alignment horizontal="center" vertical="center" wrapText="1"/>
    </xf>
    <xf numFmtId="2" fontId="6" fillId="2" borderId="13" xfId="0" applyNumberFormat="1" applyFont="1" applyFill="1" applyBorder="1" applyAlignment="1">
      <alignment horizontal="center" vertical="center" wrapText="1"/>
    </xf>
    <xf numFmtId="167" fontId="6" fillId="2" borderId="11" xfId="1" applyNumberFormat="1" applyFont="1" applyFill="1" applyBorder="1" applyAlignment="1">
      <alignment horizontal="right" vertical="center" wrapText="1"/>
    </xf>
    <xf numFmtId="167" fontId="6" fillId="2" borderId="12" xfId="1" applyNumberFormat="1" applyFont="1" applyFill="1" applyBorder="1" applyAlignment="1">
      <alignment horizontal="right" vertical="center" wrapText="1"/>
    </xf>
    <xf numFmtId="167" fontId="6" fillId="2" borderId="13" xfId="1" applyNumberFormat="1" applyFont="1" applyFill="1" applyBorder="1" applyAlignment="1">
      <alignment horizontal="right" vertical="center" wrapText="1"/>
    </xf>
    <xf numFmtId="167" fontId="3" fillId="2" borderId="0" xfId="0" applyNumberFormat="1" applyFont="1" applyFill="1" applyAlignment="1">
      <alignment horizontal="center" vertical="center" wrapText="1"/>
    </xf>
    <xf numFmtId="0" fontId="6" fillId="2" borderId="0" xfId="0" applyFont="1" applyFill="1" applyAlignment="1">
      <alignment vertical="center"/>
    </xf>
    <xf numFmtId="170" fontId="3" fillId="2" borderId="0" xfId="0" applyNumberFormat="1" applyFont="1" applyFill="1" applyAlignment="1">
      <alignment horizontal="center" vertical="center" wrapText="1"/>
    </xf>
    <xf numFmtId="3" fontId="8" fillId="2" borderId="2" xfId="0" applyNumberFormat="1" applyFont="1" applyFill="1" applyBorder="1" applyAlignment="1">
      <alignment horizontal="center" vertical="center" wrapText="1"/>
    </xf>
    <xf numFmtId="165" fontId="6" fillId="2" borderId="1" xfId="1" applyNumberFormat="1" applyFont="1" applyFill="1" applyBorder="1" applyAlignment="1">
      <alignment horizontal="center" vertical="center" wrapText="1"/>
    </xf>
    <xf numFmtId="165" fontId="3" fillId="2" borderId="1" xfId="1" applyNumberFormat="1" applyFont="1" applyFill="1" applyBorder="1" applyAlignment="1">
      <alignment horizontal="center" vertical="center" wrapText="1"/>
    </xf>
    <xf numFmtId="0" fontId="9" fillId="0" borderId="11" xfId="0" applyFont="1" applyFill="1" applyBorder="1" applyAlignment="1">
      <alignment horizontal="left" vertical="center" wrapText="1"/>
    </xf>
    <xf numFmtId="4" fontId="6" fillId="2" borderId="11" xfId="0" applyNumberFormat="1" applyFont="1" applyFill="1" applyBorder="1" applyAlignment="1">
      <alignment horizontal="center" vertical="center" wrapText="1"/>
    </xf>
    <xf numFmtId="168" fontId="9" fillId="2" borderId="11" xfId="0" applyNumberFormat="1" applyFont="1" applyFill="1" applyBorder="1" applyAlignment="1">
      <alignment horizontal="center" vertical="center" wrapText="1"/>
    </xf>
    <xf numFmtId="165" fontId="6" fillId="2" borderId="11" xfId="1" applyNumberFormat="1" applyFont="1" applyFill="1" applyBorder="1" applyAlignment="1">
      <alignment horizontal="center" vertical="center" wrapText="1"/>
    </xf>
    <xf numFmtId="0" fontId="9" fillId="0" borderId="12" xfId="0" applyFont="1" applyFill="1" applyBorder="1" applyAlignment="1">
      <alignment horizontal="left" vertical="center" wrapText="1"/>
    </xf>
    <xf numFmtId="4" fontId="6" fillId="2" borderId="12" xfId="0" applyNumberFormat="1" applyFont="1" applyFill="1" applyBorder="1" applyAlignment="1">
      <alignment horizontal="center" vertical="center" wrapText="1"/>
    </xf>
    <xf numFmtId="165" fontId="6" fillId="2" borderId="12" xfId="1" applyNumberFormat="1" applyFont="1" applyFill="1" applyBorder="1" applyAlignment="1">
      <alignment horizontal="center" vertical="center" wrapText="1"/>
    </xf>
    <xf numFmtId="0" fontId="9" fillId="0" borderId="13" xfId="0" applyFont="1" applyFill="1" applyBorder="1" applyAlignment="1">
      <alignment horizontal="left" vertical="center" wrapText="1"/>
    </xf>
    <xf numFmtId="4" fontId="6" fillId="2" borderId="13" xfId="0" applyNumberFormat="1" applyFont="1" applyFill="1" applyBorder="1" applyAlignment="1">
      <alignment horizontal="center" vertical="center" wrapText="1"/>
    </xf>
    <xf numFmtId="165" fontId="6" fillId="2" borderId="13" xfId="1" applyNumberFormat="1" applyFont="1" applyFill="1" applyBorder="1" applyAlignment="1">
      <alignment horizontal="center" vertical="center" wrapText="1"/>
    </xf>
    <xf numFmtId="167" fontId="6" fillId="2" borderId="13" xfId="1" applyNumberFormat="1" applyFont="1" applyFill="1" applyBorder="1" applyAlignment="1">
      <alignment horizontal="center" vertical="center" wrapText="1"/>
    </xf>
    <xf numFmtId="0" fontId="6" fillId="2" borderId="11" xfId="0" applyFont="1" applyFill="1" applyBorder="1" applyAlignment="1">
      <alignment horizontal="right" vertical="center" wrapText="1"/>
    </xf>
    <xf numFmtId="0" fontId="6" fillId="2" borderId="12" xfId="0" applyFont="1" applyFill="1" applyBorder="1" applyAlignment="1">
      <alignment horizontal="right" vertical="center" wrapText="1"/>
    </xf>
    <xf numFmtId="0" fontId="6" fillId="2" borderId="13" xfId="0" applyFont="1" applyFill="1" applyBorder="1" applyAlignment="1">
      <alignment horizontal="right" vertical="center" wrapText="1"/>
    </xf>
    <xf numFmtId="3" fontId="8" fillId="2" borderId="1" xfId="0" applyNumberFormat="1" applyFont="1" applyFill="1" applyBorder="1" applyAlignment="1">
      <alignment horizontal="right" vertical="center" wrapText="1"/>
    </xf>
    <xf numFmtId="3" fontId="6" fillId="2" borderId="11" xfId="0" applyNumberFormat="1" applyFont="1" applyFill="1" applyBorder="1" applyAlignment="1">
      <alignment horizontal="right" vertical="center" wrapText="1"/>
    </xf>
    <xf numFmtId="3" fontId="6" fillId="2" borderId="12" xfId="0" applyNumberFormat="1" applyFont="1" applyFill="1" applyBorder="1" applyAlignment="1">
      <alignment horizontal="right" vertical="center" wrapText="1"/>
    </xf>
    <xf numFmtId="3" fontId="6" fillId="2" borderId="13"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wrapText="1"/>
    </xf>
    <xf numFmtId="0" fontId="14" fillId="0" borderId="4" xfId="0" applyFont="1" applyBorder="1" applyAlignment="1">
      <alignment horizontal="center" vertical="center" wrapText="1"/>
    </xf>
    <xf numFmtId="3" fontId="15" fillId="2" borderId="2" xfId="0" applyNumberFormat="1" applyFont="1" applyFill="1" applyBorder="1" applyAlignment="1">
      <alignment horizontal="center" vertical="center" wrapText="1"/>
    </xf>
    <xf numFmtId="4" fontId="15" fillId="2" borderId="2" xfId="0" applyNumberFormat="1"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1" xfId="0" applyFont="1" applyFill="1" applyBorder="1" applyAlignment="1">
      <alignment horizontal="left" vertical="center" wrapText="1"/>
    </xf>
    <xf numFmtId="0" fontId="2" fillId="2" borderId="11" xfId="0" applyFont="1" applyFill="1" applyBorder="1" applyAlignment="1">
      <alignment horizontal="center" vertical="center" wrapText="1"/>
    </xf>
    <xf numFmtId="3" fontId="2" fillId="2" borderId="11" xfId="0" applyNumberFormat="1" applyFont="1" applyFill="1" applyBorder="1" applyAlignment="1">
      <alignment horizontal="center" vertical="center" wrapText="1"/>
    </xf>
    <xf numFmtId="168" fontId="2" fillId="2" borderId="11" xfId="0" applyNumberFormat="1" applyFont="1" applyFill="1" applyBorder="1" applyAlignment="1">
      <alignment horizontal="center" vertical="center" wrapText="1"/>
    </xf>
    <xf numFmtId="2" fontId="2" fillId="2" borderId="11" xfId="0" applyNumberFormat="1" applyFont="1" applyFill="1" applyBorder="1" applyAlignment="1">
      <alignment horizontal="center" vertical="center" wrapText="1"/>
    </xf>
    <xf numFmtId="167" fontId="2" fillId="2" borderId="11" xfId="1" applyNumberFormat="1" applyFont="1" applyFill="1" applyBorder="1" applyAlignment="1">
      <alignment vertical="center" wrapText="1"/>
    </xf>
    <xf numFmtId="0" fontId="16" fillId="0" borderId="13" xfId="0" applyFont="1" applyFill="1" applyBorder="1" applyAlignment="1">
      <alignment horizontal="center" vertical="center" wrapText="1"/>
    </xf>
    <xf numFmtId="0" fontId="16" fillId="0" borderId="13" xfId="0" applyFont="1" applyFill="1" applyBorder="1" applyAlignment="1">
      <alignment horizontal="left" vertical="center" wrapText="1"/>
    </xf>
    <xf numFmtId="0" fontId="2" fillId="2" borderId="13" xfId="0" applyFont="1" applyFill="1" applyBorder="1" applyAlignment="1">
      <alignment horizontal="center" vertical="center" wrapText="1"/>
    </xf>
    <xf numFmtId="3" fontId="2" fillId="2" borderId="13" xfId="0" applyNumberFormat="1" applyFont="1" applyFill="1" applyBorder="1" applyAlignment="1">
      <alignment horizontal="center" vertical="center" wrapText="1"/>
    </xf>
    <xf numFmtId="168" fontId="2" fillId="2" borderId="13" xfId="0" applyNumberFormat="1" applyFont="1" applyFill="1" applyBorder="1" applyAlignment="1">
      <alignment horizontal="center" vertical="center" wrapText="1"/>
    </xf>
    <xf numFmtId="2" fontId="2" fillId="2" borderId="13" xfId="0" applyNumberFormat="1" applyFont="1" applyFill="1" applyBorder="1" applyAlignment="1">
      <alignment horizontal="center" vertical="center" wrapText="1"/>
    </xf>
    <xf numFmtId="167" fontId="2" fillId="2" borderId="13" xfId="1" applyNumberFormat="1" applyFont="1" applyFill="1" applyBorder="1" applyAlignment="1">
      <alignment vertical="center" wrapText="1"/>
    </xf>
    <xf numFmtId="0" fontId="8" fillId="2" borderId="1" xfId="0" applyFont="1" applyFill="1" applyBorder="1" applyAlignment="1">
      <alignment horizontal="left" vertical="center" wrapText="1"/>
    </xf>
    <xf numFmtId="167" fontId="14" fillId="2" borderId="11" xfId="1" applyNumberFormat="1" applyFont="1" applyFill="1" applyBorder="1" applyAlignment="1">
      <alignment vertical="center" wrapText="1"/>
    </xf>
    <xf numFmtId="167" fontId="6" fillId="2" borderId="0" xfId="0" applyNumberFormat="1" applyFont="1" applyFill="1" applyAlignment="1">
      <alignment vertical="center" wrapText="1"/>
    </xf>
    <xf numFmtId="1" fontId="6" fillId="2" borderId="11" xfId="0" applyNumberFormat="1" applyFont="1" applyFill="1" applyBorder="1" applyAlignment="1">
      <alignment vertical="center" wrapText="1"/>
    </xf>
    <xf numFmtId="1" fontId="6" fillId="2" borderId="12" xfId="0" applyNumberFormat="1" applyFont="1" applyFill="1" applyBorder="1" applyAlignment="1">
      <alignment vertical="center" wrapText="1"/>
    </xf>
    <xf numFmtId="1" fontId="6" fillId="2" borderId="13" xfId="0" applyNumberFormat="1" applyFont="1" applyFill="1" applyBorder="1" applyAlignment="1">
      <alignment vertical="center" wrapText="1"/>
    </xf>
    <xf numFmtId="167" fontId="14" fillId="2" borderId="0" xfId="0" applyNumberFormat="1" applyFont="1" applyFill="1" applyAlignment="1">
      <alignment horizontal="center" vertical="center" wrapText="1"/>
    </xf>
    <xf numFmtId="0" fontId="14" fillId="2" borderId="0" xfId="0" applyNumberFormat="1" applyFont="1" applyFill="1" applyAlignment="1">
      <alignment horizontal="center" vertical="center" wrapText="1"/>
    </xf>
    <xf numFmtId="170" fontId="3" fillId="2" borderId="1" xfId="1" applyNumberFormat="1" applyFont="1" applyFill="1" applyBorder="1" applyAlignment="1">
      <alignment horizontal="center" vertical="center" wrapText="1"/>
    </xf>
    <xf numFmtId="167" fontId="17" fillId="2" borderId="1" xfId="1" applyNumberFormat="1" applyFont="1" applyFill="1" applyBorder="1" applyAlignment="1">
      <alignment horizontal="center" vertical="center" wrapText="1"/>
    </xf>
    <xf numFmtId="3" fontId="3" fillId="2" borderId="1" xfId="0" applyNumberFormat="1" applyFont="1" applyFill="1" applyBorder="1" applyAlignment="1">
      <alignment horizontal="right" vertical="center" wrapText="1"/>
    </xf>
    <xf numFmtId="167" fontId="6" fillId="2" borderId="1" xfId="1" applyNumberFormat="1" applyFont="1" applyFill="1" applyBorder="1" applyAlignment="1">
      <alignment horizontal="right" vertical="center" wrapText="1"/>
    </xf>
    <xf numFmtId="3" fontId="6" fillId="2" borderId="1" xfId="0" applyNumberFormat="1" applyFont="1" applyFill="1" applyBorder="1" applyAlignment="1">
      <alignment horizontal="right" vertical="center" wrapText="1"/>
    </xf>
    <xf numFmtId="167" fontId="3" fillId="2" borderId="1" xfId="1" applyNumberFormat="1" applyFont="1" applyFill="1" applyBorder="1" applyAlignment="1">
      <alignment horizontal="right" vertical="center" wrapText="1"/>
    </xf>
    <xf numFmtId="165" fontId="6" fillId="2" borderId="11" xfId="1" applyFont="1" applyFill="1" applyBorder="1" applyAlignment="1">
      <alignment horizontal="center" vertical="center" wrapText="1"/>
    </xf>
    <xf numFmtId="165" fontId="6" fillId="2" borderId="12" xfId="1" applyFont="1" applyFill="1" applyBorder="1" applyAlignment="1">
      <alignment horizontal="center" vertical="center" wrapText="1"/>
    </xf>
    <xf numFmtId="165" fontId="6" fillId="2" borderId="13" xfId="1" applyFont="1" applyFill="1" applyBorder="1" applyAlignment="1">
      <alignment horizontal="center" vertical="center" wrapText="1"/>
    </xf>
    <xf numFmtId="0" fontId="14" fillId="2" borderId="10" xfId="0" applyFont="1" applyFill="1" applyBorder="1" applyAlignment="1">
      <alignment horizontal="center" vertical="center" wrapText="1"/>
    </xf>
    <xf numFmtId="165" fontId="3" fillId="2" borderId="2" xfId="1"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171" fontId="6" fillId="2" borderId="0" xfId="1" applyNumberFormat="1" applyFont="1" applyFill="1" applyAlignment="1">
      <alignment horizontal="center" vertical="center" wrapText="1"/>
    </xf>
    <xf numFmtId="167" fontId="8" fillId="2" borderId="2" xfId="1" applyNumberFormat="1" applyFont="1" applyFill="1" applyBorder="1" applyAlignment="1">
      <alignment horizontal="center" vertical="center" wrapText="1"/>
    </xf>
    <xf numFmtId="0" fontId="23" fillId="0" borderId="0" xfId="0" applyFont="1"/>
    <xf numFmtId="0" fontId="24" fillId="0" borderId="0" xfId="0" applyFont="1" applyAlignment="1">
      <alignment vertical="center"/>
    </xf>
    <xf numFmtId="0" fontId="25" fillId="0" borderId="0" xfId="0" applyFont="1" applyAlignment="1">
      <alignment horizontal="center" vertical="center"/>
    </xf>
    <xf numFmtId="0" fontId="25" fillId="0" borderId="0" xfId="0" applyFont="1" applyAlignment="1">
      <alignment vertical="center"/>
    </xf>
    <xf numFmtId="0" fontId="6" fillId="0" borderId="0" xfId="0" applyFont="1"/>
    <xf numFmtId="0" fontId="24" fillId="0" borderId="0" xfId="0" applyFont="1"/>
    <xf numFmtId="0" fontId="14" fillId="2" borderId="3" xfId="0" applyFont="1" applyFill="1" applyBorder="1" applyAlignment="1">
      <alignment horizontal="left" vertical="center" wrapText="1"/>
    </xf>
    <xf numFmtId="166" fontId="6" fillId="2" borderId="0" xfId="0" applyNumberFormat="1" applyFont="1" applyFill="1" applyAlignment="1">
      <alignment vertical="center" wrapText="1"/>
    </xf>
    <xf numFmtId="171" fontId="3" fillId="2" borderId="0" xfId="0" applyNumberFormat="1" applyFont="1" applyFill="1" applyAlignment="1">
      <alignment horizontal="center" vertical="center" wrapText="1"/>
    </xf>
    <xf numFmtId="171" fontId="3" fillId="2" borderId="0" xfId="0" applyNumberFormat="1" applyFont="1" applyFill="1" applyAlignment="1">
      <alignment vertical="center" wrapText="1"/>
    </xf>
    <xf numFmtId="0" fontId="3" fillId="0" borderId="1" xfId="0" applyFont="1" applyBorder="1" applyAlignment="1">
      <alignment horizontal="center" vertical="center" wrapText="1"/>
    </xf>
    <xf numFmtId="0" fontId="5" fillId="2" borderId="0" xfId="0" applyFont="1" applyFill="1" applyAlignment="1">
      <alignment vertical="center"/>
    </xf>
    <xf numFmtId="1" fontId="3" fillId="2" borderId="0" xfId="0" applyNumberFormat="1" applyFont="1" applyFill="1" applyAlignment="1">
      <alignment vertical="center" wrapText="1"/>
    </xf>
    <xf numFmtId="172" fontId="6" fillId="2" borderId="0" xfId="0" applyNumberFormat="1" applyFont="1" applyFill="1" applyAlignment="1">
      <alignment vertical="center" wrapText="1"/>
    </xf>
    <xf numFmtId="1" fontId="6" fillId="2" borderId="0" xfId="0" applyNumberFormat="1" applyFont="1" applyFill="1" applyAlignment="1">
      <alignment vertical="center" wrapText="1"/>
    </xf>
    <xf numFmtId="167" fontId="3" fillId="2" borderId="0" xfId="0" applyNumberFormat="1" applyFont="1" applyFill="1" applyAlignment="1">
      <alignment vertical="center" wrapText="1"/>
    </xf>
    <xf numFmtId="167" fontId="19" fillId="0" borderId="0" xfId="0" applyNumberFormat="1" applyFont="1" applyAlignment="1">
      <alignment horizontal="center" vertical="center"/>
    </xf>
    <xf numFmtId="170" fontId="6" fillId="0" borderId="0" xfId="0" applyNumberFormat="1" applyFont="1" applyAlignment="1">
      <alignment horizontal="center" vertical="center"/>
    </xf>
    <xf numFmtId="172" fontId="6" fillId="0" borderId="0" xfId="0" applyNumberFormat="1" applyFont="1" applyAlignment="1">
      <alignment horizontal="center" vertical="center"/>
    </xf>
    <xf numFmtId="165" fontId="2" fillId="2" borderId="0" xfId="0" applyNumberFormat="1" applyFont="1" applyFill="1" applyAlignment="1">
      <alignment vertical="center" wrapText="1"/>
    </xf>
    <xf numFmtId="0" fontId="28" fillId="0" borderId="0" xfId="0" applyFont="1" applyFill="1" applyAlignment="1">
      <alignment vertical="center"/>
    </xf>
    <xf numFmtId="0" fontId="31" fillId="0" borderId="0" xfId="0" applyFont="1" applyFill="1" applyAlignment="1">
      <alignment horizontal="center" vertical="center"/>
    </xf>
    <xf numFmtId="0" fontId="29" fillId="0" borderId="0" xfId="0" applyFont="1" applyFill="1" applyAlignment="1">
      <alignment horizontal="center" vertical="center" wrapText="1"/>
    </xf>
    <xf numFmtId="0" fontId="29" fillId="0" borderId="4" xfId="0" applyFont="1" applyFill="1" applyBorder="1" applyAlignment="1">
      <alignment horizontal="center" vertical="center" wrapText="1"/>
    </xf>
    <xf numFmtId="0" fontId="32" fillId="0" borderId="0" xfId="0" applyFont="1" applyFill="1" applyAlignment="1">
      <alignment horizontal="center" vertical="center" wrapText="1"/>
    </xf>
    <xf numFmtId="0" fontId="29" fillId="0" borderId="0" xfId="0" applyFont="1" applyFill="1" applyAlignment="1">
      <alignment vertical="center"/>
    </xf>
    <xf numFmtId="0" fontId="28" fillId="0" borderId="12"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0" xfId="0" applyFont="1" applyFill="1" applyAlignment="1">
      <alignment vertical="center"/>
    </xf>
    <xf numFmtId="1" fontId="6" fillId="2" borderId="11" xfId="0" applyNumberFormat="1" applyFont="1" applyFill="1" applyBorder="1" applyAlignment="1">
      <alignment horizontal="right" vertical="center" wrapText="1"/>
    </xf>
    <xf numFmtId="1" fontId="6" fillId="2" borderId="12" xfId="0" applyNumberFormat="1" applyFont="1" applyFill="1" applyBorder="1" applyAlignment="1">
      <alignment horizontal="right" vertical="center" wrapText="1"/>
    </xf>
    <xf numFmtId="1" fontId="6" fillId="2" borderId="13" xfId="0" applyNumberFormat="1" applyFont="1" applyFill="1" applyBorder="1" applyAlignment="1">
      <alignment horizontal="right" vertical="center" wrapText="1"/>
    </xf>
    <xf numFmtId="0" fontId="28" fillId="0" borderId="12" xfId="0" applyFont="1" applyFill="1" applyBorder="1" applyAlignment="1">
      <alignment horizontal="justify" vertical="center" wrapText="1"/>
    </xf>
    <xf numFmtId="0" fontId="31" fillId="0" borderId="12" xfId="0" applyFont="1" applyFill="1" applyBorder="1" applyAlignment="1">
      <alignment horizontal="justify" vertical="center" wrapText="1"/>
    </xf>
    <xf numFmtId="167" fontId="3" fillId="2" borderId="3" xfId="1" applyNumberFormat="1" applyFont="1" applyFill="1" applyBorder="1" applyAlignment="1">
      <alignment horizontal="right" vertical="center" wrapText="1"/>
    </xf>
    <xf numFmtId="167" fontId="6" fillId="2" borderId="3" xfId="1" applyNumberFormat="1" applyFont="1" applyFill="1" applyBorder="1" applyAlignment="1">
      <alignment horizontal="right" vertical="center" wrapText="1"/>
    </xf>
    <xf numFmtId="0" fontId="3" fillId="2" borderId="1" xfId="0" applyFont="1" applyFill="1" applyBorder="1" applyAlignment="1">
      <alignment horizontal="left" vertical="center" wrapText="1"/>
    </xf>
    <xf numFmtId="0" fontId="28" fillId="0" borderId="14" xfId="0" applyFont="1" applyFill="1" applyBorder="1" applyAlignment="1">
      <alignment horizontal="justify" vertical="center" wrapText="1"/>
    </xf>
    <xf numFmtId="0" fontId="29" fillId="0" borderId="1" xfId="0" applyFont="1" applyFill="1" applyBorder="1" applyAlignment="1">
      <alignment horizontal="center" vertical="center"/>
    </xf>
    <xf numFmtId="0" fontId="29" fillId="0" borderId="1" xfId="0" applyFont="1" applyFill="1" applyBorder="1" applyAlignment="1">
      <alignment horizontal="justify" vertical="center"/>
    </xf>
    <xf numFmtId="0" fontId="28" fillId="0" borderId="1" xfId="0" applyFont="1" applyFill="1" applyBorder="1" applyAlignment="1">
      <alignment horizontal="justify" vertical="center"/>
    </xf>
    <xf numFmtId="167" fontId="33" fillId="0" borderId="1" xfId="1" applyNumberFormat="1" applyFont="1" applyBorder="1" applyAlignment="1">
      <alignment horizontal="center" vertical="center"/>
    </xf>
    <xf numFmtId="0" fontId="28" fillId="0" borderId="12" xfId="0" applyFont="1" applyFill="1" applyBorder="1" applyAlignment="1">
      <alignment horizontal="justify" vertical="center" wrapText="1"/>
    </xf>
    <xf numFmtId="0" fontId="32" fillId="0" borderId="1" xfId="0" applyFont="1" applyFill="1" applyBorder="1" applyAlignment="1">
      <alignment horizontal="center" vertical="center" wrapText="1"/>
    </xf>
    <xf numFmtId="0" fontId="28" fillId="0" borderId="11" xfId="0" applyFont="1" applyFill="1" applyBorder="1" applyAlignment="1">
      <alignment horizontal="center" vertical="center"/>
    </xf>
    <xf numFmtId="0" fontId="28" fillId="0" borderId="11" xfId="0" applyFont="1" applyFill="1" applyBorder="1" applyAlignment="1">
      <alignment horizontal="justify" vertical="center" wrapText="1"/>
    </xf>
    <xf numFmtId="0" fontId="28" fillId="0" borderId="15" xfId="0" applyFont="1" applyFill="1" applyBorder="1" applyAlignment="1">
      <alignment horizontal="center" vertical="center"/>
    </xf>
    <xf numFmtId="0" fontId="28" fillId="0" borderId="15" xfId="0" applyFont="1" applyFill="1" applyBorder="1" applyAlignment="1">
      <alignment horizontal="justify" vertical="center" wrapText="1"/>
    </xf>
    <xf numFmtId="3" fontId="29" fillId="0" borderId="1" xfId="0" applyNumberFormat="1" applyFont="1" applyFill="1" applyBorder="1" applyAlignment="1">
      <alignment horizontal="center" vertical="center" wrapText="1"/>
    </xf>
    <xf numFmtId="0" fontId="29" fillId="0" borderId="1" xfId="0" applyFont="1" applyFill="1" applyBorder="1" applyAlignment="1">
      <alignment horizontal="justify" vertical="center" wrapText="1"/>
    </xf>
    <xf numFmtId="3" fontId="28" fillId="0" borderId="0" xfId="0" applyNumberFormat="1" applyFont="1" applyFill="1" applyAlignment="1">
      <alignment vertical="center"/>
    </xf>
    <xf numFmtId="3" fontId="29" fillId="0" borderId="0" xfId="0" applyNumberFormat="1" applyFont="1" applyFill="1" applyAlignment="1">
      <alignment vertical="center"/>
    </xf>
    <xf numFmtId="0" fontId="18" fillId="0" borderId="0" xfId="0" applyFont="1" applyAlignment="1">
      <alignment horizontal="center" vertical="center"/>
    </xf>
    <xf numFmtId="171" fontId="6" fillId="2" borderId="12" xfId="1" applyNumberFormat="1" applyFont="1" applyFill="1" applyBorder="1" applyAlignment="1">
      <alignment horizontal="center" vertical="center" wrapText="1"/>
    </xf>
    <xf numFmtId="171" fontId="6" fillId="2" borderId="13" xfId="1" applyNumberFormat="1" applyFont="1" applyFill="1" applyBorder="1" applyAlignment="1">
      <alignment horizontal="center" vertical="center" wrapText="1"/>
    </xf>
    <xf numFmtId="173" fontId="3" fillId="2" borderId="0" xfId="0" applyNumberFormat="1" applyFont="1" applyFill="1" applyAlignment="1">
      <alignment horizontal="center" vertical="center" wrapText="1"/>
    </xf>
    <xf numFmtId="3" fontId="3" fillId="2" borderId="0" xfId="0" applyNumberFormat="1" applyFont="1" applyFill="1" applyAlignment="1">
      <alignment horizontal="center" vertical="center" wrapText="1"/>
    </xf>
    <xf numFmtId="2" fontId="6" fillId="2" borderId="11" xfId="1" applyNumberFormat="1" applyFont="1" applyFill="1" applyBorder="1" applyAlignment="1">
      <alignment horizontal="center" vertical="center" wrapText="1"/>
    </xf>
    <xf numFmtId="2" fontId="6" fillId="2" borderId="12" xfId="1" applyNumberFormat="1" applyFont="1" applyFill="1" applyBorder="1" applyAlignment="1">
      <alignment horizontal="center" vertical="center" wrapText="1"/>
    </xf>
    <xf numFmtId="2" fontId="6" fillId="2" borderId="13" xfId="1" applyNumberFormat="1" applyFont="1" applyFill="1" applyBorder="1" applyAlignment="1">
      <alignment horizontal="center" vertical="center" wrapText="1"/>
    </xf>
    <xf numFmtId="167" fontId="14" fillId="2" borderId="4" xfId="1" applyNumberFormat="1" applyFont="1" applyFill="1" applyBorder="1" applyAlignment="1">
      <alignment horizontal="center" vertical="center" wrapText="1"/>
    </xf>
    <xf numFmtId="167" fontId="35" fillId="2" borderId="4" xfId="1" applyNumberFormat="1"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5" xfId="0" applyFont="1" applyFill="1" applyBorder="1" applyAlignment="1">
      <alignment horizontal="justify" vertical="center" wrapText="1"/>
    </xf>
    <xf numFmtId="167" fontId="6" fillId="2" borderId="15" xfId="1" applyNumberFormat="1" applyFont="1" applyFill="1" applyBorder="1" applyAlignment="1">
      <alignment horizontal="center" vertical="center" wrapText="1"/>
    </xf>
    <xf numFmtId="0" fontId="6" fillId="2" borderId="15" xfId="0" applyFont="1" applyFill="1" applyBorder="1" applyAlignment="1">
      <alignment horizontal="center" vertical="center" wrapText="1"/>
    </xf>
    <xf numFmtId="3" fontId="6" fillId="2" borderId="15" xfId="0" applyNumberFormat="1" applyFont="1" applyFill="1" applyBorder="1" applyAlignment="1">
      <alignment horizontal="center" vertical="center" wrapText="1"/>
    </xf>
    <xf numFmtId="2" fontId="6" fillId="2" borderId="15" xfId="0" applyNumberFormat="1" applyFont="1" applyFill="1" applyBorder="1" applyAlignment="1">
      <alignment horizontal="center" vertical="center" wrapText="1"/>
    </xf>
    <xf numFmtId="167" fontId="6" fillId="2" borderId="15" xfId="1" applyNumberFormat="1" applyFont="1" applyFill="1" applyBorder="1" applyAlignment="1">
      <alignment horizontal="right" vertical="center" wrapText="1"/>
    </xf>
    <xf numFmtId="0" fontId="20" fillId="0" borderId="0" xfId="0" applyFont="1" applyAlignment="1">
      <alignment vertical="center"/>
    </xf>
    <xf numFmtId="167" fontId="2" fillId="2" borderId="11" xfId="1" applyNumberFormat="1" applyFont="1" applyFill="1" applyBorder="1" applyAlignment="1">
      <alignment horizontal="center" vertical="center" wrapText="1"/>
    </xf>
    <xf numFmtId="167" fontId="2" fillId="2" borderId="13" xfId="1" applyNumberFormat="1" applyFont="1" applyFill="1" applyBorder="1" applyAlignment="1">
      <alignment horizontal="center" vertical="center" wrapText="1"/>
    </xf>
    <xf numFmtId="0" fontId="17" fillId="0" borderId="1" xfId="0" applyFont="1" applyBorder="1" applyAlignment="1">
      <alignment horizontal="center" vertical="center"/>
    </xf>
    <xf numFmtId="0" fontId="5"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0" borderId="2" xfId="0" applyFont="1" applyBorder="1" applyAlignment="1">
      <alignment horizontal="center" vertical="center" wrapText="1"/>
    </xf>
    <xf numFmtId="167" fontId="14" fillId="2" borderId="3" xfId="1" applyNumberFormat="1" applyFont="1" applyFill="1" applyBorder="1" applyAlignment="1">
      <alignment horizontal="center" vertical="center" wrapText="1"/>
    </xf>
    <xf numFmtId="0" fontId="14" fillId="0" borderId="3" xfId="0" applyFont="1" applyBorder="1" applyAlignment="1">
      <alignment horizontal="center" vertical="center" wrapText="1"/>
    </xf>
    <xf numFmtId="167" fontId="14" fillId="2" borderId="4" xfId="1" applyNumberFormat="1" applyFont="1" applyFill="1" applyBorder="1" applyAlignment="1">
      <alignment horizontal="center" vertical="center" wrapText="1"/>
    </xf>
    <xf numFmtId="0" fontId="20" fillId="0" borderId="0" xfId="0" applyFont="1" applyAlignment="1">
      <alignment horizontal="center" vertical="center"/>
    </xf>
    <xf numFmtId="167" fontId="3" fillId="2" borderId="3" xfId="1" applyNumberFormat="1" applyFont="1" applyFill="1" applyBorder="1" applyAlignment="1">
      <alignment horizontal="center" vertical="center" wrapText="1"/>
    </xf>
    <xf numFmtId="167" fontId="6" fillId="2" borderId="0" xfId="1" applyNumberFormat="1" applyFont="1" applyFill="1" applyAlignment="1">
      <alignment vertical="center" wrapText="1"/>
    </xf>
    <xf numFmtId="174" fontId="3" fillId="2" borderId="0" xfId="0" applyNumberFormat="1" applyFont="1" applyFill="1" applyAlignment="1">
      <alignment horizontal="center" vertical="center" wrapText="1"/>
    </xf>
    <xf numFmtId="0" fontId="8" fillId="2" borderId="3" xfId="0" applyFont="1" applyFill="1" applyBorder="1" applyAlignment="1">
      <alignment horizontal="center" vertical="center" wrapText="1"/>
    </xf>
    <xf numFmtId="3" fontId="8" fillId="2" borderId="3" xfId="0" applyNumberFormat="1" applyFont="1" applyFill="1" applyBorder="1" applyAlignment="1">
      <alignment horizontal="center" vertical="center" wrapText="1"/>
    </xf>
    <xf numFmtId="3" fontId="8" fillId="2" borderId="3" xfId="0" applyNumberFormat="1" applyFont="1" applyFill="1" applyBorder="1" applyAlignment="1">
      <alignment horizontal="right" vertical="center" wrapText="1"/>
    </xf>
    <xf numFmtId="3" fontId="3" fillId="2" borderId="3" xfId="0" applyNumberFormat="1" applyFont="1" applyFill="1" applyBorder="1" applyAlignment="1">
      <alignment horizontal="right" vertical="center" wrapText="1"/>
    </xf>
    <xf numFmtId="0" fontId="9" fillId="2" borderId="3" xfId="0" applyFont="1" applyFill="1" applyBorder="1" applyAlignment="1">
      <alignment horizontal="center" vertical="center" wrapText="1"/>
    </xf>
    <xf numFmtId="3" fontId="9" fillId="2" borderId="3" xfId="0" applyNumberFormat="1" applyFont="1" applyFill="1" applyBorder="1" applyAlignment="1">
      <alignment horizontal="center" vertical="center" wrapText="1"/>
    </xf>
    <xf numFmtId="3" fontId="9" fillId="2" borderId="3" xfId="0" applyNumberFormat="1" applyFont="1" applyFill="1" applyBorder="1" applyAlignment="1">
      <alignment horizontal="right" vertical="center" wrapText="1"/>
    </xf>
    <xf numFmtId="165" fontId="6" fillId="2" borderId="3" xfId="1" applyNumberFormat="1" applyFont="1" applyFill="1" applyBorder="1" applyAlignment="1">
      <alignment horizontal="center" vertical="center" wrapText="1"/>
    </xf>
    <xf numFmtId="3" fontId="6" fillId="2" borderId="3" xfId="0" applyNumberFormat="1" applyFont="1" applyFill="1" applyBorder="1" applyAlignment="1">
      <alignment horizontal="right" vertical="center" wrapText="1"/>
    </xf>
    <xf numFmtId="165" fontId="8" fillId="2" borderId="3" xfId="1" applyNumberFormat="1" applyFont="1" applyFill="1" applyBorder="1" applyAlignment="1">
      <alignment horizontal="right" vertical="center" wrapText="1"/>
    </xf>
    <xf numFmtId="167" fontId="6" fillId="2" borderId="11" xfId="1" applyNumberFormat="1" applyFont="1" applyFill="1" applyBorder="1" applyAlignment="1">
      <alignment horizontal="center" vertical="center" wrapText="1"/>
    </xf>
    <xf numFmtId="167" fontId="6" fillId="2" borderId="12" xfId="1" applyNumberFormat="1" applyFont="1" applyFill="1" applyBorder="1" applyAlignment="1">
      <alignment horizontal="center" vertical="center" wrapText="1"/>
    </xf>
    <xf numFmtId="3" fontId="9" fillId="2" borderId="11" xfId="0" applyNumberFormat="1" applyFont="1" applyFill="1" applyBorder="1" applyAlignment="1">
      <alignment horizontal="right" vertical="center" wrapText="1"/>
    </xf>
    <xf numFmtId="166" fontId="2" fillId="2" borderId="0" xfId="0" applyNumberFormat="1" applyFont="1" applyFill="1" applyAlignment="1">
      <alignment vertical="center" wrapText="1"/>
    </xf>
    <xf numFmtId="3" fontId="9" fillId="2" borderId="1" xfId="0" applyNumberFormat="1" applyFont="1" applyFill="1" applyBorder="1" applyAlignment="1">
      <alignment horizontal="center" vertical="center" wrapText="1"/>
    </xf>
    <xf numFmtId="9" fontId="6" fillId="2" borderId="0" xfId="0" applyNumberFormat="1" applyFont="1" applyFill="1" applyAlignment="1">
      <alignment vertical="center" wrapText="1"/>
    </xf>
    <xf numFmtId="0" fontId="6" fillId="2" borderId="11" xfId="0" applyFont="1" applyFill="1" applyBorder="1" applyAlignment="1">
      <alignment vertical="center" wrapText="1"/>
    </xf>
    <xf numFmtId="0" fontId="3" fillId="2" borderId="12" xfId="0" applyFont="1" applyFill="1" applyBorder="1" applyAlignment="1">
      <alignment horizontal="center" vertical="center" wrapText="1"/>
    </xf>
    <xf numFmtId="0" fontId="6" fillId="2" borderId="16" xfId="0" applyFont="1" applyFill="1" applyBorder="1" applyAlignment="1">
      <alignment vertical="center" wrapText="1"/>
    </xf>
    <xf numFmtId="167" fontId="6" fillId="2" borderId="16" xfId="0" applyNumberFormat="1" applyFont="1" applyFill="1" applyBorder="1" applyAlignment="1">
      <alignment vertical="center" wrapText="1"/>
    </xf>
    <xf numFmtId="0" fontId="6" fillId="2" borderId="17" xfId="0" applyFont="1" applyFill="1" applyBorder="1" applyAlignment="1">
      <alignment vertical="center" wrapText="1"/>
    </xf>
    <xf numFmtId="167" fontId="6" fillId="2" borderId="17" xfId="0" applyNumberFormat="1" applyFont="1" applyFill="1" applyBorder="1" applyAlignment="1">
      <alignment vertical="center" wrapText="1"/>
    </xf>
    <xf numFmtId="0" fontId="6" fillId="2" borderId="18" xfId="0" applyFont="1" applyFill="1" applyBorder="1" applyAlignment="1">
      <alignment vertical="center" wrapText="1"/>
    </xf>
    <xf numFmtId="167" fontId="6" fillId="2" borderId="18" xfId="0" applyNumberFormat="1" applyFont="1" applyFill="1" applyBorder="1" applyAlignment="1">
      <alignment vertical="center" wrapText="1"/>
    </xf>
    <xf numFmtId="0" fontId="3" fillId="2" borderId="3" xfId="0" applyFont="1" applyFill="1" applyBorder="1" applyAlignment="1">
      <alignment vertical="center" wrapText="1"/>
    </xf>
    <xf numFmtId="0" fontId="3" fillId="2" borderId="12" xfId="0" applyFont="1" applyFill="1" applyBorder="1" applyAlignment="1">
      <alignment horizontal="right" vertical="center" wrapText="1"/>
    </xf>
    <xf numFmtId="3" fontId="6" fillId="2" borderId="11" xfId="0" applyNumberFormat="1" applyFont="1" applyFill="1" applyBorder="1" applyAlignment="1">
      <alignment vertical="center" wrapText="1"/>
    </xf>
    <xf numFmtId="167" fontId="3" fillId="2" borderId="2" xfId="1" applyNumberFormat="1" applyFont="1" applyFill="1" applyBorder="1" applyAlignment="1">
      <alignment horizontal="right" vertical="center" wrapText="1"/>
    </xf>
    <xf numFmtId="171" fontId="9" fillId="2" borderId="11" xfId="1" applyNumberFormat="1" applyFont="1" applyFill="1" applyBorder="1" applyAlignment="1">
      <alignment horizontal="center" vertical="center" wrapText="1"/>
    </xf>
    <xf numFmtId="165" fontId="6" fillId="2" borderId="0" xfId="1" applyNumberFormat="1" applyFont="1" applyFill="1" applyAlignment="1">
      <alignment vertical="center" wrapText="1"/>
    </xf>
    <xf numFmtId="0" fontId="16" fillId="0" borderId="7" xfId="0" applyFont="1" applyFill="1" applyBorder="1" applyAlignment="1">
      <alignment horizontal="center" vertical="center" wrapText="1"/>
    </xf>
    <xf numFmtId="0" fontId="16" fillId="0" borderId="7" xfId="0" applyFont="1" applyFill="1" applyBorder="1" applyAlignment="1">
      <alignment horizontal="left" vertical="center" wrapText="1"/>
    </xf>
    <xf numFmtId="0" fontId="2" fillId="2" borderId="7" xfId="0" applyFont="1" applyFill="1" applyBorder="1" applyAlignment="1">
      <alignment horizontal="center" vertical="center" wrapText="1"/>
    </xf>
    <xf numFmtId="3" fontId="2" fillId="2" borderId="7" xfId="0" applyNumberFormat="1" applyFont="1" applyFill="1" applyBorder="1" applyAlignment="1">
      <alignment horizontal="center" vertical="center" wrapText="1"/>
    </xf>
    <xf numFmtId="168" fontId="2" fillId="2" borderId="7" xfId="0" applyNumberFormat="1" applyFont="1" applyFill="1" applyBorder="1" applyAlignment="1">
      <alignment horizontal="center" vertical="center" wrapText="1"/>
    </xf>
    <xf numFmtId="2" fontId="2" fillId="2" borderId="7" xfId="0" applyNumberFormat="1" applyFont="1" applyFill="1" applyBorder="1" applyAlignment="1">
      <alignment horizontal="center" vertical="center" wrapText="1"/>
    </xf>
    <xf numFmtId="1" fontId="2" fillId="2" borderId="7" xfId="0" applyNumberFormat="1" applyFont="1" applyFill="1" applyBorder="1" applyAlignment="1">
      <alignment horizontal="center" vertical="center" wrapText="1"/>
    </xf>
    <xf numFmtId="167" fontId="2" fillId="2" borderId="7" xfId="1" applyNumberFormat="1" applyFont="1" applyFill="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3" fontId="14" fillId="2" borderId="1" xfId="0" applyNumberFormat="1" applyFont="1" applyFill="1" applyBorder="1" applyAlignment="1">
      <alignment horizontal="center" vertical="center" wrapText="1"/>
    </xf>
    <xf numFmtId="168" fontId="14" fillId="2" borderId="1" xfId="0" applyNumberFormat="1" applyFont="1" applyFill="1" applyBorder="1" applyAlignment="1">
      <alignment horizontal="center" vertical="center" wrapText="1"/>
    </xf>
    <xf numFmtId="2" fontId="14" fillId="2" borderId="1" xfId="0" applyNumberFormat="1" applyFont="1" applyFill="1" applyBorder="1" applyAlignment="1">
      <alignment horizontal="center" vertical="center" wrapText="1"/>
    </xf>
    <xf numFmtId="1" fontId="14" fillId="2" borderId="1" xfId="0" applyNumberFormat="1" applyFont="1" applyFill="1" applyBorder="1" applyAlignment="1">
      <alignment horizontal="center" vertical="center" wrapText="1"/>
    </xf>
    <xf numFmtId="167" fontId="14" fillId="2" borderId="1" xfId="1" applyNumberFormat="1" applyFont="1" applyFill="1" applyBorder="1" applyAlignment="1">
      <alignment vertical="center" wrapText="1"/>
    </xf>
    <xf numFmtId="165" fontId="8" fillId="2" borderId="1" xfId="1" applyFont="1" applyFill="1" applyBorder="1" applyAlignment="1">
      <alignment horizontal="center" vertical="center" wrapText="1"/>
    </xf>
    <xf numFmtId="165" fontId="8" fillId="2" borderId="1" xfId="1" applyFont="1" applyFill="1" applyBorder="1" applyAlignment="1">
      <alignment horizontal="right" vertical="center" wrapText="1"/>
    </xf>
    <xf numFmtId="165" fontId="6" fillId="2" borderId="11" xfId="1" applyFont="1" applyFill="1" applyBorder="1" applyAlignment="1">
      <alignment horizontal="right" vertical="center" wrapText="1"/>
    </xf>
    <xf numFmtId="165" fontId="6" fillId="2" borderId="12" xfId="1" applyFont="1" applyFill="1" applyBorder="1" applyAlignment="1">
      <alignment horizontal="right" vertical="center" wrapText="1"/>
    </xf>
    <xf numFmtId="165" fontId="6" fillId="2" borderId="13" xfId="1" applyFont="1" applyFill="1" applyBorder="1" applyAlignment="1">
      <alignment horizontal="right" vertical="center" wrapText="1"/>
    </xf>
    <xf numFmtId="0" fontId="19" fillId="0" borderId="11" xfId="0" applyFont="1" applyBorder="1" applyAlignment="1">
      <alignment horizontal="center" vertical="center"/>
    </xf>
    <xf numFmtId="0" fontId="19" fillId="0" borderId="11" xfId="0" applyFont="1" applyBorder="1" applyAlignment="1">
      <alignment horizontal="left" vertical="center"/>
    </xf>
    <xf numFmtId="167" fontId="33" fillId="0" borderId="11" xfId="1" applyNumberFormat="1" applyFont="1" applyBorder="1" applyAlignment="1">
      <alignment horizontal="center" vertical="center"/>
    </xf>
    <xf numFmtId="167" fontId="34" fillId="0" borderId="11" xfId="1" applyNumberFormat="1" applyFont="1" applyBorder="1" applyAlignment="1">
      <alignment horizontal="center" vertical="center"/>
    </xf>
    <xf numFmtId="0" fontId="19" fillId="0" borderId="12" xfId="0" applyFont="1" applyBorder="1" applyAlignment="1">
      <alignment horizontal="center" vertical="center"/>
    </xf>
    <xf numFmtId="0" fontId="19" fillId="0" borderId="12" xfId="0" applyFont="1" applyBorder="1" applyAlignment="1">
      <alignment horizontal="left" vertical="center"/>
    </xf>
    <xf numFmtId="167" fontId="33" fillId="0" borderId="12" xfId="1" applyNumberFormat="1" applyFont="1" applyBorder="1" applyAlignment="1">
      <alignment horizontal="center" vertical="center"/>
    </xf>
    <xf numFmtId="167" fontId="34" fillId="0" borderId="12" xfId="1" applyNumberFormat="1" applyFont="1" applyBorder="1" applyAlignment="1">
      <alignment horizontal="center" vertical="center"/>
    </xf>
    <xf numFmtId="0" fontId="19" fillId="0" borderId="13" xfId="0" applyFont="1" applyBorder="1" applyAlignment="1">
      <alignment horizontal="center" vertical="center"/>
    </xf>
    <xf numFmtId="0" fontId="19" fillId="0" borderId="13" xfId="0" applyFont="1" applyBorder="1" applyAlignment="1">
      <alignment horizontal="left" vertical="center"/>
    </xf>
    <xf numFmtId="167" fontId="33" fillId="0" borderId="13" xfId="1" applyNumberFormat="1" applyFont="1" applyBorder="1" applyAlignment="1">
      <alignment horizontal="center" vertical="center"/>
    </xf>
    <xf numFmtId="167" fontId="34" fillId="0" borderId="13" xfId="1" applyNumberFormat="1" applyFont="1" applyBorder="1" applyAlignment="1">
      <alignment horizontal="center" vertical="center"/>
    </xf>
    <xf numFmtId="167" fontId="33" fillId="0" borderId="1" xfId="0" applyNumberFormat="1" applyFont="1" applyBorder="1" applyAlignment="1">
      <alignment horizontal="center" vertical="center"/>
    </xf>
    <xf numFmtId="167" fontId="14" fillId="2" borderId="4" xfId="1" applyNumberFormat="1" applyFont="1" applyFill="1" applyBorder="1" applyAlignment="1">
      <alignment horizontal="center" vertical="center" wrapText="1"/>
    </xf>
    <xf numFmtId="0" fontId="19" fillId="0" borderId="11" xfId="0" applyFont="1" applyBorder="1" applyAlignment="1">
      <alignment horizontal="center" vertical="center" wrapText="1"/>
    </xf>
    <xf numFmtId="0" fontId="19" fillId="0" borderId="11" xfId="0" applyFont="1" applyBorder="1" applyAlignment="1">
      <alignment horizontal="left" vertical="center" wrapText="1"/>
    </xf>
    <xf numFmtId="167" fontId="34" fillId="0" borderId="11" xfId="1" applyNumberFormat="1" applyFont="1" applyBorder="1" applyAlignment="1">
      <alignment horizontal="center" vertical="center" wrapText="1"/>
    </xf>
    <xf numFmtId="0" fontId="19" fillId="0" borderId="12" xfId="0" applyFont="1" applyBorder="1" applyAlignment="1">
      <alignment horizontal="center" vertical="center" wrapText="1"/>
    </xf>
    <xf numFmtId="0" fontId="19" fillId="0" borderId="12" xfId="0" applyFont="1" applyBorder="1" applyAlignment="1">
      <alignment horizontal="left" vertical="center" wrapText="1"/>
    </xf>
    <xf numFmtId="167" fontId="34" fillId="0" borderId="12" xfId="1" applyNumberFormat="1" applyFont="1" applyBorder="1" applyAlignment="1">
      <alignment horizontal="center" vertical="center" wrapText="1"/>
    </xf>
    <xf numFmtId="0" fontId="19" fillId="0" borderId="13" xfId="0" applyFont="1" applyBorder="1" applyAlignment="1">
      <alignment horizontal="left" vertical="center" wrapText="1"/>
    </xf>
    <xf numFmtId="165" fontId="2" fillId="2" borderId="0" xfId="1" applyFont="1" applyFill="1" applyAlignment="1">
      <alignment horizontal="center" vertical="center" wrapText="1"/>
    </xf>
    <xf numFmtId="165" fontId="6" fillId="2" borderId="0" xfId="1" applyFont="1" applyFill="1" applyBorder="1" applyAlignment="1">
      <alignment vertical="center" wrapText="1"/>
    </xf>
    <xf numFmtId="165" fontId="3" fillId="2" borderId="0" xfId="1" applyFont="1" applyFill="1" applyAlignment="1">
      <alignment horizontal="center" vertical="center" wrapText="1"/>
    </xf>
    <xf numFmtId="165" fontId="14" fillId="2" borderId="0" xfId="1" applyFont="1" applyFill="1" applyAlignment="1">
      <alignment horizontal="center" vertical="center" wrapText="1"/>
    </xf>
    <xf numFmtId="165" fontId="6" fillId="2" borderId="0" xfId="1" applyFont="1" applyFill="1" applyAlignment="1">
      <alignment vertical="center" wrapText="1"/>
    </xf>
    <xf numFmtId="0" fontId="0" fillId="0" borderId="0" xfId="0" applyAlignment="1">
      <alignment horizontal="center" vertical="center"/>
    </xf>
    <xf numFmtId="0" fontId="0" fillId="0" borderId="0" xfId="0" applyAlignment="1">
      <alignment vertical="center"/>
    </xf>
    <xf numFmtId="3" fontId="0" fillId="0" borderId="0" xfId="0" applyNumberFormat="1" applyAlignment="1">
      <alignment vertical="center"/>
    </xf>
    <xf numFmtId="0" fontId="14" fillId="0" borderId="1" xfId="0" applyFont="1" applyBorder="1" applyAlignment="1">
      <alignment horizontal="center" vertical="center"/>
    </xf>
    <xf numFmtId="3" fontId="10" fillId="0" borderId="1" xfId="0" applyNumberFormat="1" applyFont="1" applyBorder="1" applyAlignment="1">
      <alignment vertical="center"/>
    </xf>
    <xf numFmtId="0" fontId="14" fillId="0" borderId="0" xfId="0" applyFont="1" applyAlignment="1">
      <alignment vertical="center"/>
    </xf>
    <xf numFmtId="3" fontId="14" fillId="0" borderId="0" xfId="0" applyNumberFormat="1" applyFont="1" applyAlignment="1">
      <alignment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xf>
    <xf numFmtId="0" fontId="2" fillId="0" borderId="0" xfId="0" applyFont="1" applyAlignment="1">
      <alignment vertical="center"/>
    </xf>
    <xf numFmtId="3" fontId="2" fillId="0" borderId="0" xfId="0" applyNumberFormat="1" applyFont="1" applyAlignment="1">
      <alignment vertical="center"/>
    </xf>
    <xf numFmtId="3" fontId="38" fillId="0" borderId="12" xfId="0" applyNumberFormat="1" applyFont="1" applyBorder="1" applyAlignment="1">
      <alignment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3" fontId="38" fillId="0" borderId="11" xfId="0" applyNumberFormat="1" applyFont="1" applyBorder="1" applyAlignment="1">
      <alignment vertical="center"/>
    </xf>
    <xf numFmtId="3" fontId="38" fillId="0" borderId="13" xfId="0" applyNumberFormat="1" applyFont="1" applyBorder="1" applyAlignment="1">
      <alignment vertical="center"/>
    </xf>
    <xf numFmtId="0" fontId="2" fillId="0" borderId="0" xfId="0" applyFont="1" applyAlignment="1">
      <alignment horizontal="center" vertical="center"/>
    </xf>
    <xf numFmtId="167" fontId="14" fillId="0" borderId="1" xfId="1" applyNumberFormat="1" applyFont="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6" fillId="2" borderId="1" xfId="0" applyFont="1" applyFill="1" applyBorder="1" applyAlignment="1">
      <alignment horizontal="left" vertical="center" wrapText="1"/>
    </xf>
    <xf numFmtId="0" fontId="6" fillId="2" borderId="11" xfId="0" applyFont="1" applyFill="1" applyBorder="1" applyAlignment="1">
      <alignment horizontal="justify" vertical="center" wrapText="1"/>
    </xf>
    <xf numFmtId="0" fontId="6" fillId="2" borderId="12" xfId="0" applyFont="1" applyFill="1" applyBorder="1" applyAlignment="1">
      <alignment horizontal="justify" vertical="center" wrapText="1"/>
    </xf>
    <xf numFmtId="0" fontId="8" fillId="2" borderId="1" xfId="0" applyFont="1" applyFill="1" applyBorder="1" applyAlignment="1">
      <alignment horizontal="justify" vertical="center" wrapText="1"/>
    </xf>
    <xf numFmtId="0" fontId="9" fillId="2" borderId="11" xfId="0" applyFont="1" applyFill="1" applyBorder="1" applyAlignment="1">
      <alignment horizontal="center" vertical="center" wrapText="1"/>
    </xf>
    <xf numFmtId="0" fontId="9" fillId="2" borderId="11" xfId="0" applyFont="1" applyFill="1" applyBorder="1" applyAlignment="1">
      <alignment horizontal="justify" vertical="center" wrapText="1"/>
    </xf>
    <xf numFmtId="0" fontId="9" fillId="2" borderId="12" xfId="0" applyFont="1" applyFill="1" applyBorder="1" applyAlignment="1">
      <alignment horizontal="center" vertical="center" wrapText="1"/>
    </xf>
    <xf numFmtId="0" fontId="9" fillId="2" borderId="12" xfId="0" applyFont="1" applyFill="1" applyBorder="1" applyAlignment="1">
      <alignment horizontal="justify" vertical="center" wrapText="1"/>
    </xf>
    <xf numFmtId="0" fontId="9" fillId="2" borderId="13" xfId="0" applyFont="1" applyFill="1" applyBorder="1" applyAlignment="1">
      <alignment horizontal="center" vertical="center" wrapText="1"/>
    </xf>
    <xf numFmtId="0" fontId="9" fillId="2" borderId="13" xfId="0" applyFont="1" applyFill="1" applyBorder="1" applyAlignment="1">
      <alignment horizontal="justify" vertical="center" wrapText="1"/>
    </xf>
    <xf numFmtId="0" fontId="35" fillId="2" borderId="3"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2" xfId="0" applyFont="1" applyFill="1" applyBorder="1" applyAlignment="1">
      <alignment horizontal="justify" vertical="center" wrapText="1"/>
    </xf>
    <xf numFmtId="0" fontId="16" fillId="0" borderId="0" xfId="0" applyFont="1" applyFill="1" applyAlignment="1">
      <alignment vertical="center"/>
    </xf>
    <xf numFmtId="3" fontId="16" fillId="0" borderId="0" xfId="0" applyNumberFormat="1" applyFont="1" applyFill="1" applyAlignment="1">
      <alignment vertical="center"/>
    </xf>
    <xf numFmtId="0" fontId="16" fillId="0" borderId="12" xfId="0" quotePrefix="1" applyFont="1" applyFill="1" applyBorder="1" applyAlignment="1">
      <alignment horizontal="center" vertical="center"/>
    </xf>
    <xf numFmtId="0" fontId="16" fillId="0" borderId="13" xfId="0" applyFont="1" applyFill="1" applyBorder="1" applyAlignment="1">
      <alignment horizontal="justify" vertical="center" wrapText="1"/>
    </xf>
    <xf numFmtId="0" fontId="3" fillId="2" borderId="12" xfId="0" applyFont="1" applyFill="1" applyBorder="1" applyAlignment="1">
      <alignment horizontal="justify" vertical="center" wrapText="1"/>
    </xf>
    <xf numFmtId="0" fontId="35" fillId="2" borderId="1" xfId="0" applyFont="1" applyFill="1" applyBorder="1" applyAlignment="1">
      <alignment horizontal="center" vertical="center" wrapText="1"/>
    </xf>
    <xf numFmtId="0" fontId="35" fillId="2" borderId="0" xfId="0" applyFont="1" applyFill="1" applyAlignment="1">
      <alignment horizontal="center" vertical="center" wrapText="1"/>
    </xf>
    <xf numFmtId="167" fontId="35" fillId="2" borderId="1" xfId="1" applyNumberFormat="1" applyFont="1" applyFill="1" applyBorder="1" applyAlignment="1">
      <alignment horizontal="center" vertical="center" wrapText="1"/>
    </xf>
    <xf numFmtId="0" fontId="6" fillId="0" borderId="12" xfId="0" applyFont="1" applyBorder="1" applyAlignment="1">
      <alignment vertical="center" wrapText="1"/>
    </xf>
    <xf numFmtId="167" fontId="35" fillId="2" borderId="4" xfId="1"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3" fillId="2" borderId="3" xfId="0" applyFont="1" applyFill="1" applyBorder="1" applyAlignment="1">
      <alignment horizontal="center" vertical="center" wrapText="1"/>
    </xf>
    <xf numFmtId="167" fontId="3" fillId="2" borderId="3" xfId="1" applyNumberFormat="1" applyFont="1" applyFill="1" applyBorder="1" applyAlignment="1">
      <alignment horizontal="center" vertical="center" wrapText="1"/>
    </xf>
    <xf numFmtId="0" fontId="25" fillId="0" borderId="0" xfId="0" applyFont="1" applyAlignment="1">
      <alignment horizontal="center" vertical="center"/>
    </xf>
    <xf numFmtId="0" fontId="28" fillId="0" borderId="13" xfId="0" applyFont="1" applyFill="1" applyBorder="1" applyAlignment="1">
      <alignment horizontal="center" vertical="center"/>
    </xf>
    <xf numFmtId="0" fontId="28" fillId="0" borderId="13" xfId="0" applyFont="1" applyFill="1" applyBorder="1" applyAlignment="1">
      <alignment horizontal="justify" vertical="center" wrapText="1"/>
    </xf>
    <xf numFmtId="0" fontId="28" fillId="0" borderId="13" xfId="0" applyFont="1" applyFill="1" applyBorder="1" applyAlignment="1">
      <alignment horizontal="center" vertical="center" wrapText="1"/>
    </xf>
    <xf numFmtId="167" fontId="34" fillId="0" borderId="13" xfId="1" applyNumberFormat="1" applyFont="1" applyBorder="1" applyAlignment="1">
      <alignment horizontal="center" vertical="center" wrapText="1"/>
    </xf>
    <xf numFmtId="167" fontId="44" fillId="0" borderId="12" xfId="1" applyNumberFormat="1" applyFont="1" applyBorder="1" applyAlignment="1">
      <alignment horizontal="center" vertical="center" wrapText="1"/>
    </xf>
    <xf numFmtId="167" fontId="44" fillId="0" borderId="12" xfId="1" applyNumberFormat="1" applyFont="1" applyBorder="1" applyAlignment="1">
      <alignment horizontal="center" vertical="center"/>
    </xf>
    <xf numFmtId="0" fontId="14"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4" fillId="2" borderId="3" xfId="0" applyFont="1" applyFill="1" applyBorder="1" applyAlignment="1">
      <alignment horizontal="center" vertical="center" wrapText="1"/>
    </xf>
    <xf numFmtId="167" fontId="14" fillId="2" borderId="3" xfId="1" applyNumberFormat="1" applyFont="1" applyFill="1" applyBorder="1" applyAlignment="1">
      <alignment horizontal="center" vertical="center" wrapText="1"/>
    </xf>
    <xf numFmtId="167" fontId="3" fillId="2" borderId="3" xfId="1" applyNumberFormat="1" applyFont="1" applyFill="1" applyBorder="1" applyAlignment="1">
      <alignment horizontal="center" vertical="center" wrapText="1"/>
    </xf>
    <xf numFmtId="167" fontId="2" fillId="2" borderId="0" xfId="1" applyNumberFormat="1" applyFont="1" applyFill="1" applyAlignment="1">
      <alignment horizontal="center" vertical="center" wrapText="1"/>
    </xf>
    <xf numFmtId="0" fontId="6" fillId="2" borderId="13" xfId="0" applyFont="1" applyFill="1" applyBorder="1" applyAlignment="1">
      <alignment horizontal="justify" vertical="center" wrapText="1"/>
    </xf>
    <xf numFmtId="174" fontId="6" fillId="2" borderId="0" xfId="0" applyNumberFormat="1" applyFont="1" applyFill="1" applyAlignment="1">
      <alignment vertical="center" wrapText="1"/>
    </xf>
    <xf numFmtId="0" fontId="10" fillId="2" borderId="3" xfId="0" applyFont="1" applyFill="1" applyBorder="1" applyAlignment="1">
      <alignment horizontal="center" vertical="center" wrapText="1"/>
    </xf>
    <xf numFmtId="167" fontId="10" fillId="2" borderId="4" xfId="1" applyNumberFormat="1" applyFont="1" applyFill="1" applyBorder="1" applyAlignment="1">
      <alignment horizontal="center" vertical="center" wrapText="1"/>
    </xf>
    <xf numFmtId="167" fontId="10" fillId="2" borderId="3" xfId="1" applyNumberFormat="1" applyFont="1" applyFill="1" applyBorder="1" applyAlignment="1">
      <alignment horizontal="center" vertical="center" wrapText="1"/>
    </xf>
    <xf numFmtId="3" fontId="10" fillId="2" borderId="1" xfId="0" applyNumberFormat="1" applyFont="1" applyFill="1" applyBorder="1" applyAlignment="1">
      <alignment horizontal="right" vertical="center" wrapText="1"/>
    </xf>
    <xf numFmtId="0" fontId="45" fillId="2" borderId="1" xfId="0" applyFont="1" applyFill="1" applyBorder="1" applyAlignment="1">
      <alignment horizontal="center" vertical="center" wrapText="1"/>
    </xf>
    <xf numFmtId="0" fontId="45" fillId="2" borderId="1" xfId="0" applyFont="1" applyFill="1" applyBorder="1" applyAlignment="1">
      <alignment horizontal="right" vertical="center" wrapText="1"/>
    </xf>
    <xf numFmtId="3" fontId="45" fillId="2" borderId="1" xfId="0" applyNumberFormat="1" applyFont="1" applyFill="1" applyBorder="1" applyAlignment="1">
      <alignment horizontal="right" vertical="center" wrapText="1"/>
    </xf>
    <xf numFmtId="3" fontId="45" fillId="2" borderId="1" xfId="0" applyNumberFormat="1" applyFont="1" applyFill="1" applyBorder="1" applyAlignment="1">
      <alignment horizontal="center" vertical="center" wrapText="1"/>
    </xf>
    <xf numFmtId="171" fontId="10" fillId="2" borderId="1" xfId="1" applyNumberFormat="1" applyFont="1" applyFill="1" applyBorder="1" applyAlignment="1">
      <alignment horizontal="center" vertical="center" wrapText="1"/>
    </xf>
    <xf numFmtId="167" fontId="10" fillId="2" borderId="1" xfId="1" applyNumberFormat="1"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1" xfId="0" applyFont="1" applyFill="1" applyBorder="1" applyAlignment="1">
      <alignment horizontal="left" vertical="center" wrapText="1"/>
    </xf>
    <xf numFmtId="0" fontId="38" fillId="2" borderId="11" xfId="0" applyFont="1" applyFill="1" applyBorder="1" applyAlignment="1">
      <alignment horizontal="right" vertical="center" wrapText="1"/>
    </xf>
    <xf numFmtId="0" fontId="38" fillId="2" borderId="11" xfId="0" applyFont="1" applyFill="1" applyBorder="1" applyAlignment="1">
      <alignment horizontal="center" vertical="center" wrapText="1"/>
    </xf>
    <xf numFmtId="3" fontId="38" fillId="2" borderId="11" xfId="0" applyNumberFormat="1" applyFont="1" applyFill="1" applyBorder="1" applyAlignment="1">
      <alignment horizontal="right" vertical="center" wrapText="1"/>
    </xf>
    <xf numFmtId="168" fontId="38" fillId="2" borderId="11" xfId="0" applyNumberFormat="1" applyFont="1" applyFill="1" applyBorder="1" applyAlignment="1">
      <alignment horizontal="center" vertical="center" wrapText="1"/>
    </xf>
    <xf numFmtId="4" fontId="38" fillId="2" borderId="11" xfId="0" applyNumberFormat="1" applyFont="1" applyFill="1" applyBorder="1" applyAlignment="1">
      <alignment horizontal="center" vertical="center" wrapText="1"/>
    </xf>
    <xf numFmtId="3" fontId="46" fillId="2" borderId="11" xfId="0" applyNumberFormat="1" applyFont="1" applyFill="1" applyBorder="1" applyAlignment="1">
      <alignment horizontal="right" vertical="center" wrapText="1"/>
    </xf>
    <xf numFmtId="168" fontId="46" fillId="2" borderId="11" xfId="0" applyNumberFormat="1" applyFont="1" applyFill="1" applyBorder="1" applyAlignment="1">
      <alignment horizontal="center" vertical="center" wrapText="1"/>
    </xf>
    <xf numFmtId="171" fontId="38" fillId="2" borderId="11" xfId="1" applyNumberFormat="1" applyFont="1" applyFill="1" applyBorder="1" applyAlignment="1">
      <alignment horizontal="center" vertical="center" wrapText="1"/>
    </xf>
    <xf numFmtId="167" fontId="38" fillId="2" borderId="11" xfId="1" applyNumberFormat="1"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2" xfId="0" applyFont="1" applyFill="1" applyBorder="1" applyAlignment="1">
      <alignment horizontal="left" vertical="center" wrapText="1"/>
    </xf>
    <xf numFmtId="0" fontId="38" fillId="2" borderId="12" xfId="0" applyFont="1" applyFill="1" applyBorder="1" applyAlignment="1">
      <alignment horizontal="right" vertical="center" wrapText="1"/>
    </xf>
    <xf numFmtId="0" fontId="38" fillId="2" borderId="12" xfId="0" applyFont="1" applyFill="1" applyBorder="1" applyAlignment="1">
      <alignment horizontal="center" vertical="center" wrapText="1"/>
    </xf>
    <xf numFmtId="3" fontId="38" fillId="2" borderId="12" xfId="0" applyNumberFormat="1" applyFont="1" applyFill="1" applyBorder="1" applyAlignment="1">
      <alignment horizontal="right" vertical="center" wrapText="1"/>
    </xf>
    <xf numFmtId="168" fontId="38" fillId="2" borderId="12" xfId="0" applyNumberFormat="1" applyFont="1" applyFill="1" applyBorder="1" applyAlignment="1">
      <alignment horizontal="center" vertical="center" wrapText="1"/>
    </xf>
    <xf numFmtId="4" fontId="38" fillId="2" borderId="12" xfId="0" applyNumberFormat="1" applyFont="1" applyFill="1" applyBorder="1" applyAlignment="1">
      <alignment horizontal="center" vertical="center" wrapText="1"/>
    </xf>
    <xf numFmtId="2" fontId="38" fillId="2" borderId="12" xfId="0" applyNumberFormat="1" applyFont="1" applyFill="1" applyBorder="1" applyAlignment="1">
      <alignment horizontal="center" vertical="center" wrapText="1"/>
    </xf>
    <xf numFmtId="171" fontId="38" fillId="2" borderId="12" xfId="1" applyNumberFormat="1" applyFont="1" applyFill="1" applyBorder="1" applyAlignment="1">
      <alignment horizontal="center" vertical="center" wrapText="1"/>
    </xf>
    <xf numFmtId="167" fontId="38" fillId="2" borderId="12" xfId="1" applyNumberFormat="1"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3" xfId="0" applyFont="1" applyFill="1" applyBorder="1" applyAlignment="1">
      <alignment horizontal="left" vertical="center" wrapText="1"/>
    </xf>
    <xf numFmtId="0" fontId="38" fillId="2" borderId="13" xfId="0" applyFont="1" applyFill="1" applyBorder="1" applyAlignment="1">
      <alignment horizontal="right" vertical="center" wrapText="1"/>
    </xf>
    <xf numFmtId="0" fontId="38" fillId="2" borderId="13" xfId="0" applyFont="1" applyFill="1" applyBorder="1" applyAlignment="1">
      <alignment horizontal="center" vertical="center" wrapText="1"/>
    </xf>
    <xf numFmtId="3" fontId="38" fillId="2" borderId="13" xfId="0" applyNumberFormat="1" applyFont="1" applyFill="1" applyBorder="1" applyAlignment="1">
      <alignment horizontal="right" vertical="center" wrapText="1"/>
    </xf>
    <xf numFmtId="168" fontId="38" fillId="2" borderId="13" xfId="0" applyNumberFormat="1" applyFont="1" applyFill="1" applyBorder="1" applyAlignment="1">
      <alignment horizontal="center" vertical="center" wrapText="1"/>
    </xf>
    <xf numFmtId="4" fontId="38" fillId="2" borderId="13" xfId="0" applyNumberFormat="1" applyFont="1" applyFill="1" applyBorder="1" applyAlignment="1">
      <alignment horizontal="center" vertical="center" wrapText="1"/>
    </xf>
    <xf numFmtId="2" fontId="38" fillId="2" borderId="13" xfId="0" applyNumberFormat="1" applyFont="1" applyFill="1" applyBorder="1" applyAlignment="1">
      <alignment horizontal="center" vertical="center" wrapText="1"/>
    </xf>
    <xf numFmtId="171" fontId="38" fillId="2" borderId="13" xfId="1" applyNumberFormat="1" applyFont="1" applyFill="1" applyBorder="1" applyAlignment="1">
      <alignment horizontal="center" vertical="center" wrapText="1"/>
    </xf>
    <xf numFmtId="167" fontId="38" fillId="2" borderId="13" xfId="1" applyNumberFormat="1" applyFont="1" applyFill="1" applyBorder="1" applyAlignment="1">
      <alignment horizontal="center" vertical="center" wrapText="1"/>
    </xf>
    <xf numFmtId="0" fontId="45" fillId="0" borderId="1" xfId="0" applyFont="1" applyFill="1" applyBorder="1" applyAlignment="1">
      <alignment horizontal="center" vertical="center" wrapText="1"/>
    </xf>
    <xf numFmtId="0" fontId="45" fillId="0" borderId="1" xfId="0" applyFont="1" applyFill="1" applyBorder="1" applyAlignment="1">
      <alignment horizontal="left" vertical="center" wrapText="1"/>
    </xf>
    <xf numFmtId="0" fontId="10" fillId="2" borderId="1" xfId="0" applyFont="1" applyFill="1" applyBorder="1" applyAlignment="1">
      <alignment horizontal="right" vertical="center" wrapText="1"/>
    </xf>
    <xf numFmtId="0" fontId="10" fillId="2" borderId="1" xfId="0" applyFont="1" applyFill="1" applyBorder="1" applyAlignment="1">
      <alignment horizontal="center" vertical="center" wrapText="1"/>
    </xf>
    <xf numFmtId="168" fontId="10" fillId="2" borderId="1" xfId="0" applyNumberFormat="1"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2" fontId="10" fillId="2" borderId="1" xfId="0" applyNumberFormat="1" applyFont="1" applyFill="1" applyBorder="1" applyAlignment="1">
      <alignment horizontal="center" vertical="center" wrapText="1"/>
    </xf>
    <xf numFmtId="167" fontId="28" fillId="0" borderId="0" xfId="1" applyNumberFormat="1" applyFont="1" applyFill="1" applyAlignment="1">
      <alignment vertical="center"/>
    </xf>
    <xf numFmtId="167" fontId="32" fillId="0" borderId="1" xfId="1" applyNumberFormat="1" applyFont="1" applyFill="1" applyBorder="1" applyAlignment="1">
      <alignment horizontal="center" vertical="center" wrapText="1"/>
    </xf>
    <xf numFmtId="167" fontId="41" fillId="0" borderId="1" xfId="1" applyNumberFormat="1" applyFont="1" applyFill="1" applyBorder="1" applyAlignment="1">
      <alignment vertical="center"/>
    </xf>
    <xf numFmtId="167" fontId="42" fillId="0" borderId="15" xfId="1" applyNumberFormat="1" applyFont="1" applyFill="1" applyBorder="1" applyAlignment="1">
      <alignment vertical="center"/>
    </xf>
    <xf numFmtId="167" fontId="42" fillId="0" borderId="12" xfId="1" applyNumberFormat="1" applyFont="1" applyFill="1" applyBorder="1" applyAlignment="1">
      <alignment vertical="center"/>
    </xf>
    <xf numFmtId="167" fontId="43" fillId="0" borderId="12" xfId="1" applyNumberFormat="1" applyFont="1" applyFill="1" applyBorder="1" applyAlignment="1">
      <alignment vertical="center"/>
    </xf>
    <xf numFmtId="167" fontId="42" fillId="0" borderId="14" xfId="1" applyNumberFormat="1" applyFont="1" applyFill="1" applyBorder="1" applyAlignment="1">
      <alignment vertical="center"/>
    </xf>
    <xf numFmtId="167" fontId="42" fillId="0" borderId="13" xfId="1" applyNumberFormat="1" applyFont="1" applyFill="1" applyBorder="1" applyAlignment="1">
      <alignment vertical="center"/>
    </xf>
    <xf numFmtId="167" fontId="42" fillId="0" borderId="11" xfId="1" applyNumberFormat="1" applyFont="1" applyFill="1" applyBorder="1" applyAlignment="1">
      <alignment vertical="center"/>
    </xf>
    <xf numFmtId="167" fontId="29" fillId="0" borderId="4" xfId="1" applyNumberFormat="1" applyFont="1" applyFill="1" applyBorder="1" applyAlignment="1">
      <alignment horizontal="center" vertical="center" wrapText="1"/>
    </xf>
    <xf numFmtId="167" fontId="43" fillId="0" borderId="13" xfId="1" applyNumberFormat="1" applyFont="1" applyFill="1" applyBorder="1" applyAlignment="1">
      <alignment vertical="center"/>
    </xf>
    <xf numFmtId="0" fontId="28" fillId="0" borderId="13" xfId="0" applyFont="1" applyFill="1" applyBorder="1" applyAlignment="1">
      <alignment vertical="center"/>
    </xf>
    <xf numFmtId="167" fontId="28" fillId="0" borderId="13" xfId="1" applyNumberFormat="1" applyFont="1" applyFill="1" applyBorder="1" applyAlignment="1">
      <alignment vertical="center"/>
    </xf>
    <xf numFmtId="167" fontId="10" fillId="2" borderId="1" xfId="1" applyNumberFormat="1" applyFont="1" applyFill="1" applyBorder="1" applyAlignment="1">
      <alignment horizontal="right" vertical="center" wrapText="1"/>
    </xf>
    <xf numFmtId="167" fontId="38" fillId="2" borderId="11" xfId="1" applyNumberFormat="1" applyFont="1" applyFill="1" applyBorder="1" applyAlignment="1">
      <alignment horizontal="right" vertical="center" wrapText="1"/>
    </xf>
    <xf numFmtId="167" fontId="38" fillId="2" borderId="12" xfId="1" applyNumberFormat="1" applyFont="1" applyFill="1" applyBorder="1" applyAlignment="1">
      <alignment horizontal="right" vertical="center" wrapText="1"/>
    </xf>
    <xf numFmtId="167" fontId="38" fillId="2" borderId="13" xfId="1" applyNumberFormat="1" applyFont="1" applyFill="1" applyBorder="1" applyAlignment="1">
      <alignment horizontal="right" vertical="center" wrapText="1"/>
    </xf>
    <xf numFmtId="0" fontId="10" fillId="2" borderId="3" xfId="0" applyFont="1" applyFill="1" applyBorder="1" applyAlignment="1">
      <alignment horizontal="left" vertical="center" wrapText="1"/>
    </xf>
    <xf numFmtId="0" fontId="14" fillId="0" borderId="1" xfId="0" applyFont="1" applyBorder="1" applyAlignment="1">
      <alignment horizontal="center" vertical="center" wrapText="1"/>
    </xf>
    <xf numFmtId="0" fontId="3" fillId="0" borderId="0" xfId="0" applyFont="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right"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28" fillId="0" borderId="3" xfId="0" applyFont="1" applyFill="1" applyBorder="1" applyAlignment="1">
      <alignment horizontal="justify" vertical="center" wrapText="1"/>
    </xf>
    <xf numFmtId="0" fontId="28" fillId="0" borderId="10" xfId="0" applyFont="1" applyFill="1" applyBorder="1" applyAlignment="1">
      <alignment horizontal="justify" vertical="center" wrapText="1"/>
    </xf>
    <xf numFmtId="0" fontId="28" fillId="0" borderId="7" xfId="0" applyFont="1" applyFill="1" applyBorder="1" applyAlignment="1">
      <alignment horizontal="justify" vertical="center" wrapText="1"/>
    </xf>
    <xf numFmtId="0" fontId="30" fillId="0" borderId="0" xfId="0" applyFont="1" applyFill="1" applyAlignment="1">
      <alignment horizontal="center" vertical="center"/>
    </xf>
    <xf numFmtId="0" fontId="31" fillId="0" borderId="0" xfId="0" applyFont="1" applyFill="1" applyAlignment="1">
      <alignment horizontal="center" vertical="center"/>
    </xf>
    <xf numFmtId="0" fontId="29" fillId="0" borderId="3" xfId="0" applyFont="1" applyFill="1" applyBorder="1" applyAlignment="1">
      <alignment horizontal="center" vertical="center" wrapText="1"/>
    </xf>
    <xf numFmtId="0" fontId="29" fillId="0" borderId="10" xfId="0" applyFont="1" applyFill="1" applyBorder="1" applyAlignment="1">
      <alignment horizontal="center" vertical="center" wrapText="1"/>
    </xf>
    <xf numFmtId="167" fontId="29" fillId="0" borderId="3" xfId="1" applyNumberFormat="1" applyFont="1" applyFill="1" applyBorder="1" applyAlignment="1">
      <alignment horizontal="center" vertical="center" wrapText="1"/>
    </xf>
    <xf numFmtId="167" fontId="29" fillId="0" borderId="10" xfId="1" applyNumberFormat="1" applyFont="1" applyFill="1" applyBorder="1" applyAlignment="1">
      <alignment horizontal="center" vertical="center" wrapText="1"/>
    </xf>
    <xf numFmtId="167" fontId="29" fillId="0" borderId="2" xfId="1" applyNumberFormat="1" applyFont="1" applyFill="1" applyBorder="1" applyAlignment="1">
      <alignment horizontal="center" vertical="center" wrapText="1"/>
    </xf>
    <xf numFmtId="167" fontId="29" fillId="0" borderId="9" xfId="1" applyNumberFormat="1" applyFont="1" applyFill="1" applyBorder="1" applyAlignment="1">
      <alignment horizontal="center" vertical="center" wrapText="1"/>
    </xf>
    <xf numFmtId="167" fontId="29" fillId="0" borderId="1" xfId="1" applyNumberFormat="1" applyFont="1" applyFill="1" applyBorder="1" applyAlignment="1">
      <alignment horizontal="center" vertical="center" wrapText="1"/>
    </xf>
    <xf numFmtId="0" fontId="14" fillId="0" borderId="0" xfId="0" applyFont="1" applyAlignment="1">
      <alignment horizontal="center" vertical="center" wrapText="1"/>
    </xf>
    <xf numFmtId="0" fontId="3" fillId="0" borderId="0" xfId="0" applyFont="1" applyAlignment="1">
      <alignment horizontal="center" vertical="center"/>
    </xf>
    <xf numFmtId="0" fontId="20" fillId="0" borderId="0" xfId="0" applyFont="1" applyAlignment="1">
      <alignment horizontal="center" vertical="center"/>
    </xf>
    <xf numFmtId="0" fontId="20" fillId="0" borderId="5"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6" xfId="0" applyFont="1" applyBorder="1" applyAlignment="1">
      <alignment horizontal="center" vertical="center" wrapText="1"/>
    </xf>
    <xf numFmtId="0" fontId="19" fillId="0" borderId="1" xfId="0" applyFont="1" applyBorder="1" applyAlignment="1">
      <alignment horizontal="center"/>
    </xf>
    <xf numFmtId="0" fontId="25" fillId="0" borderId="0" xfId="0" applyFont="1" applyAlignment="1">
      <alignment horizontal="justify" vertical="center" wrapText="1"/>
    </xf>
    <xf numFmtId="0" fontId="7" fillId="2" borderId="0" xfId="0" applyFont="1" applyFill="1" applyAlignment="1">
      <alignment horizontal="left" vertical="center" wrapText="1"/>
    </xf>
    <xf numFmtId="0" fontId="4"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167" fontId="14" fillId="2" borderId="2" xfId="1" applyNumberFormat="1" applyFont="1" applyFill="1" applyBorder="1" applyAlignment="1">
      <alignment horizontal="center" vertical="center" wrapText="1"/>
    </xf>
    <xf numFmtId="167" fontId="14" fillId="2" borderId="6" xfId="1" applyNumberFormat="1" applyFont="1" applyFill="1" applyBorder="1" applyAlignment="1">
      <alignment horizontal="center" vertical="center" wrapText="1"/>
    </xf>
    <xf numFmtId="167" fontId="14" fillId="2" borderId="3" xfId="1" applyNumberFormat="1" applyFont="1" applyFill="1" applyBorder="1" applyAlignment="1">
      <alignment horizontal="center" vertical="center" wrapText="1"/>
    </xf>
    <xf numFmtId="167" fontId="14" fillId="2" borderId="7" xfId="1" applyNumberFormat="1"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6" xfId="0" applyFont="1" applyBorder="1" applyAlignment="1">
      <alignment horizontal="center" vertical="center" wrapText="1"/>
    </xf>
    <xf numFmtId="167" fontId="3" fillId="2" borderId="3" xfId="1" applyNumberFormat="1" applyFont="1" applyFill="1" applyBorder="1" applyAlignment="1">
      <alignment horizontal="center" vertical="center" wrapText="1"/>
    </xf>
    <xf numFmtId="167" fontId="3" fillId="2" borderId="7" xfId="1" applyNumberFormat="1" applyFont="1" applyFill="1" applyBorder="1" applyAlignment="1">
      <alignment horizontal="center" vertical="center" wrapText="1"/>
    </xf>
    <xf numFmtId="167" fontId="3" fillId="2" borderId="2" xfId="1" applyNumberFormat="1" applyFont="1" applyFill="1" applyBorder="1" applyAlignment="1">
      <alignment horizontal="center" vertical="center" wrapText="1"/>
    </xf>
    <xf numFmtId="167" fontId="3" fillId="2" borderId="6" xfId="1"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5"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4" fillId="0" borderId="0" xfId="0" applyFont="1" applyAlignment="1">
      <alignment horizontal="justify" vertical="center" wrapText="1"/>
    </xf>
    <xf numFmtId="0" fontId="25" fillId="0" borderId="0" xfId="0" applyFont="1" applyAlignment="1">
      <alignment horizontal="center" vertical="center"/>
    </xf>
    <xf numFmtId="0" fontId="24" fillId="0" borderId="0" xfId="0" applyFont="1" applyAlignment="1">
      <alignment horizontal="center" vertical="center"/>
    </xf>
    <xf numFmtId="0" fontId="6" fillId="2" borderId="0" xfId="0" applyFont="1" applyFill="1" applyAlignment="1">
      <alignment horizontal="justify" vertical="center" wrapText="1"/>
    </xf>
    <xf numFmtId="167" fontId="35" fillId="2" borderId="3" xfId="1" applyNumberFormat="1" applyFont="1" applyFill="1" applyBorder="1" applyAlignment="1">
      <alignment horizontal="center" vertical="center" wrapText="1"/>
    </xf>
    <xf numFmtId="167" fontId="35" fillId="2" borderId="7" xfId="1"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167" fontId="35" fillId="2" borderId="2" xfId="1" applyNumberFormat="1" applyFont="1" applyFill="1" applyBorder="1" applyAlignment="1">
      <alignment horizontal="center" vertical="center" wrapText="1"/>
    </xf>
    <xf numFmtId="167" fontId="35" fillId="2" borderId="6" xfId="1" applyNumberFormat="1" applyFont="1" applyFill="1" applyBorder="1" applyAlignment="1">
      <alignment horizontal="center" vertical="center" wrapText="1"/>
    </xf>
    <xf numFmtId="0" fontId="35" fillId="0" borderId="2"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2" borderId="3"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9" fillId="2" borderId="0" xfId="0" applyFont="1" applyFill="1" applyAlignment="1">
      <alignment horizontal="justify" vertical="center" wrapText="1"/>
    </xf>
    <xf numFmtId="0" fontId="35" fillId="2" borderId="2" xfId="0" applyFont="1" applyFill="1" applyBorder="1" applyAlignment="1">
      <alignment horizontal="center" vertical="center" wrapText="1"/>
    </xf>
    <xf numFmtId="0" fontId="35" fillId="2" borderId="6" xfId="0" applyFont="1" applyFill="1" applyBorder="1" applyAlignment="1">
      <alignment horizontal="center" vertical="center" wrapText="1"/>
    </xf>
    <xf numFmtId="167" fontId="35" fillId="2" borderId="10" xfId="1" applyNumberFormat="1" applyFont="1" applyFill="1" applyBorder="1" applyAlignment="1">
      <alignment horizontal="center" vertical="center" wrapText="1"/>
    </xf>
    <xf numFmtId="167" fontId="35" fillId="2" borderId="4" xfId="1" applyNumberFormat="1" applyFont="1" applyFill="1" applyBorder="1" applyAlignment="1">
      <alignment horizontal="center" vertical="center" wrapText="1"/>
    </xf>
    <xf numFmtId="167" fontId="35" fillId="2" borderId="8" xfId="1" applyNumberFormat="1" applyFont="1" applyFill="1" applyBorder="1" applyAlignment="1">
      <alignment horizontal="center" vertical="center" wrapText="1"/>
    </xf>
    <xf numFmtId="0" fontId="35" fillId="2" borderId="9" xfId="0" applyFont="1" applyFill="1" applyBorder="1" applyAlignment="1">
      <alignment horizontal="center" vertical="center" wrapText="1"/>
    </xf>
  </cellXfs>
  <cellStyles count="3">
    <cellStyle name="Bình thường" xfId="0" builtinId="0"/>
    <cellStyle name="Dấu phẩy" xfId="1" builtinId="3"/>
    <cellStyle name="Dấu phẩy [0]" xfId="2" builtinId="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8.png"/></Relationships>
</file>

<file path=xl/drawings/_rels/drawing11.xml.rels><?xml version="1.0" encoding="UTF-8" standalone="yes"?>
<Relationships xmlns="http://schemas.openxmlformats.org/package/2006/relationships"><Relationship Id="rId1"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11</xdr:col>
      <xdr:colOff>155864</xdr:colOff>
      <xdr:row>5</xdr:row>
      <xdr:rowOff>294408</xdr:rowOff>
    </xdr:from>
    <xdr:to>
      <xdr:col>11</xdr:col>
      <xdr:colOff>1266825</xdr:colOff>
      <xdr:row>5</xdr:row>
      <xdr:rowOff>703983</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14664" y="2266083"/>
          <a:ext cx="1110961"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155864</xdr:colOff>
      <xdr:row>5</xdr:row>
      <xdr:rowOff>294408</xdr:rowOff>
    </xdr:from>
    <xdr:to>
      <xdr:col>12</xdr:col>
      <xdr:colOff>1266825</xdr:colOff>
      <xdr:row>5</xdr:row>
      <xdr:rowOff>703983</xdr:rowOff>
    </xdr:to>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00757" y="3053937"/>
          <a:ext cx="987136"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683568</xdr:colOff>
      <xdr:row>13</xdr:row>
      <xdr:rowOff>176894</xdr:rowOff>
    </xdr:from>
    <xdr:to>
      <xdr:col>7</xdr:col>
      <xdr:colOff>420229</xdr:colOff>
      <xdr:row>15</xdr:row>
      <xdr:rowOff>151040</xdr:rowOff>
    </xdr:to>
    <xdr:pic>
      <xdr:nvPicPr>
        <xdr:cNvPr id="7" name="Picture 6">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46711" y="5456465"/>
          <a:ext cx="702768" cy="477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661147</xdr:colOff>
      <xdr:row>29</xdr:row>
      <xdr:rowOff>224118</xdr:rowOff>
    </xdr:from>
    <xdr:to>
      <xdr:col>6</xdr:col>
      <xdr:colOff>330014</xdr:colOff>
      <xdr:row>31</xdr:row>
      <xdr:rowOff>128307</xdr:rowOff>
    </xdr:to>
    <xdr:pic>
      <xdr:nvPicPr>
        <xdr:cNvPr id="4" name="Picture 3">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6971" y="8404412"/>
          <a:ext cx="1114425" cy="39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5</xdr:col>
      <xdr:colOff>549087</xdr:colOff>
      <xdr:row>32</xdr:row>
      <xdr:rowOff>212912</xdr:rowOff>
    </xdr:from>
    <xdr:to>
      <xdr:col>7</xdr:col>
      <xdr:colOff>528917</xdr:colOff>
      <xdr:row>34</xdr:row>
      <xdr:rowOff>129988</xdr:rowOff>
    </xdr:to>
    <xdr:pic>
      <xdr:nvPicPr>
        <xdr:cNvPr id="4" name="Picture 3">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41793" y="8561294"/>
          <a:ext cx="1066800" cy="410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272143</xdr:colOff>
      <xdr:row>28</xdr:row>
      <xdr:rowOff>231322</xdr:rowOff>
    </xdr:from>
    <xdr:to>
      <xdr:col>6</xdr:col>
      <xdr:colOff>465364</xdr:colOff>
      <xdr:row>30</xdr:row>
      <xdr:rowOff>144237</xdr:rowOff>
    </xdr:to>
    <xdr:pic>
      <xdr:nvPicPr>
        <xdr:cNvPr id="4" name="Picture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61214" y="9470572"/>
          <a:ext cx="1104900" cy="4163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272143</xdr:colOff>
      <xdr:row>27</xdr:row>
      <xdr:rowOff>231322</xdr:rowOff>
    </xdr:from>
    <xdr:to>
      <xdr:col>6</xdr:col>
      <xdr:colOff>465364</xdr:colOff>
      <xdr:row>29</xdr:row>
      <xdr:rowOff>144237</xdr:rowOff>
    </xdr:to>
    <xdr:pic>
      <xdr:nvPicPr>
        <xdr:cNvPr id="3" name="Picture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2768" y="9699172"/>
          <a:ext cx="888546" cy="4082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217716</xdr:colOff>
      <xdr:row>27</xdr:row>
      <xdr:rowOff>231322</xdr:rowOff>
    </xdr:from>
    <xdr:to>
      <xdr:col>7</xdr:col>
      <xdr:colOff>734787</xdr:colOff>
      <xdr:row>29</xdr:row>
      <xdr:rowOff>149679</xdr:rowOff>
    </xdr:to>
    <xdr:pic>
      <xdr:nvPicPr>
        <xdr:cNvPr id="3" name="Picture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1037" y="9089572"/>
          <a:ext cx="1156607" cy="421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472968</xdr:colOff>
      <xdr:row>27</xdr:row>
      <xdr:rowOff>240846</xdr:rowOff>
    </xdr:from>
    <xdr:to>
      <xdr:col>6</xdr:col>
      <xdr:colOff>125426</xdr:colOff>
      <xdr:row>30</xdr:row>
      <xdr:rowOff>6083</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5918" y="7965621"/>
          <a:ext cx="1081208" cy="4319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349703</xdr:colOff>
      <xdr:row>27</xdr:row>
      <xdr:rowOff>27933</xdr:rowOff>
    </xdr:from>
    <xdr:to>
      <xdr:col>6</xdr:col>
      <xdr:colOff>760033</xdr:colOff>
      <xdr:row>28</xdr:row>
      <xdr:rowOff>123264</xdr:rowOff>
    </xdr:to>
    <xdr:pic>
      <xdr:nvPicPr>
        <xdr:cNvPr id="5" name="Picture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9791" y="7972904"/>
          <a:ext cx="1407654" cy="3306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230839</xdr:colOff>
      <xdr:row>19</xdr:row>
      <xdr:rowOff>209550</xdr:rowOff>
    </xdr:from>
    <xdr:to>
      <xdr:col>8</xdr:col>
      <xdr:colOff>735104</xdr:colOff>
      <xdr:row>21</xdr:row>
      <xdr:rowOff>152400</xdr:rowOff>
    </xdr:to>
    <xdr:pic>
      <xdr:nvPicPr>
        <xdr:cNvPr id="6" name="Picture 5">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60064" y="5953125"/>
          <a:ext cx="111386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106138</xdr:colOff>
      <xdr:row>24</xdr:row>
      <xdr:rowOff>190500</xdr:rowOff>
    </xdr:from>
    <xdr:to>
      <xdr:col>6</xdr:col>
      <xdr:colOff>591913</xdr:colOff>
      <xdr:row>26</xdr:row>
      <xdr:rowOff>103415</xdr:rowOff>
    </xdr:to>
    <xdr:pic>
      <xdr:nvPicPr>
        <xdr:cNvPr id="4" name="Picture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6031" y="7211786"/>
          <a:ext cx="1206953" cy="4163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753838</xdr:colOff>
      <xdr:row>32</xdr:row>
      <xdr:rowOff>219075</xdr:rowOff>
    </xdr:from>
    <xdr:to>
      <xdr:col>6</xdr:col>
      <xdr:colOff>348345</xdr:colOff>
      <xdr:row>34</xdr:row>
      <xdr:rowOff>142875</xdr:rowOff>
    </xdr:to>
    <xdr:pic>
      <xdr:nvPicPr>
        <xdr:cNvPr id="4" name="Picture 3">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1409" y="8560254"/>
          <a:ext cx="1172936" cy="427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Chủ đề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13.bin"/><Relationship Id="rId4" Type="http://schemas.openxmlformats.org/officeDocument/2006/relationships/comments" Target="../comments5.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0"/>
  <sheetViews>
    <sheetView topLeftCell="A16" zoomScale="70" zoomScaleNormal="70" workbookViewId="0">
      <selection activeCell="F14" sqref="F14"/>
    </sheetView>
  </sheetViews>
  <sheetFormatPr defaultColWidth="8.83203125" defaultRowHeight="18" x14ac:dyDescent="0.3"/>
  <cols>
    <col min="1" max="1" width="8.83203125" style="31"/>
    <col min="2" max="2" width="40.4140625" style="30" customWidth="1"/>
    <col min="3" max="3" width="17" style="30" customWidth="1"/>
    <col min="4" max="5" width="12.83203125" style="30" customWidth="1"/>
    <col min="6" max="6" width="37.25" style="30" customWidth="1"/>
    <col min="7" max="16384" width="8.83203125" style="30"/>
  </cols>
  <sheetData>
    <row r="1" spans="1:6" ht="47.5" customHeight="1" x14ac:dyDescent="0.3">
      <c r="A1" s="475" t="s">
        <v>26</v>
      </c>
      <c r="B1" s="475"/>
      <c r="C1" s="475"/>
      <c r="D1" s="475"/>
      <c r="E1" s="475"/>
      <c r="F1" s="475"/>
    </row>
    <row r="2" spans="1:6" ht="47.5" customHeight="1" x14ac:dyDescent="0.3">
      <c r="A2" s="476" t="e">
        <f>#REF!</f>
        <v>#REF!</v>
      </c>
      <c r="B2" s="476"/>
      <c r="C2" s="476"/>
      <c r="D2" s="476"/>
      <c r="E2" s="476"/>
      <c r="F2" s="476"/>
    </row>
    <row r="3" spans="1:6" x14ac:dyDescent="0.3">
      <c r="A3" s="33"/>
      <c r="B3" s="32"/>
      <c r="C3" s="32"/>
      <c r="D3" s="477" t="s">
        <v>27</v>
      </c>
      <c r="E3" s="477"/>
      <c r="F3" s="477"/>
    </row>
    <row r="4" spans="1:6" s="34" customFormat="1" ht="17.5" x14ac:dyDescent="0.3">
      <c r="A4" s="478" t="s">
        <v>0</v>
      </c>
      <c r="B4" s="478" t="s">
        <v>28</v>
      </c>
      <c r="C4" s="478" t="s">
        <v>29</v>
      </c>
      <c r="D4" s="480" t="s">
        <v>30</v>
      </c>
      <c r="E4" s="480"/>
      <c r="F4" s="478" t="s">
        <v>35</v>
      </c>
    </row>
    <row r="5" spans="1:6" s="34" customFormat="1" ht="17.5" x14ac:dyDescent="0.3">
      <c r="A5" s="479"/>
      <c r="B5" s="479"/>
      <c r="C5" s="479"/>
      <c r="D5" s="9" t="s">
        <v>31</v>
      </c>
      <c r="E5" s="9" t="s">
        <v>32</v>
      </c>
      <c r="F5" s="479"/>
    </row>
    <row r="6" spans="1:6" s="34" customFormat="1" ht="17.5" x14ac:dyDescent="0.3">
      <c r="A6" s="9"/>
      <c r="B6" s="9" t="s">
        <v>33</v>
      </c>
      <c r="C6" s="35">
        <f>D6+E6</f>
        <v>934754</v>
      </c>
      <c r="D6" s="40">
        <f>D7+D8+D9+D12+D16+D17+D20</f>
        <v>472241</v>
      </c>
      <c r="E6" s="40">
        <f>E7+E8+E9+E12+E16+E17+E20</f>
        <v>462513</v>
      </c>
      <c r="F6" s="9"/>
    </row>
    <row r="7" spans="1:6" ht="36" x14ac:dyDescent="0.3">
      <c r="A7" s="36">
        <v>1</v>
      </c>
      <c r="B7" s="39" t="s">
        <v>34</v>
      </c>
      <c r="C7" s="37">
        <f>D7+E7</f>
        <v>428594</v>
      </c>
      <c r="D7" s="37">
        <v>389631</v>
      </c>
      <c r="E7" s="37">
        <v>38963</v>
      </c>
      <c r="F7" s="36" t="s">
        <v>36</v>
      </c>
    </row>
    <row r="8" spans="1:6" ht="36" x14ac:dyDescent="0.3">
      <c r="A8" s="36">
        <v>2</v>
      </c>
      <c r="B8" s="39" t="s">
        <v>37</v>
      </c>
      <c r="C8" s="37">
        <f t="shared" ref="C8:C20" si="0">D8+E8</f>
        <v>136622</v>
      </c>
      <c r="D8" s="37">
        <v>0</v>
      </c>
      <c r="E8" s="37">
        <v>136622</v>
      </c>
      <c r="F8" s="36" t="s">
        <v>38</v>
      </c>
    </row>
    <row r="9" spans="1:6" ht="36" x14ac:dyDescent="0.3">
      <c r="A9" s="36">
        <v>3</v>
      </c>
      <c r="B9" s="38" t="s">
        <v>39</v>
      </c>
      <c r="C9" s="37">
        <f t="shared" si="0"/>
        <v>78361</v>
      </c>
      <c r="D9" s="37">
        <f>D10+D11</f>
        <v>0</v>
      </c>
      <c r="E9" s="37">
        <f>E10+E11</f>
        <v>78361</v>
      </c>
      <c r="F9" s="36"/>
    </row>
    <row r="10" spans="1:6" s="44" customFormat="1" ht="90" x14ac:dyDescent="0.3">
      <c r="A10" s="41" t="s">
        <v>60</v>
      </c>
      <c r="B10" s="42" t="s">
        <v>40</v>
      </c>
      <c r="C10" s="43">
        <f t="shared" si="0"/>
        <v>59118</v>
      </c>
      <c r="D10" s="43">
        <v>0</v>
      </c>
      <c r="E10" s="43">
        <v>59118</v>
      </c>
      <c r="F10" s="41" t="s">
        <v>41</v>
      </c>
    </row>
    <row r="11" spans="1:6" s="44" customFormat="1" x14ac:dyDescent="0.3">
      <c r="A11" s="41" t="s">
        <v>61</v>
      </c>
      <c r="B11" s="45" t="s">
        <v>42</v>
      </c>
      <c r="C11" s="43">
        <f t="shared" si="0"/>
        <v>19243</v>
      </c>
      <c r="D11" s="43">
        <v>0</v>
      </c>
      <c r="E11" s="43">
        <v>19243</v>
      </c>
      <c r="F11" s="41" t="s">
        <v>43</v>
      </c>
    </row>
    <row r="12" spans="1:6" ht="36" x14ac:dyDescent="0.3">
      <c r="A12" s="36">
        <v>4</v>
      </c>
      <c r="B12" s="38" t="s">
        <v>44</v>
      </c>
      <c r="C12" s="37">
        <f t="shared" si="0"/>
        <v>216379</v>
      </c>
      <c r="D12" s="37">
        <f>D13+D14+D15</f>
        <v>82610</v>
      </c>
      <c r="E12" s="37">
        <f>E13+E14+E15</f>
        <v>133769</v>
      </c>
      <c r="F12" s="36"/>
    </row>
    <row r="13" spans="1:6" s="44" customFormat="1" ht="126" x14ac:dyDescent="0.3">
      <c r="A13" s="41" t="s">
        <v>62</v>
      </c>
      <c r="B13" s="45" t="s">
        <v>45</v>
      </c>
      <c r="C13" s="43">
        <f t="shared" si="0"/>
        <v>184211</v>
      </c>
      <c r="D13" s="43">
        <v>74979</v>
      </c>
      <c r="E13" s="43">
        <v>109232</v>
      </c>
      <c r="F13" s="45" t="s">
        <v>46</v>
      </c>
    </row>
    <row r="14" spans="1:6" s="44" customFormat="1" ht="36" x14ac:dyDescent="0.3">
      <c r="A14" s="41" t="s">
        <v>63</v>
      </c>
      <c r="B14" s="45" t="s">
        <v>47</v>
      </c>
      <c r="C14" s="43">
        <f t="shared" si="0"/>
        <v>5541</v>
      </c>
      <c r="D14" s="43">
        <v>0</v>
      </c>
      <c r="E14" s="43">
        <v>5541</v>
      </c>
      <c r="F14" s="41" t="s">
        <v>48</v>
      </c>
    </row>
    <row r="15" spans="1:6" s="44" customFormat="1" x14ac:dyDescent="0.3">
      <c r="A15" s="41" t="s">
        <v>64</v>
      </c>
      <c r="B15" s="45" t="s">
        <v>49</v>
      </c>
      <c r="C15" s="43">
        <f t="shared" si="0"/>
        <v>26627</v>
      </c>
      <c r="D15" s="43">
        <v>7631</v>
      </c>
      <c r="E15" s="43">
        <v>18996</v>
      </c>
      <c r="F15" s="41" t="s">
        <v>55</v>
      </c>
    </row>
    <row r="16" spans="1:6" ht="54" x14ac:dyDescent="0.3">
      <c r="A16" s="36">
        <v>5</v>
      </c>
      <c r="B16" s="38" t="s">
        <v>51</v>
      </c>
      <c r="C16" s="37">
        <f t="shared" si="0"/>
        <v>29520</v>
      </c>
      <c r="D16" s="37">
        <v>0</v>
      </c>
      <c r="E16" s="37">
        <v>29520</v>
      </c>
      <c r="F16" s="36" t="s">
        <v>52</v>
      </c>
    </row>
    <row r="17" spans="1:6" ht="36" x14ac:dyDescent="0.3">
      <c r="A17" s="36">
        <v>6</v>
      </c>
      <c r="B17" s="38" t="s">
        <v>53</v>
      </c>
      <c r="C17" s="37">
        <f t="shared" si="0"/>
        <v>12847</v>
      </c>
      <c r="D17" s="37">
        <f>D18+D19</f>
        <v>0</v>
      </c>
      <c r="E17" s="37">
        <f>E18+E19</f>
        <v>12847</v>
      </c>
      <c r="F17" s="36"/>
    </row>
    <row r="18" spans="1:6" s="44" customFormat="1" x14ac:dyDescent="0.3">
      <c r="A18" s="41" t="s">
        <v>65</v>
      </c>
      <c r="B18" s="45" t="s">
        <v>54</v>
      </c>
      <c r="C18" s="43">
        <f t="shared" si="0"/>
        <v>5370</v>
      </c>
      <c r="D18" s="43">
        <v>0</v>
      </c>
      <c r="E18" s="43">
        <v>5370</v>
      </c>
      <c r="F18" s="41" t="s">
        <v>50</v>
      </c>
    </row>
    <row r="19" spans="1:6" s="44" customFormat="1" ht="36" x14ac:dyDescent="0.3">
      <c r="A19" s="41" t="s">
        <v>66</v>
      </c>
      <c r="B19" s="45" t="s">
        <v>56</v>
      </c>
      <c r="C19" s="43">
        <f t="shared" si="0"/>
        <v>7477</v>
      </c>
      <c r="D19" s="43">
        <v>0</v>
      </c>
      <c r="E19" s="43">
        <v>7477</v>
      </c>
      <c r="F19" s="41" t="s">
        <v>57</v>
      </c>
    </row>
    <row r="20" spans="1:6" ht="36" x14ac:dyDescent="0.3">
      <c r="A20" s="36">
        <v>7</v>
      </c>
      <c r="B20" s="38" t="s">
        <v>58</v>
      </c>
      <c r="C20" s="37">
        <f t="shared" si="0"/>
        <v>32431</v>
      </c>
      <c r="D20" s="37">
        <v>0</v>
      </c>
      <c r="E20" s="37">
        <v>32431</v>
      </c>
      <c r="F20" s="36" t="s">
        <v>59</v>
      </c>
    </row>
  </sheetData>
  <mergeCells count="8">
    <mergeCell ref="A1:F1"/>
    <mergeCell ref="A2:F2"/>
    <mergeCell ref="D3:F3"/>
    <mergeCell ref="F4:F5"/>
    <mergeCell ref="A4:A5"/>
    <mergeCell ref="B4:B5"/>
    <mergeCell ref="C4:C5"/>
    <mergeCell ref="D4:E4"/>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V33"/>
  <sheetViews>
    <sheetView view="pageLayout" zoomScale="70" zoomScaleNormal="70" zoomScaleSheetLayoutView="70" zoomScalePageLayoutView="70" workbookViewId="0">
      <selection activeCell="B20" sqref="B20:O20"/>
    </sheetView>
  </sheetViews>
  <sheetFormatPr defaultColWidth="9" defaultRowHeight="18" x14ac:dyDescent="0.3"/>
  <cols>
    <col min="1" max="1" width="5.4140625" style="21" customWidth="1"/>
    <col min="2" max="2" width="66.4140625" style="15" customWidth="1"/>
    <col min="3" max="3" width="13.25" style="21" hidden="1" customWidth="1"/>
    <col min="4" max="4" width="13.1640625" style="21" hidden="1" customWidth="1"/>
    <col min="5" max="5" width="10.25" style="22" hidden="1" customWidth="1"/>
    <col min="6" max="6" width="13.83203125" style="22" hidden="1" customWidth="1"/>
    <col min="7" max="7" width="21.75" style="22" hidden="1" customWidth="1"/>
    <col min="8" max="8" width="11.83203125" style="22" hidden="1" customWidth="1"/>
    <col min="9" max="9" width="15.83203125" style="22" hidden="1" customWidth="1"/>
    <col min="10" max="10" width="13" style="22" hidden="1" customWidth="1"/>
    <col min="11" max="11" width="9.75" style="22" hidden="1" customWidth="1"/>
    <col min="12" max="12" width="9.58203125" style="22" hidden="1" customWidth="1"/>
    <col min="13" max="13" width="17.58203125" style="15" customWidth="1"/>
    <col min="14" max="14" width="23.1640625" style="15" customWidth="1"/>
    <col min="15" max="15" width="25.75" style="15" customWidth="1"/>
    <col min="16" max="16" width="0" style="15" hidden="1" customWidth="1"/>
    <col min="17" max="17" width="15.1640625" style="15" hidden="1" customWidth="1"/>
    <col min="18" max="18" width="9" style="15" hidden="1" customWidth="1"/>
    <col min="19" max="19" width="15" style="15" hidden="1" customWidth="1"/>
    <col min="20" max="20" width="9" style="15" hidden="1" customWidth="1"/>
    <col min="21" max="21" width="15" style="15" hidden="1" customWidth="1"/>
    <col min="22" max="23" width="0" style="15" hidden="1" customWidth="1"/>
    <col min="24" max="16384" width="9" style="15"/>
  </cols>
  <sheetData>
    <row r="1" spans="1:22" s="21" customFormat="1" x14ac:dyDescent="0.3">
      <c r="A1" s="528" t="s">
        <v>315</v>
      </c>
      <c r="B1" s="528"/>
      <c r="C1" s="528"/>
      <c r="D1" s="528"/>
      <c r="E1" s="528"/>
      <c r="F1" s="528"/>
      <c r="G1" s="528"/>
      <c r="H1" s="528"/>
      <c r="I1" s="528"/>
      <c r="J1" s="528"/>
      <c r="K1" s="528"/>
      <c r="L1" s="528"/>
      <c r="M1" s="528"/>
      <c r="N1" s="528"/>
      <c r="O1" s="528"/>
    </row>
    <row r="2" spans="1:22" s="21" customFormat="1" x14ac:dyDescent="0.3">
      <c r="A2" s="528" t="s">
        <v>75</v>
      </c>
      <c r="B2" s="528"/>
      <c r="C2" s="528"/>
      <c r="D2" s="528"/>
      <c r="E2" s="528"/>
      <c r="F2" s="528"/>
      <c r="G2" s="528"/>
      <c r="H2" s="528"/>
      <c r="I2" s="528"/>
      <c r="J2" s="528"/>
      <c r="K2" s="528"/>
      <c r="L2" s="528"/>
      <c r="M2" s="528"/>
      <c r="N2" s="528"/>
      <c r="O2" s="528"/>
    </row>
    <row r="3" spans="1:22" s="2" customFormat="1" ht="26.25" customHeight="1" x14ac:dyDescent="0.3">
      <c r="A3" s="510" t="str">
        <f>'2'!A2:R2</f>
        <v>(Kèm theo Báo cáo số 809/BC-UBND ngày 27 tháng 11 năm 2023 của UBND tỉnh)</v>
      </c>
      <c r="B3" s="510"/>
      <c r="C3" s="510"/>
      <c r="D3" s="510"/>
      <c r="E3" s="510"/>
      <c r="F3" s="510"/>
      <c r="G3" s="510"/>
      <c r="H3" s="510"/>
      <c r="I3" s="510"/>
      <c r="J3" s="510"/>
      <c r="K3" s="510"/>
      <c r="L3" s="510"/>
      <c r="M3" s="510"/>
      <c r="N3" s="510"/>
      <c r="O3" s="510"/>
    </row>
    <row r="4" spans="1:22" s="13" customFormat="1" ht="67.5" customHeight="1" x14ac:dyDescent="0.3">
      <c r="A4" s="511" t="s">
        <v>0</v>
      </c>
      <c r="B4" s="511" t="s">
        <v>1</v>
      </c>
      <c r="C4" s="513" t="s">
        <v>97</v>
      </c>
      <c r="D4" s="514"/>
      <c r="E4" s="513" t="s">
        <v>170</v>
      </c>
      <c r="F4" s="514"/>
      <c r="G4" s="261" t="s">
        <v>280</v>
      </c>
      <c r="H4" s="513" t="s">
        <v>281</v>
      </c>
      <c r="I4" s="514"/>
      <c r="J4" s="515" t="s">
        <v>148</v>
      </c>
      <c r="K4" s="515" t="s">
        <v>112</v>
      </c>
      <c r="L4" s="515" t="s">
        <v>114</v>
      </c>
      <c r="M4" s="515" t="s">
        <v>334</v>
      </c>
      <c r="N4" s="515" t="s">
        <v>335</v>
      </c>
      <c r="O4" s="511" t="s">
        <v>93</v>
      </c>
    </row>
    <row r="5" spans="1:22" s="13" customFormat="1" ht="53.25" customHeight="1" x14ac:dyDescent="0.3">
      <c r="A5" s="512"/>
      <c r="B5" s="512"/>
      <c r="C5" s="264" t="s">
        <v>100</v>
      </c>
      <c r="D5" s="264" t="s">
        <v>169</v>
      </c>
      <c r="E5" s="264" t="s">
        <v>100</v>
      </c>
      <c r="F5" s="264" t="s">
        <v>171</v>
      </c>
      <c r="G5" s="264" t="s">
        <v>279</v>
      </c>
      <c r="H5" s="264" t="s">
        <v>100</v>
      </c>
      <c r="I5" s="264" t="s">
        <v>177</v>
      </c>
      <c r="J5" s="516"/>
      <c r="K5" s="516"/>
      <c r="L5" s="516"/>
      <c r="M5" s="516"/>
      <c r="N5" s="516"/>
      <c r="O5" s="512"/>
    </row>
    <row r="6" spans="1:22" s="72" customFormat="1" ht="21" customHeight="1" x14ac:dyDescent="0.3">
      <c r="A6" s="260" t="s">
        <v>105</v>
      </c>
      <c r="B6" s="260" t="s">
        <v>106</v>
      </c>
      <c r="C6" s="264" t="s">
        <v>117</v>
      </c>
      <c r="D6" s="263">
        <v>1</v>
      </c>
      <c r="E6" s="262" t="s">
        <v>118</v>
      </c>
      <c r="F6" s="263">
        <v>2</v>
      </c>
      <c r="G6" s="263">
        <v>3</v>
      </c>
      <c r="H6" s="262" t="s">
        <v>119</v>
      </c>
      <c r="I6" s="263">
        <v>4</v>
      </c>
      <c r="J6" s="263">
        <v>5</v>
      </c>
      <c r="K6" s="263">
        <v>7</v>
      </c>
      <c r="L6" s="263">
        <v>8</v>
      </c>
      <c r="M6" s="263" t="s">
        <v>125</v>
      </c>
      <c r="N6" s="263" t="s">
        <v>126</v>
      </c>
      <c r="O6" s="263" t="s">
        <v>124</v>
      </c>
      <c r="P6" s="90"/>
      <c r="Q6" s="72" t="s">
        <v>202</v>
      </c>
      <c r="S6" s="72" t="s">
        <v>203</v>
      </c>
    </row>
    <row r="7" spans="1:22" s="72" customFormat="1" ht="21" customHeight="1" x14ac:dyDescent="0.3">
      <c r="A7" s="408" t="s">
        <v>6</v>
      </c>
      <c r="B7" s="473" t="s">
        <v>325</v>
      </c>
      <c r="C7" s="409"/>
      <c r="D7" s="91"/>
      <c r="E7" s="410"/>
      <c r="F7" s="91"/>
      <c r="G7" s="91"/>
      <c r="H7" s="410"/>
      <c r="I7" s="91"/>
      <c r="J7" s="91"/>
      <c r="K7" s="91"/>
      <c r="L7" s="91"/>
      <c r="M7" s="469">
        <v>11999</v>
      </c>
      <c r="N7" s="469">
        <v>361</v>
      </c>
      <c r="O7" s="469">
        <f>M7+N7</f>
        <v>12360</v>
      </c>
      <c r="P7" s="90"/>
    </row>
    <row r="8" spans="1:22" s="25" customFormat="1" ht="21" customHeight="1" x14ac:dyDescent="0.3">
      <c r="A8" s="412" t="s">
        <v>7</v>
      </c>
      <c r="B8" s="408" t="s">
        <v>327</v>
      </c>
      <c r="C8" s="413">
        <f>26.93+9.74</f>
        <v>36.67</v>
      </c>
      <c r="D8" s="412"/>
      <c r="E8" s="414">
        <f>SUM(E9:E15)</f>
        <v>29424</v>
      </c>
      <c r="F8" s="415"/>
      <c r="G8" s="415"/>
      <c r="H8" s="414">
        <f>SUM(H9:H15)</f>
        <v>2538</v>
      </c>
      <c r="I8" s="415"/>
      <c r="J8" s="416">
        <f>SUM(J9:J16)</f>
        <v>38.299999999999997</v>
      </c>
      <c r="K8" s="417"/>
      <c r="L8" s="417"/>
      <c r="M8" s="469">
        <f>SUM(M9:M16)</f>
        <v>11999</v>
      </c>
      <c r="N8" s="469">
        <f>SUM(N9:N16)</f>
        <v>361</v>
      </c>
      <c r="O8" s="469">
        <f t="shared" ref="O8" si="0">SUM(O9:O16)</f>
        <v>12360</v>
      </c>
    </row>
    <row r="9" spans="1:22" ht="24" customHeight="1" x14ac:dyDescent="0.3">
      <c r="A9" s="418">
        <v>1</v>
      </c>
      <c r="B9" s="419" t="s">
        <v>4</v>
      </c>
      <c r="C9" s="420">
        <v>69.150000000000006</v>
      </c>
      <c r="D9" s="421">
        <v>0.9</v>
      </c>
      <c r="E9" s="422">
        <v>5156</v>
      </c>
      <c r="F9" s="423">
        <v>0.8</v>
      </c>
      <c r="G9" s="424">
        <v>0.1</v>
      </c>
      <c r="H9" s="425">
        <v>405</v>
      </c>
      <c r="I9" s="426">
        <v>0.7</v>
      </c>
      <c r="J9" s="427">
        <f>(D9+F9)*3+G9+I9</f>
        <v>5.9</v>
      </c>
      <c r="K9" s="428">
        <f>$M$7/$J$8</f>
        <v>313.28981723237598</v>
      </c>
      <c r="L9" s="428">
        <f>$N$7/$J$8</f>
        <v>9.4255874673629254</v>
      </c>
      <c r="M9" s="470">
        <v>1200</v>
      </c>
      <c r="N9" s="470">
        <v>36</v>
      </c>
      <c r="O9" s="470">
        <f>M9+N9</f>
        <v>1236</v>
      </c>
      <c r="Q9" s="15">
        <f>J9*K9</f>
        <v>1848.4099216710183</v>
      </c>
      <c r="S9" s="15">
        <f>J9*L9</f>
        <v>55.61096605744126</v>
      </c>
      <c r="U9" s="165">
        <f>M7*0.1</f>
        <v>1199.9000000000001</v>
      </c>
      <c r="V9" s="165">
        <f>N7*0.1</f>
        <v>36.1</v>
      </c>
    </row>
    <row r="10" spans="1:22" ht="24" hidden="1" customHeight="1" x14ac:dyDescent="0.3">
      <c r="A10" s="429">
        <v>2</v>
      </c>
      <c r="B10" s="430" t="s">
        <v>3</v>
      </c>
      <c r="C10" s="431">
        <v>41.64</v>
      </c>
      <c r="D10" s="432">
        <v>0.7</v>
      </c>
      <c r="E10" s="433">
        <v>5061</v>
      </c>
      <c r="F10" s="434">
        <v>0.8</v>
      </c>
      <c r="G10" s="435">
        <v>0.1</v>
      </c>
      <c r="H10" s="433">
        <v>150</v>
      </c>
      <c r="I10" s="436">
        <v>0.5</v>
      </c>
      <c r="J10" s="437">
        <f t="shared" ref="J10:J16" si="1">(D10+F10)*3+G10+I10</f>
        <v>5.0999999999999996</v>
      </c>
      <c r="K10" s="438">
        <f t="shared" ref="K10:K16" si="2">$M$7/$J$8</f>
        <v>313.28981723237598</v>
      </c>
      <c r="L10" s="438">
        <f t="shared" ref="L10:L16" si="3">$N$7/$J$8</f>
        <v>9.4255874673629254</v>
      </c>
      <c r="M10" s="471"/>
      <c r="N10" s="471"/>
      <c r="O10" s="471"/>
      <c r="Q10" s="15">
        <f t="shared" ref="Q10:Q16" si="4">J10*K10</f>
        <v>1597.7780678851175</v>
      </c>
      <c r="S10" s="15">
        <f t="shared" ref="S10:S16" si="5">J10*L10</f>
        <v>48.070496083550914</v>
      </c>
    </row>
    <row r="11" spans="1:22" ht="24" customHeight="1" x14ac:dyDescent="0.3">
      <c r="A11" s="429">
        <v>2</v>
      </c>
      <c r="B11" s="430" t="s">
        <v>8</v>
      </c>
      <c r="C11" s="431">
        <v>63.42</v>
      </c>
      <c r="D11" s="432">
        <v>0.9</v>
      </c>
      <c r="E11" s="433">
        <v>4717</v>
      </c>
      <c r="F11" s="434">
        <v>0.7</v>
      </c>
      <c r="G11" s="435">
        <v>0.1</v>
      </c>
      <c r="H11" s="433">
        <v>305</v>
      </c>
      <c r="I11" s="436">
        <v>0.6</v>
      </c>
      <c r="J11" s="437">
        <f t="shared" si="1"/>
        <v>5.5</v>
      </c>
      <c r="K11" s="438">
        <f t="shared" si="2"/>
        <v>313.28981723237598</v>
      </c>
      <c r="L11" s="438">
        <f t="shared" si="3"/>
        <v>9.4255874673629254</v>
      </c>
      <c r="M11" s="471">
        <v>1200</v>
      </c>
      <c r="N11" s="471">
        <v>36</v>
      </c>
      <c r="O11" s="471">
        <f>M11+N11</f>
        <v>1236</v>
      </c>
      <c r="Q11" s="15">
        <f t="shared" si="4"/>
        <v>1723.093994778068</v>
      </c>
      <c r="S11" s="15">
        <f t="shared" si="5"/>
        <v>51.840731070496091</v>
      </c>
      <c r="U11" s="165">
        <f>M7*0.1</f>
        <v>1199.9000000000001</v>
      </c>
      <c r="V11" s="165">
        <f>N7*0.1</f>
        <v>36.1</v>
      </c>
    </row>
    <row r="12" spans="1:22" ht="24" hidden="1" customHeight="1" x14ac:dyDescent="0.3">
      <c r="A12" s="429">
        <v>4</v>
      </c>
      <c r="B12" s="430" t="s">
        <v>11</v>
      </c>
      <c r="C12" s="431">
        <v>30.96</v>
      </c>
      <c r="D12" s="432">
        <v>0.6</v>
      </c>
      <c r="E12" s="433">
        <v>2684</v>
      </c>
      <c r="F12" s="434">
        <v>0.5</v>
      </c>
      <c r="G12" s="435">
        <v>0.1</v>
      </c>
      <c r="H12" s="433">
        <v>241</v>
      </c>
      <c r="I12" s="436">
        <v>0.6</v>
      </c>
      <c r="J12" s="437">
        <f t="shared" si="1"/>
        <v>4</v>
      </c>
      <c r="K12" s="438">
        <f t="shared" si="2"/>
        <v>313.28981723237598</v>
      </c>
      <c r="L12" s="438">
        <f t="shared" si="3"/>
        <v>9.4255874673629254</v>
      </c>
      <c r="M12" s="471"/>
      <c r="N12" s="471"/>
      <c r="O12" s="471"/>
      <c r="Q12" s="15">
        <f t="shared" si="4"/>
        <v>1253.1592689295039</v>
      </c>
      <c r="S12" s="15">
        <f t="shared" si="5"/>
        <v>37.702349869451702</v>
      </c>
    </row>
    <row r="13" spans="1:22" ht="24" hidden="1" customHeight="1" x14ac:dyDescent="0.3">
      <c r="A13" s="429">
        <v>5</v>
      </c>
      <c r="B13" s="430" t="s">
        <v>12</v>
      </c>
      <c r="C13" s="431">
        <v>27.12</v>
      </c>
      <c r="D13" s="432">
        <v>0.5</v>
      </c>
      <c r="E13" s="433">
        <v>3579</v>
      </c>
      <c r="F13" s="434">
        <v>0.6</v>
      </c>
      <c r="G13" s="435">
        <v>0.1</v>
      </c>
      <c r="H13" s="433">
        <v>559</v>
      </c>
      <c r="I13" s="436">
        <v>0.7</v>
      </c>
      <c r="J13" s="437">
        <f t="shared" si="1"/>
        <v>4.1000000000000005</v>
      </c>
      <c r="K13" s="438">
        <f t="shared" si="2"/>
        <v>313.28981723237598</v>
      </c>
      <c r="L13" s="438">
        <f t="shared" si="3"/>
        <v>9.4255874673629254</v>
      </c>
      <c r="M13" s="471"/>
      <c r="N13" s="471"/>
      <c r="O13" s="471"/>
      <c r="Q13" s="15">
        <f t="shared" si="4"/>
        <v>1284.4882506527417</v>
      </c>
      <c r="S13" s="15">
        <f t="shared" si="5"/>
        <v>38.644908616187998</v>
      </c>
    </row>
    <row r="14" spans="1:22" ht="24" hidden="1" customHeight="1" x14ac:dyDescent="0.3">
      <c r="A14" s="429">
        <v>6</v>
      </c>
      <c r="B14" s="430" t="s">
        <v>13</v>
      </c>
      <c r="C14" s="431">
        <v>33.4</v>
      </c>
      <c r="D14" s="432">
        <v>0.6</v>
      </c>
      <c r="E14" s="433">
        <v>3459</v>
      </c>
      <c r="F14" s="434">
        <v>0.6</v>
      </c>
      <c r="G14" s="435">
        <v>0.1</v>
      </c>
      <c r="H14" s="433">
        <v>733</v>
      </c>
      <c r="I14" s="436">
        <v>0.7</v>
      </c>
      <c r="J14" s="437">
        <f t="shared" si="1"/>
        <v>4.3999999999999995</v>
      </c>
      <c r="K14" s="438">
        <f t="shared" si="2"/>
        <v>313.28981723237598</v>
      </c>
      <c r="L14" s="438">
        <f t="shared" si="3"/>
        <v>9.4255874673629254</v>
      </c>
      <c r="M14" s="471"/>
      <c r="N14" s="471"/>
      <c r="O14" s="471"/>
      <c r="Q14" s="15">
        <f t="shared" si="4"/>
        <v>1378.4751958224542</v>
      </c>
      <c r="S14" s="15">
        <f t="shared" si="5"/>
        <v>41.472584856396864</v>
      </c>
    </row>
    <row r="15" spans="1:22" ht="24" hidden="1" customHeight="1" x14ac:dyDescent="0.3">
      <c r="A15" s="429">
        <v>7</v>
      </c>
      <c r="B15" s="430" t="s">
        <v>14</v>
      </c>
      <c r="C15" s="431">
        <v>46.839999999999996</v>
      </c>
      <c r="D15" s="432">
        <v>0.7</v>
      </c>
      <c r="E15" s="433">
        <v>4768</v>
      </c>
      <c r="F15" s="434">
        <v>0.7</v>
      </c>
      <c r="G15" s="435">
        <v>0.1</v>
      </c>
      <c r="H15" s="433">
        <v>145</v>
      </c>
      <c r="I15" s="436">
        <v>0.5</v>
      </c>
      <c r="J15" s="437">
        <f t="shared" si="1"/>
        <v>4.7999999999999989</v>
      </c>
      <c r="K15" s="438">
        <f t="shared" si="2"/>
        <v>313.28981723237598</v>
      </c>
      <c r="L15" s="438">
        <f t="shared" si="3"/>
        <v>9.4255874673629254</v>
      </c>
      <c r="M15" s="471"/>
      <c r="N15" s="471"/>
      <c r="O15" s="471"/>
      <c r="Q15" s="15">
        <f t="shared" si="4"/>
        <v>1503.7911227154043</v>
      </c>
      <c r="S15" s="15">
        <f t="shared" si="5"/>
        <v>45.242819843342033</v>
      </c>
    </row>
    <row r="16" spans="1:22" ht="22.5" customHeight="1" x14ac:dyDescent="0.3">
      <c r="A16" s="439">
        <v>3</v>
      </c>
      <c r="B16" s="440" t="s">
        <v>20</v>
      </c>
      <c r="C16" s="441">
        <v>36.67</v>
      </c>
      <c r="D16" s="442">
        <v>0.6</v>
      </c>
      <c r="E16" s="443">
        <v>3735.125</v>
      </c>
      <c r="F16" s="444">
        <v>0.6</v>
      </c>
      <c r="G16" s="445">
        <v>0.3</v>
      </c>
      <c r="H16" s="443">
        <v>276</v>
      </c>
      <c r="I16" s="446">
        <v>0.6</v>
      </c>
      <c r="J16" s="447">
        <f t="shared" si="1"/>
        <v>4.4999999999999991</v>
      </c>
      <c r="K16" s="448">
        <f t="shared" si="2"/>
        <v>313.28981723237598</v>
      </c>
      <c r="L16" s="448">
        <f t="shared" si="3"/>
        <v>9.4255874673629254</v>
      </c>
      <c r="M16" s="472">
        <v>9599</v>
      </c>
      <c r="N16" s="472">
        <v>289</v>
      </c>
      <c r="O16" s="472">
        <f>M16+N16</f>
        <v>9888</v>
      </c>
      <c r="Q16" s="15">
        <f t="shared" si="4"/>
        <v>1409.8041775456916</v>
      </c>
      <c r="S16" s="15">
        <f t="shared" si="5"/>
        <v>42.415143603133153</v>
      </c>
      <c r="U16" s="165">
        <f>M7*0.8</f>
        <v>9599.2000000000007</v>
      </c>
      <c r="V16" s="165">
        <f>N7*0.8</f>
        <v>288.8</v>
      </c>
    </row>
    <row r="17" spans="1:17" s="25" customFormat="1" ht="17.5" x14ac:dyDescent="0.3">
      <c r="A17" s="449" t="s">
        <v>22</v>
      </c>
      <c r="B17" s="450" t="s">
        <v>326</v>
      </c>
      <c r="C17" s="451"/>
      <c r="D17" s="452"/>
      <c r="E17" s="411"/>
      <c r="F17" s="453"/>
      <c r="G17" s="454"/>
      <c r="H17" s="411"/>
      <c r="I17" s="455"/>
      <c r="J17" s="416"/>
      <c r="K17" s="417"/>
      <c r="L17" s="417"/>
      <c r="M17" s="469">
        <f t="shared" ref="M17:N17" si="6">M7-M8</f>
        <v>0</v>
      </c>
      <c r="N17" s="469">
        <f t="shared" si="6"/>
        <v>0</v>
      </c>
      <c r="O17" s="469">
        <f>O7-O8</f>
        <v>0</v>
      </c>
    </row>
    <row r="18" spans="1:17" x14ac:dyDescent="0.3">
      <c r="B18" s="196" t="s">
        <v>201</v>
      </c>
    </row>
    <row r="19" spans="1:17" x14ac:dyDescent="0.3">
      <c r="B19" s="529" t="s">
        <v>352</v>
      </c>
      <c r="C19" s="529"/>
      <c r="D19" s="529"/>
      <c r="E19" s="529"/>
      <c r="F19" s="529"/>
      <c r="G19" s="529"/>
      <c r="H19" s="529"/>
      <c r="I19" s="529"/>
      <c r="J19" s="529"/>
      <c r="K19" s="529"/>
      <c r="L19" s="529"/>
      <c r="M19" s="529"/>
      <c r="N19" s="529"/>
      <c r="O19" s="529"/>
      <c r="P19" s="529"/>
      <c r="Q19" s="122" t="s">
        <v>259</v>
      </c>
    </row>
    <row r="20" spans="1:17" ht="84" customHeight="1" x14ac:dyDescent="0.3">
      <c r="B20" s="529" t="s">
        <v>353</v>
      </c>
      <c r="C20" s="529"/>
      <c r="D20" s="529"/>
      <c r="E20" s="529"/>
      <c r="F20" s="529"/>
      <c r="G20" s="529"/>
      <c r="H20" s="529"/>
      <c r="I20" s="529"/>
      <c r="J20" s="529"/>
      <c r="K20" s="529"/>
      <c r="L20" s="529"/>
      <c r="M20" s="529"/>
      <c r="N20" s="529"/>
      <c r="O20" s="529"/>
    </row>
    <row r="21" spans="1:17" x14ac:dyDescent="0.3">
      <c r="B21" s="186"/>
    </row>
    <row r="22" spans="1:17" x14ac:dyDescent="0.3">
      <c r="B22" s="188"/>
    </row>
    <row r="23" spans="1:17" x14ac:dyDescent="0.3">
      <c r="B23" s="188"/>
    </row>
    <row r="24" spans="1:17" x14ac:dyDescent="0.3">
      <c r="B24" s="531"/>
      <c r="C24" s="531"/>
      <c r="D24" s="531"/>
      <c r="E24" s="531"/>
      <c r="F24" s="531"/>
      <c r="G24" s="531"/>
    </row>
    <row r="25" spans="1:17" x14ac:dyDescent="0.3">
      <c r="B25" s="186"/>
    </row>
    <row r="26" spans="1:17" x14ac:dyDescent="0.3">
      <c r="B26" s="186"/>
    </row>
    <row r="27" spans="1:17" x14ac:dyDescent="0.3">
      <c r="B27" s="186"/>
    </row>
    <row r="28" spans="1:17" x14ac:dyDescent="0.3">
      <c r="B28" s="186"/>
    </row>
    <row r="29" spans="1:17" x14ac:dyDescent="0.3">
      <c r="B29" s="188"/>
    </row>
    <row r="30" spans="1:17" ht="13.5" customHeight="1" x14ac:dyDescent="0.4">
      <c r="B30" s="189"/>
    </row>
    <row r="31" spans="1:17" x14ac:dyDescent="0.3">
      <c r="B31" s="529"/>
      <c r="C31" s="529"/>
      <c r="D31" s="529"/>
      <c r="E31" s="529"/>
      <c r="F31" s="529"/>
      <c r="G31" s="529"/>
      <c r="H31" s="529"/>
      <c r="I31" s="529"/>
      <c r="J31" s="529"/>
      <c r="K31" s="529"/>
      <c r="L31" s="529"/>
      <c r="M31" s="529"/>
      <c r="N31" s="529"/>
      <c r="O31" s="529"/>
      <c r="P31" s="529"/>
    </row>
    <row r="32" spans="1:17" ht="56.25" customHeight="1" x14ac:dyDescent="0.3">
      <c r="B32" s="532"/>
      <c r="C32" s="532"/>
      <c r="D32" s="532"/>
      <c r="E32" s="532"/>
      <c r="F32" s="532"/>
      <c r="G32" s="532"/>
      <c r="H32" s="532"/>
      <c r="I32" s="532"/>
      <c r="J32" s="532"/>
      <c r="K32" s="532"/>
      <c r="L32" s="532"/>
      <c r="M32" s="532"/>
      <c r="N32" s="532"/>
      <c r="O32" s="532"/>
    </row>
    <row r="33" hidden="1" x14ac:dyDescent="0.3"/>
  </sheetData>
  <mergeCells count="19">
    <mergeCell ref="A1:O1"/>
    <mergeCell ref="A2:O2"/>
    <mergeCell ref="A3:O3"/>
    <mergeCell ref="A4:A5"/>
    <mergeCell ref="B4:B5"/>
    <mergeCell ref="C4:D4"/>
    <mergeCell ref="E4:F4"/>
    <mergeCell ref="H4:I4"/>
    <mergeCell ref="J4:J5"/>
    <mergeCell ref="K4:K5"/>
    <mergeCell ref="L4:L5"/>
    <mergeCell ref="M4:M5"/>
    <mergeCell ref="N4:N5"/>
    <mergeCell ref="O4:O5"/>
    <mergeCell ref="B19:P19"/>
    <mergeCell ref="B20:O20"/>
    <mergeCell ref="B32:O32"/>
    <mergeCell ref="B24:G24"/>
    <mergeCell ref="B31:P31"/>
  </mergeCells>
  <pageMargins left="0.78740157480314965" right="0.39370078740157483" top="0.78740157480314965" bottom="0.78740157480314965" header="0.31496062992125984" footer="0.31496062992125984"/>
  <pageSetup paperSize="9" scale="64" firstPageNumber="201" fitToHeight="0" orientation="portrait" useFirstPageNumber="1" r:id="rId1"/>
  <headerFooter>
    <oddHeader>&amp;C&amp;14&amp;P&amp;R&amp;"Times New Roman,Bold Italic"&amp;13Phụ lục 2: Chương trình GNBV
Biểu số 2.5</oddHead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W30"/>
  <sheetViews>
    <sheetView view="pageLayout" zoomScale="70" zoomScaleNormal="100" zoomScaleSheetLayoutView="85" zoomScalePageLayoutView="70" workbookViewId="0">
      <selection activeCell="H8" sqref="H8"/>
    </sheetView>
  </sheetViews>
  <sheetFormatPr defaultColWidth="9" defaultRowHeight="18" x14ac:dyDescent="0.3"/>
  <cols>
    <col min="1" max="1" width="5.4140625" style="21" customWidth="1"/>
    <col min="2" max="2" width="27.4140625" style="15" customWidth="1"/>
    <col min="3" max="3" width="12" style="21" customWidth="1"/>
    <col min="4" max="4" width="14" style="21" customWidth="1"/>
    <col min="5" max="5" width="12.4140625" style="22" customWidth="1"/>
    <col min="6" max="6" width="15" style="22" customWidth="1"/>
    <col min="7" max="7" width="17.4140625" style="22" customWidth="1"/>
    <col min="8" max="8" width="14.4140625" style="22" customWidth="1"/>
    <col min="9" max="9" width="11.83203125" style="22" customWidth="1"/>
    <col min="10" max="10" width="16.25" style="22" customWidth="1"/>
    <col min="11" max="11" width="12.58203125" style="22" customWidth="1"/>
    <col min="12" max="12" width="14" style="22" customWidth="1"/>
    <col min="13" max="13" width="13" style="22" customWidth="1"/>
    <col min="14" max="14" width="9.75" style="22" customWidth="1"/>
    <col min="15" max="15" width="9.58203125" style="22" customWidth="1"/>
    <col min="16" max="16" width="11.58203125" style="15" customWidth="1"/>
    <col min="17" max="17" width="11.83203125" style="15" customWidth="1"/>
    <col min="18" max="18" width="11.75" style="15" customWidth="1"/>
    <col min="19" max="19" width="9" style="15" hidden="1" customWidth="1"/>
    <col min="20" max="20" width="15.1640625" style="15" hidden="1" customWidth="1"/>
    <col min="21" max="21" width="9" style="15" hidden="1" customWidth="1"/>
    <col min="22" max="22" width="15" style="15" hidden="1" customWidth="1"/>
    <col min="23" max="23" width="9" style="15" hidden="1" customWidth="1"/>
    <col min="24" max="24" width="15" style="15" bestFit="1" customWidth="1"/>
    <col min="25" max="16384" width="9" style="15"/>
  </cols>
  <sheetData>
    <row r="1" spans="1:22" s="21" customFormat="1" x14ac:dyDescent="0.3">
      <c r="A1" s="528" t="s">
        <v>96</v>
      </c>
      <c r="B1" s="528"/>
      <c r="C1" s="528"/>
      <c r="D1" s="528"/>
      <c r="E1" s="528"/>
      <c r="F1" s="528"/>
      <c r="G1" s="528"/>
      <c r="H1" s="528"/>
      <c r="I1" s="528"/>
      <c r="J1" s="528"/>
      <c r="K1" s="528"/>
      <c r="L1" s="528"/>
      <c r="M1" s="528"/>
      <c r="N1" s="528"/>
      <c r="O1" s="528"/>
      <c r="P1" s="528"/>
      <c r="Q1" s="528"/>
      <c r="R1" s="528"/>
    </row>
    <row r="2" spans="1:22" s="21" customFormat="1" x14ac:dyDescent="0.3">
      <c r="A2" s="528" t="s">
        <v>76</v>
      </c>
      <c r="B2" s="528"/>
      <c r="C2" s="528"/>
      <c r="D2" s="528"/>
      <c r="E2" s="528"/>
      <c r="F2" s="528"/>
      <c r="G2" s="528"/>
      <c r="H2" s="528"/>
      <c r="I2" s="528"/>
      <c r="J2" s="528"/>
      <c r="K2" s="528"/>
      <c r="L2" s="528"/>
      <c r="M2" s="528"/>
      <c r="N2" s="528"/>
      <c r="O2" s="528"/>
      <c r="P2" s="528"/>
      <c r="Q2" s="528"/>
      <c r="R2" s="528"/>
    </row>
    <row r="3" spans="1:22" s="2" customFormat="1" x14ac:dyDescent="0.3">
      <c r="A3" s="510" t="str">
        <f>'2'!A2:R2</f>
        <v>(Kèm theo Báo cáo số 809/BC-UBND ngày 27 tháng 11 năm 2023 của UBND tỉnh)</v>
      </c>
      <c r="B3" s="510"/>
      <c r="C3" s="510"/>
      <c r="D3" s="510"/>
      <c r="E3" s="510"/>
      <c r="F3" s="510"/>
      <c r="G3" s="510"/>
      <c r="H3" s="510"/>
      <c r="I3" s="510"/>
      <c r="J3" s="510"/>
      <c r="K3" s="510"/>
      <c r="L3" s="510"/>
      <c r="M3" s="510"/>
      <c r="N3" s="510"/>
      <c r="O3" s="510"/>
      <c r="P3" s="510"/>
      <c r="Q3" s="510"/>
      <c r="R3" s="510"/>
    </row>
    <row r="4" spans="1:22" s="13" customFormat="1" ht="60" customHeight="1" x14ac:dyDescent="0.3">
      <c r="A4" s="511" t="s">
        <v>0</v>
      </c>
      <c r="B4" s="511" t="s">
        <v>1</v>
      </c>
      <c r="C4" s="513" t="s">
        <v>97</v>
      </c>
      <c r="D4" s="514"/>
      <c r="E4" s="513" t="s">
        <v>170</v>
      </c>
      <c r="F4" s="514"/>
      <c r="G4" s="517" t="s">
        <v>172</v>
      </c>
      <c r="H4" s="518"/>
      <c r="I4" s="513" t="s">
        <v>174</v>
      </c>
      <c r="J4" s="514"/>
      <c r="K4" s="513" t="s">
        <v>176</v>
      </c>
      <c r="L4" s="514"/>
      <c r="M4" s="515" t="s">
        <v>148</v>
      </c>
      <c r="N4" s="515" t="s">
        <v>112</v>
      </c>
      <c r="O4" s="515" t="s">
        <v>114</v>
      </c>
      <c r="P4" s="533" t="s">
        <v>334</v>
      </c>
      <c r="Q4" s="533" t="s">
        <v>335</v>
      </c>
      <c r="R4" s="511" t="s">
        <v>93</v>
      </c>
    </row>
    <row r="5" spans="1:22" s="13" customFormat="1" ht="42" customHeight="1" x14ac:dyDescent="0.3">
      <c r="A5" s="512"/>
      <c r="B5" s="512"/>
      <c r="C5" s="68" t="s">
        <v>100</v>
      </c>
      <c r="D5" s="68" t="s">
        <v>169</v>
      </c>
      <c r="E5" s="68" t="s">
        <v>100</v>
      </c>
      <c r="F5" s="68" t="s">
        <v>171</v>
      </c>
      <c r="G5" s="387" t="s">
        <v>257</v>
      </c>
      <c r="H5" s="68" t="s">
        <v>173</v>
      </c>
      <c r="I5" s="68" t="s">
        <v>100</v>
      </c>
      <c r="J5" s="68" t="s">
        <v>175</v>
      </c>
      <c r="K5" s="68" t="s">
        <v>100</v>
      </c>
      <c r="L5" s="68" t="s">
        <v>177</v>
      </c>
      <c r="M5" s="516"/>
      <c r="N5" s="516"/>
      <c r="O5" s="516"/>
      <c r="P5" s="534"/>
      <c r="Q5" s="534"/>
      <c r="R5" s="512"/>
    </row>
    <row r="6" spans="1:22" s="72" customFormat="1" ht="23.25" customHeight="1" x14ac:dyDescent="0.3">
      <c r="A6" s="87" t="s">
        <v>105</v>
      </c>
      <c r="B6" s="87" t="s">
        <v>106</v>
      </c>
      <c r="C6" s="68" t="s">
        <v>117</v>
      </c>
      <c r="D6" s="89">
        <v>1</v>
      </c>
      <c r="E6" s="88" t="s">
        <v>118</v>
      </c>
      <c r="F6" s="89">
        <v>2</v>
      </c>
      <c r="G6" s="85" t="s">
        <v>119</v>
      </c>
      <c r="H6" s="89">
        <v>3</v>
      </c>
      <c r="I6" s="88" t="s">
        <v>122</v>
      </c>
      <c r="J6" s="89">
        <v>4</v>
      </c>
      <c r="K6" s="88" t="s">
        <v>123</v>
      </c>
      <c r="L6" s="89">
        <v>5</v>
      </c>
      <c r="M6" s="89" t="s">
        <v>115</v>
      </c>
      <c r="N6" s="89">
        <v>7</v>
      </c>
      <c r="O6" s="89">
        <v>8</v>
      </c>
      <c r="P6" s="89" t="s">
        <v>125</v>
      </c>
      <c r="Q6" s="89" t="s">
        <v>126</v>
      </c>
      <c r="R6" s="89" t="s">
        <v>124</v>
      </c>
      <c r="S6" s="90"/>
      <c r="T6" s="72" t="s">
        <v>202</v>
      </c>
      <c r="V6" s="72" t="s">
        <v>203</v>
      </c>
    </row>
    <row r="7" spans="1:22" ht="23.25" customHeight="1" x14ac:dyDescent="0.3">
      <c r="A7" s="3" t="s">
        <v>6</v>
      </c>
      <c r="B7" s="87" t="s">
        <v>5</v>
      </c>
      <c r="C7" s="315">
        <f>26.93+9.74</f>
        <v>36.67</v>
      </c>
      <c r="D7" s="3"/>
      <c r="E7" s="141">
        <f>SUM(E9:E15)</f>
        <v>29424</v>
      </c>
      <c r="F7" s="7"/>
      <c r="G7" s="7"/>
      <c r="H7" s="7"/>
      <c r="I7" s="141">
        <f>SUM(I8:I15)</f>
        <v>108</v>
      </c>
      <c r="J7" s="7"/>
      <c r="K7" s="141">
        <f t="shared" ref="K7" si="0">SUM(K9:K15)</f>
        <v>2538</v>
      </c>
      <c r="L7" s="7"/>
      <c r="M7" s="126">
        <f>SUM(M8:M15)</f>
        <v>23.990000000000002</v>
      </c>
      <c r="N7" s="14"/>
      <c r="O7" s="14"/>
      <c r="P7" s="173">
        <v>16978</v>
      </c>
      <c r="Q7" s="173">
        <v>509</v>
      </c>
      <c r="R7" s="173">
        <f>SUM(R8:R15)</f>
        <v>17487</v>
      </c>
    </row>
    <row r="8" spans="1:22" ht="23.25" customHeight="1" x14ac:dyDescent="0.3">
      <c r="A8" s="100">
        <v>1</v>
      </c>
      <c r="B8" s="127" t="s">
        <v>10</v>
      </c>
      <c r="C8" s="316">
        <f>2.76+1.04</f>
        <v>3.8</v>
      </c>
      <c r="D8" s="102">
        <v>0.4</v>
      </c>
      <c r="E8" s="142">
        <f>332+125</f>
        <v>457</v>
      </c>
      <c r="F8" s="104">
        <v>0.4</v>
      </c>
      <c r="G8" s="103"/>
      <c r="H8" s="128"/>
      <c r="I8" s="142">
        <v>8</v>
      </c>
      <c r="J8" s="105">
        <v>1</v>
      </c>
      <c r="K8" s="145">
        <v>0</v>
      </c>
      <c r="L8" s="129">
        <v>0</v>
      </c>
      <c r="M8" s="130">
        <f>D8+F8+H8+J8+L8</f>
        <v>1.8</v>
      </c>
      <c r="N8" s="279">
        <f>$P$7/$M$7</f>
        <v>707.71154647769902</v>
      </c>
      <c r="O8" s="279">
        <f>$Q$7/$M$7</f>
        <v>21.217173822426009</v>
      </c>
      <c r="P8" s="142">
        <v>1274</v>
      </c>
      <c r="Q8" s="142">
        <v>38</v>
      </c>
      <c r="R8" s="142">
        <f>P8+Q8</f>
        <v>1312</v>
      </c>
      <c r="T8" s="298">
        <f>M8*N8</f>
        <v>1273.8807836598583</v>
      </c>
      <c r="U8" s="298"/>
      <c r="V8" s="298">
        <f>M8*O8</f>
        <v>38.190912880366817</v>
      </c>
    </row>
    <row r="9" spans="1:22" ht="23.25" customHeight="1" x14ac:dyDescent="0.3">
      <c r="A9" s="106">
        <v>2</v>
      </c>
      <c r="B9" s="131" t="s">
        <v>4</v>
      </c>
      <c r="C9" s="317">
        <f>53.54+15.61</f>
        <v>69.150000000000006</v>
      </c>
      <c r="D9" s="108">
        <v>0.9</v>
      </c>
      <c r="E9" s="143">
        <f>3992+1164</f>
        <v>5156</v>
      </c>
      <c r="F9" s="110">
        <v>0.8</v>
      </c>
      <c r="G9" s="109" t="s">
        <v>19</v>
      </c>
      <c r="H9" s="132">
        <v>0.12</v>
      </c>
      <c r="I9" s="143">
        <v>10</v>
      </c>
      <c r="J9" s="111">
        <v>1</v>
      </c>
      <c r="K9" s="143">
        <v>405</v>
      </c>
      <c r="L9" s="111">
        <v>0.7</v>
      </c>
      <c r="M9" s="133">
        <f t="shared" ref="M9:M15" si="1">D9+F9+H9+J9+L9</f>
        <v>3.5200000000000005</v>
      </c>
      <c r="N9" s="280">
        <f t="shared" ref="N9:N15" si="2">$P$7/$M$7</f>
        <v>707.71154647769902</v>
      </c>
      <c r="O9" s="280">
        <f t="shared" ref="O9:O15" si="3">$Q$7/$M$7</f>
        <v>21.217173822426009</v>
      </c>
      <c r="P9" s="143">
        <v>2491</v>
      </c>
      <c r="Q9" s="143">
        <v>75</v>
      </c>
      <c r="R9" s="143">
        <f t="shared" ref="R9:R15" si="4">P9+Q9</f>
        <v>2566</v>
      </c>
      <c r="T9" s="298">
        <f t="shared" ref="T9:T15" si="5">M9*N9</f>
        <v>2491.1446436015008</v>
      </c>
      <c r="U9" s="298"/>
      <c r="V9" s="298">
        <f t="shared" ref="V9:V15" si="6">M9*O9</f>
        <v>74.684451854939567</v>
      </c>
    </row>
    <row r="10" spans="1:22" ht="23.25" customHeight="1" x14ac:dyDescent="0.3">
      <c r="A10" s="106">
        <v>3</v>
      </c>
      <c r="B10" s="131" t="s">
        <v>3</v>
      </c>
      <c r="C10" s="317">
        <f>28.33+13.31</f>
        <v>41.64</v>
      </c>
      <c r="D10" s="108">
        <v>0.7</v>
      </c>
      <c r="E10" s="143">
        <f>3443+1618</f>
        <v>5061</v>
      </c>
      <c r="F10" s="110">
        <v>0.8</v>
      </c>
      <c r="G10" s="109"/>
      <c r="H10" s="132"/>
      <c r="I10" s="143">
        <v>15</v>
      </c>
      <c r="J10" s="111">
        <v>1.1499999999999999</v>
      </c>
      <c r="K10" s="143">
        <v>150</v>
      </c>
      <c r="L10" s="111">
        <v>0.5</v>
      </c>
      <c r="M10" s="133">
        <f t="shared" si="1"/>
        <v>3.15</v>
      </c>
      <c r="N10" s="280">
        <f t="shared" si="2"/>
        <v>707.71154647769902</v>
      </c>
      <c r="O10" s="280">
        <f t="shared" si="3"/>
        <v>21.217173822426009</v>
      </c>
      <c r="P10" s="143">
        <v>2229</v>
      </c>
      <c r="Q10" s="143">
        <v>67</v>
      </c>
      <c r="R10" s="143">
        <f t="shared" si="4"/>
        <v>2296</v>
      </c>
      <c r="T10" s="298">
        <f t="shared" si="5"/>
        <v>2229.2913714047518</v>
      </c>
      <c r="U10" s="298"/>
      <c r="V10" s="298">
        <f t="shared" si="6"/>
        <v>66.83409754064192</v>
      </c>
    </row>
    <row r="11" spans="1:22" ht="23.25" customHeight="1" x14ac:dyDescent="0.3">
      <c r="A11" s="106">
        <v>4</v>
      </c>
      <c r="B11" s="131" t="s">
        <v>8</v>
      </c>
      <c r="C11" s="317">
        <f>51.13+12.29</f>
        <v>63.42</v>
      </c>
      <c r="D11" s="108">
        <v>0.9</v>
      </c>
      <c r="E11" s="143">
        <f>3803+914</f>
        <v>4717</v>
      </c>
      <c r="F11" s="110">
        <v>0.7</v>
      </c>
      <c r="G11" s="109" t="s">
        <v>19</v>
      </c>
      <c r="H11" s="132">
        <v>0.12</v>
      </c>
      <c r="I11" s="143">
        <v>10</v>
      </c>
      <c r="J11" s="111">
        <v>1</v>
      </c>
      <c r="K11" s="143">
        <v>305</v>
      </c>
      <c r="L11" s="111">
        <v>0.6</v>
      </c>
      <c r="M11" s="133">
        <f t="shared" si="1"/>
        <v>3.3200000000000003</v>
      </c>
      <c r="N11" s="280">
        <f t="shared" si="2"/>
        <v>707.71154647769902</v>
      </c>
      <c r="O11" s="280">
        <f t="shared" si="3"/>
        <v>21.217173822426009</v>
      </c>
      <c r="P11" s="143">
        <v>2349</v>
      </c>
      <c r="Q11" s="143">
        <v>70</v>
      </c>
      <c r="R11" s="143">
        <f t="shared" si="4"/>
        <v>2419</v>
      </c>
      <c r="T11" s="298">
        <f t="shared" si="5"/>
        <v>2349.602334305961</v>
      </c>
      <c r="U11" s="298"/>
      <c r="V11" s="298">
        <f t="shared" si="6"/>
        <v>70.441017090454352</v>
      </c>
    </row>
    <row r="12" spans="1:22" ht="23.25" customHeight="1" x14ac:dyDescent="0.3">
      <c r="A12" s="106">
        <v>5</v>
      </c>
      <c r="B12" s="131" t="s">
        <v>11</v>
      </c>
      <c r="C12" s="317">
        <f>20.66+10.3</f>
        <v>30.96</v>
      </c>
      <c r="D12" s="108">
        <v>0.6</v>
      </c>
      <c r="E12" s="143">
        <f>1791+893</f>
        <v>2684</v>
      </c>
      <c r="F12" s="110">
        <v>0.5</v>
      </c>
      <c r="G12" s="109"/>
      <c r="H12" s="132"/>
      <c r="I12" s="143">
        <v>14</v>
      </c>
      <c r="J12" s="111">
        <v>1.1499999999999999</v>
      </c>
      <c r="K12" s="143">
        <v>241</v>
      </c>
      <c r="L12" s="111">
        <v>0.6</v>
      </c>
      <c r="M12" s="133">
        <f t="shared" si="1"/>
        <v>2.85</v>
      </c>
      <c r="N12" s="280">
        <f t="shared" si="2"/>
        <v>707.71154647769902</v>
      </c>
      <c r="O12" s="280">
        <f t="shared" si="3"/>
        <v>21.217173822426009</v>
      </c>
      <c r="P12" s="143">
        <v>2017</v>
      </c>
      <c r="Q12" s="143">
        <v>60</v>
      </c>
      <c r="R12" s="143">
        <f t="shared" si="4"/>
        <v>2077</v>
      </c>
      <c r="T12" s="298">
        <f t="shared" si="5"/>
        <v>2016.9779074614423</v>
      </c>
      <c r="U12" s="298"/>
      <c r="V12" s="298">
        <f t="shared" si="6"/>
        <v>60.468945393914126</v>
      </c>
    </row>
    <row r="13" spans="1:22" ht="23.25" customHeight="1" x14ac:dyDescent="0.3">
      <c r="A13" s="106">
        <v>6</v>
      </c>
      <c r="B13" s="131" t="s">
        <v>12</v>
      </c>
      <c r="C13" s="317">
        <f>18.37+8.75</f>
        <v>27.12</v>
      </c>
      <c r="D13" s="108">
        <v>0.5</v>
      </c>
      <c r="E13" s="143">
        <f>2424+1155</f>
        <v>3579</v>
      </c>
      <c r="F13" s="110">
        <v>0.6</v>
      </c>
      <c r="G13" s="109"/>
      <c r="H13" s="132"/>
      <c r="I13" s="143">
        <v>20</v>
      </c>
      <c r="J13" s="111">
        <v>1.3</v>
      </c>
      <c r="K13" s="143">
        <v>559</v>
      </c>
      <c r="L13" s="111">
        <v>0.7</v>
      </c>
      <c r="M13" s="133">
        <f t="shared" si="1"/>
        <v>3.1000000000000005</v>
      </c>
      <c r="N13" s="280">
        <f t="shared" si="2"/>
        <v>707.71154647769902</v>
      </c>
      <c r="O13" s="280">
        <f t="shared" si="3"/>
        <v>21.217173822426009</v>
      </c>
      <c r="P13" s="143">
        <v>2194</v>
      </c>
      <c r="Q13" s="143">
        <v>66</v>
      </c>
      <c r="R13" s="143">
        <f t="shared" si="4"/>
        <v>2260</v>
      </c>
      <c r="T13" s="298">
        <f t="shared" si="5"/>
        <v>2193.9057940808675</v>
      </c>
      <c r="U13" s="298"/>
      <c r="V13" s="298">
        <f t="shared" si="6"/>
        <v>65.773238849520638</v>
      </c>
    </row>
    <row r="14" spans="1:22" ht="23.25" customHeight="1" x14ac:dyDescent="0.3">
      <c r="A14" s="106">
        <v>7</v>
      </c>
      <c r="B14" s="131" t="s">
        <v>13</v>
      </c>
      <c r="C14" s="317">
        <f>21.32+12.08</f>
        <v>33.4</v>
      </c>
      <c r="D14" s="108">
        <v>0.6</v>
      </c>
      <c r="E14" s="143">
        <f>2208+1251</f>
        <v>3459</v>
      </c>
      <c r="F14" s="110">
        <v>0.6</v>
      </c>
      <c r="G14" s="109"/>
      <c r="H14" s="132"/>
      <c r="I14" s="143">
        <v>14</v>
      </c>
      <c r="J14" s="111">
        <v>1.1499999999999999</v>
      </c>
      <c r="K14" s="143">
        <v>733</v>
      </c>
      <c r="L14" s="111">
        <v>0.7</v>
      </c>
      <c r="M14" s="133">
        <f t="shared" si="1"/>
        <v>3.05</v>
      </c>
      <c r="N14" s="280">
        <f t="shared" si="2"/>
        <v>707.71154647769902</v>
      </c>
      <c r="O14" s="280">
        <f t="shared" si="3"/>
        <v>21.217173822426009</v>
      </c>
      <c r="P14" s="143">
        <v>2159</v>
      </c>
      <c r="Q14" s="143">
        <v>65</v>
      </c>
      <c r="R14" s="143">
        <f t="shared" si="4"/>
        <v>2224</v>
      </c>
      <c r="T14" s="298">
        <f t="shared" si="5"/>
        <v>2158.5202167569819</v>
      </c>
      <c r="U14" s="298"/>
      <c r="V14" s="298">
        <f t="shared" si="6"/>
        <v>64.712380158399327</v>
      </c>
    </row>
    <row r="15" spans="1:22" ht="23.25" customHeight="1" x14ac:dyDescent="0.3">
      <c r="A15" s="112">
        <v>8</v>
      </c>
      <c r="B15" s="134" t="s">
        <v>14</v>
      </c>
      <c r="C15" s="318">
        <f>38.83+8.01</f>
        <v>46.839999999999996</v>
      </c>
      <c r="D15" s="114">
        <v>0.7</v>
      </c>
      <c r="E15" s="144">
        <f>3953+815</f>
        <v>4768</v>
      </c>
      <c r="F15" s="116">
        <v>0.7</v>
      </c>
      <c r="G15" s="115"/>
      <c r="H15" s="135"/>
      <c r="I15" s="144">
        <v>17</v>
      </c>
      <c r="J15" s="117">
        <v>1.3</v>
      </c>
      <c r="K15" s="144">
        <v>145</v>
      </c>
      <c r="L15" s="117">
        <v>0.5</v>
      </c>
      <c r="M15" s="136">
        <f t="shared" si="1"/>
        <v>3.2</v>
      </c>
      <c r="N15" s="137">
        <f t="shared" si="2"/>
        <v>707.71154647769902</v>
      </c>
      <c r="O15" s="137">
        <f t="shared" si="3"/>
        <v>21.217173822426009</v>
      </c>
      <c r="P15" s="144">
        <v>2265</v>
      </c>
      <c r="Q15" s="144">
        <v>68</v>
      </c>
      <c r="R15" s="144">
        <f t="shared" si="4"/>
        <v>2333</v>
      </c>
      <c r="T15" s="298">
        <f t="shared" si="5"/>
        <v>2264.6769487286369</v>
      </c>
      <c r="U15" s="298"/>
      <c r="V15" s="298">
        <f t="shared" si="6"/>
        <v>67.894956231763231</v>
      </c>
    </row>
    <row r="16" spans="1:22" x14ac:dyDescent="0.3">
      <c r="B16" s="196" t="s">
        <v>201</v>
      </c>
    </row>
    <row r="17" spans="2:20" x14ac:dyDescent="0.3">
      <c r="B17" s="186" t="s">
        <v>178</v>
      </c>
      <c r="T17" s="122" t="s">
        <v>259</v>
      </c>
    </row>
    <row r="18" spans="2:20" ht="21.5" x14ac:dyDescent="0.3">
      <c r="B18" s="530" t="s">
        <v>179</v>
      </c>
      <c r="C18" s="530"/>
      <c r="D18" s="530"/>
      <c r="E18" s="530"/>
      <c r="F18" s="530"/>
      <c r="G18" s="530"/>
      <c r="H18" s="530"/>
    </row>
    <row r="19" spans="2:20" x14ac:dyDescent="0.3">
      <c r="B19" s="186" t="s">
        <v>69</v>
      </c>
    </row>
    <row r="20" spans="2:20" ht="21.5" x14ac:dyDescent="0.3">
      <c r="B20" s="188" t="s">
        <v>180</v>
      </c>
    </row>
    <row r="21" spans="2:20" ht="21.5" x14ac:dyDescent="0.3">
      <c r="B21" s="188" t="s">
        <v>181</v>
      </c>
    </row>
    <row r="22" spans="2:20" ht="21" x14ac:dyDescent="0.3">
      <c r="B22" s="531" t="s">
        <v>182</v>
      </c>
      <c r="C22" s="531"/>
      <c r="D22" s="531"/>
      <c r="E22" s="531"/>
      <c r="F22" s="531"/>
      <c r="G22" s="531"/>
      <c r="H22" s="531"/>
    </row>
    <row r="23" spans="2:20" ht="21" x14ac:dyDescent="0.3">
      <c r="B23" s="186" t="s">
        <v>183</v>
      </c>
    </row>
    <row r="24" spans="2:20" ht="21" x14ac:dyDescent="0.3">
      <c r="B24" s="186" t="s">
        <v>184</v>
      </c>
    </row>
    <row r="25" spans="2:20" ht="21" x14ac:dyDescent="0.3">
      <c r="B25" s="186" t="s">
        <v>153</v>
      </c>
    </row>
    <row r="26" spans="2:20" ht="21" x14ac:dyDescent="0.3">
      <c r="B26" s="186" t="s">
        <v>154</v>
      </c>
    </row>
    <row r="27" spans="2:20" ht="21" x14ac:dyDescent="0.3">
      <c r="B27" s="186" t="s">
        <v>185</v>
      </c>
    </row>
    <row r="28" spans="2:20" x14ac:dyDescent="0.3">
      <c r="B28" s="188" t="s">
        <v>186</v>
      </c>
    </row>
    <row r="29" spans="2:20" ht="13.5" customHeight="1" x14ac:dyDescent="0.4">
      <c r="B29" s="189"/>
    </row>
    <row r="30" spans="2:20" x14ac:dyDescent="0.3">
      <c r="B30" s="529" t="s">
        <v>328</v>
      </c>
      <c r="C30" s="529"/>
      <c r="D30" s="529"/>
      <c r="E30" s="529"/>
      <c r="F30" s="529"/>
      <c r="G30" s="529"/>
      <c r="H30" s="529"/>
      <c r="I30" s="529"/>
      <c r="J30" s="529"/>
      <c r="K30" s="529"/>
      <c r="L30" s="529"/>
      <c r="M30" s="529"/>
      <c r="N30" s="529"/>
      <c r="O30" s="529"/>
      <c r="P30" s="529"/>
      <c r="Q30" s="529"/>
      <c r="R30" s="529"/>
      <c r="S30" s="529"/>
    </row>
  </sheetData>
  <mergeCells count="19">
    <mergeCell ref="A4:A5"/>
    <mergeCell ref="B18:H18"/>
    <mergeCell ref="B22:H22"/>
    <mergeCell ref="B30:S30"/>
    <mergeCell ref="A1:R1"/>
    <mergeCell ref="A2:R2"/>
    <mergeCell ref="A3:R3"/>
    <mergeCell ref="C4:D4"/>
    <mergeCell ref="E4:F4"/>
    <mergeCell ref="G4:H4"/>
    <mergeCell ref="I4:J4"/>
    <mergeCell ref="K4:L4"/>
    <mergeCell ref="M4:M5"/>
    <mergeCell ref="O4:O5"/>
    <mergeCell ref="N4:N5"/>
    <mergeCell ref="P4:P5"/>
    <mergeCell ref="Q4:Q5"/>
    <mergeCell ref="R4:R5"/>
    <mergeCell ref="B4:B5"/>
  </mergeCells>
  <pageMargins left="0.78740157480314965" right="0.39370078740157483" top="0.78740157480314965" bottom="0.78740157480314965" header="0.31496062992125984" footer="0.31496062992125984"/>
  <pageSetup paperSize="9" scale="54" firstPageNumber="202" fitToHeight="0" orientation="landscape" useFirstPageNumber="1" r:id="rId1"/>
  <headerFooter>
    <oddHeader>&amp;C&amp;"Times New Roman,Regular"&amp;14&amp;P&amp;R&amp;"Times New Roman,Bold Italic"&amp;12Phụ lục 2: Chương trình GNBV
Biểu số 2.6</oddHead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Q23"/>
  <sheetViews>
    <sheetView view="pageLayout" zoomScale="70" zoomScaleNormal="100" zoomScaleSheetLayoutView="85" zoomScalePageLayoutView="70" workbookViewId="0">
      <selection activeCell="O1" sqref="O1:Q1048576"/>
    </sheetView>
  </sheetViews>
  <sheetFormatPr defaultColWidth="9" defaultRowHeight="18" x14ac:dyDescent="0.3"/>
  <cols>
    <col min="1" max="1" width="7.1640625" style="21" customWidth="1"/>
    <col min="2" max="2" width="24.83203125" style="15" customWidth="1"/>
    <col min="3" max="3" width="11" style="21" customWidth="1"/>
    <col min="4" max="4" width="9.83203125" style="21" customWidth="1"/>
    <col min="5" max="5" width="10.58203125" style="22" customWidth="1"/>
    <col min="6" max="6" width="9.75" style="22" customWidth="1"/>
    <col min="7" max="7" width="17.25" style="22" customWidth="1"/>
    <col min="8" max="8" width="13.58203125" style="22" customWidth="1"/>
    <col min="9" max="9" width="12.75" style="22" customWidth="1"/>
    <col min="10" max="10" width="8.4140625" style="22" customWidth="1"/>
    <col min="11" max="11" width="8.75" style="22" customWidth="1"/>
    <col min="12" max="12" width="9.4140625" style="15" customWidth="1"/>
    <col min="13" max="14" width="8.75" style="15" customWidth="1"/>
    <col min="15" max="15" width="0" style="15" hidden="1" customWidth="1"/>
    <col min="16" max="17" width="13.1640625" style="15" hidden="1" customWidth="1"/>
    <col min="18" max="18" width="9" style="15" customWidth="1"/>
    <col min="19" max="16384" width="9" style="15"/>
  </cols>
  <sheetData>
    <row r="1" spans="1:17" s="21" customFormat="1" ht="35.25" customHeight="1" x14ac:dyDescent="0.3">
      <c r="A1" s="535" t="s">
        <v>77</v>
      </c>
      <c r="B1" s="535"/>
      <c r="C1" s="535"/>
      <c r="D1" s="535"/>
      <c r="E1" s="535"/>
      <c r="F1" s="535"/>
      <c r="G1" s="535"/>
      <c r="H1" s="535"/>
      <c r="I1" s="535"/>
      <c r="J1" s="535"/>
      <c r="K1" s="535"/>
      <c r="L1" s="535"/>
      <c r="M1" s="535"/>
      <c r="N1" s="535"/>
    </row>
    <row r="2" spans="1:17" s="2" customFormat="1" x14ac:dyDescent="0.3">
      <c r="A2" s="510" t="str">
        <f>'ND2-TDA1-4'!A3:R3</f>
        <v>(Kèm theo Báo cáo số 809/BC-UBND ngày 27 tháng 11 năm 2023 của UBND tỉnh)</v>
      </c>
      <c r="B2" s="510"/>
      <c r="C2" s="510"/>
      <c r="D2" s="510"/>
      <c r="E2" s="510"/>
      <c r="F2" s="510"/>
      <c r="G2" s="510"/>
      <c r="H2" s="510"/>
      <c r="I2" s="510"/>
      <c r="J2" s="510"/>
      <c r="K2" s="510"/>
      <c r="L2" s="510"/>
      <c r="M2" s="510"/>
      <c r="N2" s="510"/>
    </row>
    <row r="3" spans="1:17" s="72" customFormat="1" ht="60.75" customHeight="1" x14ac:dyDescent="0.3">
      <c r="A3" s="511" t="s">
        <v>0</v>
      </c>
      <c r="B3" s="511" t="s">
        <v>1</v>
      </c>
      <c r="C3" s="536" t="s">
        <v>97</v>
      </c>
      <c r="D3" s="537"/>
      <c r="E3" s="536" t="s">
        <v>98</v>
      </c>
      <c r="F3" s="537"/>
      <c r="G3" s="538" t="s">
        <v>102</v>
      </c>
      <c r="H3" s="539"/>
      <c r="I3" s="540" t="s">
        <v>23</v>
      </c>
      <c r="J3" s="533" t="s">
        <v>112</v>
      </c>
      <c r="K3" s="533" t="s">
        <v>114</v>
      </c>
      <c r="L3" s="533" t="s">
        <v>334</v>
      </c>
      <c r="M3" s="533" t="s">
        <v>335</v>
      </c>
      <c r="N3" s="542" t="s">
        <v>93</v>
      </c>
    </row>
    <row r="4" spans="1:17" s="72" customFormat="1" ht="48.75" customHeight="1" x14ac:dyDescent="0.3">
      <c r="A4" s="512"/>
      <c r="B4" s="512"/>
      <c r="C4" s="246" t="s">
        <v>100</v>
      </c>
      <c r="D4" s="246" t="s">
        <v>113</v>
      </c>
      <c r="E4" s="246" t="s">
        <v>100</v>
      </c>
      <c r="F4" s="246" t="s">
        <v>113</v>
      </c>
      <c r="G4" s="246" t="s">
        <v>257</v>
      </c>
      <c r="H4" s="246" t="s">
        <v>190</v>
      </c>
      <c r="I4" s="541"/>
      <c r="J4" s="534"/>
      <c r="K4" s="534"/>
      <c r="L4" s="534"/>
      <c r="M4" s="534"/>
      <c r="N4" s="543"/>
    </row>
    <row r="5" spans="1:17" s="72" customFormat="1" ht="21" customHeight="1" x14ac:dyDescent="0.3">
      <c r="A5" s="67" t="s">
        <v>105</v>
      </c>
      <c r="B5" s="67" t="s">
        <v>106</v>
      </c>
      <c r="C5" s="68" t="s">
        <v>117</v>
      </c>
      <c r="D5" s="68">
        <v>1</v>
      </c>
      <c r="E5" s="69" t="s">
        <v>118</v>
      </c>
      <c r="F5" s="88">
        <v>2</v>
      </c>
      <c r="G5" s="70" t="s">
        <v>119</v>
      </c>
      <c r="H5" s="146">
        <v>3</v>
      </c>
      <c r="I5" s="146" t="s">
        <v>116</v>
      </c>
      <c r="J5" s="146">
        <v>5</v>
      </c>
      <c r="K5" s="146">
        <v>6</v>
      </c>
      <c r="L5" s="71" t="s">
        <v>120</v>
      </c>
      <c r="M5" s="71" t="s">
        <v>121</v>
      </c>
      <c r="N5" s="71">
        <v>9</v>
      </c>
      <c r="P5" s="90"/>
    </row>
    <row r="6" spans="1:17" s="75" customFormat="1" ht="21" customHeight="1" x14ac:dyDescent="0.3">
      <c r="A6" s="73" t="s">
        <v>6</v>
      </c>
      <c r="B6" s="191" t="s">
        <v>131</v>
      </c>
      <c r="C6" s="73"/>
      <c r="D6" s="73"/>
      <c r="E6" s="74"/>
      <c r="F6" s="74"/>
      <c r="G6" s="74"/>
      <c r="H6" s="147"/>
      <c r="I6" s="148"/>
      <c r="J6" s="147"/>
      <c r="K6" s="147"/>
      <c r="L6" s="164">
        <f>L9+L7</f>
        <v>1676</v>
      </c>
      <c r="M6" s="164">
        <f>M9+M7</f>
        <v>50</v>
      </c>
      <c r="N6" s="164">
        <f>N9+N7</f>
        <v>1726</v>
      </c>
      <c r="P6" s="204"/>
    </row>
    <row r="7" spans="1:17" s="25" customFormat="1" ht="21" customHeight="1" x14ac:dyDescent="0.3">
      <c r="A7" s="307" t="s">
        <v>6</v>
      </c>
      <c r="B7" s="308" t="s">
        <v>21</v>
      </c>
      <c r="C7" s="86"/>
      <c r="D7" s="86"/>
      <c r="E7" s="309"/>
      <c r="F7" s="310"/>
      <c r="G7" s="309"/>
      <c r="H7" s="311"/>
      <c r="I7" s="311"/>
      <c r="J7" s="312"/>
      <c r="K7" s="312"/>
      <c r="L7" s="313">
        <f>L8</f>
        <v>302</v>
      </c>
      <c r="M7" s="313">
        <f>M8</f>
        <v>9</v>
      </c>
      <c r="N7" s="313">
        <f>N8</f>
        <v>311</v>
      </c>
    </row>
    <row r="8" spans="1:17" ht="21" customHeight="1" x14ac:dyDescent="0.3">
      <c r="A8" s="299">
        <v>1</v>
      </c>
      <c r="B8" s="300" t="s">
        <v>129</v>
      </c>
      <c r="C8" s="301"/>
      <c r="D8" s="301"/>
      <c r="E8" s="302"/>
      <c r="F8" s="303"/>
      <c r="G8" s="302"/>
      <c r="H8" s="304"/>
      <c r="I8" s="304"/>
      <c r="J8" s="305"/>
      <c r="K8" s="305"/>
      <c r="L8" s="306">
        <f>ROUNDDOWN(1679*0.18,0)</f>
        <v>302</v>
      </c>
      <c r="M8" s="306">
        <v>9</v>
      </c>
      <c r="N8" s="306">
        <f>M8+L8</f>
        <v>311</v>
      </c>
    </row>
    <row r="9" spans="1:17" s="75" customFormat="1" ht="21" customHeight="1" x14ac:dyDescent="0.3">
      <c r="A9" s="73" t="s">
        <v>7</v>
      </c>
      <c r="B9" s="191" t="s">
        <v>128</v>
      </c>
      <c r="C9" s="73"/>
      <c r="D9" s="73"/>
      <c r="E9" s="74"/>
      <c r="F9" s="74"/>
      <c r="G9" s="74"/>
      <c r="H9" s="147"/>
      <c r="I9" s="148">
        <f>I10+I11</f>
        <v>0.39600000000000002</v>
      </c>
      <c r="J9" s="147"/>
      <c r="K9" s="147"/>
      <c r="L9" s="164">
        <v>1374</v>
      </c>
      <c r="M9" s="164">
        <f>M10+M11</f>
        <v>41</v>
      </c>
      <c r="N9" s="164">
        <f t="shared" ref="N9:N11" si="0">M9+L9</f>
        <v>1415</v>
      </c>
    </row>
    <row r="10" spans="1:17" s="75" customFormat="1" ht="21" customHeight="1" x14ac:dyDescent="0.3">
      <c r="A10" s="149">
        <v>1</v>
      </c>
      <c r="B10" s="150" t="s">
        <v>4</v>
      </c>
      <c r="C10" s="151">
        <f>53.54+15.61</f>
        <v>69.150000000000006</v>
      </c>
      <c r="D10" s="151">
        <v>0.9</v>
      </c>
      <c r="E10" s="152">
        <f>3992+1164</f>
        <v>5156</v>
      </c>
      <c r="F10" s="153">
        <v>0.8</v>
      </c>
      <c r="G10" s="152" t="s">
        <v>19</v>
      </c>
      <c r="H10" s="154">
        <v>0.12</v>
      </c>
      <c r="I10" s="154">
        <f>(D10+F10)*H10</f>
        <v>0.20400000000000001</v>
      </c>
      <c r="J10" s="255">
        <f>$L$9/$I$9</f>
        <v>3469.6969696969695</v>
      </c>
      <c r="K10" s="255">
        <f>$M$9/$I$9</f>
        <v>103.53535353535354</v>
      </c>
      <c r="L10" s="155">
        <v>708</v>
      </c>
      <c r="M10" s="155">
        <v>21</v>
      </c>
      <c r="N10" s="155">
        <f t="shared" si="0"/>
        <v>729</v>
      </c>
      <c r="P10" s="75">
        <f>I10*J10</f>
        <v>707.81818181818187</v>
      </c>
      <c r="Q10" s="282">
        <f>I10*K10</f>
        <v>21.121212121212125</v>
      </c>
    </row>
    <row r="11" spans="1:17" s="75" customFormat="1" ht="21" customHeight="1" x14ac:dyDescent="0.3">
      <c r="A11" s="156">
        <v>2</v>
      </c>
      <c r="B11" s="157" t="s">
        <v>8</v>
      </c>
      <c r="C11" s="158">
        <f>51.13+12.29</f>
        <v>63.42</v>
      </c>
      <c r="D11" s="158">
        <v>0.9</v>
      </c>
      <c r="E11" s="159">
        <f>3803+914</f>
        <v>4717</v>
      </c>
      <c r="F11" s="160">
        <v>0.7</v>
      </c>
      <c r="G11" s="159" t="s">
        <v>19</v>
      </c>
      <c r="H11" s="161">
        <v>0.12</v>
      </c>
      <c r="I11" s="161">
        <f>(D11+F11)*H11</f>
        <v>0.192</v>
      </c>
      <c r="J11" s="256">
        <f>$L$9/$I$9</f>
        <v>3469.6969696969695</v>
      </c>
      <c r="K11" s="256">
        <f>$M$9/$I$9</f>
        <v>103.53535353535354</v>
      </c>
      <c r="L11" s="162">
        <v>666</v>
      </c>
      <c r="M11" s="162">
        <v>20</v>
      </c>
      <c r="N11" s="162">
        <f t="shared" si="0"/>
        <v>686</v>
      </c>
      <c r="P11" s="75">
        <f>I11*J11</f>
        <v>666.18181818181813</v>
      </c>
      <c r="Q11" s="75">
        <f>I11*K11</f>
        <v>19.878787878787879</v>
      </c>
    </row>
    <row r="12" spans="1:17" ht="6" customHeight="1" x14ac:dyDescent="0.3">
      <c r="L12" s="165"/>
    </row>
    <row r="13" spans="1:17" x14ac:dyDescent="0.3">
      <c r="B13" s="196" t="s">
        <v>201</v>
      </c>
    </row>
    <row r="14" spans="1:17" x14ac:dyDescent="0.3">
      <c r="B14" s="186" t="s">
        <v>204</v>
      </c>
    </row>
    <row r="15" spans="1:17" x14ac:dyDescent="0.3">
      <c r="B15" s="186" t="s">
        <v>164</v>
      </c>
    </row>
    <row r="16" spans="1:17" ht="21.5" x14ac:dyDescent="0.3">
      <c r="B16" s="187" t="s">
        <v>187</v>
      </c>
    </row>
    <row r="17" spans="2:2" x14ac:dyDescent="0.3">
      <c r="B17" s="186" t="s">
        <v>69</v>
      </c>
    </row>
    <row r="18" spans="2:2" ht="21.5" x14ac:dyDescent="0.3">
      <c r="B18" s="188" t="s">
        <v>188</v>
      </c>
    </row>
    <row r="19" spans="2:2" ht="21.5" x14ac:dyDescent="0.3">
      <c r="B19" s="188" t="s">
        <v>151</v>
      </c>
    </row>
    <row r="20" spans="2:2" ht="21.5" x14ac:dyDescent="0.3">
      <c r="B20" s="188" t="s">
        <v>189</v>
      </c>
    </row>
    <row r="21" spans="2:2" x14ac:dyDescent="0.3">
      <c r="B21" s="188" t="s">
        <v>168</v>
      </c>
    </row>
    <row r="22" spans="2:2" x14ac:dyDescent="0.4">
      <c r="B22" s="189"/>
    </row>
    <row r="23" spans="2:2" x14ac:dyDescent="0.3">
      <c r="B23" s="186" t="s">
        <v>329</v>
      </c>
    </row>
  </sheetData>
  <mergeCells count="13">
    <mergeCell ref="A1:N1"/>
    <mergeCell ref="A2:N2"/>
    <mergeCell ref="C3:D3"/>
    <mergeCell ref="E3:F3"/>
    <mergeCell ref="G3:H3"/>
    <mergeCell ref="K3:K4"/>
    <mergeCell ref="J3:J4"/>
    <mergeCell ref="I3:I4"/>
    <mergeCell ref="L3:L4"/>
    <mergeCell ref="M3:M4"/>
    <mergeCell ref="N3:N4"/>
    <mergeCell ref="B3:B4"/>
    <mergeCell ref="A3:A4"/>
  </mergeCells>
  <pageMargins left="0.78740157480314965" right="0.39370078740157483" top="0.78740157480314965" bottom="0.78740157480314965" header="0.23622047244094491" footer="0.31496062992125984"/>
  <pageSetup paperSize="9" scale="81" firstPageNumber="203" orientation="landscape" useFirstPageNumber="1" r:id="rId1"/>
  <headerFooter>
    <oddHeader>&amp;C&amp;"Times New Roman,Regular"&amp;13&amp;P&amp;R&amp;"Times New Roman,Bold Italic"&amp;12Phụ lục 2: Chương trình GNBV
Biểu số 2.7</oddHead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S28"/>
  <sheetViews>
    <sheetView view="pageLayout" zoomScale="70" zoomScaleNormal="100" zoomScaleSheetLayoutView="85" zoomScalePageLayoutView="70" workbookViewId="0">
      <selection activeCell="G5" sqref="G5"/>
    </sheetView>
  </sheetViews>
  <sheetFormatPr defaultColWidth="9" defaultRowHeight="18" x14ac:dyDescent="0.3"/>
  <cols>
    <col min="1" max="1" width="7.1640625" style="21" customWidth="1"/>
    <col min="2" max="2" width="31.25" style="15" customWidth="1"/>
    <col min="3" max="3" width="11.4140625" style="21" customWidth="1"/>
    <col min="4" max="4" width="11.1640625" style="21" customWidth="1"/>
    <col min="5" max="5" width="12.58203125" style="22" customWidth="1"/>
    <col min="6" max="6" width="11" style="22" customWidth="1"/>
    <col min="7" max="7" width="12" style="22" customWidth="1"/>
    <col min="8" max="8" width="14.1640625" style="22" customWidth="1"/>
    <col min="9" max="9" width="14.25" style="22" customWidth="1"/>
    <col min="10" max="11" width="9.75" style="22" customWidth="1"/>
    <col min="12" max="12" width="12.1640625" style="15" customWidth="1"/>
    <col min="13" max="13" width="11.25" style="15" customWidth="1"/>
    <col min="14" max="14" width="10.4140625" style="15" customWidth="1"/>
    <col min="15" max="15" width="9" style="15" hidden="1" customWidth="1"/>
    <col min="16" max="16" width="10.4140625" style="15" hidden="1" customWidth="1"/>
    <col min="17" max="18" width="15.4140625" style="15" hidden="1" customWidth="1"/>
    <col min="19" max="19" width="9" style="15" hidden="1" customWidth="1"/>
    <col min="20" max="16384" width="9" style="15"/>
  </cols>
  <sheetData>
    <row r="1" spans="1:18" s="21" customFormat="1" ht="24.65" customHeight="1" x14ac:dyDescent="0.3">
      <c r="A1" s="528" t="s">
        <v>78</v>
      </c>
      <c r="B1" s="528"/>
      <c r="C1" s="528"/>
      <c r="D1" s="528"/>
      <c r="E1" s="528"/>
      <c r="F1" s="528"/>
      <c r="G1" s="528"/>
      <c r="H1" s="528"/>
      <c r="I1" s="528"/>
      <c r="J1" s="528"/>
      <c r="K1" s="528"/>
      <c r="L1" s="528"/>
      <c r="M1" s="528"/>
      <c r="N1" s="528"/>
    </row>
    <row r="2" spans="1:18" s="2" customFormat="1" x14ac:dyDescent="0.3">
      <c r="A2" s="510" t="str">
        <f>'TDA 2-4'!A2:N2</f>
        <v>(Kèm theo Báo cáo số 809/BC-UBND ngày 27 tháng 11 năm 2023 của UBND tỉnh)</v>
      </c>
      <c r="B2" s="510"/>
      <c r="C2" s="510"/>
      <c r="D2" s="510"/>
      <c r="E2" s="510"/>
      <c r="F2" s="510"/>
      <c r="G2" s="510"/>
      <c r="H2" s="510"/>
      <c r="I2" s="510"/>
      <c r="J2" s="510"/>
      <c r="K2" s="510"/>
      <c r="L2" s="510"/>
      <c r="M2" s="510"/>
      <c r="N2" s="510"/>
    </row>
    <row r="3" spans="1:18" s="13" customFormat="1" ht="48.75" customHeight="1" x14ac:dyDescent="0.3">
      <c r="A3" s="523" t="s">
        <v>0</v>
      </c>
      <c r="B3" s="523" t="s">
        <v>1</v>
      </c>
      <c r="C3" s="536" t="s">
        <v>97</v>
      </c>
      <c r="D3" s="537"/>
      <c r="E3" s="536" t="s">
        <v>98</v>
      </c>
      <c r="F3" s="537"/>
      <c r="G3" s="538" t="s">
        <v>127</v>
      </c>
      <c r="H3" s="539"/>
      <c r="I3" s="533" t="s">
        <v>23</v>
      </c>
      <c r="J3" s="533" t="s">
        <v>112</v>
      </c>
      <c r="K3" s="533" t="s">
        <v>114</v>
      </c>
      <c r="L3" s="533" t="s">
        <v>334</v>
      </c>
      <c r="M3" s="533" t="s">
        <v>335</v>
      </c>
      <c r="N3" s="542" t="s">
        <v>93</v>
      </c>
    </row>
    <row r="4" spans="1:18" s="13" customFormat="1" ht="42.75" customHeight="1" x14ac:dyDescent="0.3">
      <c r="A4" s="524"/>
      <c r="B4" s="524"/>
      <c r="C4" s="246" t="s">
        <v>100</v>
      </c>
      <c r="D4" s="246" t="s">
        <v>113</v>
      </c>
      <c r="E4" s="246" t="s">
        <v>100</v>
      </c>
      <c r="F4" s="246" t="s">
        <v>113</v>
      </c>
      <c r="G4" s="246" t="s">
        <v>100</v>
      </c>
      <c r="H4" s="246" t="s">
        <v>190</v>
      </c>
      <c r="I4" s="534"/>
      <c r="J4" s="534"/>
      <c r="K4" s="534"/>
      <c r="L4" s="534"/>
      <c r="M4" s="534"/>
      <c r="N4" s="543"/>
    </row>
    <row r="5" spans="1:18" s="72" customFormat="1" ht="17.5" x14ac:dyDescent="0.3">
      <c r="A5" s="86" t="s">
        <v>105</v>
      </c>
      <c r="B5" s="86" t="s">
        <v>106</v>
      </c>
      <c r="C5" s="84" t="s">
        <v>117</v>
      </c>
      <c r="D5" s="85">
        <v>1</v>
      </c>
      <c r="E5" s="84" t="s">
        <v>118</v>
      </c>
      <c r="F5" s="85">
        <v>2</v>
      </c>
      <c r="G5" s="85" t="s">
        <v>119</v>
      </c>
      <c r="H5" s="85">
        <v>3</v>
      </c>
      <c r="I5" s="84" t="s">
        <v>116</v>
      </c>
      <c r="J5" s="85">
        <v>5</v>
      </c>
      <c r="K5" s="85">
        <v>6</v>
      </c>
      <c r="L5" s="79" t="s">
        <v>120</v>
      </c>
      <c r="M5" s="79" t="s">
        <v>121</v>
      </c>
      <c r="N5" s="79" t="s">
        <v>130</v>
      </c>
      <c r="P5" s="170"/>
      <c r="R5" s="169"/>
    </row>
    <row r="6" spans="1:18" s="72" customFormat="1" ht="21" customHeight="1" x14ac:dyDescent="0.3">
      <c r="A6" s="86"/>
      <c r="B6" s="86" t="s">
        <v>131</v>
      </c>
      <c r="C6" s="84"/>
      <c r="D6" s="85"/>
      <c r="E6" s="84"/>
      <c r="F6" s="85"/>
      <c r="G6" s="85"/>
      <c r="H6" s="85"/>
      <c r="I6" s="84"/>
      <c r="J6" s="85"/>
      <c r="K6" s="85"/>
      <c r="L6" s="176">
        <f>L9+L7</f>
        <v>6333</v>
      </c>
      <c r="M6" s="176">
        <f>M9+M7</f>
        <v>190</v>
      </c>
      <c r="N6" s="176">
        <f>N9+N7</f>
        <v>6523</v>
      </c>
      <c r="P6" s="169"/>
    </row>
    <row r="7" spans="1:18" s="25" customFormat="1" ht="21" customHeight="1" x14ac:dyDescent="0.3">
      <c r="A7" s="55" t="s">
        <v>6</v>
      </c>
      <c r="B7" s="24" t="s">
        <v>21</v>
      </c>
      <c r="C7" s="55"/>
      <c r="D7" s="81"/>
      <c r="E7" s="23"/>
      <c r="F7" s="79"/>
      <c r="G7" s="23"/>
      <c r="H7" s="79"/>
      <c r="I7" s="23"/>
      <c r="J7" s="79"/>
      <c r="K7" s="79"/>
      <c r="L7" s="176">
        <f>L8</f>
        <v>633</v>
      </c>
      <c r="M7" s="176">
        <f>M8</f>
        <v>19</v>
      </c>
      <c r="N7" s="173">
        <f t="shared" ref="N7" si="0">M7+L7</f>
        <v>652</v>
      </c>
      <c r="Q7" s="197">
        <f>SUM(L10:L17)</f>
        <v>5700</v>
      </c>
      <c r="R7" s="197">
        <f>SUM(M10:M17)</f>
        <v>171</v>
      </c>
    </row>
    <row r="8" spans="1:18" ht="21" customHeight="1" x14ac:dyDescent="0.3">
      <c r="A8" s="16">
        <v>1</v>
      </c>
      <c r="B8" s="26" t="s">
        <v>239</v>
      </c>
      <c r="C8" s="16"/>
      <c r="D8" s="16"/>
      <c r="E8" s="14"/>
      <c r="F8" s="14"/>
      <c r="G8" s="14"/>
      <c r="H8" s="14"/>
      <c r="I8" s="14"/>
      <c r="J8" s="14"/>
      <c r="K8" s="14"/>
      <c r="L8" s="174">
        <v>633</v>
      </c>
      <c r="M8" s="174">
        <v>19</v>
      </c>
      <c r="N8" s="175">
        <f t="shared" ref="N8" si="1">M8+L8</f>
        <v>652</v>
      </c>
      <c r="Q8" s="165"/>
    </row>
    <row r="9" spans="1:18" ht="21" customHeight="1" x14ac:dyDescent="0.3">
      <c r="A9" s="3" t="s">
        <v>7</v>
      </c>
      <c r="B9" s="163" t="s">
        <v>128</v>
      </c>
      <c r="C9" s="314">
        <f>26.93+9.74</f>
        <v>36.67</v>
      </c>
      <c r="D9" s="3"/>
      <c r="E9" s="141">
        <f>SUM(E10:E17)</f>
        <v>29881</v>
      </c>
      <c r="F9" s="7"/>
      <c r="G9" s="141">
        <f>SUM(G10:G17)</f>
        <v>234201</v>
      </c>
      <c r="H9" s="7"/>
      <c r="I9" s="126">
        <f>SUM(I10:I17)</f>
        <v>14.540000000000001</v>
      </c>
      <c r="J9" s="125"/>
      <c r="K9" s="125"/>
      <c r="L9" s="176">
        <v>5700</v>
      </c>
      <c r="M9" s="176">
        <v>171</v>
      </c>
      <c r="N9" s="176">
        <f>M9+L9</f>
        <v>5871</v>
      </c>
      <c r="Q9" s="15" t="s">
        <v>202</v>
      </c>
      <c r="R9" s="15" t="s">
        <v>203</v>
      </c>
    </row>
    <row r="10" spans="1:18" ht="21" customHeight="1" x14ac:dyDescent="0.3">
      <c r="A10" s="100">
        <v>1</v>
      </c>
      <c r="B10" s="127" t="s">
        <v>10</v>
      </c>
      <c r="C10" s="177">
        <f>2.76+1.04</f>
        <v>3.8</v>
      </c>
      <c r="D10" s="102">
        <v>0.4</v>
      </c>
      <c r="E10" s="142">
        <f>332+125</f>
        <v>457</v>
      </c>
      <c r="F10" s="104">
        <v>0.4</v>
      </c>
      <c r="G10" s="142">
        <f>45036-3976-4197-3244</f>
        <v>33619</v>
      </c>
      <c r="H10" s="105">
        <v>1.6</v>
      </c>
      <c r="I10" s="130">
        <f>(D10+F10)*H10</f>
        <v>1.2800000000000002</v>
      </c>
      <c r="J10" s="279">
        <f>$L$9/$I$9</f>
        <v>392.0220082530949</v>
      </c>
      <c r="K10" s="279">
        <f>$M$9/$I$9</f>
        <v>11.760660247592847</v>
      </c>
      <c r="L10" s="214">
        <v>502</v>
      </c>
      <c r="M10" s="214">
        <v>15</v>
      </c>
      <c r="N10" s="142">
        <f>L10+M10</f>
        <v>517</v>
      </c>
      <c r="Q10" s="15">
        <f>I10*J10</f>
        <v>501.78817056396156</v>
      </c>
      <c r="R10" s="15">
        <f>I10*K10</f>
        <v>15.053645116918847</v>
      </c>
    </row>
    <row r="11" spans="1:18" ht="21" customHeight="1" x14ac:dyDescent="0.3">
      <c r="A11" s="106">
        <v>2</v>
      </c>
      <c r="B11" s="131" t="s">
        <v>4</v>
      </c>
      <c r="C11" s="178">
        <f>53.54+15.61</f>
        <v>69.150000000000006</v>
      </c>
      <c r="D11" s="108">
        <v>0.9</v>
      </c>
      <c r="E11" s="143">
        <f>3992+1164</f>
        <v>5156</v>
      </c>
      <c r="F11" s="110">
        <v>0.8</v>
      </c>
      <c r="G11" s="143">
        <f>33439-3611-3559-3094</f>
        <v>23175</v>
      </c>
      <c r="H11" s="111">
        <v>1.3</v>
      </c>
      <c r="I11" s="133">
        <f t="shared" ref="I11:I17" si="2">(D11+F11)*H11</f>
        <v>2.2100000000000004</v>
      </c>
      <c r="J11" s="280">
        <f t="shared" ref="J11:J17" si="3">$L$9/$I$9</f>
        <v>392.0220082530949</v>
      </c>
      <c r="K11" s="280">
        <f t="shared" ref="K11:K17" si="4">$M$9/$I$9</f>
        <v>11.760660247592847</v>
      </c>
      <c r="L11" s="215">
        <v>866</v>
      </c>
      <c r="M11" s="215">
        <v>26</v>
      </c>
      <c r="N11" s="143">
        <f t="shared" ref="N11:N17" si="5">L11+M11</f>
        <v>892</v>
      </c>
      <c r="Q11" s="15">
        <f t="shared" ref="Q11:Q17" si="6">I11*J11</f>
        <v>866.36863823933993</v>
      </c>
      <c r="R11" s="15">
        <f t="shared" ref="R11:R17" si="7">I11*K11</f>
        <v>25.991059147180199</v>
      </c>
    </row>
    <row r="12" spans="1:18" ht="21" customHeight="1" x14ac:dyDescent="0.3">
      <c r="A12" s="106">
        <v>3</v>
      </c>
      <c r="B12" s="131" t="s">
        <v>3</v>
      </c>
      <c r="C12" s="178">
        <f>28.33+13.31</f>
        <v>41.64</v>
      </c>
      <c r="D12" s="108">
        <v>0.7</v>
      </c>
      <c r="E12" s="143">
        <f>3443+1618</f>
        <v>5061</v>
      </c>
      <c r="F12" s="110">
        <v>0.8</v>
      </c>
      <c r="G12" s="143">
        <f>48325-4161-4369-3497</f>
        <v>36298</v>
      </c>
      <c r="H12" s="111">
        <v>1.6</v>
      </c>
      <c r="I12" s="133">
        <f t="shared" si="2"/>
        <v>2.4000000000000004</v>
      </c>
      <c r="J12" s="280">
        <f t="shared" si="3"/>
        <v>392.0220082530949</v>
      </c>
      <c r="K12" s="280">
        <f t="shared" si="4"/>
        <v>11.760660247592847</v>
      </c>
      <c r="L12" s="215">
        <v>941</v>
      </c>
      <c r="M12" s="215">
        <v>28</v>
      </c>
      <c r="N12" s="143">
        <f t="shared" si="5"/>
        <v>969</v>
      </c>
      <c r="Q12" s="15">
        <f t="shared" si="6"/>
        <v>940.85281980742786</v>
      </c>
      <c r="R12" s="15">
        <f t="shared" si="7"/>
        <v>28.225584594222838</v>
      </c>
    </row>
    <row r="13" spans="1:18" ht="21" customHeight="1" x14ac:dyDescent="0.3">
      <c r="A13" s="106">
        <v>4</v>
      </c>
      <c r="B13" s="131" t="s">
        <v>8</v>
      </c>
      <c r="C13" s="178">
        <f>51.13+12.29</f>
        <v>63.42</v>
      </c>
      <c r="D13" s="108">
        <v>0.9</v>
      </c>
      <c r="E13" s="143">
        <f>3803+914</f>
        <v>4717</v>
      </c>
      <c r="F13" s="110">
        <v>0.7</v>
      </c>
      <c r="G13" s="143">
        <f>29269-2581-2816-2035</f>
        <v>21837</v>
      </c>
      <c r="H13" s="111">
        <v>1.3</v>
      </c>
      <c r="I13" s="133">
        <f t="shared" si="2"/>
        <v>2.08</v>
      </c>
      <c r="J13" s="280">
        <f t="shared" si="3"/>
        <v>392.0220082530949</v>
      </c>
      <c r="K13" s="280">
        <f t="shared" si="4"/>
        <v>11.760660247592847</v>
      </c>
      <c r="L13" s="215">
        <v>815</v>
      </c>
      <c r="M13" s="215">
        <v>25</v>
      </c>
      <c r="N13" s="143">
        <f t="shared" si="5"/>
        <v>840</v>
      </c>
      <c r="Q13" s="15">
        <f t="shared" si="6"/>
        <v>815.40577716643736</v>
      </c>
      <c r="R13" s="15">
        <f t="shared" si="7"/>
        <v>24.462173314993123</v>
      </c>
    </row>
    <row r="14" spans="1:18" ht="21" customHeight="1" x14ac:dyDescent="0.3">
      <c r="A14" s="106">
        <v>5</v>
      </c>
      <c r="B14" s="131" t="s">
        <v>11</v>
      </c>
      <c r="C14" s="178">
        <f>20.66+10.3</f>
        <v>30.96</v>
      </c>
      <c r="D14" s="108">
        <v>0.6</v>
      </c>
      <c r="E14" s="143">
        <f>1791+893</f>
        <v>2684</v>
      </c>
      <c r="F14" s="110">
        <v>0.5</v>
      </c>
      <c r="G14" s="143">
        <f>31061-2627-2675-1983</f>
        <v>23776</v>
      </c>
      <c r="H14" s="110">
        <v>1.3</v>
      </c>
      <c r="I14" s="133">
        <f t="shared" si="2"/>
        <v>1.4300000000000002</v>
      </c>
      <c r="J14" s="280">
        <f t="shared" si="3"/>
        <v>392.0220082530949</v>
      </c>
      <c r="K14" s="280">
        <f t="shared" si="4"/>
        <v>11.760660247592847</v>
      </c>
      <c r="L14" s="215">
        <v>561</v>
      </c>
      <c r="M14" s="215">
        <v>17</v>
      </c>
      <c r="N14" s="143">
        <f t="shared" si="5"/>
        <v>578</v>
      </c>
      <c r="Q14" s="15">
        <f t="shared" si="6"/>
        <v>560.59147180192576</v>
      </c>
      <c r="R14" s="15">
        <f t="shared" si="7"/>
        <v>16.817744154057774</v>
      </c>
    </row>
    <row r="15" spans="1:18" ht="21" customHeight="1" x14ac:dyDescent="0.3">
      <c r="A15" s="106">
        <v>6</v>
      </c>
      <c r="B15" s="131" t="s">
        <v>12</v>
      </c>
      <c r="C15" s="178">
        <f>18.37+8.75</f>
        <v>27.12</v>
      </c>
      <c r="D15" s="108">
        <v>0.5</v>
      </c>
      <c r="E15" s="143">
        <f>2424+1155</f>
        <v>3579</v>
      </c>
      <c r="F15" s="110">
        <v>0.6</v>
      </c>
      <c r="G15" s="143">
        <f>49554-4184-4379-3506</f>
        <v>37485</v>
      </c>
      <c r="H15" s="110">
        <v>1.6</v>
      </c>
      <c r="I15" s="133">
        <f t="shared" si="2"/>
        <v>1.7600000000000002</v>
      </c>
      <c r="J15" s="280">
        <f t="shared" si="3"/>
        <v>392.0220082530949</v>
      </c>
      <c r="K15" s="280">
        <f t="shared" si="4"/>
        <v>11.760660247592847</v>
      </c>
      <c r="L15" s="215">
        <v>690</v>
      </c>
      <c r="M15" s="215">
        <v>21</v>
      </c>
      <c r="N15" s="143">
        <f t="shared" si="5"/>
        <v>711</v>
      </c>
      <c r="Q15" s="15">
        <f t="shared" si="6"/>
        <v>689.95873452544708</v>
      </c>
      <c r="R15" s="15">
        <f t="shared" si="7"/>
        <v>20.698762035763412</v>
      </c>
    </row>
    <row r="16" spans="1:18" ht="21" customHeight="1" x14ac:dyDescent="0.3">
      <c r="A16" s="106">
        <v>7</v>
      </c>
      <c r="B16" s="131" t="s">
        <v>13</v>
      </c>
      <c r="C16" s="178">
        <f>21.32+12.08</f>
        <v>33.4</v>
      </c>
      <c r="D16" s="108">
        <v>0.6</v>
      </c>
      <c r="E16" s="143">
        <f>2208+1251</f>
        <v>3459</v>
      </c>
      <c r="F16" s="110">
        <v>0.6</v>
      </c>
      <c r="G16" s="143">
        <f>38958-3408-3484-2773</f>
        <v>29293</v>
      </c>
      <c r="H16" s="110">
        <v>1.3</v>
      </c>
      <c r="I16" s="133">
        <f t="shared" si="2"/>
        <v>1.56</v>
      </c>
      <c r="J16" s="280">
        <f t="shared" si="3"/>
        <v>392.0220082530949</v>
      </c>
      <c r="K16" s="280">
        <f t="shared" si="4"/>
        <v>11.760660247592847</v>
      </c>
      <c r="L16" s="215">
        <v>612</v>
      </c>
      <c r="M16" s="215">
        <v>18</v>
      </c>
      <c r="N16" s="143">
        <f t="shared" si="5"/>
        <v>630</v>
      </c>
      <c r="Q16" s="15">
        <f t="shared" si="6"/>
        <v>611.55433287482811</v>
      </c>
      <c r="R16" s="15">
        <f t="shared" si="7"/>
        <v>18.346629986244842</v>
      </c>
    </row>
    <row r="17" spans="1:18" ht="21" customHeight="1" x14ac:dyDescent="0.3">
      <c r="A17" s="112">
        <v>8</v>
      </c>
      <c r="B17" s="134" t="s">
        <v>14</v>
      </c>
      <c r="C17" s="179">
        <f>38.83+8.01</f>
        <v>46.839999999999996</v>
      </c>
      <c r="D17" s="114">
        <v>0.7</v>
      </c>
      <c r="E17" s="144">
        <f>3953+815</f>
        <v>4768</v>
      </c>
      <c r="F17" s="116">
        <v>0.7</v>
      </c>
      <c r="G17" s="144">
        <f>38263-3337-3554-2654</f>
        <v>28718</v>
      </c>
      <c r="H17" s="116">
        <v>1.3</v>
      </c>
      <c r="I17" s="136">
        <f t="shared" si="2"/>
        <v>1.8199999999999998</v>
      </c>
      <c r="J17" s="137">
        <f t="shared" si="3"/>
        <v>392.0220082530949</v>
      </c>
      <c r="K17" s="137">
        <f t="shared" si="4"/>
        <v>11.760660247592847</v>
      </c>
      <c r="L17" s="216">
        <v>713</v>
      </c>
      <c r="M17" s="216">
        <v>21</v>
      </c>
      <c r="N17" s="144">
        <f t="shared" si="5"/>
        <v>734</v>
      </c>
      <c r="Q17" s="15">
        <f t="shared" si="6"/>
        <v>713.48005502063268</v>
      </c>
      <c r="R17" s="15">
        <f t="shared" si="7"/>
        <v>21.404401650618979</v>
      </c>
    </row>
    <row r="18" spans="1:18" x14ac:dyDescent="0.3">
      <c r="B18" s="196" t="s">
        <v>201</v>
      </c>
      <c r="L18" s="50"/>
    </row>
    <row r="19" spans="1:18" x14ac:dyDescent="0.3">
      <c r="B19" s="122" t="s">
        <v>205</v>
      </c>
      <c r="L19" s="50"/>
    </row>
    <row r="20" spans="1:18" x14ac:dyDescent="0.3">
      <c r="B20" s="186" t="s">
        <v>164</v>
      </c>
    </row>
    <row r="21" spans="1:18" ht="21.5" x14ac:dyDescent="0.3">
      <c r="B21" s="187" t="s">
        <v>191</v>
      </c>
    </row>
    <row r="22" spans="1:18" x14ac:dyDescent="0.3">
      <c r="B22" s="186" t="s">
        <v>69</v>
      </c>
    </row>
    <row r="23" spans="1:18" ht="21.5" x14ac:dyDescent="0.3">
      <c r="B23" s="188" t="s">
        <v>192</v>
      </c>
    </row>
    <row r="24" spans="1:18" ht="21.5" x14ac:dyDescent="0.3">
      <c r="B24" s="188" t="s">
        <v>151</v>
      </c>
    </row>
    <row r="25" spans="1:18" ht="21.5" x14ac:dyDescent="0.3">
      <c r="B25" s="188" t="s">
        <v>193</v>
      </c>
    </row>
    <row r="26" spans="1:18" x14ac:dyDescent="0.3">
      <c r="B26" s="188" t="s">
        <v>168</v>
      </c>
    </row>
    <row r="27" spans="1:18" x14ac:dyDescent="0.4">
      <c r="B27" s="189"/>
    </row>
    <row r="28" spans="1:18" x14ac:dyDescent="0.3">
      <c r="B28" s="186" t="s">
        <v>330</v>
      </c>
    </row>
  </sheetData>
  <mergeCells count="13">
    <mergeCell ref="L3:L4"/>
    <mergeCell ref="M3:M4"/>
    <mergeCell ref="N3:N4"/>
    <mergeCell ref="I3:I4"/>
    <mergeCell ref="A1:N1"/>
    <mergeCell ref="A2:N2"/>
    <mergeCell ref="A3:A4"/>
    <mergeCell ref="B3:B4"/>
    <mergeCell ref="C3:D3"/>
    <mergeCell ref="E3:F3"/>
    <mergeCell ref="G3:H3"/>
    <mergeCell ref="K3:K4"/>
    <mergeCell ref="J3:J4"/>
  </mergeCells>
  <pageMargins left="0.78740157480314965" right="0.39370078740157483" top="0.78740157480314965" bottom="0.78740157480314965" header="0.31496062992125984" footer="0.31496062992125984"/>
  <pageSetup paperSize="9" scale="73" firstPageNumber="204" fitToHeight="0" orientation="landscape" useFirstPageNumber="1" r:id="rId1"/>
  <headerFooter>
    <oddHeader>&amp;C&amp;"Times New Roman,Regular"&amp;14&amp;P&amp;R&amp;"Times New Roman,Bold Italic"&amp;14Phụ lục 2: Chương trình GNBV
Biểu số 2.8</oddHeader>
  </headerFooter>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E18"/>
  <sheetViews>
    <sheetView view="pageLayout" zoomScaleNormal="85" zoomScaleSheetLayoutView="130" workbookViewId="0">
      <selection activeCell="C4" sqref="C4"/>
    </sheetView>
  </sheetViews>
  <sheetFormatPr defaultColWidth="9" defaultRowHeight="18" x14ac:dyDescent="0.3"/>
  <cols>
    <col min="1" max="1" width="7.1640625" style="21" customWidth="1"/>
    <col min="2" max="2" width="31" style="15" customWidth="1"/>
    <col min="3" max="3" width="20.58203125" style="22" customWidth="1"/>
    <col min="4" max="4" width="21.75" style="15" customWidth="1"/>
    <col min="5" max="5" width="14.25" style="15" customWidth="1"/>
    <col min="6" max="255" width="9" style="15"/>
    <col min="256" max="256" width="7.1640625" style="15" customWidth="1"/>
    <col min="257" max="257" width="32.25" style="15" customWidth="1"/>
    <col min="258" max="258" width="15.25" style="15" customWidth="1"/>
    <col min="259" max="259" width="14.4140625" style="15" customWidth="1"/>
    <col min="260" max="260" width="13" style="15" bestFit="1" customWidth="1"/>
    <col min="261" max="511" width="9" style="15"/>
    <col min="512" max="512" width="7.1640625" style="15" customWidth="1"/>
    <col min="513" max="513" width="32.25" style="15" customWidth="1"/>
    <col min="514" max="514" width="15.25" style="15" customWidth="1"/>
    <col min="515" max="515" width="14.4140625" style="15" customWidth="1"/>
    <col min="516" max="516" width="13" style="15" bestFit="1" customWidth="1"/>
    <col min="517" max="767" width="9" style="15"/>
    <col min="768" max="768" width="7.1640625" style="15" customWidth="1"/>
    <col min="769" max="769" width="32.25" style="15" customWidth="1"/>
    <col min="770" max="770" width="15.25" style="15" customWidth="1"/>
    <col min="771" max="771" width="14.4140625" style="15" customWidth="1"/>
    <col min="772" max="772" width="13" style="15" bestFit="1" customWidth="1"/>
    <col min="773" max="1023" width="9" style="15"/>
    <col min="1024" max="1024" width="7.1640625" style="15" customWidth="1"/>
    <col min="1025" max="1025" width="32.25" style="15" customWidth="1"/>
    <col min="1026" max="1026" width="15.25" style="15" customWidth="1"/>
    <col min="1027" max="1027" width="14.4140625" style="15" customWidth="1"/>
    <col min="1028" max="1028" width="13" style="15" bestFit="1" customWidth="1"/>
    <col min="1029" max="1279" width="9" style="15"/>
    <col min="1280" max="1280" width="7.1640625" style="15" customWidth="1"/>
    <col min="1281" max="1281" width="32.25" style="15" customWidth="1"/>
    <col min="1282" max="1282" width="15.25" style="15" customWidth="1"/>
    <col min="1283" max="1283" width="14.4140625" style="15" customWidth="1"/>
    <col min="1284" max="1284" width="13" style="15" bestFit="1" customWidth="1"/>
    <col min="1285" max="1535" width="9" style="15"/>
    <col min="1536" max="1536" width="7.1640625" style="15" customWidth="1"/>
    <col min="1537" max="1537" width="32.25" style="15" customWidth="1"/>
    <col min="1538" max="1538" width="15.25" style="15" customWidth="1"/>
    <col min="1539" max="1539" width="14.4140625" style="15" customWidth="1"/>
    <col min="1540" max="1540" width="13" style="15" bestFit="1" customWidth="1"/>
    <col min="1541" max="1791" width="9" style="15"/>
    <col min="1792" max="1792" width="7.1640625" style="15" customWidth="1"/>
    <col min="1793" max="1793" width="32.25" style="15" customWidth="1"/>
    <col min="1794" max="1794" width="15.25" style="15" customWidth="1"/>
    <col min="1795" max="1795" width="14.4140625" style="15" customWidth="1"/>
    <col min="1796" max="1796" width="13" style="15" bestFit="1" customWidth="1"/>
    <col min="1797" max="2047" width="9" style="15"/>
    <col min="2048" max="2048" width="7.1640625" style="15" customWidth="1"/>
    <col min="2049" max="2049" width="32.25" style="15" customWidth="1"/>
    <col min="2050" max="2050" width="15.25" style="15" customWidth="1"/>
    <col min="2051" max="2051" width="14.4140625" style="15" customWidth="1"/>
    <col min="2052" max="2052" width="13" style="15" bestFit="1" customWidth="1"/>
    <col min="2053" max="2303" width="9" style="15"/>
    <col min="2304" max="2304" width="7.1640625" style="15" customWidth="1"/>
    <col min="2305" max="2305" width="32.25" style="15" customWidth="1"/>
    <col min="2306" max="2306" width="15.25" style="15" customWidth="1"/>
    <col min="2307" max="2307" width="14.4140625" style="15" customWidth="1"/>
    <col min="2308" max="2308" width="13" style="15" bestFit="1" customWidth="1"/>
    <col min="2309" max="2559" width="9" style="15"/>
    <col min="2560" max="2560" width="7.1640625" style="15" customWidth="1"/>
    <col min="2561" max="2561" width="32.25" style="15" customWidth="1"/>
    <col min="2562" max="2562" width="15.25" style="15" customWidth="1"/>
    <col min="2563" max="2563" width="14.4140625" style="15" customWidth="1"/>
    <col min="2564" max="2564" width="13" style="15" bestFit="1" customWidth="1"/>
    <col min="2565" max="2815" width="9" style="15"/>
    <col min="2816" max="2816" width="7.1640625" style="15" customWidth="1"/>
    <col min="2817" max="2817" width="32.25" style="15" customWidth="1"/>
    <col min="2818" max="2818" width="15.25" style="15" customWidth="1"/>
    <col min="2819" max="2819" width="14.4140625" style="15" customWidth="1"/>
    <col min="2820" max="2820" width="13" style="15" bestFit="1" customWidth="1"/>
    <col min="2821" max="3071" width="9" style="15"/>
    <col min="3072" max="3072" width="7.1640625" style="15" customWidth="1"/>
    <col min="3073" max="3073" width="32.25" style="15" customWidth="1"/>
    <col min="3074" max="3074" width="15.25" style="15" customWidth="1"/>
    <col min="3075" max="3075" width="14.4140625" style="15" customWidth="1"/>
    <col min="3076" max="3076" width="13" style="15" bestFit="1" customWidth="1"/>
    <col min="3077" max="3327" width="9" style="15"/>
    <col min="3328" max="3328" width="7.1640625" style="15" customWidth="1"/>
    <col min="3329" max="3329" width="32.25" style="15" customWidth="1"/>
    <col min="3330" max="3330" width="15.25" style="15" customWidth="1"/>
    <col min="3331" max="3331" width="14.4140625" style="15" customWidth="1"/>
    <col min="3332" max="3332" width="13" style="15" bestFit="1" customWidth="1"/>
    <col min="3333" max="3583" width="9" style="15"/>
    <col min="3584" max="3584" width="7.1640625" style="15" customWidth="1"/>
    <col min="3585" max="3585" width="32.25" style="15" customWidth="1"/>
    <col min="3586" max="3586" width="15.25" style="15" customWidth="1"/>
    <col min="3587" max="3587" width="14.4140625" style="15" customWidth="1"/>
    <col min="3588" max="3588" width="13" style="15" bestFit="1" customWidth="1"/>
    <col min="3589" max="3839" width="9" style="15"/>
    <col min="3840" max="3840" width="7.1640625" style="15" customWidth="1"/>
    <col min="3841" max="3841" width="32.25" style="15" customWidth="1"/>
    <col min="3842" max="3842" width="15.25" style="15" customWidth="1"/>
    <col min="3843" max="3843" width="14.4140625" style="15" customWidth="1"/>
    <col min="3844" max="3844" width="13" style="15" bestFit="1" customWidth="1"/>
    <col min="3845" max="4095" width="9" style="15"/>
    <col min="4096" max="4096" width="7.1640625" style="15" customWidth="1"/>
    <col min="4097" max="4097" width="32.25" style="15" customWidth="1"/>
    <col min="4098" max="4098" width="15.25" style="15" customWidth="1"/>
    <col min="4099" max="4099" width="14.4140625" style="15" customWidth="1"/>
    <col min="4100" max="4100" width="13" style="15" bestFit="1" customWidth="1"/>
    <col min="4101" max="4351" width="9" style="15"/>
    <col min="4352" max="4352" width="7.1640625" style="15" customWidth="1"/>
    <col min="4353" max="4353" width="32.25" style="15" customWidth="1"/>
    <col min="4354" max="4354" width="15.25" style="15" customWidth="1"/>
    <col min="4355" max="4355" width="14.4140625" style="15" customWidth="1"/>
    <col min="4356" max="4356" width="13" style="15" bestFit="1" customWidth="1"/>
    <col min="4357" max="4607" width="9" style="15"/>
    <col min="4608" max="4608" width="7.1640625" style="15" customWidth="1"/>
    <col min="4609" max="4609" width="32.25" style="15" customWidth="1"/>
    <col min="4610" max="4610" width="15.25" style="15" customWidth="1"/>
    <col min="4611" max="4611" width="14.4140625" style="15" customWidth="1"/>
    <col min="4612" max="4612" width="13" style="15" bestFit="1" customWidth="1"/>
    <col min="4613" max="4863" width="9" style="15"/>
    <col min="4864" max="4864" width="7.1640625" style="15" customWidth="1"/>
    <col min="4865" max="4865" width="32.25" style="15" customWidth="1"/>
    <col min="4866" max="4866" width="15.25" style="15" customWidth="1"/>
    <col min="4867" max="4867" width="14.4140625" style="15" customWidth="1"/>
    <col min="4868" max="4868" width="13" style="15" bestFit="1" customWidth="1"/>
    <col min="4869" max="5119" width="9" style="15"/>
    <col min="5120" max="5120" width="7.1640625" style="15" customWidth="1"/>
    <col min="5121" max="5121" width="32.25" style="15" customWidth="1"/>
    <col min="5122" max="5122" width="15.25" style="15" customWidth="1"/>
    <col min="5123" max="5123" width="14.4140625" style="15" customWidth="1"/>
    <col min="5124" max="5124" width="13" style="15" bestFit="1" customWidth="1"/>
    <col min="5125" max="5375" width="9" style="15"/>
    <col min="5376" max="5376" width="7.1640625" style="15" customWidth="1"/>
    <col min="5377" max="5377" width="32.25" style="15" customWidth="1"/>
    <col min="5378" max="5378" width="15.25" style="15" customWidth="1"/>
    <col min="5379" max="5379" width="14.4140625" style="15" customWidth="1"/>
    <col min="5380" max="5380" width="13" style="15" bestFit="1" customWidth="1"/>
    <col min="5381" max="5631" width="9" style="15"/>
    <col min="5632" max="5632" width="7.1640625" style="15" customWidth="1"/>
    <col min="5633" max="5633" width="32.25" style="15" customWidth="1"/>
    <col min="5634" max="5634" width="15.25" style="15" customWidth="1"/>
    <col min="5635" max="5635" width="14.4140625" style="15" customWidth="1"/>
    <col min="5636" max="5636" width="13" style="15" bestFit="1" customWidth="1"/>
    <col min="5637" max="5887" width="9" style="15"/>
    <col min="5888" max="5888" width="7.1640625" style="15" customWidth="1"/>
    <col min="5889" max="5889" width="32.25" style="15" customWidth="1"/>
    <col min="5890" max="5890" width="15.25" style="15" customWidth="1"/>
    <col min="5891" max="5891" width="14.4140625" style="15" customWidth="1"/>
    <col min="5892" max="5892" width="13" style="15" bestFit="1" customWidth="1"/>
    <col min="5893" max="6143" width="9" style="15"/>
    <col min="6144" max="6144" width="7.1640625" style="15" customWidth="1"/>
    <col min="6145" max="6145" width="32.25" style="15" customWidth="1"/>
    <col min="6146" max="6146" width="15.25" style="15" customWidth="1"/>
    <col min="6147" max="6147" width="14.4140625" style="15" customWidth="1"/>
    <col min="6148" max="6148" width="13" style="15" bestFit="1" customWidth="1"/>
    <col min="6149" max="6399" width="9" style="15"/>
    <col min="6400" max="6400" width="7.1640625" style="15" customWidth="1"/>
    <col min="6401" max="6401" width="32.25" style="15" customWidth="1"/>
    <col min="6402" max="6402" width="15.25" style="15" customWidth="1"/>
    <col min="6403" max="6403" width="14.4140625" style="15" customWidth="1"/>
    <col min="6404" max="6404" width="13" style="15" bestFit="1" customWidth="1"/>
    <col min="6405" max="6655" width="9" style="15"/>
    <col min="6656" max="6656" width="7.1640625" style="15" customWidth="1"/>
    <col min="6657" max="6657" width="32.25" style="15" customWidth="1"/>
    <col min="6658" max="6658" width="15.25" style="15" customWidth="1"/>
    <col min="6659" max="6659" width="14.4140625" style="15" customWidth="1"/>
    <col min="6660" max="6660" width="13" style="15" bestFit="1" customWidth="1"/>
    <col min="6661" max="6911" width="9" style="15"/>
    <col min="6912" max="6912" width="7.1640625" style="15" customWidth="1"/>
    <col min="6913" max="6913" width="32.25" style="15" customWidth="1"/>
    <col min="6914" max="6914" width="15.25" style="15" customWidth="1"/>
    <col min="6915" max="6915" width="14.4140625" style="15" customWidth="1"/>
    <col min="6916" max="6916" width="13" style="15" bestFit="1" customWidth="1"/>
    <col min="6917" max="7167" width="9" style="15"/>
    <col min="7168" max="7168" width="7.1640625" style="15" customWidth="1"/>
    <col min="7169" max="7169" width="32.25" style="15" customWidth="1"/>
    <col min="7170" max="7170" width="15.25" style="15" customWidth="1"/>
    <col min="7171" max="7171" width="14.4140625" style="15" customWidth="1"/>
    <col min="7172" max="7172" width="13" style="15" bestFit="1" customWidth="1"/>
    <col min="7173" max="7423" width="9" style="15"/>
    <col min="7424" max="7424" width="7.1640625" style="15" customWidth="1"/>
    <col min="7425" max="7425" width="32.25" style="15" customWidth="1"/>
    <col min="7426" max="7426" width="15.25" style="15" customWidth="1"/>
    <col min="7427" max="7427" width="14.4140625" style="15" customWidth="1"/>
    <col min="7428" max="7428" width="13" style="15" bestFit="1" customWidth="1"/>
    <col min="7429" max="7679" width="9" style="15"/>
    <col min="7680" max="7680" width="7.1640625" style="15" customWidth="1"/>
    <col min="7681" max="7681" width="32.25" style="15" customWidth="1"/>
    <col min="7682" max="7682" width="15.25" style="15" customWidth="1"/>
    <col min="7683" max="7683" width="14.4140625" style="15" customWidth="1"/>
    <col min="7684" max="7684" width="13" style="15" bestFit="1" customWidth="1"/>
    <col min="7685" max="7935" width="9" style="15"/>
    <col min="7936" max="7936" width="7.1640625" style="15" customWidth="1"/>
    <col min="7937" max="7937" width="32.25" style="15" customWidth="1"/>
    <col min="7938" max="7938" width="15.25" style="15" customWidth="1"/>
    <col min="7939" max="7939" width="14.4140625" style="15" customWidth="1"/>
    <col min="7940" max="7940" width="13" style="15" bestFit="1" customWidth="1"/>
    <col min="7941" max="8191" width="9" style="15"/>
    <col min="8192" max="8192" width="7.1640625" style="15" customWidth="1"/>
    <col min="8193" max="8193" width="32.25" style="15" customWidth="1"/>
    <col min="8194" max="8194" width="15.25" style="15" customWidth="1"/>
    <col min="8195" max="8195" width="14.4140625" style="15" customWidth="1"/>
    <col min="8196" max="8196" width="13" style="15" bestFit="1" customWidth="1"/>
    <col min="8197" max="8447" width="9" style="15"/>
    <col min="8448" max="8448" width="7.1640625" style="15" customWidth="1"/>
    <col min="8449" max="8449" width="32.25" style="15" customWidth="1"/>
    <col min="8450" max="8450" width="15.25" style="15" customWidth="1"/>
    <col min="8451" max="8451" width="14.4140625" style="15" customWidth="1"/>
    <col min="8452" max="8452" width="13" style="15" bestFit="1" customWidth="1"/>
    <col min="8453" max="8703" width="9" style="15"/>
    <col min="8704" max="8704" width="7.1640625" style="15" customWidth="1"/>
    <col min="8705" max="8705" width="32.25" style="15" customWidth="1"/>
    <col min="8706" max="8706" width="15.25" style="15" customWidth="1"/>
    <col min="8707" max="8707" width="14.4140625" style="15" customWidth="1"/>
    <col min="8708" max="8708" width="13" style="15" bestFit="1" customWidth="1"/>
    <col min="8709" max="8959" width="9" style="15"/>
    <col min="8960" max="8960" width="7.1640625" style="15" customWidth="1"/>
    <col min="8961" max="8961" width="32.25" style="15" customWidth="1"/>
    <col min="8962" max="8962" width="15.25" style="15" customWidth="1"/>
    <col min="8963" max="8963" width="14.4140625" style="15" customWidth="1"/>
    <col min="8964" max="8964" width="13" style="15" bestFit="1" customWidth="1"/>
    <col min="8965" max="9215" width="9" style="15"/>
    <col min="9216" max="9216" width="7.1640625" style="15" customWidth="1"/>
    <col min="9217" max="9217" width="32.25" style="15" customWidth="1"/>
    <col min="9218" max="9218" width="15.25" style="15" customWidth="1"/>
    <col min="9219" max="9219" width="14.4140625" style="15" customWidth="1"/>
    <col min="9220" max="9220" width="13" style="15" bestFit="1" customWidth="1"/>
    <col min="9221" max="9471" width="9" style="15"/>
    <col min="9472" max="9472" width="7.1640625" style="15" customWidth="1"/>
    <col min="9473" max="9473" width="32.25" style="15" customWidth="1"/>
    <col min="9474" max="9474" width="15.25" style="15" customWidth="1"/>
    <col min="9475" max="9475" width="14.4140625" style="15" customWidth="1"/>
    <col min="9476" max="9476" width="13" style="15" bestFit="1" customWidth="1"/>
    <col min="9477" max="9727" width="9" style="15"/>
    <col min="9728" max="9728" width="7.1640625" style="15" customWidth="1"/>
    <col min="9729" max="9729" width="32.25" style="15" customWidth="1"/>
    <col min="9730" max="9730" width="15.25" style="15" customWidth="1"/>
    <col min="9731" max="9731" width="14.4140625" style="15" customWidth="1"/>
    <col min="9732" max="9732" width="13" style="15" bestFit="1" customWidth="1"/>
    <col min="9733" max="9983" width="9" style="15"/>
    <col min="9984" max="9984" width="7.1640625" style="15" customWidth="1"/>
    <col min="9985" max="9985" width="32.25" style="15" customWidth="1"/>
    <col min="9986" max="9986" width="15.25" style="15" customWidth="1"/>
    <col min="9987" max="9987" width="14.4140625" style="15" customWidth="1"/>
    <col min="9988" max="9988" width="13" style="15" bestFit="1" customWidth="1"/>
    <col min="9989" max="10239" width="9" style="15"/>
    <col min="10240" max="10240" width="7.1640625" style="15" customWidth="1"/>
    <col min="10241" max="10241" width="32.25" style="15" customWidth="1"/>
    <col min="10242" max="10242" width="15.25" style="15" customWidth="1"/>
    <col min="10243" max="10243" width="14.4140625" style="15" customWidth="1"/>
    <col min="10244" max="10244" width="13" style="15" bestFit="1" customWidth="1"/>
    <col min="10245" max="10495" width="9" style="15"/>
    <col min="10496" max="10496" width="7.1640625" style="15" customWidth="1"/>
    <col min="10497" max="10497" width="32.25" style="15" customWidth="1"/>
    <col min="10498" max="10498" width="15.25" style="15" customWidth="1"/>
    <col min="10499" max="10499" width="14.4140625" style="15" customWidth="1"/>
    <col min="10500" max="10500" width="13" style="15" bestFit="1" customWidth="1"/>
    <col min="10501" max="10751" width="9" style="15"/>
    <col min="10752" max="10752" width="7.1640625" style="15" customWidth="1"/>
    <col min="10753" max="10753" width="32.25" style="15" customWidth="1"/>
    <col min="10754" max="10754" width="15.25" style="15" customWidth="1"/>
    <col min="10755" max="10755" width="14.4140625" style="15" customWidth="1"/>
    <col min="10756" max="10756" width="13" style="15" bestFit="1" customWidth="1"/>
    <col min="10757" max="11007" width="9" style="15"/>
    <col min="11008" max="11008" width="7.1640625" style="15" customWidth="1"/>
    <col min="11009" max="11009" width="32.25" style="15" customWidth="1"/>
    <col min="11010" max="11010" width="15.25" style="15" customWidth="1"/>
    <col min="11011" max="11011" width="14.4140625" style="15" customWidth="1"/>
    <col min="11012" max="11012" width="13" style="15" bestFit="1" customWidth="1"/>
    <col min="11013" max="11263" width="9" style="15"/>
    <col min="11264" max="11264" width="7.1640625" style="15" customWidth="1"/>
    <col min="11265" max="11265" width="32.25" style="15" customWidth="1"/>
    <col min="11266" max="11266" width="15.25" style="15" customWidth="1"/>
    <col min="11267" max="11267" width="14.4140625" style="15" customWidth="1"/>
    <col min="11268" max="11268" width="13" style="15" bestFit="1" customWidth="1"/>
    <col min="11269" max="11519" width="9" style="15"/>
    <col min="11520" max="11520" width="7.1640625" style="15" customWidth="1"/>
    <col min="11521" max="11521" width="32.25" style="15" customWidth="1"/>
    <col min="11522" max="11522" width="15.25" style="15" customWidth="1"/>
    <col min="11523" max="11523" width="14.4140625" style="15" customWidth="1"/>
    <col min="11524" max="11524" width="13" style="15" bestFit="1" customWidth="1"/>
    <col min="11525" max="11775" width="9" style="15"/>
    <col min="11776" max="11776" width="7.1640625" style="15" customWidth="1"/>
    <col min="11777" max="11777" width="32.25" style="15" customWidth="1"/>
    <col min="11778" max="11778" width="15.25" style="15" customWidth="1"/>
    <col min="11779" max="11779" width="14.4140625" style="15" customWidth="1"/>
    <col min="11780" max="11780" width="13" style="15" bestFit="1" customWidth="1"/>
    <col min="11781" max="12031" width="9" style="15"/>
    <col min="12032" max="12032" width="7.1640625" style="15" customWidth="1"/>
    <col min="12033" max="12033" width="32.25" style="15" customWidth="1"/>
    <col min="12034" max="12034" width="15.25" style="15" customWidth="1"/>
    <col min="12035" max="12035" width="14.4140625" style="15" customWidth="1"/>
    <col min="12036" max="12036" width="13" style="15" bestFit="1" customWidth="1"/>
    <col min="12037" max="12287" width="9" style="15"/>
    <col min="12288" max="12288" width="7.1640625" style="15" customWidth="1"/>
    <col min="12289" max="12289" width="32.25" style="15" customWidth="1"/>
    <col min="12290" max="12290" width="15.25" style="15" customWidth="1"/>
    <col min="12291" max="12291" width="14.4140625" style="15" customWidth="1"/>
    <col min="12292" max="12292" width="13" style="15" bestFit="1" customWidth="1"/>
    <col min="12293" max="12543" width="9" style="15"/>
    <col min="12544" max="12544" width="7.1640625" style="15" customWidth="1"/>
    <col min="12545" max="12545" width="32.25" style="15" customWidth="1"/>
    <col min="12546" max="12546" width="15.25" style="15" customWidth="1"/>
    <col min="12547" max="12547" width="14.4140625" style="15" customWidth="1"/>
    <col min="12548" max="12548" width="13" style="15" bestFit="1" customWidth="1"/>
    <col min="12549" max="12799" width="9" style="15"/>
    <col min="12800" max="12800" width="7.1640625" style="15" customWidth="1"/>
    <col min="12801" max="12801" width="32.25" style="15" customWidth="1"/>
    <col min="12802" max="12802" width="15.25" style="15" customWidth="1"/>
    <col min="12803" max="12803" width="14.4140625" style="15" customWidth="1"/>
    <col min="12804" max="12804" width="13" style="15" bestFit="1" customWidth="1"/>
    <col min="12805" max="13055" width="9" style="15"/>
    <col min="13056" max="13056" width="7.1640625" style="15" customWidth="1"/>
    <col min="13057" max="13057" width="32.25" style="15" customWidth="1"/>
    <col min="13058" max="13058" width="15.25" style="15" customWidth="1"/>
    <col min="13059" max="13059" width="14.4140625" style="15" customWidth="1"/>
    <col min="13060" max="13060" width="13" style="15" bestFit="1" customWidth="1"/>
    <col min="13061" max="13311" width="9" style="15"/>
    <col min="13312" max="13312" width="7.1640625" style="15" customWidth="1"/>
    <col min="13313" max="13313" width="32.25" style="15" customWidth="1"/>
    <col min="13314" max="13314" width="15.25" style="15" customWidth="1"/>
    <col min="13315" max="13315" width="14.4140625" style="15" customWidth="1"/>
    <col min="13316" max="13316" width="13" style="15" bestFit="1" customWidth="1"/>
    <col min="13317" max="13567" width="9" style="15"/>
    <col min="13568" max="13568" width="7.1640625" style="15" customWidth="1"/>
    <col min="13569" max="13569" width="32.25" style="15" customWidth="1"/>
    <col min="13570" max="13570" width="15.25" style="15" customWidth="1"/>
    <col min="13571" max="13571" width="14.4140625" style="15" customWidth="1"/>
    <col min="13572" max="13572" width="13" style="15" bestFit="1" customWidth="1"/>
    <col min="13573" max="13823" width="9" style="15"/>
    <col min="13824" max="13824" width="7.1640625" style="15" customWidth="1"/>
    <col min="13825" max="13825" width="32.25" style="15" customWidth="1"/>
    <col min="13826" max="13826" width="15.25" style="15" customWidth="1"/>
    <col min="13827" max="13827" width="14.4140625" style="15" customWidth="1"/>
    <col min="13828" max="13828" width="13" style="15" bestFit="1" customWidth="1"/>
    <col min="13829" max="14079" width="9" style="15"/>
    <col min="14080" max="14080" width="7.1640625" style="15" customWidth="1"/>
    <col min="14081" max="14081" width="32.25" style="15" customWidth="1"/>
    <col min="14082" max="14082" width="15.25" style="15" customWidth="1"/>
    <col min="14083" max="14083" width="14.4140625" style="15" customWidth="1"/>
    <col min="14084" max="14084" width="13" style="15" bestFit="1" customWidth="1"/>
    <col min="14085" max="14335" width="9" style="15"/>
    <col min="14336" max="14336" width="7.1640625" style="15" customWidth="1"/>
    <col min="14337" max="14337" width="32.25" style="15" customWidth="1"/>
    <col min="14338" max="14338" width="15.25" style="15" customWidth="1"/>
    <col min="14339" max="14339" width="14.4140625" style="15" customWidth="1"/>
    <col min="14340" max="14340" width="13" style="15" bestFit="1" customWidth="1"/>
    <col min="14341" max="14591" width="9" style="15"/>
    <col min="14592" max="14592" width="7.1640625" style="15" customWidth="1"/>
    <col min="14593" max="14593" width="32.25" style="15" customWidth="1"/>
    <col min="14594" max="14594" width="15.25" style="15" customWidth="1"/>
    <col min="14595" max="14595" width="14.4140625" style="15" customWidth="1"/>
    <col min="14596" max="14596" width="13" style="15" bestFit="1" customWidth="1"/>
    <col min="14597" max="14847" width="9" style="15"/>
    <col min="14848" max="14848" width="7.1640625" style="15" customWidth="1"/>
    <col min="14849" max="14849" width="32.25" style="15" customWidth="1"/>
    <col min="14850" max="14850" width="15.25" style="15" customWidth="1"/>
    <col min="14851" max="14851" width="14.4140625" style="15" customWidth="1"/>
    <col min="14852" max="14852" width="13" style="15" bestFit="1" customWidth="1"/>
    <col min="14853" max="15103" width="9" style="15"/>
    <col min="15104" max="15104" width="7.1640625" style="15" customWidth="1"/>
    <col min="15105" max="15105" width="32.25" style="15" customWidth="1"/>
    <col min="15106" max="15106" width="15.25" style="15" customWidth="1"/>
    <col min="15107" max="15107" width="14.4140625" style="15" customWidth="1"/>
    <col min="15108" max="15108" width="13" style="15" bestFit="1" customWidth="1"/>
    <col min="15109" max="15359" width="9" style="15"/>
    <col min="15360" max="15360" width="7.1640625" style="15" customWidth="1"/>
    <col min="15361" max="15361" width="32.25" style="15" customWidth="1"/>
    <col min="15362" max="15362" width="15.25" style="15" customWidth="1"/>
    <col min="15363" max="15363" width="14.4140625" style="15" customWidth="1"/>
    <col min="15364" max="15364" width="13" style="15" bestFit="1" customWidth="1"/>
    <col min="15365" max="15615" width="9" style="15"/>
    <col min="15616" max="15616" width="7.1640625" style="15" customWidth="1"/>
    <col min="15617" max="15617" width="32.25" style="15" customWidth="1"/>
    <col min="15618" max="15618" width="15.25" style="15" customWidth="1"/>
    <col min="15619" max="15619" width="14.4140625" style="15" customWidth="1"/>
    <col min="15620" max="15620" width="13" style="15" bestFit="1" customWidth="1"/>
    <col min="15621" max="15871" width="9" style="15"/>
    <col min="15872" max="15872" width="7.1640625" style="15" customWidth="1"/>
    <col min="15873" max="15873" width="32.25" style="15" customWidth="1"/>
    <col min="15874" max="15874" width="15.25" style="15" customWidth="1"/>
    <col min="15875" max="15875" width="14.4140625" style="15" customWidth="1"/>
    <col min="15876" max="15876" width="13" style="15" bestFit="1" customWidth="1"/>
    <col min="15877" max="16127" width="9" style="15"/>
    <col min="16128" max="16128" width="7.1640625" style="15" customWidth="1"/>
    <col min="16129" max="16129" width="32.25" style="15" customWidth="1"/>
    <col min="16130" max="16130" width="15.25" style="15" customWidth="1"/>
    <col min="16131" max="16131" width="14.4140625" style="15" customWidth="1"/>
    <col min="16132" max="16132" width="13" style="15" bestFit="1" customWidth="1"/>
    <col min="16133" max="16384" width="9" style="15"/>
  </cols>
  <sheetData>
    <row r="1" spans="1:5" s="21" customFormat="1" ht="56.25" customHeight="1" x14ac:dyDescent="0.3">
      <c r="A1" s="528" t="s">
        <v>295</v>
      </c>
      <c r="B1" s="528"/>
      <c r="C1" s="528"/>
      <c r="D1" s="528"/>
      <c r="E1" s="528"/>
    </row>
    <row r="2" spans="1:5" s="2" customFormat="1" ht="48" customHeight="1" x14ac:dyDescent="0.3">
      <c r="A2" s="527" t="str">
        <f>'TDA3-4'!A2:N2</f>
        <v>(Kèm theo Báo cáo số 809/BC-UBND ngày 27 tháng 11 năm 2023 của UBND tỉnh)</v>
      </c>
      <c r="B2" s="527"/>
      <c r="C2" s="527"/>
      <c r="D2" s="527"/>
      <c r="E2" s="527"/>
    </row>
    <row r="3" spans="1:5" s="2" customFormat="1" x14ac:dyDescent="0.3">
      <c r="A3" s="258"/>
      <c r="B3" s="258"/>
      <c r="C3" s="258"/>
      <c r="D3" s="258"/>
      <c r="E3" s="258"/>
    </row>
    <row r="4" spans="1:5" s="13" customFormat="1" ht="50.25" customHeight="1" x14ac:dyDescent="0.3">
      <c r="A4" s="86" t="s">
        <v>0</v>
      </c>
      <c r="B4" s="86" t="s">
        <v>1</v>
      </c>
      <c r="C4" s="86" t="s">
        <v>334</v>
      </c>
      <c r="D4" s="86" t="s">
        <v>335</v>
      </c>
      <c r="E4" s="86" t="s">
        <v>93</v>
      </c>
    </row>
    <row r="5" spans="1:5" s="13" customFormat="1" ht="22.5" customHeight="1" x14ac:dyDescent="0.3">
      <c r="A5" s="81"/>
      <c r="B5" s="81" t="s">
        <v>5</v>
      </c>
      <c r="C5" s="29">
        <f>SUM(C6:C7)</f>
        <v>10995</v>
      </c>
      <c r="D5" s="29">
        <f>SUM(D6:D7)</f>
        <v>330</v>
      </c>
      <c r="E5" s="29">
        <f>D5+C5</f>
        <v>11325</v>
      </c>
    </row>
    <row r="6" spans="1:5" s="13" customFormat="1" ht="22.5" customHeight="1" x14ac:dyDescent="0.3">
      <c r="A6" s="16">
        <v>1</v>
      </c>
      <c r="B6" s="365" t="s">
        <v>4</v>
      </c>
      <c r="C6" s="283">
        <v>5344</v>
      </c>
      <c r="D6" s="283">
        <v>160</v>
      </c>
      <c r="E6" s="283">
        <f>D6+C6</f>
        <v>5504</v>
      </c>
    </row>
    <row r="7" spans="1:5" s="13" customFormat="1" ht="22.5" customHeight="1" x14ac:dyDescent="0.3">
      <c r="A7" s="16">
        <v>2</v>
      </c>
      <c r="B7" s="365" t="s">
        <v>8</v>
      </c>
      <c r="C7" s="283">
        <v>5651</v>
      </c>
      <c r="D7" s="283">
        <v>170</v>
      </c>
      <c r="E7" s="283">
        <f>D7+C7</f>
        <v>5821</v>
      </c>
    </row>
    <row r="8" spans="1:5" x14ac:dyDescent="0.3">
      <c r="C8" s="284"/>
      <c r="D8" s="284"/>
    </row>
    <row r="9" spans="1:5" ht="41.25" customHeight="1" x14ac:dyDescent="0.3">
      <c r="A9" s="544" t="s">
        <v>331</v>
      </c>
      <c r="B9" s="544"/>
      <c r="C9" s="544"/>
      <c r="D9" s="544"/>
      <c r="E9" s="544"/>
    </row>
    <row r="14" spans="1:5" x14ac:dyDescent="0.3">
      <c r="D14" s="22"/>
      <c r="E14" s="165"/>
    </row>
    <row r="17" spans="4:4" x14ac:dyDescent="0.3">
      <c r="D17" s="165"/>
    </row>
    <row r="18" spans="4:4" x14ac:dyDescent="0.3">
      <c r="D18" s="165"/>
    </row>
  </sheetData>
  <mergeCells count="3">
    <mergeCell ref="A1:E1"/>
    <mergeCell ref="A2:E2"/>
    <mergeCell ref="A9:E9"/>
  </mergeCells>
  <pageMargins left="0.78740157480314965" right="0.39370078740157483" top="0.78740157480314965" bottom="0.78740157480314965" header="0.31496062992125984" footer="0.31496062992125984"/>
  <pageSetup paperSize="9" scale="93" firstPageNumber="205" orientation="portrait" useFirstPageNumber="1" r:id="rId1"/>
  <headerFooter>
    <oddHeader>&amp;C&amp;"Times New Roman,Regular"&amp;P&amp;R&amp;"Times New Roman,Bold Italic"Phụ lục 2: Chương trình GNBV
Biểu số 2.7</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S36"/>
  <sheetViews>
    <sheetView view="pageLayout" zoomScale="70" zoomScaleNormal="70" zoomScalePageLayoutView="70" workbookViewId="0">
      <selection activeCell="G10" sqref="G10"/>
    </sheetView>
  </sheetViews>
  <sheetFormatPr defaultColWidth="9" defaultRowHeight="18" x14ac:dyDescent="0.3"/>
  <cols>
    <col min="1" max="1" width="7.1640625" style="21" customWidth="1"/>
    <col min="2" max="2" width="37.4140625" style="15" customWidth="1"/>
    <col min="3" max="3" width="13" style="21" customWidth="1"/>
    <col min="4" max="4" width="10.58203125" style="21" customWidth="1"/>
    <col min="5" max="5" width="11.75" style="22" customWidth="1"/>
    <col min="6" max="6" width="10.25" style="22" customWidth="1"/>
    <col min="7" max="7" width="12" style="22" customWidth="1"/>
    <col min="8" max="8" width="12.75" style="22" customWidth="1"/>
    <col min="9" max="9" width="11.25" style="22" customWidth="1"/>
    <col min="10" max="10" width="13.83203125" style="22" customWidth="1"/>
    <col min="11" max="11" width="14.25" style="22" customWidth="1"/>
    <col min="12" max="12" width="10.83203125" style="22" customWidth="1"/>
    <col min="13" max="13" width="10" style="22" customWidth="1"/>
    <col min="14" max="14" width="10.75" style="22" customWidth="1"/>
    <col min="15" max="15" width="10.58203125" style="15" customWidth="1"/>
    <col min="16" max="16" width="9.83203125" style="15" customWidth="1"/>
    <col min="17" max="17" width="9" style="15" hidden="1" customWidth="1"/>
    <col min="18" max="18" width="16.75" style="15" hidden="1" customWidth="1"/>
    <col min="19" max="19" width="15.4140625" style="15" hidden="1" customWidth="1"/>
    <col min="20" max="21" width="0" style="15" hidden="1" customWidth="1"/>
    <col min="22" max="16384" width="9" style="15"/>
  </cols>
  <sheetData>
    <row r="1" spans="1:19" s="21" customFormat="1" x14ac:dyDescent="0.3">
      <c r="A1" s="508"/>
      <c r="B1" s="508"/>
    </row>
    <row r="2" spans="1:19" s="21" customFormat="1" ht="18" customHeight="1" x14ac:dyDescent="0.3">
      <c r="A2" s="528" t="s">
        <v>79</v>
      </c>
      <c r="B2" s="528"/>
      <c r="C2" s="528"/>
      <c r="D2" s="528"/>
      <c r="E2" s="528"/>
      <c r="F2" s="528"/>
      <c r="G2" s="528"/>
      <c r="H2" s="528"/>
      <c r="I2" s="528"/>
      <c r="J2" s="528"/>
      <c r="K2" s="528"/>
      <c r="L2" s="528"/>
      <c r="M2" s="528"/>
      <c r="N2" s="528"/>
      <c r="O2" s="528"/>
      <c r="P2" s="528"/>
    </row>
    <row r="3" spans="1:19" s="2" customFormat="1" ht="45" customHeight="1" x14ac:dyDescent="0.3">
      <c r="A3" s="510" t="str">
        <f>'TDA3-4'!A2:N2</f>
        <v>(Kèm theo Báo cáo số 809/BC-UBND ngày 27 tháng 11 năm 2023 của UBND tỉnh)</v>
      </c>
      <c r="B3" s="510"/>
      <c r="C3" s="510"/>
      <c r="D3" s="510"/>
      <c r="E3" s="510"/>
      <c r="F3" s="510"/>
      <c r="G3" s="510"/>
      <c r="H3" s="510"/>
      <c r="I3" s="510"/>
      <c r="J3" s="510"/>
      <c r="K3" s="510"/>
      <c r="L3" s="510"/>
      <c r="M3" s="510"/>
      <c r="N3" s="510"/>
      <c r="O3" s="510"/>
      <c r="P3" s="510"/>
    </row>
    <row r="4" spans="1:19" s="13" customFormat="1" ht="62.25" customHeight="1" x14ac:dyDescent="0.3">
      <c r="A4" s="511" t="s">
        <v>0</v>
      </c>
      <c r="B4" s="511" t="s">
        <v>1</v>
      </c>
      <c r="C4" s="513" t="s">
        <v>97</v>
      </c>
      <c r="D4" s="514"/>
      <c r="E4" s="513" t="s">
        <v>98</v>
      </c>
      <c r="F4" s="514"/>
      <c r="G4" s="517" t="s">
        <v>102</v>
      </c>
      <c r="H4" s="518"/>
      <c r="I4" s="513" t="s">
        <v>103</v>
      </c>
      <c r="J4" s="514"/>
      <c r="K4" s="515" t="s">
        <v>23</v>
      </c>
      <c r="L4" s="515" t="s">
        <v>112</v>
      </c>
      <c r="M4" s="515" t="s">
        <v>114</v>
      </c>
      <c r="N4" s="515" t="s">
        <v>334</v>
      </c>
      <c r="O4" s="515" t="s">
        <v>335</v>
      </c>
      <c r="P4" s="511" t="s">
        <v>93</v>
      </c>
    </row>
    <row r="5" spans="1:19" s="13" customFormat="1" ht="72.75" customHeight="1" x14ac:dyDescent="0.3">
      <c r="A5" s="512"/>
      <c r="B5" s="512"/>
      <c r="C5" s="68" t="s">
        <v>100</v>
      </c>
      <c r="D5" s="68" t="s">
        <v>113</v>
      </c>
      <c r="E5" s="68" t="s">
        <v>100</v>
      </c>
      <c r="F5" s="68" t="s">
        <v>113</v>
      </c>
      <c r="G5" s="68" t="s">
        <v>257</v>
      </c>
      <c r="H5" s="68" t="s">
        <v>173</v>
      </c>
      <c r="I5" s="68" t="s">
        <v>100</v>
      </c>
      <c r="J5" s="68" t="s">
        <v>175</v>
      </c>
      <c r="K5" s="516"/>
      <c r="L5" s="516"/>
      <c r="M5" s="516"/>
      <c r="N5" s="516"/>
      <c r="O5" s="516"/>
      <c r="P5" s="512"/>
      <c r="R5" s="240"/>
      <c r="S5" s="193"/>
    </row>
    <row r="6" spans="1:19" s="72" customFormat="1" ht="15" x14ac:dyDescent="0.3">
      <c r="A6" s="86" t="s">
        <v>105</v>
      </c>
      <c r="B6" s="86" t="s">
        <v>106</v>
      </c>
      <c r="C6" s="84" t="s">
        <v>117</v>
      </c>
      <c r="D6" s="85">
        <v>1</v>
      </c>
      <c r="E6" s="84" t="s">
        <v>118</v>
      </c>
      <c r="F6" s="85">
        <v>2</v>
      </c>
      <c r="G6" s="85" t="s">
        <v>119</v>
      </c>
      <c r="H6" s="85">
        <v>3</v>
      </c>
      <c r="I6" s="84" t="s">
        <v>122</v>
      </c>
      <c r="J6" s="85">
        <v>4</v>
      </c>
      <c r="K6" s="172" t="s">
        <v>132</v>
      </c>
      <c r="L6" s="85">
        <v>6</v>
      </c>
      <c r="M6" s="85">
        <v>7</v>
      </c>
      <c r="N6" s="85" t="s">
        <v>134</v>
      </c>
      <c r="O6" s="85" t="s">
        <v>135</v>
      </c>
      <c r="P6" s="85" t="s">
        <v>133</v>
      </c>
      <c r="R6" s="72" t="s">
        <v>202</v>
      </c>
      <c r="S6" s="72" t="s">
        <v>203</v>
      </c>
    </row>
    <row r="7" spans="1:19" s="72" customFormat="1" ht="17.5" x14ac:dyDescent="0.3">
      <c r="A7" s="81"/>
      <c r="B7" s="221" t="s">
        <v>213</v>
      </c>
      <c r="C7" s="79"/>
      <c r="D7" s="195"/>
      <c r="E7" s="79"/>
      <c r="F7" s="195"/>
      <c r="G7" s="195"/>
      <c r="H7" s="195"/>
      <c r="I7" s="79"/>
      <c r="J7" s="195"/>
      <c r="K7" s="79"/>
      <c r="L7" s="195"/>
      <c r="M7" s="195"/>
      <c r="N7" s="173">
        <f>N8+N15</f>
        <v>6502</v>
      </c>
      <c r="O7" s="173">
        <f>O8+O15</f>
        <v>195</v>
      </c>
      <c r="P7" s="173">
        <f>P8+P15</f>
        <v>6697</v>
      </c>
    </row>
    <row r="8" spans="1:19" x14ac:dyDescent="0.3">
      <c r="A8" s="55" t="s">
        <v>6</v>
      </c>
      <c r="B8" s="24" t="s">
        <v>21</v>
      </c>
      <c r="C8" s="16"/>
      <c r="D8" s="16"/>
      <c r="E8" s="14"/>
      <c r="F8" s="14"/>
      <c r="G8" s="14"/>
      <c r="H8" s="14"/>
      <c r="I8" s="14"/>
      <c r="J8" s="14"/>
      <c r="K8" s="14"/>
      <c r="L8" s="14"/>
      <c r="M8" s="14"/>
      <c r="N8" s="173">
        <f>N9++N13</f>
        <v>5592</v>
      </c>
      <c r="O8" s="173">
        <f>O9++O13</f>
        <v>168</v>
      </c>
      <c r="P8" s="173">
        <f>P9++P13</f>
        <v>5760</v>
      </c>
      <c r="R8" s="165"/>
      <c r="S8" s="50"/>
    </row>
    <row r="9" spans="1:19" ht="38.25" customHeight="1" x14ac:dyDescent="0.3">
      <c r="A9" s="259">
        <v>1</v>
      </c>
      <c r="B9" s="95" t="s">
        <v>289</v>
      </c>
      <c r="C9" s="28"/>
      <c r="D9" s="28"/>
      <c r="E9" s="99"/>
      <c r="F9" s="99"/>
      <c r="G9" s="99"/>
      <c r="H9" s="99"/>
      <c r="I9" s="99"/>
      <c r="J9" s="99"/>
      <c r="K9" s="99"/>
      <c r="L9" s="99"/>
      <c r="M9" s="99"/>
      <c r="N9" s="272">
        <f>N10+N11+N12</f>
        <v>635</v>
      </c>
      <c r="O9" s="272">
        <f>O10+O11+O12</f>
        <v>19</v>
      </c>
      <c r="P9" s="272">
        <f>P10+P11+P12</f>
        <v>654</v>
      </c>
      <c r="R9" s="165"/>
      <c r="S9" s="50"/>
    </row>
    <row r="10" spans="1:19" ht="22.5" customHeight="1" x14ac:dyDescent="0.3">
      <c r="A10" s="102" t="s">
        <v>286</v>
      </c>
      <c r="B10" s="366" t="s">
        <v>284</v>
      </c>
      <c r="C10" s="102"/>
      <c r="D10" s="102"/>
      <c r="E10" s="279"/>
      <c r="F10" s="279"/>
      <c r="G10" s="279"/>
      <c r="H10" s="279"/>
      <c r="I10" s="279"/>
      <c r="J10" s="279"/>
      <c r="K10" s="279"/>
      <c r="L10" s="279"/>
      <c r="M10" s="279"/>
      <c r="N10" s="138">
        <v>89</v>
      </c>
      <c r="O10" s="138">
        <v>2</v>
      </c>
      <c r="P10" s="138">
        <f>N10+O10</f>
        <v>91</v>
      </c>
      <c r="Q10" s="287"/>
      <c r="R10" s="288"/>
      <c r="S10" s="287"/>
    </row>
    <row r="11" spans="1:19" ht="22.5" customHeight="1" x14ac:dyDescent="0.3">
      <c r="A11" s="108" t="s">
        <v>287</v>
      </c>
      <c r="B11" s="367" t="s">
        <v>282</v>
      </c>
      <c r="C11" s="108"/>
      <c r="D11" s="108"/>
      <c r="E11" s="280"/>
      <c r="F11" s="280"/>
      <c r="G11" s="280"/>
      <c r="H11" s="280"/>
      <c r="I11" s="280"/>
      <c r="J11" s="280"/>
      <c r="K11" s="280"/>
      <c r="L11" s="280"/>
      <c r="M11" s="280"/>
      <c r="N11" s="139">
        <v>255</v>
      </c>
      <c r="O11" s="139">
        <v>8</v>
      </c>
      <c r="P11" s="139">
        <f>N11+O11</f>
        <v>263</v>
      </c>
      <c r="Q11" s="289"/>
      <c r="R11" s="290"/>
      <c r="S11" s="289"/>
    </row>
    <row r="12" spans="1:19" ht="22.5" customHeight="1" x14ac:dyDescent="0.3">
      <c r="A12" s="108" t="s">
        <v>288</v>
      </c>
      <c r="B12" s="367" t="s">
        <v>283</v>
      </c>
      <c r="C12" s="108"/>
      <c r="D12" s="108"/>
      <c r="E12" s="280"/>
      <c r="F12" s="280"/>
      <c r="G12" s="280"/>
      <c r="H12" s="280"/>
      <c r="I12" s="280"/>
      <c r="J12" s="280"/>
      <c r="K12" s="280"/>
      <c r="L12" s="280"/>
      <c r="M12" s="280"/>
      <c r="N12" s="139">
        <v>291</v>
      </c>
      <c r="O12" s="139">
        <v>9</v>
      </c>
      <c r="P12" s="139">
        <f>N12+O12</f>
        <v>300</v>
      </c>
      <c r="Q12" s="289"/>
      <c r="R12" s="290"/>
      <c r="S12" s="289"/>
    </row>
    <row r="13" spans="1:19" ht="22.5" customHeight="1" x14ac:dyDescent="0.3">
      <c r="A13" s="286">
        <v>2</v>
      </c>
      <c r="B13" s="382" t="s">
        <v>285</v>
      </c>
      <c r="C13" s="108"/>
      <c r="D13" s="108"/>
      <c r="E13" s="280"/>
      <c r="F13" s="280"/>
      <c r="G13" s="280"/>
      <c r="H13" s="280"/>
      <c r="I13" s="280"/>
      <c r="J13" s="280"/>
      <c r="K13" s="280"/>
      <c r="L13" s="280"/>
      <c r="M13" s="280"/>
      <c r="N13" s="294">
        <f>N14</f>
        <v>4957</v>
      </c>
      <c r="O13" s="294">
        <f>O14</f>
        <v>149</v>
      </c>
      <c r="P13" s="294">
        <f>P14</f>
        <v>5106</v>
      </c>
      <c r="Q13" s="289"/>
      <c r="R13" s="289"/>
      <c r="S13" s="289"/>
    </row>
    <row r="14" spans="1:19" ht="22.5" customHeight="1" x14ac:dyDescent="0.3">
      <c r="A14" s="114" t="s">
        <v>306</v>
      </c>
      <c r="B14" s="367" t="s">
        <v>284</v>
      </c>
      <c r="C14" s="114"/>
      <c r="D14" s="114"/>
      <c r="E14" s="137"/>
      <c r="F14" s="137"/>
      <c r="G14" s="137"/>
      <c r="H14" s="137"/>
      <c r="I14" s="137"/>
      <c r="J14" s="137"/>
      <c r="K14" s="137"/>
      <c r="L14" s="137"/>
      <c r="M14" s="137"/>
      <c r="N14" s="140">
        <v>4957</v>
      </c>
      <c r="O14" s="140">
        <v>149</v>
      </c>
      <c r="P14" s="140">
        <f>N14+O14</f>
        <v>5106</v>
      </c>
      <c r="Q14" s="291"/>
      <c r="R14" s="292"/>
      <c r="S14" s="291"/>
    </row>
    <row r="15" spans="1:19" s="25" customFormat="1" ht="22.5" customHeight="1" x14ac:dyDescent="0.3">
      <c r="A15" s="3" t="s">
        <v>7</v>
      </c>
      <c r="B15" s="163" t="s">
        <v>128</v>
      </c>
      <c r="C15" s="3">
        <f>26.93+9.74</f>
        <v>36.67</v>
      </c>
      <c r="D15" s="3"/>
      <c r="E15" s="7">
        <f>SUM(E16:E23)</f>
        <v>29881</v>
      </c>
      <c r="F15" s="7"/>
      <c r="G15" s="7"/>
      <c r="H15" s="7"/>
      <c r="I15" s="7">
        <f>SUM(I16:I23)</f>
        <v>108</v>
      </c>
      <c r="J15" s="7"/>
      <c r="K15" s="126">
        <f>SUM(K16:K23)</f>
        <v>12.116</v>
      </c>
      <c r="L15" s="171"/>
      <c r="M15" s="171"/>
      <c r="N15" s="176">
        <v>910</v>
      </c>
      <c r="O15" s="176">
        <v>27</v>
      </c>
      <c r="P15" s="173">
        <f t="shared" ref="P15:P23" si="0">O15+N15</f>
        <v>937</v>
      </c>
    </row>
    <row r="16" spans="1:19" ht="22.5" customHeight="1" x14ac:dyDescent="0.3">
      <c r="A16" s="100">
        <v>1</v>
      </c>
      <c r="B16" s="127" t="s">
        <v>10</v>
      </c>
      <c r="C16" s="102">
        <f>2.76+1.04</f>
        <v>3.8</v>
      </c>
      <c r="D16" s="102">
        <v>0.4</v>
      </c>
      <c r="E16" s="103">
        <f>332+125</f>
        <v>457</v>
      </c>
      <c r="F16" s="104">
        <v>0.4</v>
      </c>
      <c r="G16" s="103"/>
      <c r="H16" s="105"/>
      <c r="I16" s="103">
        <v>8</v>
      </c>
      <c r="J16" s="105">
        <v>1</v>
      </c>
      <c r="K16" s="177">
        <f>(D16+F16)*(H16+J16)</f>
        <v>0.8</v>
      </c>
      <c r="L16" s="279">
        <f>$N$15/$K$15</f>
        <v>75.107296137339063</v>
      </c>
      <c r="M16" s="279">
        <f>$O$15/$K$15</f>
        <v>2.2284582370419281</v>
      </c>
      <c r="N16" s="118">
        <v>60</v>
      </c>
      <c r="O16" s="118">
        <v>2</v>
      </c>
      <c r="P16" s="142">
        <f t="shared" si="0"/>
        <v>62</v>
      </c>
      <c r="R16" s="198">
        <f>K16*L16</f>
        <v>60.085836909871254</v>
      </c>
      <c r="S16" s="15">
        <f>K16*M16</f>
        <v>1.7827665896335425</v>
      </c>
    </row>
    <row r="17" spans="1:19" ht="22.5" customHeight="1" x14ac:dyDescent="0.3">
      <c r="A17" s="106">
        <v>2</v>
      </c>
      <c r="B17" s="131" t="s">
        <v>4</v>
      </c>
      <c r="C17" s="108">
        <f>53.54+15.61</f>
        <v>69.150000000000006</v>
      </c>
      <c r="D17" s="108">
        <v>0.9</v>
      </c>
      <c r="E17" s="109">
        <f>3992+1164</f>
        <v>5156</v>
      </c>
      <c r="F17" s="110">
        <v>0.8</v>
      </c>
      <c r="G17" s="109" t="s">
        <v>19</v>
      </c>
      <c r="H17" s="111">
        <v>0.12</v>
      </c>
      <c r="I17" s="109">
        <v>10</v>
      </c>
      <c r="J17" s="111">
        <v>1</v>
      </c>
      <c r="K17" s="178">
        <f t="shared" ref="K17:K23" si="1">(D17+F17)*(H17+J17)</f>
        <v>1.9040000000000004</v>
      </c>
      <c r="L17" s="280">
        <f t="shared" ref="L17:L23" si="2">$N$15/$K$15</f>
        <v>75.107296137339063</v>
      </c>
      <c r="M17" s="280">
        <f t="shared" ref="M17:M23" si="3">$O$15/$K$15</f>
        <v>2.2284582370419281</v>
      </c>
      <c r="N17" s="119">
        <v>143</v>
      </c>
      <c r="O17" s="119">
        <v>4</v>
      </c>
      <c r="P17" s="143">
        <f t="shared" si="0"/>
        <v>147</v>
      </c>
      <c r="R17" s="198">
        <f t="shared" ref="R17:R23" si="4">K17*L17</f>
        <v>143.00429184549361</v>
      </c>
      <c r="S17" s="15">
        <f t="shared" ref="S17:S23" si="5">K17*M17</f>
        <v>4.2429844833278318</v>
      </c>
    </row>
    <row r="18" spans="1:19" ht="22.5" customHeight="1" x14ac:dyDescent="0.3">
      <c r="A18" s="106">
        <v>3</v>
      </c>
      <c r="B18" s="131" t="s">
        <v>3</v>
      </c>
      <c r="C18" s="108">
        <f>28.33+13.31</f>
        <v>41.64</v>
      </c>
      <c r="D18" s="108">
        <v>0.7</v>
      </c>
      <c r="E18" s="109">
        <f>3443+1618</f>
        <v>5061</v>
      </c>
      <c r="F18" s="110">
        <v>0.8</v>
      </c>
      <c r="G18" s="109"/>
      <c r="H18" s="111"/>
      <c r="I18" s="109">
        <v>15</v>
      </c>
      <c r="J18" s="111">
        <v>1.1499999999999999</v>
      </c>
      <c r="K18" s="178">
        <f t="shared" si="1"/>
        <v>1.7249999999999999</v>
      </c>
      <c r="L18" s="280">
        <f t="shared" si="2"/>
        <v>75.107296137339063</v>
      </c>
      <c r="M18" s="280">
        <f t="shared" si="3"/>
        <v>2.2284582370419281</v>
      </c>
      <c r="N18" s="119">
        <v>130</v>
      </c>
      <c r="O18" s="119">
        <v>4</v>
      </c>
      <c r="P18" s="143">
        <f t="shared" si="0"/>
        <v>134</v>
      </c>
      <c r="R18" s="198">
        <f t="shared" si="4"/>
        <v>129.56008583690988</v>
      </c>
      <c r="S18" s="15">
        <f t="shared" si="5"/>
        <v>3.8440904588973259</v>
      </c>
    </row>
    <row r="19" spans="1:19" ht="22.5" customHeight="1" x14ac:dyDescent="0.3">
      <c r="A19" s="106">
        <v>4</v>
      </c>
      <c r="B19" s="131" t="s">
        <v>8</v>
      </c>
      <c r="C19" s="108">
        <f>51.13+12.29</f>
        <v>63.42</v>
      </c>
      <c r="D19" s="108">
        <v>0.9</v>
      </c>
      <c r="E19" s="109">
        <f>3803+914</f>
        <v>4717</v>
      </c>
      <c r="F19" s="110">
        <v>0.7</v>
      </c>
      <c r="G19" s="109" t="s">
        <v>19</v>
      </c>
      <c r="H19" s="111">
        <v>0.12</v>
      </c>
      <c r="I19" s="109">
        <v>10</v>
      </c>
      <c r="J19" s="111">
        <v>1</v>
      </c>
      <c r="K19" s="178">
        <f t="shared" si="1"/>
        <v>1.7920000000000003</v>
      </c>
      <c r="L19" s="280">
        <f t="shared" si="2"/>
        <v>75.107296137339063</v>
      </c>
      <c r="M19" s="280">
        <f t="shared" si="3"/>
        <v>2.2284582370419281</v>
      </c>
      <c r="N19" s="119">
        <v>134</v>
      </c>
      <c r="O19" s="119">
        <v>4</v>
      </c>
      <c r="P19" s="143">
        <f t="shared" si="0"/>
        <v>138</v>
      </c>
      <c r="R19" s="198">
        <f t="shared" si="4"/>
        <v>134.59227467811161</v>
      </c>
      <c r="S19" s="15">
        <f t="shared" si="5"/>
        <v>3.9933971607791356</v>
      </c>
    </row>
    <row r="20" spans="1:19" ht="22.5" customHeight="1" x14ac:dyDescent="0.3">
      <c r="A20" s="106">
        <v>5</v>
      </c>
      <c r="B20" s="131" t="s">
        <v>11</v>
      </c>
      <c r="C20" s="108">
        <f>20.66+10.3</f>
        <v>30.96</v>
      </c>
      <c r="D20" s="108">
        <v>0.6</v>
      </c>
      <c r="E20" s="109">
        <f>1791+893</f>
        <v>2684</v>
      </c>
      <c r="F20" s="110">
        <v>0.5</v>
      </c>
      <c r="G20" s="109"/>
      <c r="H20" s="110"/>
      <c r="I20" s="109">
        <v>14</v>
      </c>
      <c r="J20" s="111">
        <v>1.1499999999999999</v>
      </c>
      <c r="K20" s="178">
        <f t="shared" si="1"/>
        <v>1.2649999999999999</v>
      </c>
      <c r="L20" s="280">
        <f t="shared" si="2"/>
        <v>75.107296137339063</v>
      </c>
      <c r="M20" s="280">
        <f t="shared" si="3"/>
        <v>2.2284582370419281</v>
      </c>
      <c r="N20" s="119">
        <v>95</v>
      </c>
      <c r="O20" s="119">
        <v>3</v>
      </c>
      <c r="P20" s="143">
        <f t="shared" si="0"/>
        <v>98</v>
      </c>
      <c r="R20" s="198">
        <f t="shared" si="4"/>
        <v>95.010729613733901</v>
      </c>
      <c r="S20" s="15">
        <f t="shared" si="5"/>
        <v>2.8189996698580391</v>
      </c>
    </row>
    <row r="21" spans="1:19" ht="22.5" customHeight="1" x14ac:dyDescent="0.3">
      <c r="A21" s="106">
        <v>6</v>
      </c>
      <c r="B21" s="131" t="s">
        <v>12</v>
      </c>
      <c r="C21" s="108">
        <f>18.37+8.75</f>
        <v>27.12</v>
      </c>
      <c r="D21" s="108">
        <v>0.5</v>
      </c>
      <c r="E21" s="109">
        <f>2424+1155</f>
        <v>3579</v>
      </c>
      <c r="F21" s="110">
        <v>0.6</v>
      </c>
      <c r="G21" s="109"/>
      <c r="H21" s="110"/>
      <c r="I21" s="109">
        <v>20</v>
      </c>
      <c r="J21" s="111">
        <v>1.3</v>
      </c>
      <c r="K21" s="178">
        <f t="shared" si="1"/>
        <v>1.4300000000000002</v>
      </c>
      <c r="L21" s="280">
        <f t="shared" si="2"/>
        <v>75.107296137339063</v>
      </c>
      <c r="M21" s="280">
        <f t="shared" si="3"/>
        <v>2.2284582370419281</v>
      </c>
      <c r="N21" s="119">
        <v>107</v>
      </c>
      <c r="O21" s="119">
        <v>3</v>
      </c>
      <c r="P21" s="143">
        <f t="shared" si="0"/>
        <v>110</v>
      </c>
      <c r="R21" s="198">
        <f t="shared" si="4"/>
        <v>107.40343347639487</v>
      </c>
      <c r="S21" s="15">
        <f t="shared" si="5"/>
        <v>3.1866952789699576</v>
      </c>
    </row>
    <row r="22" spans="1:19" ht="22.5" customHeight="1" x14ac:dyDescent="0.3">
      <c r="A22" s="106">
        <v>7</v>
      </c>
      <c r="B22" s="131" t="s">
        <v>13</v>
      </c>
      <c r="C22" s="108">
        <f>21.32+12.08</f>
        <v>33.4</v>
      </c>
      <c r="D22" s="108">
        <v>0.6</v>
      </c>
      <c r="E22" s="109">
        <f>2208+1251</f>
        <v>3459</v>
      </c>
      <c r="F22" s="110">
        <v>0.6</v>
      </c>
      <c r="G22" s="109"/>
      <c r="H22" s="110"/>
      <c r="I22" s="109">
        <v>14</v>
      </c>
      <c r="J22" s="111">
        <v>1.1499999999999999</v>
      </c>
      <c r="K22" s="178">
        <f t="shared" si="1"/>
        <v>1.38</v>
      </c>
      <c r="L22" s="280">
        <f t="shared" si="2"/>
        <v>75.107296137339063</v>
      </c>
      <c r="M22" s="280">
        <f t="shared" si="3"/>
        <v>2.2284582370419281</v>
      </c>
      <c r="N22" s="119">
        <v>104</v>
      </c>
      <c r="O22" s="119">
        <v>3</v>
      </c>
      <c r="P22" s="143">
        <f t="shared" si="0"/>
        <v>107</v>
      </c>
      <c r="R22" s="198">
        <f t="shared" si="4"/>
        <v>103.6480686695279</v>
      </c>
      <c r="S22" s="15">
        <f t="shared" si="5"/>
        <v>3.0752723671178606</v>
      </c>
    </row>
    <row r="23" spans="1:19" ht="22.5" customHeight="1" x14ac:dyDescent="0.3">
      <c r="A23" s="112">
        <v>8</v>
      </c>
      <c r="B23" s="134" t="s">
        <v>14</v>
      </c>
      <c r="C23" s="114">
        <f>38.83+8.01</f>
        <v>46.839999999999996</v>
      </c>
      <c r="D23" s="114">
        <v>0.7</v>
      </c>
      <c r="E23" s="115">
        <f>3953+815</f>
        <v>4768</v>
      </c>
      <c r="F23" s="116">
        <v>0.7</v>
      </c>
      <c r="G23" s="115"/>
      <c r="H23" s="116"/>
      <c r="I23" s="115">
        <v>17</v>
      </c>
      <c r="J23" s="117">
        <v>1.3</v>
      </c>
      <c r="K23" s="179">
        <f t="shared" si="1"/>
        <v>1.8199999999999998</v>
      </c>
      <c r="L23" s="137">
        <f t="shared" si="2"/>
        <v>75.107296137339063</v>
      </c>
      <c r="M23" s="137">
        <f t="shared" si="3"/>
        <v>2.2284582370419281</v>
      </c>
      <c r="N23" s="120">
        <v>137</v>
      </c>
      <c r="O23" s="120">
        <v>4</v>
      </c>
      <c r="P23" s="144">
        <f t="shared" si="0"/>
        <v>141</v>
      </c>
      <c r="R23" s="198">
        <f t="shared" si="4"/>
        <v>136.69527896995709</v>
      </c>
      <c r="S23" s="15">
        <f t="shared" si="5"/>
        <v>4.0557939914163086</v>
      </c>
    </row>
    <row r="24" spans="1:19" ht="26.25" customHeight="1" x14ac:dyDescent="0.3">
      <c r="B24" s="196" t="s">
        <v>201</v>
      </c>
      <c r="O24" s="22"/>
    </row>
    <row r="25" spans="1:19" ht="39" customHeight="1" x14ac:dyDescent="0.3">
      <c r="B25" s="532" t="s">
        <v>207</v>
      </c>
      <c r="C25" s="532"/>
      <c r="D25" s="532"/>
      <c r="E25" s="532"/>
      <c r="F25" s="532"/>
      <c r="G25" s="532"/>
      <c r="H25" s="532"/>
      <c r="I25" s="532"/>
      <c r="J25" s="532"/>
      <c r="K25" s="532"/>
      <c r="L25" s="532"/>
      <c r="M25" s="532"/>
      <c r="N25" s="532"/>
      <c r="O25" s="532"/>
      <c r="P25" s="532"/>
    </row>
    <row r="26" spans="1:19" x14ac:dyDescent="0.3">
      <c r="B26" s="186" t="s">
        <v>206</v>
      </c>
    </row>
    <row r="27" spans="1:19" ht="21.5" x14ac:dyDescent="0.3">
      <c r="B27" s="187" t="s">
        <v>194</v>
      </c>
    </row>
    <row r="28" spans="1:19" x14ac:dyDescent="0.3">
      <c r="B28" s="186" t="s">
        <v>69</v>
      </c>
    </row>
    <row r="29" spans="1:19" ht="21.5" x14ac:dyDescent="0.3">
      <c r="B29" s="188" t="s">
        <v>195</v>
      </c>
    </row>
    <row r="30" spans="1:19" ht="21.5" x14ac:dyDescent="0.3">
      <c r="B30" s="188" t="s">
        <v>151</v>
      </c>
    </row>
    <row r="31" spans="1:19" ht="21.5" x14ac:dyDescent="0.3">
      <c r="B31" s="188" t="s">
        <v>196</v>
      </c>
    </row>
    <row r="32" spans="1:19" ht="21" x14ac:dyDescent="0.3">
      <c r="B32" s="186" t="s">
        <v>153</v>
      </c>
    </row>
    <row r="33" spans="2:2" ht="21" x14ac:dyDescent="0.3">
      <c r="B33" s="186" t="s">
        <v>154</v>
      </c>
    </row>
    <row r="34" spans="2:2" x14ac:dyDescent="0.3">
      <c r="B34" s="188" t="s">
        <v>168</v>
      </c>
    </row>
    <row r="35" spans="2:2" x14ac:dyDescent="0.4">
      <c r="B35" s="189"/>
    </row>
    <row r="36" spans="2:2" x14ac:dyDescent="0.3">
      <c r="B36" s="186" t="s">
        <v>332</v>
      </c>
    </row>
  </sheetData>
  <mergeCells count="16">
    <mergeCell ref="B25:P25"/>
    <mergeCell ref="A1:B1"/>
    <mergeCell ref="A2:P2"/>
    <mergeCell ref="A3:P3"/>
    <mergeCell ref="C4:D4"/>
    <mergeCell ref="E4:F4"/>
    <mergeCell ref="G4:H4"/>
    <mergeCell ref="I4:J4"/>
    <mergeCell ref="B4:B5"/>
    <mergeCell ref="A4:A5"/>
    <mergeCell ref="K4:K5"/>
    <mergeCell ref="L4:L5"/>
    <mergeCell ref="M4:M5"/>
    <mergeCell ref="N4:N5"/>
    <mergeCell ref="O4:O5"/>
    <mergeCell ref="P4:P5"/>
  </mergeCells>
  <pageMargins left="0.78740157480314965" right="0.39370078740157483" top="0.78740157480314965" bottom="0.78740157480314965" header="0.31496062992125984" footer="0.31496062992125984"/>
  <pageSetup paperSize="9" scale="63" firstPageNumber="206" fitToHeight="0" orientation="landscape" useFirstPageNumber="1" r:id="rId1"/>
  <headerFooter>
    <oddHeader>&amp;C&amp;"Times New Roman,Regular"&amp;13&amp;P&amp;R&amp;"Times New Roman,Regular"&amp;14Biểu số 2.10</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T33"/>
  <sheetViews>
    <sheetView view="pageLayout" zoomScale="55" zoomScaleNormal="70" zoomScaleSheetLayoutView="85" zoomScalePageLayoutView="55" workbookViewId="0">
      <selection activeCell="H5" sqref="H5"/>
    </sheetView>
  </sheetViews>
  <sheetFormatPr defaultColWidth="9" defaultRowHeight="18" x14ac:dyDescent="0.3"/>
  <cols>
    <col min="1" max="1" width="7.1640625" style="21" customWidth="1"/>
    <col min="2" max="2" width="34.58203125" style="15" customWidth="1"/>
    <col min="3" max="3" width="10.4140625" style="21" customWidth="1"/>
    <col min="4" max="4" width="11.25" style="21" customWidth="1"/>
    <col min="5" max="5" width="10.75" style="22" customWidth="1"/>
    <col min="6" max="6" width="10.83203125" style="22" customWidth="1"/>
    <col min="7" max="7" width="12" style="22" customWidth="1"/>
    <col min="8" max="8" width="14.4140625" style="22" customWidth="1"/>
    <col min="9" max="9" width="10.75" style="22" customWidth="1"/>
    <col min="10" max="10" width="11.1640625" style="22" customWidth="1"/>
    <col min="11" max="11" width="17.1640625" style="22" customWidth="1"/>
    <col min="12" max="12" width="10.58203125" style="22" customWidth="1"/>
    <col min="13" max="13" width="10.75" style="22" customWidth="1"/>
    <col min="14" max="14" width="10.58203125" style="15" customWidth="1"/>
    <col min="15" max="15" width="11.83203125" style="15" customWidth="1"/>
    <col min="16" max="16" width="11.25" style="15" customWidth="1"/>
    <col min="17" max="17" width="9" style="15" hidden="1" customWidth="1"/>
    <col min="18" max="19" width="15" style="15" hidden="1" customWidth="1"/>
    <col min="20" max="20" width="9" style="15" hidden="1" customWidth="1"/>
    <col min="21" max="16384" width="9" style="15"/>
  </cols>
  <sheetData>
    <row r="1" spans="1:19" s="21" customFormat="1" ht="24.75" customHeight="1" x14ac:dyDescent="0.3">
      <c r="A1" s="528" t="s">
        <v>80</v>
      </c>
      <c r="B1" s="528"/>
      <c r="C1" s="528"/>
      <c r="D1" s="528"/>
      <c r="E1" s="528"/>
      <c r="F1" s="528"/>
      <c r="G1" s="528"/>
      <c r="H1" s="528"/>
      <c r="I1" s="528"/>
      <c r="J1" s="528"/>
      <c r="K1" s="528"/>
      <c r="L1" s="528"/>
      <c r="M1" s="528"/>
      <c r="N1" s="528"/>
      <c r="O1" s="528"/>
      <c r="P1" s="528"/>
    </row>
    <row r="2" spans="1:19" s="2" customFormat="1" ht="24.75" customHeight="1" x14ac:dyDescent="0.3">
      <c r="A2" s="510" t="str">
        <f>'TDA1-6'!A3:P3</f>
        <v>(Kèm theo Báo cáo số 809/BC-UBND ngày 27 tháng 11 năm 2023 của UBND tỉnh)</v>
      </c>
      <c r="B2" s="510"/>
      <c r="C2" s="510"/>
      <c r="D2" s="510"/>
      <c r="E2" s="510"/>
      <c r="F2" s="510"/>
      <c r="G2" s="510"/>
      <c r="H2" s="510"/>
      <c r="I2" s="510"/>
      <c r="J2" s="510"/>
      <c r="K2" s="510"/>
      <c r="L2" s="510"/>
      <c r="M2" s="510"/>
      <c r="N2" s="510"/>
      <c r="O2" s="510"/>
      <c r="P2" s="510"/>
    </row>
    <row r="3" spans="1:19" s="13" customFormat="1" ht="58.5" customHeight="1" x14ac:dyDescent="0.3">
      <c r="A3" s="523" t="s">
        <v>0</v>
      </c>
      <c r="B3" s="523" t="s">
        <v>1</v>
      </c>
      <c r="C3" s="513" t="s">
        <v>97</v>
      </c>
      <c r="D3" s="514"/>
      <c r="E3" s="513" t="s">
        <v>98</v>
      </c>
      <c r="F3" s="514"/>
      <c r="G3" s="517" t="s">
        <v>102</v>
      </c>
      <c r="H3" s="518"/>
      <c r="I3" s="513" t="s">
        <v>103</v>
      </c>
      <c r="J3" s="514"/>
      <c r="K3" s="515" t="s">
        <v>23</v>
      </c>
      <c r="L3" s="515" t="s">
        <v>112</v>
      </c>
      <c r="M3" s="515" t="s">
        <v>114</v>
      </c>
      <c r="N3" s="515" t="s">
        <v>334</v>
      </c>
      <c r="O3" s="515" t="s">
        <v>335</v>
      </c>
      <c r="P3" s="511" t="s">
        <v>93</v>
      </c>
    </row>
    <row r="4" spans="1:19" s="13" customFormat="1" ht="69" customHeight="1" x14ac:dyDescent="0.3">
      <c r="A4" s="524"/>
      <c r="B4" s="524"/>
      <c r="C4" s="68" t="s">
        <v>100</v>
      </c>
      <c r="D4" s="68" t="s">
        <v>113</v>
      </c>
      <c r="E4" s="68" t="s">
        <v>100</v>
      </c>
      <c r="F4" s="68" t="s">
        <v>113</v>
      </c>
      <c r="G4" s="68" t="s">
        <v>257</v>
      </c>
      <c r="H4" s="68" t="s">
        <v>173</v>
      </c>
      <c r="I4" s="68" t="s">
        <v>100</v>
      </c>
      <c r="J4" s="68" t="s">
        <v>175</v>
      </c>
      <c r="K4" s="516"/>
      <c r="L4" s="516"/>
      <c r="M4" s="516"/>
      <c r="N4" s="516"/>
      <c r="O4" s="516"/>
      <c r="P4" s="512"/>
    </row>
    <row r="5" spans="1:19" s="72" customFormat="1" ht="34.5" customHeight="1" x14ac:dyDescent="0.3">
      <c r="A5" s="180" t="s">
        <v>105</v>
      </c>
      <c r="B5" s="180" t="s">
        <v>106</v>
      </c>
      <c r="C5" s="68" t="s">
        <v>117</v>
      </c>
      <c r="D5" s="85">
        <v>1</v>
      </c>
      <c r="E5" s="68" t="s">
        <v>118</v>
      </c>
      <c r="F5" s="85">
        <v>2</v>
      </c>
      <c r="G5" s="68" t="s">
        <v>119</v>
      </c>
      <c r="H5" s="85">
        <v>3</v>
      </c>
      <c r="I5" s="68" t="s">
        <v>122</v>
      </c>
      <c r="J5" s="85">
        <v>4</v>
      </c>
      <c r="K5" s="85" t="s">
        <v>132</v>
      </c>
      <c r="L5" s="85">
        <v>6</v>
      </c>
      <c r="M5" s="85">
        <v>7</v>
      </c>
      <c r="N5" s="85" t="s">
        <v>134</v>
      </c>
      <c r="O5" s="85" t="s">
        <v>135</v>
      </c>
      <c r="P5" s="85" t="s">
        <v>133</v>
      </c>
    </row>
    <row r="6" spans="1:19" s="13" customFormat="1" ht="20.25" customHeight="1" x14ac:dyDescent="0.3">
      <c r="A6" s="10"/>
      <c r="B6" s="10" t="s">
        <v>5</v>
      </c>
      <c r="C6" s="11"/>
      <c r="D6" s="11"/>
      <c r="E6" s="12"/>
      <c r="F6" s="83"/>
      <c r="G6" s="9"/>
      <c r="H6" s="80"/>
      <c r="I6" s="12"/>
      <c r="J6" s="11"/>
      <c r="K6" s="11"/>
      <c r="L6" s="11"/>
      <c r="M6" s="11"/>
      <c r="N6" s="66">
        <f>N11+N7</f>
        <v>2444</v>
      </c>
      <c r="O6" s="66">
        <f>O11+O7</f>
        <v>74</v>
      </c>
      <c r="P6" s="66">
        <f>O6+N6</f>
        <v>2518</v>
      </c>
      <c r="R6" s="13" t="s">
        <v>202</v>
      </c>
      <c r="S6" s="13" t="s">
        <v>203</v>
      </c>
    </row>
    <row r="7" spans="1:19" ht="23.25" customHeight="1" x14ac:dyDescent="0.3">
      <c r="A7" s="27" t="s">
        <v>6</v>
      </c>
      <c r="B7" s="24" t="s">
        <v>110</v>
      </c>
      <c r="C7" s="16"/>
      <c r="D7" s="16"/>
      <c r="E7" s="14"/>
      <c r="F7" s="14"/>
      <c r="G7" s="14"/>
      <c r="H7" s="14"/>
      <c r="I7" s="14"/>
      <c r="J7" s="14"/>
      <c r="K7" s="14"/>
      <c r="L7" s="14"/>
      <c r="M7" s="14"/>
      <c r="N7" s="66">
        <f>N8</f>
        <v>855</v>
      </c>
      <c r="O7" s="66">
        <f>O8</f>
        <v>26</v>
      </c>
      <c r="P7" s="66">
        <f>O7+N7</f>
        <v>881</v>
      </c>
      <c r="R7" s="199">
        <f>SUM(N12:N19)</f>
        <v>1589</v>
      </c>
      <c r="S7" s="199">
        <f>SUM(O12:O19)</f>
        <v>48</v>
      </c>
    </row>
    <row r="8" spans="1:19" ht="35" hidden="1" x14ac:dyDescent="0.3">
      <c r="A8" s="259"/>
      <c r="B8" s="293" t="s">
        <v>289</v>
      </c>
      <c r="C8" s="16"/>
      <c r="D8" s="16"/>
      <c r="E8" s="14"/>
      <c r="F8" s="14"/>
      <c r="G8" s="14"/>
      <c r="H8" s="14"/>
      <c r="I8" s="14"/>
      <c r="J8" s="14"/>
      <c r="K8" s="14"/>
      <c r="L8" s="14"/>
      <c r="M8" s="14"/>
      <c r="N8" s="66">
        <f>N9+N10</f>
        <v>855</v>
      </c>
      <c r="O8" s="66">
        <f>O9+O10</f>
        <v>26</v>
      </c>
      <c r="P8" s="66">
        <f>P9+P10</f>
        <v>881</v>
      </c>
      <c r="R8" s="199"/>
      <c r="S8" s="199"/>
    </row>
    <row r="9" spans="1:19" ht="40.5" customHeight="1" x14ac:dyDescent="0.3">
      <c r="A9" s="102">
        <v>1</v>
      </c>
      <c r="B9" s="285" t="s">
        <v>111</v>
      </c>
      <c r="C9" s="102"/>
      <c r="D9" s="102"/>
      <c r="E9" s="279"/>
      <c r="F9" s="279"/>
      <c r="G9" s="279"/>
      <c r="H9" s="279"/>
      <c r="I9" s="279"/>
      <c r="J9" s="279"/>
      <c r="K9" s="279"/>
      <c r="L9" s="279"/>
      <c r="M9" s="279"/>
      <c r="N9" s="295">
        <v>569</v>
      </c>
      <c r="O9" s="295">
        <v>17</v>
      </c>
      <c r="P9" s="142">
        <f t="shared" ref="P9:P10" si="0">O9+N9</f>
        <v>586</v>
      </c>
      <c r="R9" s="199">
        <f>SUM(P12:P19)</f>
        <v>1637</v>
      </c>
    </row>
    <row r="10" spans="1:19" ht="40.5" customHeight="1" x14ac:dyDescent="0.3">
      <c r="A10" s="108">
        <v>2</v>
      </c>
      <c r="B10" s="386" t="s">
        <v>316</v>
      </c>
      <c r="C10" s="108"/>
      <c r="D10" s="108"/>
      <c r="E10" s="280"/>
      <c r="F10" s="280"/>
      <c r="G10" s="280"/>
      <c r="H10" s="280"/>
      <c r="I10" s="280"/>
      <c r="J10" s="280"/>
      <c r="K10" s="280"/>
      <c r="L10" s="280"/>
      <c r="M10" s="280"/>
      <c r="N10" s="144">
        <v>286</v>
      </c>
      <c r="O10" s="144">
        <v>9</v>
      </c>
      <c r="P10" s="144">
        <f t="shared" si="0"/>
        <v>295</v>
      </c>
      <c r="R10" s="199"/>
    </row>
    <row r="11" spans="1:19" s="25" customFormat="1" ht="27" customHeight="1" x14ac:dyDescent="0.3">
      <c r="A11" s="3" t="s">
        <v>7</v>
      </c>
      <c r="B11" s="3" t="s">
        <v>109</v>
      </c>
      <c r="C11" s="315">
        <f>26.93+9.74</f>
        <v>36.67</v>
      </c>
      <c r="D11" s="3"/>
      <c r="E11" s="141">
        <f>SUM(E12:E19)</f>
        <v>29881</v>
      </c>
      <c r="F11" s="7"/>
      <c r="G11" s="7"/>
      <c r="H11" s="7"/>
      <c r="I11" s="7">
        <f>SUM(I12:I19)</f>
        <v>108</v>
      </c>
      <c r="J11" s="124"/>
      <c r="K11" s="181">
        <f>SUM(K12:K19)</f>
        <v>12.116</v>
      </c>
      <c r="L11" s="181"/>
      <c r="M11" s="181"/>
      <c r="N11" s="66">
        <v>1589</v>
      </c>
      <c r="O11" s="66">
        <v>48</v>
      </c>
      <c r="P11" s="66">
        <f>O11+N11</f>
        <v>1637</v>
      </c>
    </row>
    <row r="12" spans="1:19" ht="20.25" customHeight="1" x14ac:dyDescent="0.3">
      <c r="A12" s="100">
        <v>1</v>
      </c>
      <c r="B12" s="127" t="s">
        <v>10</v>
      </c>
      <c r="C12" s="316">
        <f>2.76+1.04</f>
        <v>3.8</v>
      </c>
      <c r="D12" s="102">
        <v>0.4</v>
      </c>
      <c r="E12" s="142">
        <f>332+125</f>
        <v>457</v>
      </c>
      <c r="F12" s="104">
        <v>0.4</v>
      </c>
      <c r="G12" s="103"/>
      <c r="H12" s="105"/>
      <c r="I12" s="103">
        <v>8</v>
      </c>
      <c r="J12" s="105">
        <v>1</v>
      </c>
      <c r="K12" s="130">
        <f t="shared" ref="K12:K19" si="1">(D12+F12)*(H12+J12)</f>
        <v>0.8</v>
      </c>
      <c r="L12" s="279">
        <f>$N$11/$K$11</f>
        <v>131.14889402443052</v>
      </c>
      <c r="M12" s="279">
        <f>$O$11/$K$11</f>
        <v>3.9617035325189831</v>
      </c>
      <c r="N12" s="166">
        <v>105</v>
      </c>
      <c r="O12" s="166">
        <v>3</v>
      </c>
      <c r="P12" s="166">
        <f>N12+O12</f>
        <v>108</v>
      </c>
      <c r="R12" s="15">
        <f>K12*L12</f>
        <v>104.91911521954442</v>
      </c>
      <c r="S12" s="15">
        <f>K12*M12</f>
        <v>3.1693628260151865</v>
      </c>
    </row>
    <row r="13" spans="1:19" ht="20.25" customHeight="1" x14ac:dyDescent="0.3">
      <c r="A13" s="106">
        <v>2</v>
      </c>
      <c r="B13" s="131" t="s">
        <v>4</v>
      </c>
      <c r="C13" s="317">
        <f>53.54+15.61</f>
        <v>69.150000000000006</v>
      </c>
      <c r="D13" s="108">
        <v>0.9</v>
      </c>
      <c r="E13" s="143">
        <f>3992+1164</f>
        <v>5156</v>
      </c>
      <c r="F13" s="110">
        <v>0.8</v>
      </c>
      <c r="G13" s="109" t="s">
        <v>19</v>
      </c>
      <c r="H13" s="111">
        <v>0.12</v>
      </c>
      <c r="I13" s="109">
        <v>10</v>
      </c>
      <c r="J13" s="111">
        <v>1</v>
      </c>
      <c r="K13" s="133">
        <f t="shared" si="1"/>
        <v>1.9040000000000004</v>
      </c>
      <c r="L13" s="280">
        <f t="shared" ref="L13:L19" si="2">$N$11/$K$11</f>
        <v>131.14889402443052</v>
      </c>
      <c r="M13" s="280">
        <f t="shared" ref="M13:M19" si="3">$O$11/$K$11</f>
        <v>3.9617035325189831</v>
      </c>
      <c r="N13" s="167">
        <v>250</v>
      </c>
      <c r="O13" s="167">
        <v>8</v>
      </c>
      <c r="P13" s="167">
        <f t="shared" ref="P13:P19" si="4">N13+O13</f>
        <v>258</v>
      </c>
      <c r="R13" s="15">
        <f t="shared" ref="R13:R19" si="5">K13*L13</f>
        <v>249.70749422251575</v>
      </c>
      <c r="S13" s="15">
        <f t="shared" ref="S13:S19" si="6">K13*M13</f>
        <v>7.5430835259161455</v>
      </c>
    </row>
    <row r="14" spans="1:19" ht="20.25" customHeight="1" x14ac:dyDescent="0.3">
      <c r="A14" s="106">
        <v>3</v>
      </c>
      <c r="B14" s="131" t="s">
        <v>3</v>
      </c>
      <c r="C14" s="317">
        <f>28.33+13.31</f>
        <v>41.64</v>
      </c>
      <c r="D14" s="108">
        <v>0.7</v>
      </c>
      <c r="E14" s="143">
        <f>3443+1618</f>
        <v>5061</v>
      </c>
      <c r="F14" s="110">
        <v>0.8</v>
      </c>
      <c r="G14" s="109"/>
      <c r="H14" s="111"/>
      <c r="I14" s="109">
        <v>15</v>
      </c>
      <c r="J14" s="111">
        <v>1.1499999999999999</v>
      </c>
      <c r="K14" s="133">
        <f t="shared" si="1"/>
        <v>1.7249999999999999</v>
      </c>
      <c r="L14" s="280">
        <f t="shared" si="2"/>
        <v>131.14889402443052</v>
      </c>
      <c r="M14" s="280">
        <f t="shared" si="3"/>
        <v>3.9617035325189831</v>
      </c>
      <c r="N14" s="167">
        <v>226</v>
      </c>
      <c r="O14" s="167">
        <v>7</v>
      </c>
      <c r="P14" s="167">
        <f t="shared" si="4"/>
        <v>233</v>
      </c>
      <c r="R14" s="15">
        <f t="shared" si="5"/>
        <v>226.23184219214264</v>
      </c>
      <c r="S14" s="15">
        <f t="shared" si="6"/>
        <v>6.8339385935952457</v>
      </c>
    </row>
    <row r="15" spans="1:19" ht="20.25" customHeight="1" x14ac:dyDescent="0.3">
      <c r="A15" s="106">
        <v>4</v>
      </c>
      <c r="B15" s="131" t="s">
        <v>8</v>
      </c>
      <c r="C15" s="317">
        <f>51.13+12.29</f>
        <v>63.42</v>
      </c>
      <c r="D15" s="108">
        <v>0.9</v>
      </c>
      <c r="E15" s="143">
        <f>3803+914</f>
        <v>4717</v>
      </c>
      <c r="F15" s="110">
        <v>0.7</v>
      </c>
      <c r="G15" s="109" t="s">
        <v>19</v>
      </c>
      <c r="H15" s="111">
        <v>0.12</v>
      </c>
      <c r="I15" s="109">
        <v>10</v>
      </c>
      <c r="J15" s="111">
        <v>1</v>
      </c>
      <c r="K15" s="133">
        <f t="shared" si="1"/>
        <v>1.7920000000000003</v>
      </c>
      <c r="L15" s="280">
        <f t="shared" si="2"/>
        <v>131.14889402443052</v>
      </c>
      <c r="M15" s="280">
        <f t="shared" si="3"/>
        <v>3.9617035325189831</v>
      </c>
      <c r="N15" s="167">
        <v>235</v>
      </c>
      <c r="O15" s="167">
        <v>7</v>
      </c>
      <c r="P15" s="167">
        <f t="shared" si="4"/>
        <v>242</v>
      </c>
      <c r="R15" s="15">
        <f t="shared" si="5"/>
        <v>235.01881809177954</v>
      </c>
      <c r="S15" s="15">
        <f t="shared" si="6"/>
        <v>7.0993727302740188</v>
      </c>
    </row>
    <row r="16" spans="1:19" ht="20.25" customHeight="1" x14ac:dyDescent="0.3">
      <c r="A16" s="106">
        <v>5</v>
      </c>
      <c r="B16" s="131" t="s">
        <v>11</v>
      </c>
      <c r="C16" s="317">
        <f>20.66+10.3</f>
        <v>30.96</v>
      </c>
      <c r="D16" s="108">
        <v>0.6</v>
      </c>
      <c r="E16" s="143">
        <f>1791+893</f>
        <v>2684</v>
      </c>
      <c r="F16" s="110">
        <v>0.5</v>
      </c>
      <c r="G16" s="109"/>
      <c r="H16" s="110"/>
      <c r="I16" s="109">
        <v>14</v>
      </c>
      <c r="J16" s="111">
        <v>1.1499999999999999</v>
      </c>
      <c r="K16" s="133">
        <f t="shared" si="1"/>
        <v>1.2649999999999999</v>
      </c>
      <c r="L16" s="280">
        <f t="shared" si="2"/>
        <v>131.14889402443052</v>
      </c>
      <c r="M16" s="280">
        <f t="shared" si="3"/>
        <v>3.9617035325189831</v>
      </c>
      <c r="N16" s="167">
        <v>166</v>
      </c>
      <c r="O16" s="167">
        <v>5</v>
      </c>
      <c r="P16" s="167">
        <f t="shared" si="4"/>
        <v>171</v>
      </c>
      <c r="R16" s="15">
        <f t="shared" si="5"/>
        <v>165.9033509409046</v>
      </c>
      <c r="S16" s="15">
        <f t="shared" si="6"/>
        <v>5.0115549686365135</v>
      </c>
    </row>
    <row r="17" spans="1:19" ht="20.25" customHeight="1" x14ac:dyDescent="0.3">
      <c r="A17" s="106">
        <v>6</v>
      </c>
      <c r="B17" s="131" t="s">
        <v>12</v>
      </c>
      <c r="C17" s="317">
        <f>18.37+8.75</f>
        <v>27.12</v>
      </c>
      <c r="D17" s="108">
        <v>0.5</v>
      </c>
      <c r="E17" s="143">
        <f>2424+1155</f>
        <v>3579</v>
      </c>
      <c r="F17" s="110">
        <v>0.6</v>
      </c>
      <c r="G17" s="109"/>
      <c r="H17" s="110"/>
      <c r="I17" s="109">
        <v>20</v>
      </c>
      <c r="J17" s="111">
        <v>1.3</v>
      </c>
      <c r="K17" s="133">
        <f t="shared" si="1"/>
        <v>1.4300000000000002</v>
      </c>
      <c r="L17" s="280">
        <f t="shared" si="2"/>
        <v>131.14889402443052</v>
      </c>
      <c r="M17" s="280">
        <f t="shared" si="3"/>
        <v>3.9617035325189831</v>
      </c>
      <c r="N17" s="167">
        <v>187</v>
      </c>
      <c r="O17" s="167">
        <v>6</v>
      </c>
      <c r="P17" s="167">
        <f t="shared" si="4"/>
        <v>193</v>
      </c>
      <c r="R17" s="15">
        <f t="shared" si="5"/>
        <v>187.54291845493566</v>
      </c>
      <c r="S17" s="15">
        <f t="shared" si="6"/>
        <v>5.6652360515021467</v>
      </c>
    </row>
    <row r="18" spans="1:19" ht="20.25" customHeight="1" x14ac:dyDescent="0.3">
      <c r="A18" s="106">
        <v>7</v>
      </c>
      <c r="B18" s="131" t="s">
        <v>13</v>
      </c>
      <c r="C18" s="317">
        <f>21.32+12.08</f>
        <v>33.4</v>
      </c>
      <c r="D18" s="108">
        <v>0.6</v>
      </c>
      <c r="E18" s="143">
        <f>2208+1251</f>
        <v>3459</v>
      </c>
      <c r="F18" s="110">
        <v>0.6</v>
      </c>
      <c r="G18" s="109"/>
      <c r="H18" s="110"/>
      <c r="I18" s="109">
        <v>14</v>
      </c>
      <c r="J18" s="111">
        <v>1.1499999999999999</v>
      </c>
      <c r="K18" s="133">
        <f t="shared" si="1"/>
        <v>1.38</v>
      </c>
      <c r="L18" s="280">
        <f t="shared" si="2"/>
        <v>131.14889402443052</v>
      </c>
      <c r="M18" s="280">
        <f t="shared" si="3"/>
        <v>3.9617035325189831</v>
      </c>
      <c r="N18" s="167">
        <v>181</v>
      </c>
      <c r="O18" s="167">
        <v>5</v>
      </c>
      <c r="P18" s="167">
        <f t="shared" si="4"/>
        <v>186</v>
      </c>
      <c r="R18" s="15">
        <f t="shared" si="5"/>
        <v>180.9854737537141</v>
      </c>
      <c r="S18" s="15">
        <f t="shared" si="6"/>
        <v>5.4671508748761966</v>
      </c>
    </row>
    <row r="19" spans="1:19" ht="20.25" customHeight="1" x14ac:dyDescent="0.3">
      <c r="A19" s="112">
        <v>8</v>
      </c>
      <c r="B19" s="134" t="s">
        <v>14</v>
      </c>
      <c r="C19" s="318">
        <f>38.83+8.01</f>
        <v>46.839999999999996</v>
      </c>
      <c r="D19" s="114">
        <v>0.7</v>
      </c>
      <c r="E19" s="144">
        <f>3953+815</f>
        <v>4768</v>
      </c>
      <c r="F19" s="116">
        <v>0.7</v>
      </c>
      <c r="G19" s="115"/>
      <c r="H19" s="116"/>
      <c r="I19" s="115">
        <v>17</v>
      </c>
      <c r="J19" s="117">
        <v>1.3</v>
      </c>
      <c r="K19" s="136">
        <f t="shared" si="1"/>
        <v>1.8199999999999998</v>
      </c>
      <c r="L19" s="137">
        <f t="shared" si="2"/>
        <v>131.14889402443052</v>
      </c>
      <c r="M19" s="137">
        <f t="shared" si="3"/>
        <v>3.9617035325189831</v>
      </c>
      <c r="N19" s="168">
        <v>239</v>
      </c>
      <c r="O19" s="168">
        <v>7</v>
      </c>
      <c r="P19" s="168">
        <f t="shared" si="4"/>
        <v>246</v>
      </c>
      <c r="R19" s="15">
        <f t="shared" si="5"/>
        <v>238.69098712446353</v>
      </c>
      <c r="S19" s="15">
        <f t="shared" si="6"/>
        <v>7.2103004291845485</v>
      </c>
    </row>
    <row r="20" spans="1:19" ht="8.25" customHeight="1" x14ac:dyDescent="0.3"/>
    <row r="21" spans="1:19" x14ac:dyDescent="0.3">
      <c r="B21" s="196" t="s">
        <v>201</v>
      </c>
    </row>
    <row r="22" spans="1:19" x14ac:dyDescent="0.3">
      <c r="B22" s="122" t="s">
        <v>208</v>
      </c>
    </row>
    <row r="23" spans="1:19" x14ac:dyDescent="0.3">
      <c r="B23" s="186" t="s">
        <v>206</v>
      </c>
    </row>
    <row r="24" spans="1:19" ht="21.5" x14ac:dyDescent="0.3">
      <c r="B24" s="187" t="s">
        <v>197</v>
      </c>
    </row>
    <row r="25" spans="1:19" x14ac:dyDescent="0.3">
      <c r="B25" s="186" t="s">
        <v>69</v>
      </c>
    </row>
    <row r="26" spans="1:19" ht="21.5" x14ac:dyDescent="0.3">
      <c r="B26" s="188" t="s">
        <v>198</v>
      </c>
    </row>
    <row r="27" spans="1:19" ht="21.5" x14ac:dyDescent="0.3">
      <c r="B27" s="188" t="s">
        <v>151</v>
      </c>
    </row>
    <row r="28" spans="1:19" ht="21.5" x14ac:dyDescent="0.3">
      <c r="B28" s="188" t="s">
        <v>196</v>
      </c>
    </row>
    <row r="29" spans="1:19" ht="21" x14ac:dyDescent="0.3">
      <c r="B29" s="186" t="s">
        <v>153</v>
      </c>
    </row>
    <row r="30" spans="1:19" ht="21" x14ac:dyDescent="0.3">
      <c r="B30" s="186" t="s">
        <v>154</v>
      </c>
    </row>
    <row r="31" spans="1:19" x14ac:dyDescent="0.3">
      <c r="B31" s="188" t="s">
        <v>168</v>
      </c>
    </row>
    <row r="32" spans="1:19" x14ac:dyDescent="0.4">
      <c r="B32" s="189"/>
    </row>
    <row r="33" spans="2:2" x14ac:dyDescent="0.3">
      <c r="B33" s="186" t="s">
        <v>333</v>
      </c>
    </row>
  </sheetData>
  <mergeCells count="14">
    <mergeCell ref="A1:P1"/>
    <mergeCell ref="A2:P2"/>
    <mergeCell ref="C3:D3"/>
    <mergeCell ref="E3:F3"/>
    <mergeCell ref="G3:H3"/>
    <mergeCell ref="I3:J3"/>
    <mergeCell ref="B3:B4"/>
    <mergeCell ref="A3:A4"/>
    <mergeCell ref="K3:K4"/>
    <mergeCell ref="M3:M4"/>
    <mergeCell ref="L3:L4"/>
    <mergeCell ref="N3:N4"/>
    <mergeCell ref="O3:O4"/>
    <mergeCell ref="P3:P4"/>
  </mergeCells>
  <pageMargins left="0.78740157480314965" right="0.39370078740157483" top="0.78740157480314965" bottom="0.55118110236220474" header="0.31496062992125984" footer="0.31496062992125984"/>
  <pageSetup paperSize="9" scale="63" firstPageNumber="208" fitToHeight="0" orientation="landscape" useFirstPageNumber="1" r:id="rId1"/>
  <headerFooter>
    <oddHeader>&amp;C&amp;"Times New Roman,Regular"&amp;14&amp;P&amp;R&amp;"Times New Roman,Bold Italic"&amp;12Phụ lục 2: Chương trình GNBV
Biểu số 2.11</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AG36"/>
  <sheetViews>
    <sheetView tabSelected="1" view="pageLayout" zoomScale="70" zoomScaleNormal="70" zoomScaleSheetLayoutView="70" zoomScalePageLayoutView="70" workbookViewId="0">
      <selection activeCell="J10" sqref="J10"/>
    </sheetView>
  </sheetViews>
  <sheetFormatPr defaultColWidth="9" defaultRowHeight="18" x14ac:dyDescent="0.3"/>
  <cols>
    <col min="1" max="1" width="7.1640625" style="21" customWidth="1"/>
    <col min="2" max="2" width="33.58203125" style="15" customWidth="1"/>
    <col min="3" max="3" width="9.4140625" style="21" customWidth="1"/>
    <col min="4" max="4" width="8.75" style="21" customWidth="1"/>
    <col min="5" max="5" width="9.4140625" style="22" customWidth="1"/>
    <col min="6" max="6" width="9" style="22" customWidth="1"/>
    <col min="7" max="7" width="10.83203125" style="22" customWidth="1"/>
    <col min="8" max="8" width="8.25" style="22" customWidth="1"/>
    <col min="9" max="9" width="8.75" style="22" customWidth="1"/>
    <col min="10" max="10" width="9.1640625" style="22" customWidth="1"/>
    <col min="11" max="11" width="9" style="22" customWidth="1"/>
    <col min="12" max="12" width="8.4140625" style="22" customWidth="1"/>
    <col min="13" max="14" width="8.83203125" style="22" customWidth="1"/>
    <col min="15" max="15" width="9" style="22" customWidth="1"/>
    <col min="16" max="16" width="10.83203125" style="15" customWidth="1"/>
    <col min="17" max="17" width="10.1640625" style="15" customWidth="1"/>
    <col min="18" max="19" width="10.58203125" style="15" customWidth="1"/>
    <col min="20" max="20" width="9.83203125" style="15" customWidth="1"/>
    <col min="21" max="21" width="11.58203125" style="15" customWidth="1"/>
    <col min="22" max="22" width="11.83203125" style="15" customWidth="1"/>
    <col min="23" max="25" width="9" style="15" hidden="1" customWidth="1"/>
    <col min="26" max="27" width="15" style="15" hidden="1" customWidth="1"/>
    <col min="28" max="28" width="9" style="15" hidden="1" customWidth="1"/>
    <col min="29" max="29" width="10.58203125" style="15" hidden="1" customWidth="1"/>
    <col min="30" max="30" width="15" style="15" hidden="1" customWidth="1"/>
    <col min="31" max="31" width="0" style="15" hidden="1" customWidth="1"/>
    <col min="32" max="16384" width="9" style="15"/>
  </cols>
  <sheetData>
    <row r="1" spans="1:33" s="21" customFormat="1" ht="34.5" customHeight="1" x14ac:dyDescent="0.3">
      <c r="A1" s="528" t="s">
        <v>82</v>
      </c>
      <c r="B1" s="528"/>
      <c r="C1" s="528"/>
      <c r="D1" s="528"/>
      <c r="E1" s="528"/>
      <c r="F1" s="528"/>
      <c r="G1" s="528"/>
      <c r="H1" s="528"/>
      <c r="I1" s="528"/>
      <c r="J1" s="528"/>
      <c r="K1" s="528"/>
      <c r="L1" s="528"/>
      <c r="M1" s="528"/>
      <c r="N1" s="528"/>
      <c r="O1" s="528"/>
      <c r="P1" s="528"/>
      <c r="Q1" s="528"/>
      <c r="R1" s="528"/>
      <c r="S1" s="528"/>
      <c r="T1" s="528"/>
      <c r="U1" s="528"/>
      <c r="V1" s="528"/>
    </row>
    <row r="2" spans="1:33" s="2" customFormat="1" ht="28.9" customHeight="1" x14ac:dyDescent="0.3">
      <c r="A2" s="510" t="str">
        <f>'TDA2-6'!A2:P2</f>
        <v>(Kèm theo Báo cáo số 809/BC-UBND ngày 27 tháng 11 năm 2023 của UBND tỉnh)</v>
      </c>
      <c r="B2" s="510"/>
      <c r="C2" s="510"/>
      <c r="D2" s="510"/>
      <c r="E2" s="510"/>
      <c r="F2" s="510"/>
      <c r="G2" s="510"/>
      <c r="H2" s="510"/>
      <c r="I2" s="510"/>
      <c r="J2" s="510"/>
      <c r="K2" s="510"/>
      <c r="L2" s="510"/>
      <c r="M2" s="510"/>
      <c r="N2" s="510"/>
      <c r="O2" s="510"/>
      <c r="P2" s="510"/>
      <c r="Q2" s="510"/>
      <c r="R2" s="510"/>
      <c r="S2" s="510"/>
      <c r="T2" s="510"/>
      <c r="U2" s="510"/>
      <c r="V2" s="510"/>
    </row>
    <row r="3" spans="1:33" s="13" customFormat="1" ht="70.5" customHeight="1" x14ac:dyDescent="0.3">
      <c r="A3" s="511" t="s">
        <v>0</v>
      </c>
      <c r="B3" s="511" t="s">
        <v>1</v>
      </c>
      <c r="C3" s="536" t="s">
        <v>97</v>
      </c>
      <c r="D3" s="537"/>
      <c r="E3" s="536" t="s">
        <v>98</v>
      </c>
      <c r="F3" s="537"/>
      <c r="G3" s="538" t="s">
        <v>102</v>
      </c>
      <c r="H3" s="539"/>
      <c r="I3" s="536" t="s">
        <v>103</v>
      </c>
      <c r="J3" s="537"/>
      <c r="K3" s="533" t="s">
        <v>23</v>
      </c>
      <c r="L3" s="548" t="s">
        <v>112</v>
      </c>
      <c r="M3" s="549"/>
      <c r="N3" s="548" t="s">
        <v>114</v>
      </c>
      <c r="O3" s="549"/>
      <c r="P3" s="545" t="s">
        <v>334</v>
      </c>
      <c r="Q3" s="546"/>
      <c r="R3" s="545" t="s">
        <v>334</v>
      </c>
      <c r="S3" s="546"/>
      <c r="T3" s="545" t="s">
        <v>93</v>
      </c>
      <c r="U3" s="550"/>
      <c r="V3" s="546"/>
    </row>
    <row r="4" spans="1:33" s="13" customFormat="1" ht="66.75" customHeight="1" x14ac:dyDescent="0.3">
      <c r="A4" s="512"/>
      <c r="B4" s="512"/>
      <c r="C4" s="246" t="s">
        <v>100</v>
      </c>
      <c r="D4" s="246" t="s">
        <v>113</v>
      </c>
      <c r="E4" s="246" t="s">
        <v>100</v>
      </c>
      <c r="F4" s="246" t="s">
        <v>113</v>
      </c>
      <c r="G4" s="246" t="s">
        <v>257</v>
      </c>
      <c r="H4" s="246" t="s">
        <v>113</v>
      </c>
      <c r="I4" s="246" t="s">
        <v>100</v>
      </c>
      <c r="J4" s="246" t="s">
        <v>113</v>
      </c>
      <c r="K4" s="547"/>
      <c r="L4" s="246" t="s">
        <v>24</v>
      </c>
      <c r="M4" s="375" t="s">
        <v>25</v>
      </c>
      <c r="N4" s="246" t="s">
        <v>24</v>
      </c>
      <c r="O4" s="375" t="s">
        <v>25</v>
      </c>
      <c r="P4" s="246" t="s">
        <v>24</v>
      </c>
      <c r="Q4" s="383" t="s">
        <v>25</v>
      </c>
      <c r="R4" s="246" t="s">
        <v>24</v>
      </c>
      <c r="S4" s="383" t="s">
        <v>25</v>
      </c>
      <c r="T4" s="384" t="s">
        <v>5</v>
      </c>
      <c r="U4" s="385" t="s">
        <v>24</v>
      </c>
      <c r="V4" s="383" t="s">
        <v>25</v>
      </c>
    </row>
    <row r="5" spans="1:33" s="13" customFormat="1" ht="38.25" customHeight="1" x14ac:dyDescent="0.3">
      <c r="A5" s="180" t="s">
        <v>105</v>
      </c>
      <c r="B5" s="180" t="s">
        <v>106</v>
      </c>
      <c r="C5" s="332" t="s">
        <v>117</v>
      </c>
      <c r="D5" s="474">
        <v>1</v>
      </c>
      <c r="E5" s="332" t="s">
        <v>118</v>
      </c>
      <c r="F5" s="474">
        <v>2</v>
      </c>
      <c r="G5" s="332" t="s">
        <v>119</v>
      </c>
      <c r="H5" s="474">
        <v>3</v>
      </c>
      <c r="I5" s="332" t="s">
        <v>122</v>
      </c>
      <c r="J5" s="474">
        <v>4</v>
      </c>
      <c r="K5" s="172" t="s">
        <v>132</v>
      </c>
      <c r="L5" s="474">
        <v>6</v>
      </c>
      <c r="M5" s="474">
        <v>7</v>
      </c>
      <c r="N5" s="474">
        <v>8</v>
      </c>
      <c r="O5" s="474">
        <v>9</v>
      </c>
      <c r="P5" s="474" t="s">
        <v>136</v>
      </c>
      <c r="Q5" s="474" t="s">
        <v>137</v>
      </c>
      <c r="R5" s="474" t="s">
        <v>138</v>
      </c>
      <c r="S5" s="474" t="s">
        <v>139</v>
      </c>
      <c r="T5" s="474" t="s">
        <v>142</v>
      </c>
      <c r="U5" s="474" t="s">
        <v>140</v>
      </c>
      <c r="V5" s="474" t="s">
        <v>141</v>
      </c>
      <c r="X5" s="241">
        <f>P6+Q6</f>
        <v>9879</v>
      </c>
      <c r="Y5" s="241">
        <f>R6+S6</f>
        <v>296</v>
      </c>
    </row>
    <row r="6" spans="1:33" s="13" customFormat="1" ht="17.5" x14ac:dyDescent="0.3">
      <c r="A6" s="10"/>
      <c r="B6" s="10" t="s">
        <v>5</v>
      </c>
      <c r="C6" s="11"/>
      <c r="D6" s="11"/>
      <c r="E6" s="12"/>
      <c r="F6" s="83"/>
      <c r="G6" s="9"/>
      <c r="H6" s="80"/>
      <c r="I6" s="12"/>
      <c r="J6" s="11"/>
      <c r="K6" s="11"/>
      <c r="L6" s="11"/>
      <c r="M6" s="11"/>
      <c r="N6" s="11"/>
      <c r="O6" s="11"/>
      <c r="P6" s="141">
        <f t="shared" ref="P6:V6" si="0">P7+P14</f>
        <v>6170</v>
      </c>
      <c r="Q6" s="141">
        <f t="shared" si="0"/>
        <v>3709</v>
      </c>
      <c r="R6" s="141">
        <f t="shared" si="0"/>
        <v>185</v>
      </c>
      <c r="S6" s="141">
        <f t="shared" si="0"/>
        <v>111</v>
      </c>
      <c r="T6" s="141">
        <f t="shared" si="0"/>
        <v>10175</v>
      </c>
      <c r="U6" s="141">
        <f t="shared" si="0"/>
        <v>6355</v>
      </c>
      <c r="V6" s="141">
        <f t="shared" si="0"/>
        <v>3820</v>
      </c>
      <c r="X6" s="241">
        <f>P6+Q6</f>
        <v>9879</v>
      </c>
      <c r="Z6" s="13" t="s">
        <v>209</v>
      </c>
      <c r="AC6" s="13" t="s">
        <v>210</v>
      </c>
      <c r="AF6" s="241"/>
      <c r="AG6" s="241"/>
    </row>
    <row r="7" spans="1:33" s="25" customFormat="1" ht="17.5" x14ac:dyDescent="0.3">
      <c r="A7" s="81" t="s">
        <v>6</v>
      </c>
      <c r="B7" s="24" t="s">
        <v>21</v>
      </c>
      <c r="C7" s="81"/>
      <c r="D7" s="81"/>
      <c r="E7" s="79"/>
      <c r="F7" s="79"/>
      <c r="G7" s="79"/>
      <c r="H7" s="79"/>
      <c r="I7" s="79"/>
      <c r="J7" s="79"/>
      <c r="K7" s="79"/>
      <c r="L7" s="79"/>
      <c r="M7" s="79"/>
      <c r="N7" s="79"/>
      <c r="O7" s="79"/>
      <c r="P7" s="176">
        <f>SUM(P8:P13)</f>
        <v>1543</v>
      </c>
      <c r="Q7" s="176">
        <f t="shared" ref="Q7:V7" si="1">SUM(Q8:Q13)</f>
        <v>927</v>
      </c>
      <c r="R7" s="176">
        <f t="shared" si="1"/>
        <v>46</v>
      </c>
      <c r="S7" s="176">
        <f t="shared" si="1"/>
        <v>28</v>
      </c>
      <c r="T7" s="176">
        <f t="shared" si="1"/>
        <v>2544</v>
      </c>
      <c r="U7" s="176">
        <f t="shared" si="1"/>
        <v>1589</v>
      </c>
      <c r="V7" s="176">
        <f t="shared" si="1"/>
        <v>955</v>
      </c>
      <c r="Z7" s="200">
        <f>SUM(P15:P22)</f>
        <v>4627</v>
      </c>
      <c r="AA7" s="200">
        <f>SUM(Q15:Q22)</f>
        <v>2782</v>
      </c>
      <c r="AC7" s="200">
        <f>SUM(R15:R22)</f>
        <v>139</v>
      </c>
      <c r="AD7" s="200">
        <f>SUM(S15:S22)</f>
        <v>83</v>
      </c>
    </row>
    <row r="8" spans="1:33" ht="36" x14ac:dyDescent="0.3">
      <c r="A8" s="102">
        <v>1</v>
      </c>
      <c r="B8" s="366" t="s">
        <v>111</v>
      </c>
      <c r="C8" s="102"/>
      <c r="D8" s="102"/>
      <c r="E8" s="279"/>
      <c r="F8" s="279"/>
      <c r="G8" s="279"/>
      <c r="H8" s="279"/>
      <c r="I8" s="279"/>
      <c r="J8" s="279"/>
      <c r="K8" s="279"/>
      <c r="L8" s="279"/>
      <c r="M8" s="279"/>
      <c r="N8" s="279"/>
      <c r="O8" s="279"/>
      <c r="P8" s="118">
        <v>1048</v>
      </c>
      <c r="Q8" s="118">
        <v>760</v>
      </c>
      <c r="R8" s="118">
        <v>30</v>
      </c>
      <c r="S8" s="118">
        <v>22</v>
      </c>
      <c r="T8" s="118">
        <f t="shared" ref="T8" si="2">U8+V8</f>
        <v>1860</v>
      </c>
      <c r="U8" s="118">
        <f t="shared" ref="U8" si="3">P8+R8</f>
        <v>1078</v>
      </c>
      <c r="V8" s="118">
        <f t="shared" ref="V8" si="4">Q8+S8</f>
        <v>782</v>
      </c>
      <c r="X8" s="165">
        <f>P8+Q8</f>
        <v>1808</v>
      </c>
      <c r="Z8" s="15">
        <f>P6*0.25</f>
        <v>1542.5</v>
      </c>
      <c r="AA8" s="15">
        <f>Q6*0.25</f>
        <v>927.25</v>
      </c>
    </row>
    <row r="9" spans="1:33" ht="25.5" customHeight="1" x14ac:dyDescent="0.3">
      <c r="A9" s="108">
        <v>2</v>
      </c>
      <c r="B9" s="367" t="s">
        <v>290</v>
      </c>
      <c r="C9" s="108"/>
      <c r="D9" s="108"/>
      <c r="E9" s="280"/>
      <c r="F9" s="280"/>
      <c r="G9" s="280"/>
      <c r="H9" s="280"/>
      <c r="I9" s="280"/>
      <c r="J9" s="280"/>
      <c r="K9" s="280"/>
      <c r="L9" s="280"/>
      <c r="M9" s="280"/>
      <c r="N9" s="280"/>
      <c r="O9" s="280"/>
      <c r="P9" s="119">
        <v>49</v>
      </c>
      <c r="Q9" s="119">
        <v>0</v>
      </c>
      <c r="R9" s="119">
        <v>2</v>
      </c>
      <c r="S9" s="119">
        <v>0</v>
      </c>
      <c r="T9" s="119">
        <f t="shared" ref="T9:T13" si="5">U9+V9</f>
        <v>51</v>
      </c>
      <c r="U9" s="119">
        <f t="shared" ref="U9:U12" si="6">P9+R9</f>
        <v>51</v>
      </c>
      <c r="V9" s="119">
        <f t="shared" ref="V9:V13" si="7">Q9+S9</f>
        <v>0</v>
      </c>
      <c r="X9" s="165"/>
    </row>
    <row r="10" spans="1:33" ht="36" x14ac:dyDescent="0.3">
      <c r="A10" s="108">
        <v>3</v>
      </c>
      <c r="B10" s="367" t="s">
        <v>357</v>
      </c>
      <c r="C10" s="108"/>
      <c r="D10" s="108"/>
      <c r="E10" s="280"/>
      <c r="F10" s="280"/>
      <c r="G10" s="280"/>
      <c r="H10" s="280"/>
      <c r="I10" s="280"/>
      <c r="J10" s="280"/>
      <c r="K10" s="280"/>
      <c r="L10" s="280"/>
      <c r="M10" s="280"/>
      <c r="N10" s="280"/>
      <c r="O10" s="280"/>
      <c r="P10" s="119">
        <v>364</v>
      </c>
      <c r="Q10" s="119">
        <v>71</v>
      </c>
      <c r="R10" s="119">
        <v>11</v>
      </c>
      <c r="S10" s="119">
        <v>2</v>
      </c>
      <c r="T10" s="119">
        <f t="shared" si="5"/>
        <v>448</v>
      </c>
      <c r="U10" s="119">
        <f t="shared" si="6"/>
        <v>375</v>
      </c>
      <c r="V10" s="119">
        <f t="shared" si="7"/>
        <v>73</v>
      </c>
      <c r="X10" s="165"/>
    </row>
    <row r="11" spans="1:33" ht="42" customHeight="1" x14ac:dyDescent="0.3">
      <c r="A11" s="108">
        <v>4</v>
      </c>
      <c r="B11" s="367" t="s">
        <v>360</v>
      </c>
      <c r="C11" s="108"/>
      <c r="D11" s="108"/>
      <c r="E11" s="280"/>
      <c r="F11" s="280"/>
      <c r="G11" s="280"/>
      <c r="H11" s="280"/>
      <c r="I11" s="280"/>
      <c r="J11" s="280"/>
      <c r="K11" s="280"/>
      <c r="L11" s="280"/>
      <c r="M11" s="280"/>
      <c r="N11" s="280"/>
      <c r="O11" s="280"/>
      <c r="P11" s="119">
        <v>0</v>
      </c>
      <c r="Q11" s="119">
        <v>58</v>
      </c>
      <c r="R11" s="119">
        <v>0</v>
      </c>
      <c r="S11" s="119">
        <v>2</v>
      </c>
      <c r="T11" s="119">
        <f t="shared" si="5"/>
        <v>60</v>
      </c>
      <c r="U11" s="119">
        <f t="shared" si="6"/>
        <v>0</v>
      </c>
      <c r="V11" s="119">
        <f t="shared" si="7"/>
        <v>60</v>
      </c>
      <c r="X11" s="165"/>
    </row>
    <row r="12" spans="1:33" ht="22.5" customHeight="1" x14ac:dyDescent="0.3">
      <c r="A12" s="108">
        <v>5</v>
      </c>
      <c r="B12" s="367" t="s">
        <v>272</v>
      </c>
      <c r="C12" s="108"/>
      <c r="D12" s="108"/>
      <c r="E12" s="280"/>
      <c r="F12" s="280"/>
      <c r="G12" s="280"/>
      <c r="H12" s="280"/>
      <c r="I12" s="280"/>
      <c r="J12" s="280"/>
      <c r="K12" s="280"/>
      <c r="L12" s="280"/>
      <c r="M12" s="280"/>
      <c r="N12" s="280"/>
      <c r="O12" s="280"/>
      <c r="P12" s="119">
        <v>82</v>
      </c>
      <c r="Q12" s="119">
        <v>19</v>
      </c>
      <c r="R12" s="119">
        <v>3</v>
      </c>
      <c r="S12" s="119">
        <v>1</v>
      </c>
      <c r="T12" s="119">
        <f t="shared" si="5"/>
        <v>105</v>
      </c>
      <c r="U12" s="119">
        <f t="shared" si="6"/>
        <v>85</v>
      </c>
      <c r="V12" s="119">
        <f t="shared" si="7"/>
        <v>20</v>
      </c>
      <c r="X12" s="165"/>
    </row>
    <row r="13" spans="1:33" ht="22.5" customHeight="1" x14ac:dyDescent="0.3">
      <c r="A13" s="114">
        <v>6</v>
      </c>
      <c r="B13" s="406" t="s">
        <v>336</v>
      </c>
      <c r="C13" s="114"/>
      <c r="D13" s="114"/>
      <c r="E13" s="137"/>
      <c r="F13" s="137"/>
      <c r="G13" s="137"/>
      <c r="H13" s="137"/>
      <c r="I13" s="137"/>
      <c r="J13" s="137"/>
      <c r="K13" s="137"/>
      <c r="L13" s="137"/>
      <c r="M13" s="137"/>
      <c r="N13" s="137"/>
      <c r="O13" s="137"/>
      <c r="P13" s="120"/>
      <c r="Q13" s="120">
        <v>19</v>
      </c>
      <c r="R13" s="120"/>
      <c r="S13" s="120">
        <v>1</v>
      </c>
      <c r="T13" s="119">
        <f t="shared" si="5"/>
        <v>20</v>
      </c>
      <c r="U13" s="120"/>
      <c r="V13" s="120">
        <f t="shared" si="7"/>
        <v>20</v>
      </c>
      <c r="X13" s="165"/>
    </row>
    <row r="14" spans="1:33" s="25" customFormat="1" ht="23.25" customHeight="1" x14ac:dyDescent="0.3">
      <c r="A14" s="3" t="s">
        <v>7</v>
      </c>
      <c r="B14" s="368" t="s">
        <v>128</v>
      </c>
      <c r="C14" s="3">
        <f>26.93+9.74</f>
        <v>36.67</v>
      </c>
      <c r="D14" s="3"/>
      <c r="E14" s="7">
        <f>SUM(E15:E22)</f>
        <v>29881</v>
      </c>
      <c r="F14" s="7"/>
      <c r="G14" s="7"/>
      <c r="H14" s="7"/>
      <c r="I14" s="7">
        <f>SUM(I15:I22)</f>
        <v>108</v>
      </c>
      <c r="J14" s="124"/>
      <c r="K14" s="6">
        <f t="shared" ref="K14" si="8">SUM(K15:K22)</f>
        <v>12.116</v>
      </c>
      <c r="L14" s="184"/>
      <c r="M14" s="182"/>
      <c r="N14" s="182"/>
      <c r="O14" s="182"/>
      <c r="P14" s="296">
        <v>4627</v>
      </c>
      <c r="Q14" s="296">
        <v>2782</v>
      </c>
      <c r="R14" s="296">
        <v>139</v>
      </c>
      <c r="S14" s="296">
        <v>83</v>
      </c>
      <c r="T14" s="296">
        <f>SUM(T15:T22)</f>
        <v>7631</v>
      </c>
      <c r="U14" s="296">
        <f>SUM(U15:U22)</f>
        <v>4766</v>
      </c>
      <c r="V14" s="176">
        <f>SUM(V15:V22)</f>
        <v>2865</v>
      </c>
      <c r="X14" s="48">
        <f>R6+S6</f>
        <v>296</v>
      </c>
      <c r="Z14" s="25" t="s">
        <v>202</v>
      </c>
      <c r="AA14" s="25" t="s">
        <v>203</v>
      </c>
      <c r="AC14" s="25" t="s">
        <v>202</v>
      </c>
      <c r="AD14" s="25" t="s">
        <v>203</v>
      </c>
    </row>
    <row r="15" spans="1:33" ht="23.25" customHeight="1" x14ac:dyDescent="0.3">
      <c r="A15" s="100">
        <v>1</v>
      </c>
      <c r="B15" s="101" t="s">
        <v>10</v>
      </c>
      <c r="C15" s="102">
        <f>2.76+1.04</f>
        <v>3.8</v>
      </c>
      <c r="D15" s="102">
        <v>0.4</v>
      </c>
      <c r="E15" s="103">
        <f>332+125</f>
        <v>457</v>
      </c>
      <c r="F15" s="104">
        <v>0.4</v>
      </c>
      <c r="G15" s="103"/>
      <c r="H15" s="105"/>
      <c r="I15" s="103">
        <v>8</v>
      </c>
      <c r="J15" s="105">
        <v>1</v>
      </c>
      <c r="K15" s="242">
        <f>(D15+F15)*(H15+J15)</f>
        <v>0.8</v>
      </c>
      <c r="L15" s="279">
        <f>$P$14/$K$14</f>
        <v>381.89171343677782</v>
      </c>
      <c r="M15" s="279">
        <f>$Q$14/$K$14</f>
        <v>229.61373390557941</v>
      </c>
      <c r="N15" s="279">
        <f>$R$14/$K$14</f>
        <v>11.472433146252889</v>
      </c>
      <c r="O15" s="279">
        <f>$S$14/$K$14</f>
        <v>6.8504456916474084</v>
      </c>
      <c r="P15" s="118">
        <v>306</v>
      </c>
      <c r="Q15" s="118">
        <v>184</v>
      </c>
      <c r="R15" s="118">
        <v>9</v>
      </c>
      <c r="S15" s="118">
        <v>5</v>
      </c>
      <c r="T15" s="118">
        <f>U15+V15</f>
        <v>504</v>
      </c>
      <c r="U15" s="118">
        <f>P15+R15</f>
        <v>315</v>
      </c>
      <c r="V15" s="118">
        <f>Q15+S15</f>
        <v>189</v>
      </c>
      <c r="X15" s="165">
        <f>P14+Q14</f>
        <v>7409</v>
      </c>
      <c r="Z15" s="15">
        <f>K15*L15</f>
        <v>305.51337074942228</v>
      </c>
      <c r="AA15" s="192">
        <f>K15*M15</f>
        <v>183.69098712446353</v>
      </c>
      <c r="AC15" s="15">
        <f>K15*N15</f>
        <v>9.1779465170023116</v>
      </c>
      <c r="AD15" s="15">
        <f>K15*O15</f>
        <v>5.480356553317927</v>
      </c>
    </row>
    <row r="16" spans="1:33" ht="23.25" customHeight="1" x14ac:dyDescent="0.3">
      <c r="A16" s="106">
        <v>2</v>
      </c>
      <c r="B16" s="107" t="s">
        <v>4</v>
      </c>
      <c r="C16" s="108">
        <f>53.54+15.61</f>
        <v>69.150000000000006</v>
      </c>
      <c r="D16" s="108">
        <v>0.9</v>
      </c>
      <c r="E16" s="109">
        <f>3992+1164</f>
        <v>5156</v>
      </c>
      <c r="F16" s="110">
        <v>0.8</v>
      </c>
      <c r="G16" s="109" t="s">
        <v>19</v>
      </c>
      <c r="H16" s="111">
        <v>0.12</v>
      </c>
      <c r="I16" s="109">
        <v>10</v>
      </c>
      <c r="J16" s="111">
        <v>1</v>
      </c>
      <c r="K16" s="243">
        <f t="shared" ref="K16:K22" si="9">(D16+F16)*(H16+J16)</f>
        <v>1.9040000000000004</v>
      </c>
      <c r="L16" s="280">
        <f>$P$14/$K$14</f>
        <v>381.89171343677782</v>
      </c>
      <c r="M16" s="280">
        <f t="shared" ref="M16:M22" si="10">$Q$14/$K$14</f>
        <v>229.61373390557941</v>
      </c>
      <c r="N16" s="280">
        <f t="shared" ref="N16:N22" si="11">$R$14/$K$14</f>
        <v>11.472433146252889</v>
      </c>
      <c r="O16" s="280">
        <f t="shared" ref="O16:O22" si="12">$S$14/$K$14</f>
        <v>6.8504456916474084</v>
      </c>
      <c r="P16" s="119">
        <v>727</v>
      </c>
      <c r="Q16" s="119">
        <v>437</v>
      </c>
      <c r="R16" s="119">
        <v>22</v>
      </c>
      <c r="S16" s="119">
        <v>13</v>
      </c>
      <c r="T16" s="119">
        <f t="shared" ref="T16:T22" si="13">U16+V16</f>
        <v>1199</v>
      </c>
      <c r="U16" s="119">
        <f>P16+R16</f>
        <v>749</v>
      </c>
      <c r="V16" s="119">
        <f t="shared" ref="V16:V22" si="14">Q16+S16</f>
        <v>450</v>
      </c>
      <c r="X16" s="165">
        <f>R14+S14</f>
        <v>222</v>
      </c>
      <c r="Z16" s="15">
        <f>K16*L16</f>
        <v>727.12182238362516</v>
      </c>
      <c r="AA16" s="15">
        <f t="shared" ref="AA16:AA22" si="15">K16*M16</f>
        <v>437.18454935622327</v>
      </c>
      <c r="AC16" s="15">
        <f t="shared" ref="AC16:AC22" si="16">K16*N16</f>
        <v>21.843512710465507</v>
      </c>
      <c r="AD16" s="15">
        <f t="shared" ref="AD16:AD22" si="17">K16*O16</f>
        <v>13.043248596896667</v>
      </c>
    </row>
    <row r="17" spans="1:30" ht="23.25" customHeight="1" x14ac:dyDescent="0.3">
      <c r="A17" s="106">
        <v>3</v>
      </c>
      <c r="B17" s="107" t="s">
        <v>3</v>
      </c>
      <c r="C17" s="108">
        <f>28.33+13.31</f>
        <v>41.64</v>
      </c>
      <c r="D17" s="108">
        <v>0.7</v>
      </c>
      <c r="E17" s="109">
        <f>3443+1618</f>
        <v>5061</v>
      </c>
      <c r="F17" s="110">
        <v>0.8</v>
      </c>
      <c r="G17" s="109"/>
      <c r="H17" s="111"/>
      <c r="I17" s="109">
        <v>15</v>
      </c>
      <c r="J17" s="111">
        <v>1.1499999999999999</v>
      </c>
      <c r="K17" s="243">
        <f t="shared" si="9"/>
        <v>1.7249999999999999</v>
      </c>
      <c r="L17" s="280">
        <f t="shared" ref="L17:L22" si="18">$P$14/$K$14</f>
        <v>381.89171343677782</v>
      </c>
      <c r="M17" s="280">
        <f t="shared" si="10"/>
        <v>229.61373390557941</v>
      </c>
      <c r="N17" s="280">
        <f t="shared" si="11"/>
        <v>11.472433146252889</v>
      </c>
      <c r="O17" s="280">
        <f t="shared" si="12"/>
        <v>6.8504456916474084</v>
      </c>
      <c r="P17" s="119">
        <v>659</v>
      </c>
      <c r="Q17" s="119">
        <v>396</v>
      </c>
      <c r="R17" s="119">
        <v>20</v>
      </c>
      <c r="S17" s="119">
        <v>12</v>
      </c>
      <c r="T17" s="119">
        <f t="shared" si="13"/>
        <v>1087</v>
      </c>
      <c r="U17" s="119">
        <f>P17+R17</f>
        <v>679</v>
      </c>
      <c r="V17" s="119">
        <f t="shared" si="14"/>
        <v>408</v>
      </c>
      <c r="Z17" s="15">
        <f t="shared" ref="Z17" si="19">K17*L17</f>
        <v>658.76320567844164</v>
      </c>
      <c r="AA17" s="15">
        <f t="shared" si="15"/>
        <v>396.08369098712444</v>
      </c>
      <c r="AC17" s="15">
        <f t="shared" si="16"/>
        <v>19.789947177286233</v>
      </c>
      <c r="AD17" s="15">
        <f t="shared" si="17"/>
        <v>11.817018818091778</v>
      </c>
    </row>
    <row r="18" spans="1:30" ht="23.25" customHeight="1" x14ac:dyDescent="0.3">
      <c r="A18" s="106">
        <v>4</v>
      </c>
      <c r="B18" s="107" t="s">
        <v>8</v>
      </c>
      <c r="C18" s="108">
        <f>51.13+12.29</f>
        <v>63.42</v>
      </c>
      <c r="D18" s="108">
        <v>0.9</v>
      </c>
      <c r="E18" s="109">
        <f>3803+914</f>
        <v>4717</v>
      </c>
      <c r="F18" s="110">
        <v>0.7</v>
      </c>
      <c r="G18" s="109" t="s">
        <v>19</v>
      </c>
      <c r="H18" s="111">
        <v>0.12</v>
      </c>
      <c r="I18" s="109">
        <v>10</v>
      </c>
      <c r="J18" s="111">
        <v>1</v>
      </c>
      <c r="K18" s="243">
        <f t="shared" si="9"/>
        <v>1.7920000000000003</v>
      </c>
      <c r="L18" s="280">
        <f t="shared" si="18"/>
        <v>381.89171343677782</v>
      </c>
      <c r="M18" s="280">
        <f t="shared" si="10"/>
        <v>229.61373390557941</v>
      </c>
      <c r="N18" s="280">
        <f t="shared" si="11"/>
        <v>11.472433146252889</v>
      </c>
      <c r="O18" s="280">
        <f t="shared" si="12"/>
        <v>6.8504456916474084</v>
      </c>
      <c r="P18" s="119">
        <v>684</v>
      </c>
      <c r="Q18" s="119">
        <v>412</v>
      </c>
      <c r="R18" s="119">
        <v>20</v>
      </c>
      <c r="S18" s="119">
        <v>12</v>
      </c>
      <c r="T18" s="119">
        <f t="shared" si="13"/>
        <v>1128</v>
      </c>
      <c r="U18" s="119">
        <f t="shared" ref="U18:U22" si="20">P18+R18</f>
        <v>704</v>
      </c>
      <c r="V18" s="119">
        <f t="shared" si="14"/>
        <v>424</v>
      </c>
      <c r="Z18" s="15">
        <f>K18*L18</f>
        <v>684.34995047870598</v>
      </c>
      <c r="AA18" s="15">
        <f t="shared" si="15"/>
        <v>411.46781115879838</v>
      </c>
      <c r="AC18" s="15">
        <f t="shared" si="16"/>
        <v>20.55860019808518</v>
      </c>
      <c r="AD18" s="15">
        <f t="shared" si="17"/>
        <v>12.275998679432158</v>
      </c>
    </row>
    <row r="19" spans="1:30" ht="23.25" customHeight="1" x14ac:dyDescent="0.3">
      <c r="A19" s="106">
        <v>5</v>
      </c>
      <c r="B19" s="107" t="s">
        <v>11</v>
      </c>
      <c r="C19" s="108">
        <f>20.66+10.3</f>
        <v>30.96</v>
      </c>
      <c r="D19" s="108">
        <v>0.6</v>
      </c>
      <c r="E19" s="109">
        <f>1791+893</f>
        <v>2684</v>
      </c>
      <c r="F19" s="110">
        <v>0.5</v>
      </c>
      <c r="G19" s="109"/>
      <c r="H19" s="110"/>
      <c r="I19" s="109">
        <v>14</v>
      </c>
      <c r="J19" s="111">
        <v>1.1499999999999999</v>
      </c>
      <c r="K19" s="243">
        <f t="shared" si="9"/>
        <v>1.2649999999999999</v>
      </c>
      <c r="L19" s="280">
        <f t="shared" si="18"/>
        <v>381.89171343677782</v>
      </c>
      <c r="M19" s="280">
        <f t="shared" si="10"/>
        <v>229.61373390557941</v>
      </c>
      <c r="N19" s="280">
        <f t="shared" si="11"/>
        <v>11.472433146252889</v>
      </c>
      <c r="O19" s="280">
        <f t="shared" si="12"/>
        <v>6.8504456916474084</v>
      </c>
      <c r="P19" s="119">
        <v>483</v>
      </c>
      <c r="Q19" s="119">
        <v>290</v>
      </c>
      <c r="R19" s="119">
        <v>15</v>
      </c>
      <c r="S19" s="119">
        <v>9</v>
      </c>
      <c r="T19" s="119">
        <f t="shared" si="13"/>
        <v>797</v>
      </c>
      <c r="U19" s="119">
        <f t="shared" si="20"/>
        <v>498</v>
      </c>
      <c r="V19" s="119">
        <f t="shared" si="14"/>
        <v>299</v>
      </c>
      <c r="Z19" s="15">
        <f>K19*L19</f>
        <v>483.09301749752393</v>
      </c>
      <c r="AA19" s="15">
        <f t="shared" si="15"/>
        <v>290.46137339055792</v>
      </c>
      <c r="AC19" s="15">
        <f t="shared" si="16"/>
        <v>14.512627930009904</v>
      </c>
      <c r="AD19" s="15">
        <f t="shared" si="17"/>
        <v>8.6658137999339715</v>
      </c>
    </row>
    <row r="20" spans="1:30" ht="23.25" customHeight="1" x14ac:dyDescent="0.3">
      <c r="A20" s="106">
        <v>6</v>
      </c>
      <c r="B20" s="107" t="s">
        <v>12</v>
      </c>
      <c r="C20" s="108">
        <f>18.37+8.75</f>
        <v>27.12</v>
      </c>
      <c r="D20" s="108">
        <v>0.5</v>
      </c>
      <c r="E20" s="109">
        <f>2424+1155</f>
        <v>3579</v>
      </c>
      <c r="F20" s="110">
        <v>0.6</v>
      </c>
      <c r="G20" s="109"/>
      <c r="H20" s="110"/>
      <c r="I20" s="109">
        <v>20</v>
      </c>
      <c r="J20" s="111">
        <v>1.3</v>
      </c>
      <c r="K20" s="243">
        <f t="shared" si="9"/>
        <v>1.4300000000000002</v>
      </c>
      <c r="L20" s="280">
        <f t="shared" si="18"/>
        <v>381.89171343677782</v>
      </c>
      <c r="M20" s="280">
        <f t="shared" si="10"/>
        <v>229.61373390557941</v>
      </c>
      <c r="N20" s="280">
        <f t="shared" si="11"/>
        <v>11.472433146252889</v>
      </c>
      <c r="O20" s="280">
        <f t="shared" si="12"/>
        <v>6.8504456916474084</v>
      </c>
      <c r="P20" s="119">
        <v>546</v>
      </c>
      <c r="Q20" s="119">
        <v>328</v>
      </c>
      <c r="R20" s="119">
        <v>16</v>
      </c>
      <c r="S20" s="119">
        <v>10</v>
      </c>
      <c r="T20" s="119">
        <f t="shared" si="13"/>
        <v>900</v>
      </c>
      <c r="U20" s="119">
        <f t="shared" si="20"/>
        <v>562</v>
      </c>
      <c r="V20" s="119">
        <f t="shared" si="14"/>
        <v>338</v>
      </c>
      <c r="Z20" s="15">
        <f>K20*L20</f>
        <v>546.1051502145923</v>
      </c>
      <c r="AA20" s="15">
        <f t="shared" si="15"/>
        <v>328.34763948497857</v>
      </c>
      <c r="AC20" s="15">
        <f t="shared" si="16"/>
        <v>16.405579399141633</v>
      </c>
      <c r="AD20" s="15">
        <f t="shared" si="17"/>
        <v>9.7961373390557949</v>
      </c>
    </row>
    <row r="21" spans="1:30" ht="23.25" customHeight="1" x14ac:dyDescent="0.3">
      <c r="A21" s="106">
        <v>7</v>
      </c>
      <c r="B21" s="107" t="s">
        <v>13</v>
      </c>
      <c r="C21" s="108">
        <f>21.32+12.08</f>
        <v>33.4</v>
      </c>
      <c r="D21" s="108">
        <v>0.6</v>
      </c>
      <c r="E21" s="109">
        <f>2208+1251</f>
        <v>3459</v>
      </c>
      <c r="F21" s="110">
        <v>0.6</v>
      </c>
      <c r="G21" s="109"/>
      <c r="H21" s="110"/>
      <c r="I21" s="109">
        <v>14</v>
      </c>
      <c r="J21" s="111">
        <v>1.1499999999999999</v>
      </c>
      <c r="K21" s="243">
        <f t="shared" si="9"/>
        <v>1.38</v>
      </c>
      <c r="L21" s="280">
        <f t="shared" si="18"/>
        <v>381.89171343677782</v>
      </c>
      <c r="M21" s="280">
        <f t="shared" si="10"/>
        <v>229.61373390557941</v>
      </c>
      <c r="N21" s="280">
        <f t="shared" si="11"/>
        <v>11.472433146252889</v>
      </c>
      <c r="O21" s="280">
        <f t="shared" si="12"/>
        <v>6.8504456916474084</v>
      </c>
      <c r="P21" s="119">
        <v>527</v>
      </c>
      <c r="Q21" s="119">
        <v>317</v>
      </c>
      <c r="R21" s="119">
        <v>16</v>
      </c>
      <c r="S21" s="119">
        <v>9</v>
      </c>
      <c r="T21" s="119">
        <f t="shared" si="13"/>
        <v>869</v>
      </c>
      <c r="U21" s="119">
        <f t="shared" si="20"/>
        <v>543</v>
      </c>
      <c r="V21" s="119">
        <f t="shared" si="14"/>
        <v>326</v>
      </c>
      <c r="Z21" s="15">
        <f>K21*L21</f>
        <v>527.0105645427534</v>
      </c>
      <c r="AA21" s="15">
        <f t="shared" si="15"/>
        <v>316.86695278969955</v>
      </c>
      <c r="AC21" s="15">
        <f t="shared" si="16"/>
        <v>15.831957741828987</v>
      </c>
      <c r="AD21" s="15">
        <f t="shared" si="17"/>
        <v>9.4536150544734223</v>
      </c>
    </row>
    <row r="22" spans="1:30" ht="23.25" customHeight="1" x14ac:dyDescent="0.3">
      <c r="A22" s="112">
        <v>8</v>
      </c>
      <c r="B22" s="113" t="s">
        <v>14</v>
      </c>
      <c r="C22" s="114">
        <f>38.83+8.01</f>
        <v>46.839999999999996</v>
      </c>
      <c r="D22" s="114">
        <v>0.7</v>
      </c>
      <c r="E22" s="115">
        <f>3953+815</f>
        <v>4768</v>
      </c>
      <c r="F22" s="116">
        <v>0.7</v>
      </c>
      <c r="G22" s="115"/>
      <c r="H22" s="116"/>
      <c r="I22" s="115">
        <v>17</v>
      </c>
      <c r="J22" s="117">
        <v>1.3</v>
      </c>
      <c r="K22" s="244">
        <f t="shared" si="9"/>
        <v>1.8199999999999998</v>
      </c>
      <c r="L22" s="137">
        <f t="shared" si="18"/>
        <v>381.89171343677782</v>
      </c>
      <c r="M22" s="137">
        <f t="shared" si="10"/>
        <v>229.61373390557941</v>
      </c>
      <c r="N22" s="137">
        <f t="shared" si="11"/>
        <v>11.472433146252889</v>
      </c>
      <c r="O22" s="137">
        <f t="shared" si="12"/>
        <v>6.8504456916474084</v>
      </c>
      <c r="P22" s="120">
        <v>695</v>
      </c>
      <c r="Q22" s="120">
        <v>418</v>
      </c>
      <c r="R22" s="120">
        <v>21</v>
      </c>
      <c r="S22" s="120">
        <v>13</v>
      </c>
      <c r="T22" s="120">
        <f t="shared" si="13"/>
        <v>1147</v>
      </c>
      <c r="U22" s="120">
        <f t="shared" si="20"/>
        <v>716</v>
      </c>
      <c r="V22" s="120">
        <f t="shared" si="14"/>
        <v>431</v>
      </c>
      <c r="Z22" s="15">
        <f>K22*L22</f>
        <v>695.0429184549356</v>
      </c>
      <c r="AA22" s="15">
        <f t="shared" si="15"/>
        <v>417.89699570815446</v>
      </c>
      <c r="AC22" s="15">
        <f t="shared" si="16"/>
        <v>20.879828326180256</v>
      </c>
      <c r="AD22" s="15">
        <f t="shared" si="17"/>
        <v>12.467811158798282</v>
      </c>
    </row>
    <row r="23" spans="1:30" x14ac:dyDescent="0.3">
      <c r="X23" s="165">
        <f>R8+S8</f>
        <v>52</v>
      </c>
      <c r="Z23" s="15">
        <f>P6*0.03</f>
        <v>185.1</v>
      </c>
      <c r="AA23" s="15">
        <f>Q6*0.03</f>
        <v>111.27</v>
      </c>
    </row>
    <row r="24" spans="1:30" x14ac:dyDescent="0.3">
      <c r="B24" s="196" t="s">
        <v>201</v>
      </c>
    </row>
    <row r="25" spans="1:30" x14ac:dyDescent="0.3">
      <c r="B25" s="122" t="s">
        <v>211</v>
      </c>
      <c r="Z25" s="165">
        <f>SUM(U15:U22)</f>
        <v>4766</v>
      </c>
    </row>
    <row r="26" spans="1:30" x14ac:dyDescent="0.3">
      <c r="B26" s="186" t="s">
        <v>164</v>
      </c>
      <c r="R26" s="50"/>
      <c r="X26" s="165">
        <f>P6*0.03</f>
        <v>185.1</v>
      </c>
      <c r="Y26" s="165">
        <f>Q6*0.03</f>
        <v>111.27</v>
      </c>
    </row>
    <row r="27" spans="1:30" ht="21.5" x14ac:dyDescent="0.3">
      <c r="B27" s="187" t="s">
        <v>199</v>
      </c>
    </row>
    <row r="28" spans="1:30" x14ac:dyDescent="0.3">
      <c r="B28" s="186" t="s">
        <v>69</v>
      </c>
    </row>
    <row r="29" spans="1:30" ht="21.5" x14ac:dyDescent="0.3">
      <c r="B29" s="188" t="s">
        <v>200</v>
      </c>
    </row>
    <row r="30" spans="1:30" ht="21.5" x14ac:dyDescent="0.3">
      <c r="B30" s="188" t="s">
        <v>151</v>
      </c>
    </row>
    <row r="31" spans="1:30" ht="21.5" x14ac:dyDescent="0.3">
      <c r="B31" s="188" t="s">
        <v>196</v>
      </c>
    </row>
    <row r="32" spans="1:30" ht="21" x14ac:dyDescent="0.3">
      <c r="B32" s="186" t="s">
        <v>153</v>
      </c>
    </row>
    <row r="33" spans="2:2" ht="21" x14ac:dyDescent="0.3">
      <c r="B33" s="186" t="s">
        <v>154</v>
      </c>
    </row>
    <row r="34" spans="2:2" x14ac:dyDescent="0.3">
      <c r="B34" s="188" t="s">
        <v>168</v>
      </c>
    </row>
    <row r="35" spans="2:2" x14ac:dyDescent="0.4">
      <c r="B35" s="189"/>
    </row>
    <row r="36" spans="2:2" x14ac:dyDescent="0.3">
      <c r="B36" s="186" t="s">
        <v>337</v>
      </c>
    </row>
  </sheetData>
  <mergeCells count="14">
    <mergeCell ref="A1:V1"/>
    <mergeCell ref="A2:V2"/>
    <mergeCell ref="R3:S3"/>
    <mergeCell ref="P3:Q3"/>
    <mergeCell ref="A3:A4"/>
    <mergeCell ref="B3:B4"/>
    <mergeCell ref="K3:K4"/>
    <mergeCell ref="C3:D3"/>
    <mergeCell ref="E3:F3"/>
    <mergeCell ref="L3:M3"/>
    <mergeCell ref="N3:O3"/>
    <mergeCell ref="G3:H3"/>
    <mergeCell ref="I3:J3"/>
    <mergeCell ref="T3:V3"/>
  </mergeCells>
  <pageMargins left="0.78740157480314965" right="0.39370078740157483" top="0.78740157480314965" bottom="0.59055118110236227" header="0.31496062992125984" footer="0.23622047244094491"/>
  <pageSetup paperSize="9" scale="54" firstPageNumber="209" fitToHeight="0" orientation="landscape" useFirstPageNumber="1" r:id="rId1"/>
  <headerFooter>
    <oddHeader>&amp;C&amp;"Times New Roman,Regular"&amp;13&amp;P&amp;R&amp;"Times New Roman,Bold Italic"&amp;12Phụ lục 2: Chương trình GNBV
Biểu số 2.12</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1"/>
  <sheetViews>
    <sheetView view="pageLayout" zoomScale="70" zoomScaleNormal="85" zoomScaleSheetLayoutView="70" zoomScalePageLayoutView="70" workbookViewId="0">
      <selection activeCell="A2" sqref="A2:N2"/>
    </sheetView>
  </sheetViews>
  <sheetFormatPr defaultColWidth="9.1640625" defaultRowHeight="15.5" x14ac:dyDescent="0.3"/>
  <cols>
    <col min="1" max="1" width="8.25" style="205" customWidth="1"/>
    <col min="2" max="2" width="49.75" style="205" customWidth="1"/>
    <col min="3" max="3" width="13" style="456" customWidth="1"/>
    <col min="4" max="4" width="12.75" style="456" customWidth="1"/>
    <col min="5" max="5" width="13.1640625" style="456" customWidth="1"/>
    <col min="6" max="6" width="11" style="456" customWidth="1"/>
    <col min="7" max="7" width="9.25" style="456" bestFit="1" customWidth="1"/>
    <col min="8" max="8" width="11.1640625" style="456" bestFit="1" customWidth="1"/>
    <col min="9" max="10" width="13.1640625" style="456" customWidth="1"/>
    <col min="11" max="11" width="10.4140625" style="456" customWidth="1"/>
    <col min="12" max="12" width="9.25" style="456" customWidth="1"/>
    <col min="13" max="13" width="10.58203125" style="456" customWidth="1"/>
    <col min="14" max="14" width="34.4140625" style="205" customWidth="1"/>
    <col min="15" max="17" width="9.1640625" style="205"/>
    <col min="18" max="18" width="12.58203125" style="205" customWidth="1"/>
    <col min="19" max="16384" width="9.1640625" style="205"/>
  </cols>
  <sheetData>
    <row r="1" spans="1:20" ht="24.75" customHeight="1" x14ac:dyDescent="0.3">
      <c r="A1" s="484" t="s">
        <v>348</v>
      </c>
      <c r="B1" s="484"/>
      <c r="C1" s="484"/>
      <c r="D1" s="484"/>
      <c r="E1" s="484"/>
      <c r="F1" s="484"/>
      <c r="G1" s="484"/>
      <c r="H1" s="484"/>
      <c r="I1" s="484"/>
      <c r="J1" s="484"/>
      <c r="K1" s="484"/>
      <c r="L1" s="484"/>
      <c r="M1" s="484"/>
      <c r="N1" s="484"/>
    </row>
    <row r="2" spans="1:20" ht="21" customHeight="1" x14ac:dyDescent="0.3">
      <c r="A2" s="485" t="s">
        <v>355</v>
      </c>
      <c r="B2" s="485"/>
      <c r="C2" s="485"/>
      <c r="D2" s="485"/>
      <c r="E2" s="485"/>
      <c r="F2" s="485"/>
      <c r="G2" s="485"/>
      <c r="H2" s="485"/>
      <c r="I2" s="485"/>
      <c r="J2" s="485"/>
      <c r="K2" s="485"/>
      <c r="L2" s="485"/>
      <c r="M2" s="485"/>
      <c r="N2" s="485"/>
    </row>
    <row r="3" spans="1:20" x14ac:dyDescent="0.3">
      <c r="N3" s="206" t="s">
        <v>214</v>
      </c>
    </row>
    <row r="4" spans="1:20" s="207" customFormat="1" ht="31.5" customHeight="1" x14ac:dyDescent="0.3">
      <c r="A4" s="486" t="s">
        <v>0</v>
      </c>
      <c r="B4" s="486" t="s">
        <v>215</v>
      </c>
      <c r="C4" s="492" t="s">
        <v>349</v>
      </c>
      <c r="D4" s="488" t="s">
        <v>313</v>
      </c>
      <c r="E4" s="490" t="s">
        <v>216</v>
      </c>
      <c r="F4" s="491"/>
      <c r="G4" s="491"/>
      <c r="H4" s="491"/>
      <c r="I4" s="492" t="s">
        <v>244</v>
      </c>
      <c r="J4" s="490" t="s">
        <v>216</v>
      </c>
      <c r="K4" s="491"/>
      <c r="L4" s="491"/>
      <c r="M4" s="491"/>
      <c r="N4" s="486" t="s">
        <v>35</v>
      </c>
    </row>
    <row r="5" spans="1:20" s="207" customFormat="1" ht="81" customHeight="1" x14ac:dyDescent="0.3">
      <c r="A5" s="487"/>
      <c r="B5" s="487"/>
      <c r="C5" s="488"/>
      <c r="D5" s="489"/>
      <c r="E5" s="465" t="s">
        <v>217</v>
      </c>
      <c r="F5" s="465" t="s">
        <v>218</v>
      </c>
      <c r="G5" s="465" t="s">
        <v>298</v>
      </c>
      <c r="H5" s="465" t="s">
        <v>219</v>
      </c>
      <c r="I5" s="488"/>
      <c r="J5" s="465" t="s">
        <v>217</v>
      </c>
      <c r="K5" s="465" t="s">
        <v>218</v>
      </c>
      <c r="L5" s="465" t="s">
        <v>298</v>
      </c>
      <c r="M5" s="465" t="s">
        <v>219</v>
      </c>
      <c r="N5" s="487"/>
    </row>
    <row r="6" spans="1:20" s="209" customFormat="1" ht="18" customHeight="1" x14ac:dyDescent="0.3">
      <c r="A6" s="228" t="s">
        <v>105</v>
      </c>
      <c r="B6" s="228" t="s">
        <v>106</v>
      </c>
      <c r="C6" s="457">
        <v>1</v>
      </c>
      <c r="D6" s="457" t="s">
        <v>317</v>
      </c>
      <c r="E6" s="457">
        <v>3</v>
      </c>
      <c r="F6" s="457">
        <v>4</v>
      </c>
      <c r="G6" s="457">
        <v>5</v>
      </c>
      <c r="H6" s="457">
        <v>6</v>
      </c>
      <c r="I6" s="457" t="s">
        <v>318</v>
      </c>
      <c r="J6" s="457">
        <v>8</v>
      </c>
      <c r="K6" s="457">
        <v>9</v>
      </c>
      <c r="L6" s="457">
        <v>10</v>
      </c>
      <c r="M6" s="457">
        <v>11</v>
      </c>
      <c r="N6" s="228">
        <v>12</v>
      </c>
    </row>
    <row r="7" spans="1:20" s="210" customFormat="1" ht="30" customHeight="1" x14ac:dyDescent="0.3">
      <c r="A7" s="223" t="s">
        <v>6</v>
      </c>
      <c r="B7" s="224" t="s">
        <v>241</v>
      </c>
      <c r="C7" s="458">
        <f t="shared" ref="C7:C49" si="0">D7+I7</f>
        <v>147894</v>
      </c>
      <c r="D7" s="458">
        <f>D8+D11+D12+D15+D19+D20+D23</f>
        <v>143586</v>
      </c>
      <c r="E7" s="458">
        <f t="shared" ref="E7:M7" si="1">E8+E11+E12+E15+E19+E20+E23</f>
        <v>39876</v>
      </c>
      <c r="F7" s="458">
        <f t="shared" si="1"/>
        <v>8946</v>
      </c>
      <c r="G7" s="458">
        <f t="shared" si="1"/>
        <v>3487.9999999999991</v>
      </c>
      <c r="H7" s="458">
        <f t="shared" si="1"/>
        <v>91276</v>
      </c>
      <c r="I7" s="458">
        <f t="shared" si="1"/>
        <v>4308</v>
      </c>
      <c r="J7" s="458">
        <f t="shared" si="1"/>
        <v>1196</v>
      </c>
      <c r="K7" s="458">
        <f t="shared" si="1"/>
        <v>269</v>
      </c>
      <c r="L7" s="458">
        <f t="shared" si="1"/>
        <v>105</v>
      </c>
      <c r="M7" s="458">
        <f t="shared" si="1"/>
        <v>2738</v>
      </c>
      <c r="N7" s="233"/>
    </row>
    <row r="8" spans="1:20" ht="57" customHeight="1" x14ac:dyDescent="0.3">
      <c r="A8" s="231">
        <v>1</v>
      </c>
      <c r="B8" s="232" t="s">
        <v>223</v>
      </c>
      <c r="C8" s="459">
        <f t="shared" si="0"/>
        <v>12837</v>
      </c>
      <c r="D8" s="459">
        <f>D9</f>
        <v>12463</v>
      </c>
      <c r="E8" s="459">
        <f>E9</f>
        <v>0</v>
      </c>
      <c r="F8" s="459"/>
      <c r="G8" s="459"/>
      <c r="H8" s="459">
        <f>H9</f>
        <v>12463</v>
      </c>
      <c r="I8" s="459">
        <f>I9</f>
        <v>374</v>
      </c>
      <c r="J8" s="459">
        <f>J9</f>
        <v>0</v>
      </c>
      <c r="K8" s="459"/>
      <c r="L8" s="459"/>
      <c r="M8" s="459">
        <f>M9</f>
        <v>374</v>
      </c>
      <c r="N8" s="232" t="s">
        <v>341</v>
      </c>
      <c r="T8" s="235"/>
    </row>
    <row r="9" spans="1:20" s="378" customFormat="1" ht="54.75" customHeight="1" x14ac:dyDescent="0.3">
      <c r="A9" s="376" t="s">
        <v>220</v>
      </c>
      <c r="B9" s="377" t="s">
        <v>224</v>
      </c>
      <c r="C9" s="460">
        <f t="shared" si="0"/>
        <v>12837</v>
      </c>
      <c r="D9" s="460">
        <f>D10</f>
        <v>12463</v>
      </c>
      <c r="E9" s="460"/>
      <c r="F9" s="460"/>
      <c r="G9" s="460"/>
      <c r="H9" s="460">
        <f>H10</f>
        <v>12463</v>
      </c>
      <c r="I9" s="460">
        <f>I10</f>
        <v>374</v>
      </c>
      <c r="J9" s="460"/>
      <c r="K9" s="460"/>
      <c r="L9" s="460"/>
      <c r="M9" s="460">
        <f>M10</f>
        <v>374</v>
      </c>
      <c r="N9" s="377"/>
      <c r="T9" s="379"/>
    </row>
    <row r="10" spans="1:20" ht="33.75" customHeight="1" x14ac:dyDescent="0.3">
      <c r="A10" s="211" t="s">
        <v>221</v>
      </c>
      <c r="B10" s="217" t="s">
        <v>225</v>
      </c>
      <c r="C10" s="461">
        <f t="shared" si="0"/>
        <v>12837</v>
      </c>
      <c r="D10" s="461">
        <f>SUM(E10:H10)</f>
        <v>12463</v>
      </c>
      <c r="E10" s="460"/>
      <c r="F10" s="460"/>
      <c r="G10" s="460"/>
      <c r="H10" s="460">
        <v>12463</v>
      </c>
      <c r="I10" s="460">
        <f>SUM(J10:M10)</f>
        <v>374</v>
      </c>
      <c r="J10" s="460"/>
      <c r="K10" s="460"/>
      <c r="L10" s="460"/>
      <c r="M10" s="460">
        <v>374</v>
      </c>
      <c r="N10" s="227"/>
      <c r="T10" s="235"/>
    </row>
    <row r="11" spans="1:20" ht="59.25" customHeight="1" x14ac:dyDescent="0.3">
      <c r="A11" s="211">
        <v>2</v>
      </c>
      <c r="B11" s="217" t="s">
        <v>226</v>
      </c>
      <c r="C11" s="460">
        <f t="shared" si="0"/>
        <v>43584.999999999993</v>
      </c>
      <c r="D11" s="460">
        <f>SUM(E11:H11)</f>
        <v>42315.999999999993</v>
      </c>
      <c r="E11" s="460"/>
      <c r="F11" s="460"/>
      <c r="G11" s="460"/>
      <c r="H11" s="460">
        <v>42315.999999999993</v>
      </c>
      <c r="I11" s="460">
        <f>SUM(J11:M11)</f>
        <v>1269</v>
      </c>
      <c r="J11" s="460"/>
      <c r="K11" s="460"/>
      <c r="L11" s="460"/>
      <c r="M11" s="460">
        <v>1269</v>
      </c>
      <c r="N11" s="227" t="s">
        <v>342</v>
      </c>
      <c r="T11" s="235"/>
    </row>
    <row r="12" spans="1:20" ht="60" customHeight="1" x14ac:dyDescent="0.3">
      <c r="A12" s="211">
        <v>3</v>
      </c>
      <c r="B12" s="217" t="s">
        <v>227</v>
      </c>
      <c r="C12" s="460">
        <f t="shared" si="0"/>
        <v>21611</v>
      </c>
      <c r="D12" s="460">
        <f>D13+D14</f>
        <v>20981</v>
      </c>
      <c r="E12" s="460">
        <f t="shared" ref="E12:M12" si="2">E13+E14</f>
        <v>0</v>
      </c>
      <c r="F12" s="460">
        <f t="shared" si="2"/>
        <v>0</v>
      </c>
      <c r="G12" s="460">
        <f t="shared" si="2"/>
        <v>3487.9999999999991</v>
      </c>
      <c r="H12" s="460">
        <f t="shared" si="2"/>
        <v>17493</v>
      </c>
      <c r="I12" s="460">
        <f t="shared" si="2"/>
        <v>630</v>
      </c>
      <c r="J12" s="460">
        <f t="shared" si="2"/>
        <v>0</v>
      </c>
      <c r="K12" s="460">
        <f t="shared" si="2"/>
        <v>0</v>
      </c>
      <c r="L12" s="460">
        <f t="shared" si="2"/>
        <v>105</v>
      </c>
      <c r="M12" s="460">
        <f t="shared" si="2"/>
        <v>525</v>
      </c>
      <c r="N12" s="227" t="s">
        <v>343</v>
      </c>
    </row>
    <row r="13" spans="1:20" s="378" customFormat="1" ht="38.25" customHeight="1" x14ac:dyDescent="0.3">
      <c r="A13" s="376" t="s">
        <v>220</v>
      </c>
      <c r="B13" s="377" t="s">
        <v>228</v>
      </c>
      <c r="C13" s="460">
        <f t="shared" si="0"/>
        <v>18018</v>
      </c>
      <c r="D13" s="460">
        <f>SUM(E13:H13)</f>
        <v>17493</v>
      </c>
      <c r="E13" s="460"/>
      <c r="F13" s="460"/>
      <c r="G13" s="460"/>
      <c r="H13" s="460">
        <v>17493</v>
      </c>
      <c r="I13" s="460">
        <f>SUM(J13:M13)</f>
        <v>525</v>
      </c>
      <c r="J13" s="460"/>
      <c r="K13" s="460"/>
      <c r="L13" s="460"/>
      <c r="M13" s="460">
        <v>525</v>
      </c>
      <c r="N13" s="377"/>
    </row>
    <row r="14" spans="1:20" s="378" customFormat="1" ht="28.5" customHeight="1" x14ac:dyDescent="0.3">
      <c r="A14" s="376" t="s">
        <v>220</v>
      </c>
      <c r="B14" s="377" t="s">
        <v>297</v>
      </c>
      <c r="C14" s="460">
        <f t="shared" si="0"/>
        <v>3592.9999999999991</v>
      </c>
      <c r="D14" s="460">
        <f>SUM(E14:H14)</f>
        <v>3487.9999999999991</v>
      </c>
      <c r="E14" s="460"/>
      <c r="F14" s="460"/>
      <c r="G14" s="460">
        <v>3487.9999999999991</v>
      </c>
      <c r="H14" s="460"/>
      <c r="I14" s="460">
        <f>SUM(J14:M14)</f>
        <v>105</v>
      </c>
      <c r="J14" s="460"/>
      <c r="K14" s="460"/>
      <c r="L14" s="460">
        <v>105</v>
      </c>
      <c r="M14" s="460"/>
      <c r="N14" s="377"/>
    </row>
    <row r="15" spans="1:20" ht="58.5" customHeight="1" x14ac:dyDescent="0.3">
      <c r="A15" s="211">
        <v>4</v>
      </c>
      <c r="B15" s="217" t="s">
        <v>229</v>
      </c>
      <c r="C15" s="460">
        <f t="shared" si="0"/>
        <v>39146</v>
      </c>
      <c r="D15" s="460">
        <f t="shared" ref="D15:I15" si="3">D16+D17+D18</f>
        <v>38006</v>
      </c>
      <c r="E15" s="460">
        <f t="shared" si="3"/>
        <v>29997</v>
      </c>
      <c r="F15" s="460">
        <f t="shared" si="3"/>
        <v>0</v>
      </c>
      <c r="G15" s="460">
        <f t="shared" si="3"/>
        <v>0</v>
      </c>
      <c r="H15" s="460">
        <f t="shared" si="3"/>
        <v>8009</v>
      </c>
      <c r="I15" s="460">
        <f t="shared" si="3"/>
        <v>1140</v>
      </c>
      <c r="J15" s="460">
        <f t="shared" ref="J15:M15" si="4">J16+J17+J18</f>
        <v>900</v>
      </c>
      <c r="K15" s="460">
        <f t="shared" si="4"/>
        <v>0</v>
      </c>
      <c r="L15" s="460">
        <f t="shared" si="4"/>
        <v>0</v>
      </c>
      <c r="M15" s="460">
        <f t="shared" si="4"/>
        <v>240</v>
      </c>
      <c r="N15" s="227" t="s">
        <v>344</v>
      </c>
    </row>
    <row r="16" spans="1:20" s="378" customFormat="1" ht="39" customHeight="1" x14ac:dyDescent="0.3">
      <c r="A16" s="376" t="s">
        <v>220</v>
      </c>
      <c r="B16" s="377" t="s">
        <v>230</v>
      </c>
      <c r="C16" s="460">
        <f t="shared" si="0"/>
        <v>30897</v>
      </c>
      <c r="D16" s="460">
        <f>SUM(E16:H16)</f>
        <v>29997</v>
      </c>
      <c r="E16" s="460">
        <v>29997</v>
      </c>
      <c r="F16" s="460"/>
      <c r="G16" s="460"/>
      <c r="H16" s="460"/>
      <c r="I16" s="460">
        <f>SUM(J16:M16)</f>
        <v>900</v>
      </c>
      <c r="J16" s="460">
        <v>900</v>
      </c>
      <c r="K16" s="460"/>
      <c r="L16" s="460"/>
      <c r="M16" s="460"/>
      <c r="N16" s="377"/>
    </row>
    <row r="17" spans="1:17" s="378" customFormat="1" ht="48.75" customHeight="1" x14ac:dyDescent="0.3">
      <c r="A17" s="376" t="s">
        <v>220</v>
      </c>
      <c r="B17" s="377" t="s">
        <v>232</v>
      </c>
      <c r="C17" s="460">
        <f t="shared" si="0"/>
        <v>1726</v>
      </c>
      <c r="D17" s="460">
        <f>SUM(E17:H17)</f>
        <v>1676</v>
      </c>
      <c r="E17" s="460"/>
      <c r="F17" s="460"/>
      <c r="G17" s="460"/>
      <c r="H17" s="460">
        <v>1676</v>
      </c>
      <c r="I17" s="460">
        <f>SUM(J17:M17)</f>
        <v>50</v>
      </c>
      <c r="J17" s="460"/>
      <c r="K17" s="460"/>
      <c r="L17" s="460"/>
      <c r="M17" s="460">
        <v>50</v>
      </c>
      <c r="N17" s="377"/>
    </row>
    <row r="18" spans="1:17" s="378" customFormat="1" ht="24.75" customHeight="1" x14ac:dyDescent="0.3">
      <c r="A18" s="376" t="s">
        <v>220</v>
      </c>
      <c r="B18" s="377" t="s">
        <v>231</v>
      </c>
      <c r="C18" s="460">
        <f t="shared" si="0"/>
        <v>6523</v>
      </c>
      <c r="D18" s="460">
        <f>SUM(E18:H18)</f>
        <v>6333</v>
      </c>
      <c r="E18" s="460"/>
      <c r="F18" s="460"/>
      <c r="G18" s="460"/>
      <c r="H18" s="460">
        <v>6333</v>
      </c>
      <c r="I18" s="460">
        <f>SUM(J18:M18)</f>
        <v>190</v>
      </c>
      <c r="J18" s="460"/>
      <c r="K18" s="460"/>
      <c r="L18" s="460"/>
      <c r="M18" s="460">
        <v>190</v>
      </c>
      <c r="N18" s="377"/>
    </row>
    <row r="19" spans="1:17" ht="52.5" customHeight="1" x14ac:dyDescent="0.3">
      <c r="A19" s="211">
        <v>5</v>
      </c>
      <c r="B19" s="227" t="s">
        <v>299</v>
      </c>
      <c r="C19" s="461">
        <f t="shared" si="0"/>
        <v>11325</v>
      </c>
      <c r="D19" s="461">
        <f>SUM(E19:H19)</f>
        <v>10995</v>
      </c>
      <c r="E19" s="460"/>
      <c r="F19" s="460"/>
      <c r="G19" s="460"/>
      <c r="H19" s="460">
        <v>10995</v>
      </c>
      <c r="I19" s="460">
        <f>SUM(J19:M19)</f>
        <v>330</v>
      </c>
      <c r="J19" s="460"/>
      <c r="K19" s="460"/>
      <c r="L19" s="460"/>
      <c r="M19" s="460">
        <v>330</v>
      </c>
      <c r="N19" s="227" t="s">
        <v>345</v>
      </c>
    </row>
    <row r="20" spans="1:17" ht="46.5" x14ac:dyDescent="0.3">
      <c r="A20" s="211">
        <v>6</v>
      </c>
      <c r="B20" s="217" t="s">
        <v>233</v>
      </c>
      <c r="C20" s="461">
        <f t="shared" si="0"/>
        <v>9215</v>
      </c>
      <c r="D20" s="461">
        <f>D21+D22</f>
        <v>8946</v>
      </c>
      <c r="E20" s="460"/>
      <c r="F20" s="461">
        <f>F21+F22</f>
        <v>8946</v>
      </c>
      <c r="G20" s="460"/>
      <c r="H20" s="460"/>
      <c r="I20" s="461">
        <f>I21+I22</f>
        <v>269</v>
      </c>
      <c r="J20" s="460"/>
      <c r="K20" s="461">
        <f>K21+K22</f>
        <v>269</v>
      </c>
      <c r="L20" s="460"/>
      <c r="M20" s="461">
        <f>M21+M22</f>
        <v>0</v>
      </c>
      <c r="N20" s="227" t="s">
        <v>346</v>
      </c>
    </row>
    <row r="21" spans="1:17" s="378" customFormat="1" ht="24.75" customHeight="1" x14ac:dyDescent="0.3">
      <c r="A21" s="376" t="s">
        <v>220</v>
      </c>
      <c r="B21" s="377" t="s">
        <v>234</v>
      </c>
      <c r="C21" s="460">
        <f t="shared" si="0"/>
        <v>6697</v>
      </c>
      <c r="D21" s="460">
        <f>SUM(E21:H21)</f>
        <v>6502</v>
      </c>
      <c r="E21" s="460"/>
      <c r="F21" s="460">
        <v>6502</v>
      </c>
      <c r="G21" s="460"/>
      <c r="H21" s="460"/>
      <c r="I21" s="460">
        <f>SUM(J21:M21)</f>
        <v>195</v>
      </c>
      <c r="J21" s="460"/>
      <c r="K21" s="460">
        <v>195</v>
      </c>
      <c r="L21" s="460"/>
      <c r="M21" s="460"/>
      <c r="N21" s="377"/>
    </row>
    <row r="22" spans="1:17" s="378" customFormat="1" ht="37.5" customHeight="1" x14ac:dyDescent="0.3">
      <c r="A22" s="376" t="s">
        <v>220</v>
      </c>
      <c r="B22" s="377" t="s">
        <v>235</v>
      </c>
      <c r="C22" s="460">
        <f t="shared" si="0"/>
        <v>2518</v>
      </c>
      <c r="D22" s="460">
        <f>SUM(E22:H22)</f>
        <v>2444</v>
      </c>
      <c r="E22" s="460"/>
      <c r="F22" s="460">
        <v>2444</v>
      </c>
      <c r="G22" s="460"/>
      <c r="H22" s="460"/>
      <c r="I22" s="460">
        <f>SUM(J22:M22)</f>
        <v>74</v>
      </c>
      <c r="J22" s="460"/>
      <c r="K22" s="460">
        <v>74</v>
      </c>
      <c r="L22" s="460"/>
      <c r="M22" s="460"/>
      <c r="N22" s="377"/>
    </row>
    <row r="23" spans="1:17" ht="54.75" customHeight="1" x14ac:dyDescent="0.3">
      <c r="A23" s="211">
        <v>7</v>
      </c>
      <c r="B23" s="217" t="s">
        <v>236</v>
      </c>
      <c r="C23" s="460">
        <f t="shared" si="0"/>
        <v>10175</v>
      </c>
      <c r="D23" s="460">
        <f>D24+D25</f>
        <v>9879</v>
      </c>
      <c r="E23" s="460">
        <f t="shared" ref="E23:I23" si="5">E24+E25</f>
        <v>9879</v>
      </c>
      <c r="F23" s="460">
        <f t="shared" si="5"/>
        <v>0</v>
      </c>
      <c r="G23" s="460"/>
      <c r="H23" s="460">
        <f t="shared" si="5"/>
        <v>0</v>
      </c>
      <c r="I23" s="460">
        <f t="shared" si="5"/>
        <v>296</v>
      </c>
      <c r="J23" s="460">
        <f t="shared" ref="J23:M23" si="6">J24+J25</f>
        <v>296</v>
      </c>
      <c r="K23" s="460">
        <f t="shared" si="6"/>
        <v>0</v>
      </c>
      <c r="L23" s="460"/>
      <c r="M23" s="460">
        <f t="shared" si="6"/>
        <v>0</v>
      </c>
      <c r="N23" s="227" t="s">
        <v>347</v>
      </c>
    </row>
    <row r="24" spans="1:17" ht="35.25" customHeight="1" x14ac:dyDescent="0.3">
      <c r="A24" s="212" t="s">
        <v>220</v>
      </c>
      <c r="B24" s="217" t="s">
        <v>237</v>
      </c>
      <c r="C24" s="460">
        <f t="shared" si="0"/>
        <v>6355</v>
      </c>
      <c r="D24" s="460">
        <f>SUM(E24:H24)</f>
        <v>6170</v>
      </c>
      <c r="E24" s="460">
        <v>6170</v>
      </c>
      <c r="F24" s="460"/>
      <c r="G24" s="460"/>
      <c r="H24" s="460"/>
      <c r="I24" s="460">
        <f>SUM(J24:M24)</f>
        <v>185</v>
      </c>
      <c r="J24" s="460">
        <v>185</v>
      </c>
      <c r="K24" s="460"/>
      <c r="L24" s="460"/>
      <c r="M24" s="460"/>
      <c r="N24" s="227"/>
    </row>
    <row r="25" spans="1:17" ht="22.5" customHeight="1" x14ac:dyDescent="0.3">
      <c r="A25" s="212" t="s">
        <v>220</v>
      </c>
      <c r="B25" s="222" t="s">
        <v>238</v>
      </c>
      <c r="C25" s="462">
        <f t="shared" si="0"/>
        <v>3820</v>
      </c>
      <c r="D25" s="462">
        <f>SUM(E25:H25)</f>
        <v>3709</v>
      </c>
      <c r="E25" s="462">
        <v>3709</v>
      </c>
      <c r="F25" s="462"/>
      <c r="G25" s="462"/>
      <c r="H25" s="462"/>
      <c r="I25" s="460">
        <f>SUM(J25:M25)</f>
        <v>111</v>
      </c>
      <c r="J25" s="462">
        <v>111</v>
      </c>
      <c r="K25" s="462"/>
      <c r="L25" s="462"/>
      <c r="M25" s="462"/>
      <c r="N25" s="222"/>
    </row>
    <row r="26" spans="1:17" s="210" customFormat="1" ht="24.75" customHeight="1" x14ac:dyDescent="0.3">
      <c r="A26" s="223" t="s">
        <v>7</v>
      </c>
      <c r="B26" s="234" t="s">
        <v>242</v>
      </c>
      <c r="C26" s="458">
        <f t="shared" si="0"/>
        <v>147894</v>
      </c>
      <c r="D26" s="458">
        <f>D27+D30+D31+D34+D41+D42+D45</f>
        <v>143586</v>
      </c>
      <c r="E26" s="458">
        <f t="shared" ref="E26:M26" si="7">E27+E30+E31+E34+E41+E42+E45</f>
        <v>39876</v>
      </c>
      <c r="F26" s="458">
        <f t="shared" si="7"/>
        <v>8946</v>
      </c>
      <c r="G26" s="458">
        <f t="shared" si="7"/>
        <v>3488</v>
      </c>
      <c r="H26" s="458">
        <f t="shared" si="7"/>
        <v>91276</v>
      </c>
      <c r="I26" s="458">
        <f t="shared" si="7"/>
        <v>4308</v>
      </c>
      <c r="J26" s="458">
        <f t="shared" si="7"/>
        <v>1196</v>
      </c>
      <c r="K26" s="458">
        <f t="shared" si="7"/>
        <v>269</v>
      </c>
      <c r="L26" s="458">
        <f t="shared" si="7"/>
        <v>105</v>
      </c>
      <c r="M26" s="458">
        <f t="shared" si="7"/>
        <v>2738</v>
      </c>
      <c r="N26" s="234" t="s">
        <v>247</v>
      </c>
      <c r="Q26" s="236"/>
    </row>
    <row r="27" spans="1:17" ht="52.5" customHeight="1" x14ac:dyDescent="0.3">
      <c r="A27" s="231">
        <v>1</v>
      </c>
      <c r="B27" s="232" t="s">
        <v>223</v>
      </c>
      <c r="C27" s="459">
        <f t="shared" si="0"/>
        <v>12837</v>
      </c>
      <c r="D27" s="459">
        <f>D28</f>
        <v>12463</v>
      </c>
      <c r="E27" s="459">
        <f>E28</f>
        <v>0</v>
      </c>
      <c r="F27" s="459"/>
      <c r="G27" s="459"/>
      <c r="H27" s="459">
        <f>H28</f>
        <v>12463</v>
      </c>
      <c r="I27" s="459">
        <f>I28</f>
        <v>374</v>
      </c>
      <c r="J27" s="459">
        <f>J28</f>
        <v>0</v>
      </c>
      <c r="K27" s="459"/>
      <c r="L27" s="459"/>
      <c r="M27" s="459">
        <f>M28</f>
        <v>374</v>
      </c>
      <c r="N27" s="232"/>
    </row>
    <row r="28" spans="1:17" s="378" customFormat="1" ht="51" customHeight="1" x14ac:dyDescent="0.3">
      <c r="A28" s="376" t="s">
        <v>220</v>
      </c>
      <c r="B28" s="377" t="s">
        <v>224</v>
      </c>
      <c r="C28" s="460">
        <f t="shared" si="0"/>
        <v>12837</v>
      </c>
      <c r="D28" s="460">
        <f>SUM(E28:H28)</f>
        <v>12463</v>
      </c>
      <c r="E28" s="460"/>
      <c r="F28" s="460"/>
      <c r="G28" s="460"/>
      <c r="H28" s="460">
        <f>H29</f>
        <v>12463</v>
      </c>
      <c r="I28" s="460">
        <f>I29</f>
        <v>374</v>
      </c>
      <c r="J28" s="460"/>
      <c r="K28" s="460"/>
      <c r="L28" s="460"/>
      <c r="M28" s="460">
        <f>M29</f>
        <v>374</v>
      </c>
      <c r="N28" s="377" t="s">
        <v>245</v>
      </c>
    </row>
    <row r="29" spans="1:17" ht="31" x14ac:dyDescent="0.3">
      <c r="A29" s="211" t="s">
        <v>221</v>
      </c>
      <c r="B29" s="217" t="s">
        <v>225</v>
      </c>
      <c r="C29" s="460">
        <f t="shared" si="0"/>
        <v>12837</v>
      </c>
      <c r="D29" s="460">
        <f>SUM(E29:H29)</f>
        <v>12463</v>
      </c>
      <c r="E29" s="460"/>
      <c r="F29" s="460"/>
      <c r="G29" s="460"/>
      <c r="H29" s="460">
        <f>'PA chi tiết'!G11</f>
        <v>12463</v>
      </c>
      <c r="I29" s="460">
        <f>SUM(J29:M29)</f>
        <v>374</v>
      </c>
      <c r="J29" s="460"/>
      <c r="K29" s="460"/>
      <c r="L29" s="460"/>
      <c r="M29" s="460">
        <f>'PA chi tiết'!H11</f>
        <v>374</v>
      </c>
      <c r="N29" s="227"/>
    </row>
    <row r="30" spans="1:17" ht="31" x14ac:dyDescent="0.3">
      <c r="A30" s="211">
        <v>2</v>
      </c>
      <c r="B30" s="217" t="s">
        <v>226</v>
      </c>
      <c r="C30" s="460">
        <f t="shared" si="0"/>
        <v>43585</v>
      </c>
      <c r="D30" s="460">
        <f>SUM(E30:H30)</f>
        <v>42316</v>
      </c>
      <c r="E30" s="460"/>
      <c r="F30" s="460"/>
      <c r="G30" s="460"/>
      <c r="H30" s="460">
        <f>'PA chi tiết'!J11</f>
        <v>42316</v>
      </c>
      <c r="I30" s="460">
        <f>SUM(J30:M30)</f>
        <v>1269</v>
      </c>
      <c r="J30" s="460"/>
      <c r="K30" s="460"/>
      <c r="L30" s="460"/>
      <c r="M30" s="460">
        <f>'PA chi tiết'!K11</f>
        <v>1269</v>
      </c>
      <c r="N30" s="227" t="s">
        <v>309</v>
      </c>
    </row>
    <row r="31" spans="1:17" x14ac:dyDescent="0.3">
      <c r="A31" s="211">
        <v>3</v>
      </c>
      <c r="B31" s="227" t="s">
        <v>227</v>
      </c>
      <c r="C31" s="460">
        <f t="shared" si="0"/>
        <v>21611</v>
      </c>
      <c r="D31" s="460">
        <f>D32+D33</f>
        <v>20981</v>
      </c>
      <c r="E31" s="460">
        <f t="shared" ref="E31:M31" si="8">E32+E33</f>
        <v>0</v>
      </c>
      <c r="F31" s="460">
        <f t="shared" si="8"/>
        <v>0</v>
      </c>
      <c r="G31" s="460">
        <f t="shared" si="8"/>
        <v>3488</v>
      </c>
      <c r="H31" s="460">
        <f t="shared" si="8"/>
        <v>17493</v>
      </c>
      <c r="I31" s="460">
        <f t="shared" si="8"/>
        <v>630</v>
      </c>
      <c r="J31" s="460">
        <f t="shared" si="8"/>
        <v>0</v>
      </c>
      <c r="K31" s="460">
        <f t="shared" si="8"/>
        <v>0</v>
      </c>
      <c r="L31" s="460">
        <f t="shared" si="8"/>
        <v>105</v>
      </c>
      <c r="M31" s="460">
        <f t="shared" si="8"/>
        <v>525</v>
      </c>
      <c r="N31" s="227"/>
    </row>
    <row r="32" spans="1:17" s="213" customFormat="1" ht="47.25" customHeight="1" x14ac:dyDescent="0.3">
      <c r="A32" s="212"/>
      <c r="B32" s="218" t="s">
        <v>228</v>
      </c>
      <c r="C32" s="461">
        <f t="shared" si="0"/>
        <v>18018</v>
      </c>
      <c r="D32" s="461">
        <f>SUM(E32:H32)</f>
        <v>17493</v>
      </c>
      <c r="E32" s="461"/>
      <c r="F32" s="461"/>
      <c r="G32" s="461"/>
      <c r="H32" s="461">
        <f>'PA chi tiết'!M11</f>
        <v>17493</v>
      </c>
      <c r="I32" s="460">
        <f>SUM(J32:M32)</f>
        <v>525</v>
      </c>
      <c r="J32" s="461"/>
      <c r="K32" s="461"/>
      <c r="L32" s="461"/>
      <c r="M32" s="461">
        <f>'PA chi tiết'!N11</f>
        <v>525</v>
      </c>
      <c r="N32" s="377" t="s">
        <v>246</v>
      </c>
    </row>
    <row r="33" spans="1:14" s="378" customFormat="1" ht="24" customHeight="1" x14ac:dyDescent="0.3">
      <c r="A33" s="376" t="s">
        <v>220</v>
      </c>
      <c r="B33" s="377" t="s">
        <v>297</v>
      </c>
      <c r="C33" s="460">
        <f t="shared" si="0"/>
        <v>3593</v>
      </c>
      <c r="D33" s="460">
        <f>SUM(E33:H33)</f>
        <v>3488</v>
      </c>
      <c r="E33" s="460"/>
      <c r="F33" s="460"/>
      <c r="G33" s="460">
        <f>'PA chi tiết'!P11</f>
        <v>3488</v>
      </c>
      <c r="H33" s="460"/>
      <c r="I33" s="460">
        <f>SUM(J33:M33)</f>
        <v>105</v>
      </c>
      <c r="J33" s="460"/>
      <c r="K33" s="460"/>
      <c r="L33" s="460">
        <f>'PA chi tiết'!Q11</f>
        <v>105</v>
      </c>
      <c r="M33" s="460"/>
      <c r="N33" s="377" t="s">
        <v>248</v>
      </c>
    </row>
    <row r="34" spans="1:14" ht="39" customHeight="1" x14ac:dyDescent="0.3">
      <c r="A34" s="211">
        <v>4</v>
      </c>
      <c r="B34" s="217" t="s">
        <v>229</v>
      </c>
      <c r="C34" s="460">
        <f t="shared" si="0"/>
        <v>39146</v>
      </c>
      <c r="D34" s="460">
        <f>D35+D39+D40</f>
        <v>38006</v>
      </c>
      <c r="E34" s="460">
        <f>E35+E39+E40</f>
        <v>29997</v>
      </c>
      <c r="F34" s="460">
        <f>F35+F39+F40</f>
        <v>0</v>
      </c>
      <c r="G34" s="460"/>
      <c r="H34" s="460">
        <f>H35+H39+H40</f>
        <v>8009</v>
      </c>
      <c r="I34" s="460">
        <f>I35+I39+I40</f>
        <v>1140</v>
      </c>
      <c r="J34" s="460">
        <f>J35+J39+J40</f>
        <v>900</v>
      </c>
      <c r="K34" s="460">
        <f>K35+K39+K40</f>
        <v>0</v>
      </c>
      <c r="L34" s="460"/>
      <c r="M34" s="460">
        <f>M35+M39+M40</f>
        <v>240</v>
      </c>
      <c r="N34" s="227"/>
    </row>
    <row r="35" spans="1:14" s="378" customFormat="1" ht="40.5" customHeight="1" x14ac:dyDescent="0.3">
      <c r="A35" s="376" t="s">
        <v>220</v>
      </c>
      <c r="B35" s="377" t="s">
        <v>230</v>
      </c>
      <c r="C35" s="460">
        <f t="shared" si="0"/>
        <v>30897</v>
      </c>
      <c r="D35" s="460">
        <f>D37+D38+D36</f>
        <v>29997</v>
      </c>
      <c r="E35" s="460">
        <f>E37+E38+E36</f>
        <v>29997</v>
      </c>
      <c r="F35" s="460"/>
      <c r="G35" s="460"/>
      <c r="H35" s="460"/>
      <c r="I35" s="460">
        <f>I37+I38+I36</f>
        <v>900</v>
      </c>
      <c r="J35" s="460">
        <f>J37+J38+J36</f>
        <v>900</v>
      </c>
      <c r="K35" s="460"/>
      <c r="L35" s="460"/>
      <c r="M35" s="460"/>
      <c r="N35" s="377"/>
    </row>
    <row r="36" spans="1:14" s="378" customFormat="1" ht="40.5" customHeight="1" x14ac:dyDescent="0.3">
      <c r="A36" s="380" t="s">
        <v>243</v>
      </c>
      <c r="B36" s="377" t="s">
        <v>212</v>
      </c>
      <c r="C36" s="460">
        <f t="shared" si="0"/>
        <v>1050</v>
      </c>
      <c r="D36" s="460">
        <f t="shared" ref="D36:D41" si="9">SUM(E36:H36)</f>
        <v>1020</v>
      </c>
      <c r="E36" s="460">
        <f>'PA chi tiết'!Y11</f>
        <v>1020</v>
      </c>
      <c r="F36" s="460"/>
      <c r="G36" s="460"/>
      <c r="H36" s="460"/>
      <c r="I36" s="460">
        <f t="shared" ref="I36:I41" si="10">SUM(J36:M36)</f>
        <v>30</v>
      </c>
      <c r="J36" s="460">
        <f>'PA chi tiết'!Z11</f>
        <v>30</v>
      </c>
      <c r="K36" s="460"/>
      <c r="L36" s="460"/>
      <c r="M36" s="460"/>
      <c r="N36" s="377"/>
    </row>
    <row r="37" spans="1:14" s="378" customFormat="1" ht="39" customHeight="1" x14ac:dyDescent="0.3">
      <c r="A37" s="380" t="s">
        <v>243</v>
      </c>
      <c r="B37" s="377" t="s">
        <v>67</v>
      </c>
      <c r="C37" s="460">
        <f t="shared" si="0"/>
        <v>12360</v>
      </c>
      <c r="D37" s="460">
        <f t="shared" si="9"/>
        <v>11999</v>
      </c>
      <c r="E37" s="460">
        <f>'PA chi tiết'!AB11</f>
        <v>11999</v>
      </c>
      <c r="F37" s="460"/>
      <c r="G37" s="460"/>
      <c r="H37" s="460"/>
      <c r="I37" s="460">
        <f t="shared" si="10"/>
        <v>361</v>
      </c>
      <c r="J37" s="460">
        <f>'PA chi tiết'!AC11</f>
        <v>361</v>
      </c>
      <c r="K37" s="460"/>
      <c r="L37" s="460"/>
      <c r="M37" s="460"/>
      <c r="N37" s="377" t="s">
        <v>249</v>
      </c>
    </row>
    <row r="38" spans="1:14" s="378" customFormat="1" ht="47.25" customHeight="1" x14ac:dyDescent="0.3">
      <c r="A38" s="380" t="s">
        <v>243</v>
      </c>
      <c r="B38" s="377" t="s">
        <v>90</v>
      </c>
      <c r="C38" s="460">
        <f t="shared" si="0"/>
        <v>17487</v>
      </c>
      <c r="D38" s="460">
        <f t="shared" si="9"/>
        <v>16978</v>
      </c>
      <c r="E38" s="460">
        <f>'PA chi tiết'!AE11</f>
        <v>16978</v>
      </c>
      <c r="F38" s="460"/>
      <c r="G38" s="460"/>
      <c r="H38" s="460"/>
      <c r="I38" s="460">
        <f t="shared" si="10"/>
        <v>509</v>
      </c>
      <c r="J38" s="460">
        <f>'PA chi tiết'!AF11</f>
        <v>509</v>
      </c>
      <c r="K38" s="460"/>
      <c r="L38" s="460"/>
      <c r="M38" s="460"/>
      <c r="N38" s="377" t="s">
        <v>250</v>
      </c>
    </row>
    <row r="39" spans="1:14" s="378" customFormat="1" ht="36.75" customHeight="1" x14ac:dyDescent="0.3">
      <c r="A39" s="380" t="s">
        <v>220</v>
      </c>
      <c r="B39" s="377" t="s">
        <v>232</v>
      </c>
      <c r="C39" s="460">
        <f t="shared" si="0"/>
        <v>1726</v>
      </c>
      <c r="D39" s="460">
        <f t="shared" si="9"/>
        <v>1676</v>
      </c>
      <c r="E39" s="460"/>
      <c r="F39" s="460"/>
      <c r="G39" s="460"/>
      <c r="H39" s="460">
        <f>'PA chi tiết'!AH11</f>
        <v>1676</v>
      </c>
      <c r="I39" s="460">
        <f t="shared" si="10"/>
        <v>50</v>
      </c>
      <c r="J39" s="460"/>
      <c r="K39" s="460"/>
      <c r="L39" s="460"/>
      <c r="M39" s="460">
        <f>'PA chi tiết'!AI11</f>
        <v>50</v>
      </c>
      <c r="N39" s="377" t="s">
        <v>251</v>
      </c>
    </row>
    <row r="40" spans="1:14" s="378" customFormat="1" ht="27.75" customHeight="1" x14ac:dyDescent="0.3">
      <c r="A40" s="380" t="s">
        <v>220</v>
      </c>
      <c r="B40" s="377" t="s">
        <v>231</v>
      </c>
      <c r="C40" s="460">
        <f t="shared" si="0"/>
        <v>6523</v>
      </c>
      <c r="D40" s="460">
        <f t="shared" si="9"/>
        <v>6333</v>
      </c>
      <c r="E40" s="460"/>
      <c r="F40" s="460"/>
      <c r="G40" s="460"/>
      <c r="H40" s="460">
        <f>'PA chi tiết'!AK11</f>
        <v>6333</v>
      </c>
      <c r="I40" s="460">
        <f t="shared" si="10"/>
        <v>190</v>
      </c>
      <c r="J40" s="460"/>
      <c r="K40" s="460"/>
      <c r="L40" s="460"/>
      <c r="M40" s="460">
        <f>'PA chi tiết'!AL11</f>
        <v>190</v>
      </c>
      <c r="N40" s="377" t="s">
        <v>252</v>
      </c>
    </row>
    <row r="41" spans="1:14" ht="42.75" customHeight="1" x14ac:dyDescent="0.3">
      <c r="A41" s="211">
        <v>5</v>
      </c>
      <c r="B41" s="227" t="s">
        <v>299</v>
      </c>
      <c r="C41" s="461">
        <f t="shared" si="0"/>
        <v>11325</v>
      </c>
      <c r="D41" s="461">
        <f t="shared" si="9"/>
        <v>10995</v>
      </c>
      <c r="E41" s="460"/>
      <c r="F41" s="460"/>
      <c r="G41" s="460"/>
      <c r="H41" s="460">
        <f>'PA chi tiết'!AN11</f>
        <v>10995</v>
      </c>
      <c r="I41" s="461">
        <f t="shared" si="10"/>
        <v>330</v>
      </c>
      <c r="J41" s="460"/>
      <c r="K41" s="460"/>
      <c r="L41" s="460"/>
      <c r="M41" s="460">
        <f>'PA chi tiết'!AO11</f>
        <v>330</v>
      </c>
      <c r="N41" s="227" t="s">
        <v>310</v>
      </c>
    </row>
    <row r="42" spans="1:14" ht="30" customHeight="1" x14ac:dyDescent="0.3">
      <c r="A42" s="211">
        <v>6</v>
      </c>
      <c r="B42" s="217" t="s">
        <v>233</v>
      </c>
      <c r="C42" s="460">
        <f t="shared" si="0"/>
        <v>9215</v>
      </c>
      <c r="D42" s="460">
        <f>D43+D44</f>
        <v>8946</v>
      </c>
      <c r="E42" s="460"/>
      <c r="F42" s="460">
        <f>F43+F44</f>
        <v>8946</v>
      </c>
      <c r="G42" s="460"/>
      <c r="H42" s="460"/>
      <c r="I42" s="460">
        <f>I43+I44</f>
        <v>269</v>
      </c>
      <c r="J42" s="460"/>
      <c r="K42" s="460">
        <f>K43+K44</f>
        <v>269</v>
      </c>
      <c r="L42" s="460"/>
      <c r="M42" s="460"/>
      <c r="N42" s="227"/>
    </row>
    <row r="43" spans="1:14" ht="23.25" customHeight="1" x14ac:dyDescent="0.3">
      <c r="A43" s="211"/>
      <c r="B43" s="217" t="s">
        <v>234</v>
      </c>
      <c r="C43" s="461">
        <f t="shared" si="0"/>
        <v>6697</v>
      </c>
      <c r="D43" s="461">
        <f>SUM(E43:H43)</f>
        <v>6502</v>
      </c>
      <c r="E43" s="460"/>
      <c r="F43" s="460">
        <f>'PA chi tiết'!AT11</f>
        <v>6502</v>
      </c>
      <c r="G43" s="460"/>
      <c r="H43" s="460"/>
      <c r="I43" s="461">
        <f>SUM(J43:M43)</f>
        <v>195</v>
      </c>
      <c r="J43" s="460"/>
      <c r="K43" s="460">
        <f>'PA chi tiết'!AU11</f>
        <v>195</v>
      </c>
      <c r="L43" s="460"/>
      <c r="M43" s="460"/>
      <c r="N43" s="227" t="s">
        <v>311</v>
      </c>
    </row>
    <row r="44" spans="1:14" ht="34.5" customHeight="1" x14ac:dyDescent="0.3">
      <c r="A44" s="211"/>
      <c r="B44" s="217" t="s">
        <v>235</v>
      </c>
      <c r="C44" s="461">
        <f t="shared" si="0"/>
        <v>2518</v>
      </c>
      <c r="D44" s="461">
        <f>SUM(E44:H44)</f>
        <v>2444</v>
      </c>
      <c r="E44" s="460"/>
      <c r="F44" s="460">
        <f>'PA chi tiết'!AW11</f>
        <v>2444</v>
      </c>
      <c r="G44" s="460"/>
      <c r="H44" s="460"/>
      <c r="I44" s="461">
        <f>SUM(J44:M44)</f>
        <v>74</v>
      </c>
      <c r="J44" s="460"/>
      <c r="K44" s="460">
        <f>'PA chi tiết'!AX11</f>
        <v>74</v>
      </c>
      <c r="L44" s="460"/>
      <c r="M44" s="460"/>
      <c r="N44" s="227" t="s">
        <v>312</v>
      </c>
    </row>
    <row r="45" spans="1:14" ht="41.25" customHeight="1" x14ac:dyDescent="0.3">
      <c r="A45" s="211">
        <v>7</v>
      </c>
      <c r="B45" s="217" t="s">
        <v>236</v>
      </c>
      <c r="C45" s="460">
        <f t="shared" si="0"/>
        <v>10175</v>
      </c>
      <c r="D45" s="460">
        <f>D46+D47</f>
        <v>9879</v>
      </c>
      <c r="E45" s="460">
        <f t="shared" ref="E45" si="11">E46+E47</f>
        <v>9879</v>
      </c>
      <c r="F45" s="460">
        <f t="shared" ref="F45" si="12">F46+F47</f>
        <v>0</v>
      </c>
      <c r="G45" s="460"/>
      <c r="H45" s="460">
        <f t="shared" ref="H45" si="13">H46+H47</f>
        <v>0</v>
      </c>
      <c r="I45" s="460">
        <f t="shared" ref="I45:M45" si="14">I46+I47</f>
        <v>296</v>
      </c>
      <c r="J45" s="460">
        <f t="shared" si="14"/>
        <v>296</v>
      </c>
      <c r="K45" s="460">
        <f t="shared" si="14"/>
        <v>0</v>
      </c>
      <c r="L45" s="460"/>
      <c r="M45" s="460">
        <f t="shared" si="14"/>
        <v>0</v>
      </c>
      <c r="N45" s="227" t="s">
        <v>320</v>
      </c>
    </row>
    <row r="46" spans="1:14" ht="40.5" customHeight="1" x14ac:dyDescent="0.3">
      <c r="A46" s="211"/>
      <c r="B46" s="217" t="s">
        <v>237</v>
      </c>
      <c r="C46" s="460">
        <f t="shared" si="0"/>
        <v>6355</v>
      </c>
      <c r="D46" s="460">
        <f>SUM(E46:H46)</f>
        <v>6170</v>
      </c>
      <c r="E46" s="460">
        <f>'PA chi tiết'!BC11</f>
        <v>6170</v>
      </c>
      <c r="F46" s="460"/>
      <c r="G46" s="460"/>
      <c r="H46" s="460"/>
      <c r="I46" s="461">
        <f>SUM(J46:M46)</f>
        <v>185</v>
      </c>
      <c r="J46" s="460">
        <f>'PA chi tiết'!BD11</f>
        <v>185</v>
      </c>
      <c r="K46" s="460"/>
      <c r="L46" s="460"/>
      <c r="M46" s="460"/>
      <c r="N46" s="227"/>
    </row>
    <row r="47" spans="1:14" ht="25.5" customHeight="1" x14ac:dyDescent="0.3">
      <c r="A47" s="392"/>
      <c r="B47" s="393" t="s">
        <v>238</v>
      </c>
      <c r="C47" s="463">
        <f t="shared" si="0"/>
        <v>3820</v>
      </c>
      <c r="D47" s="463">
        <f>SUM(E47:H47)</f>
        <v>3709</v>
      </c>
      <c r="E47" s="463">
        <f>'PA chi tiết'!BF11</f>
        <v>3709</v>
      </c>
      <c r="F47" s="463"/>
      <c r="G47" s="463"/>
      <c r="H47" s="463"/>
      <c r="I47" s="466">
        <f>SUM(J47:M47)</f>
        <v>111</v>
      </c>
      <c r="J47" s="463">
        <f>'PA chi tiết'!BG11</f>
        <v>111</v>
      </c>
      <c r="K47" s="463"/>
      <c r="L47" s="463"/>
      <c r="M47" s="463"/>
      <c r="N47" s="394"/>
    </row>
    <row r="48" spans="1:14" ht="27" customHeight="1" x14ac:dyDescent="0.3">
      <c r="A48" s="223" t="s">
        <v>22</v>
      </c>
      <c r="B48" s="224" t="s">
        <v>222</v>
      </c>
      <c r="C48" s="458">
        <f>D48+I48</f>
        <v>0</v>
      </c>
      <c r="D48" s="458">
        <f>D49</f>
        <v>0</v>
      </c>
      <c r="E48" s="458">
        <f>E49</f>
        <v>0</v>
      </c>
      <c r="F48" s="458">
        <f t="shared" ref="E48:M49" si="15">F49</f>
        <v>0</v>
      </c>
      <c r="G48" s="458">
        <f t="shared" si="15"/>
        <v>0</v>
      </c>
      <c r="H48" s="458">
        <f t="shared" si="15"/>
        <v>0</v>
      </c>
      <c r="I48" s="458">
        <f>I49</f>
        <v>0</v>
      </c>
      <c r="J48" s="458">
        <f>J49</f>
        <v>0</v>
      </c>
      <c r="K48" s="458">
        <f t="shared" si="15"/>
        <v>0</v>
      </c>
      <c r="L48" s="458">
        <f t="shared" si="15"/>
        <v>0</v>
      </c>
      <c r="M48" s="458">
        <f t="shared" si="15"/>
        <v>0</v>
      </c>
      <c r="N48" s="225"/>
    </row>
    <row r="49" spans="1:14" ht="74.25" hidden="1" customHeight="1" x14ac:dyDescent="0.3">
      <c r="A49" s="229">
        <v>1</v>
      </c>
      <c r="B49" s="230" t="s">
        <v>229</v>
      </c>
      <c r="C49" s="464">
        <f t="shared" si="0"/>
        <v>0</v>
      </c>
      <c r="D49" s="464">
        <f>D50</f>
        <v>0</v>
      </c>
      <c r="E49" s="464">
        <f t="shared" si="15"/>
        <v>0</v>
      </c>
      <c r="F49" s="464">
        <f t="shared" si="15"/>
        <v>0</v>
      </c>
      <c r="G49" s="464">
        <f t="shared" si="15"/>
        <v>0</v>
      </c>
      <c r="H49" s="464">
        <f t="shared" si="15"/>
        <v>0</v>
      </c>
      <c r="I49" s="464">
        <f t="shared" si="15"/>
        <v>0</v>
      </c>
      <c r="J49" s="464">
        <f t="shared" si="15"/>
        <v>0</v>
      </c>
      <c r="K49" s="464">
        <f t="shared" si="15"/>
        <v>0</v>
      </c>
      <c r="L49" s="464">
        <f t="shared" si="15"/>
        <v>0</v>
      </c>
      <c r="M49" s="464">
        <f t="shared" si="15"/>
        <v>0</v>
      </c>
      <c r="N49" s="481" t="s">
        <v>350</v>
      </c>
    </row>
    <row r="50" spans="1:14" s="378" customFormat="1" ht="75" hidden="1" customHeight="1" x14ac:dyDescent="0.3">
      <c r="A50" s="376"/>
      <c r="B50" s="377" t="s">
        <v>230</v>
      </c>
      <c r="C50" s="460">
        <f>C51</f>
        <v>0</v>
      </c>
      <c r="D50" s="460">
        <f t="shared" ref="D50:M50" si="16">D51</f>
        <v>0</v>
      </c>
      <c r="E50" s="460">
        <f t="shared" si="16"/>
        <v>0</v>
      </c>
      <c r="F50" s="460">
        <f t="shared" si="16"/>
        <v>0</v>
      </c>
      <c r="G50" s="460">
        <f t="shared" si="16"/>
        <v>0</v>
      </c>
      <c r="H50" s="460">
        <f t="shared" si="16"/>
        <v>0</v>
      </c>
      <c r="I50" s="460">
        <f t="shared" si="16"/>
        <v>0</v>
      </c>
      <c r="J50" s="460">
        <f t="shared" si="16"/>
        <v>0</v>
      </c>
      <c r="K50" s="460">
        <f t="shared" si="16"/>
        <v>0</v>
      </c>
      <c r="L50" s="460">
        <f t="shared" si="16"/>
        <v>0</v>
      </c>
      <c r="M50" s="460">
        <f t="shared" si="16"/>
        <v>0</v>
      </c>
      <c r="N50" s="482"/>
    </row>
    <row r="51" spans="1:14" ht="62.25" hidden="1" customHeight="1" x14ac:dyDescent="0.3">
      <c r="A51" s="467"/>
      <c r="B51" s="381" t="s">
        <v>67</v>
      </c>
      <c r="C51" s="463">
        <f>D51+I51</f>
        <v>0</v>
      </c>
      <c r="D51" s="463">
        <f>SUM(E51:H51)</f>
        <v>0</v>
      </c>
      <c r="E51" s="468">
        <f>E16-E35</f>
        <v>0</v>
      </c>
      <c r="F51" s="468"/>
      <c r="G51" s="468"/>
      <c r="H51" s="468"/>
      <c r="I51" s="466">
        <f>SUM(J51:M51)</f>
        <v>0</v>
      </c>
      <c r="J51" s="468">
        <f>J16-J35</f>
        <v>0</v>
      </c>
      <c r="K51" s="468"/>
      <c r="L51" s="468"/>
      <c r="M51" s="468"/>
      <c r="N51" s="483"/>
    </row>
  </sheetData>
  <mergeCells count="11">
    <mergeCell ref="N49:N51"/>
    <mergeCell ref="A1:N1"/>
    <mergeCell ref="A2:N2"/>
    <mergeCell ref="A4:A5"/>
    <mergeCell ref="B4:B5"/>
    <mergeCell ref="D4:D5"/>
    <mergeCell ref="E4:H4"/>
    <mergeCell ref="I4:I5"/>
    <mergeCell ref="N4:N5"/>
    <mergeCell ref="J4:M4"/>
    <mergeCell ref="C4:C5"/>
  </mergeCells>
  <pageMargins left="0.78740157480314965" right="0.39370078740157483" top="0.78740157480314965" bottom="0.78740157480314965" header="0.31496062992125984" footer="0.31496062992125984"/>
  <pageSetup paperSize="9" scale="59" firstPageNumber="191" orientation="landscape" useFirstPageNumber="1" r:id="rId1"/>
  <headerFooter>
    <oddHeader xml:space="preserve">&amp;C&amp;P&amp;R&amp;"Times New Roman,Bold Italic"&amp;14Phụ lục 2: Chương trình GNBV
Biểu số 01       &amp;"Times New Roman,Regular"     </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44"/>
  <sheetViews>
    <sheetView view="pageLayout" zoomScale="70" zoomScaleNormal="85" zoomScaleSheetLayoutView="85" zoomScalePageLayoutView="70" workbookViewId="0">
      <selection activeCell="F13" sqref="F13"/>
    </sheetView>
  </sheetViews>
  <sheetFormatPr defaultColWidth="9.1640625" defaultRowHeight="14" x14ac:dyDescent="0.3"/>
  <cols>
    <col min="1" max="1" width="6.4140625" style="345" customWidth="1"/>
    <col min="2" max="2" width="45" style="346" customWidth="1"/>
    <col min="3" max="5" width="10.83203125" style="346" customWidth="1"/>
    <col min="6" max="6" width="8.58203125" style="346" customWidth="1"/>
    <col min="7" max="7" width="10" style="346" customWidth="1"/>
    <col min="8" max="10" width="10.83203125" style="346" customWidth="1"/>
    <col min="11" max="11" width="8.83203125" style="346" customWidth="1"/>
    <col min="12" max="15" width="10.83203125" style="346" customWidth="1"/>
    <col min="16" max="16" width="8.1640625" style="346" customWidth="1"/>
    <col min="17" max="17" width="9.83203125" style="346" customWidth="1"/>
    <col min="18" max="16384" width="9.1640625" style="346"/>
  </cols>
  <sheetData>
    <row r="1" spans="1:26" ht="23.25" customHeight="1" x14ac:dyDescent="0.3">
      <c r="A1" s="493" t="s">
        <v>338</v>
      </c>
      <c r="B1" s="493"/>
      <c r="C1" s="493"/>
      <c r="D1" s="493"/>
      <c r="E1" s="493"/>
      <c r="F1" s="493"/>
      <c r="G1" s="493"/>
      <c r="H1" s="493"/>
      <c r="I1" s="493"/>
      <c r="J1" s="493"/>
      <c r="K1" s="493"/>
      <c r="L1" s="493"/>
      <c r="M1" s="493"/>
      <c r="N1" s="493"/>
      <c r="O1" s="493"/>
      <c r="P1" s="493"/>
      <c r="Q1" s="493"/>
    </row>
    <row r="2" spans="1:26" ht="17.5" x14ac:dyDescent="0.3">
      <c r="A2" s="494" t="s">
        <v>300</v>
      </c>
      <c r="B2" s="494"/>
      <c r="C2" s="494"/>
      <c r="D2" s="494"/>
      <c r="E2" s="494"/>
      <c r="F2" s="494"/>
      <c r="G2" s="494"/>
      <c r="H2" s="494"/>
      <c r="I2" s="494"/>
      <c r="J2" s="494"/>
      <c r="K2" s="494"/>
      <c r="L2" s="494"/>
      <c r="M2" s="494"/>
      <c r="N2" s="494"/>
      <c r="O2" s="494"/>
      <c r="P2" s="494"/>
      <c r="Q2" s="494"/>
    </row>
    <row r="3" spans="1:26" s="254" customFormat="1" ht="15.5" x14ac:dyDescent="0.3">
      <c r="A3" s="495" t="s">
        <v>355</v>
      </c>
      <c r="B3" s="495"/>
      <c r="C3" s="495"/>
      <c r="D3" s="495"/>
      <c r="E3" s="495"/>
      <c r="F3" s="495"/>
      <c r="G3" s="495"/>
      <c r="H3" s="495"/>
      <c r="I3" s="495"/>
      <c r="J3" s="495"/>
      <c r="K3" s="495"/>
      <c r="L3" s="495"/>
      <c r="M3" s="495"/>
      <c r="N3" s="495"/>
      <c r="O3" s="495"/>
      <c r="P3" s="495"/>
      <c r="Q3" s="495"/>
    </row>
    <row r="4" spans="1:26" s="254" customFormat="1" ht="15.5" x14ac:dyDescent="0.3">
      <c r="A4" s="265"/>
      <c r="B4" s="265"/>
      <c r="C4" s="265"/>
      <c r="D4" s="265"/>
      <c r="E4" s="265"/>
      <c r="F4" s="265"/>
      <c r="G4" s="265"/>
      <c r="H4" s="265"/>
      <c r="I4" s="265"/>
      <c r="J4" s="265"/>
      <c r="K4" s="265"/>
      <c r="L4" s="265"/>
      <c r="M4" s="265"/>
      <c r="N4" s="265"/>
      <c r="O4" s="496" t="s">
        <v>27</v>
      </c>
      <c r="P4" s="496"/>
      <c r="Q4" s="496"/>
    </row>
    <row r="5" spans="1:26" ht="21.75" customHeight="1" x14ac:dyDescent="0.3">
      <c r="A5" s="497" t="s">
        <v>0</v>
      </c>
      <c r="B5" s="497" t="s">
        <v>301</v>
      </c>
      <c r="C5" s="497" t="s">
        <v>351</v>
      </c>
      <c r="D5" s="497"/>
      <c r="E5" s="497"/>
      <c r="F5" s="497"/>
      <c r="G5" s="497"/>
      <c r="H5" s="498" t="s">
        <v>302</v>
      </c>
      <c r="I5" s="498"/>
      <c r="J5" s="498"/>
      <c r="K5" s="498"/>
      <c r="L5" s="498"/>
      <c r="M5" s="498" t="s">
        <v>303</v>
      </c>
      <c r="N5" s="498"/>
      <c r="O5" s="498"/>
      <c r="P5" s="498"/>
      <c r="Q5" s="498"/>
    </row>
    <row r="6" spans="1:26" ht="129" customHeight="1" x14ac:dyDescent="0.3">
      <c r="A6" s="497"/>
      <c r="B6" s="497"/>
      <c r="C6" s="85" t="s">
        <v>304</v>
      </c>
      <c r="D6" s="85" t="s">
        <v>217</v>
      </c>
      <c r="E6" s="85" t="s">
        <v>218</v>
      </c>
      <c r="F6" s="208" t="s">
        <v>298</v>
      </c>
      <c r="G6" s="85" t="s">
        <v>219</v>
      </c>
      <c r="H6" s="85" t="s">
        <v>304</v>
      </c>
      <c r="I6" s="85" t="s">
        <v>217</v>
      </c>
      <c r="J6" s="85" t="s">
        <v>218</v>
      </c>
      <c r="K6" s="208" t="s">
        <v>298</v>
      </c>
      <c r="L6" s="85" t="s">
        <v>219</v>
      </c>
      <c r="M6" s="85" t="s">
        <v>304</v>
      </c>
      <c r="N6" s="85" t="s">
        <v>217</v>
      </c>
      <c r="O6" s="85" t="s">
        <v>218</v>
      </c>
      <c r="P6" s="208" t="s">
        <v>298</v>
      </c>
      <c r="Q6" s="85" t="s">
        <v>219</v>
      </c>
      <c r="V6" s="347"/>
    </row>
    <row r="7" spans="1:26" s="350" customFormat="1" ht="21" customHeight="1" x14ac:dyDescent="0.3">
      <c r="A7" s="348"/>
      <c r="B7" s="348" t="s">
        <v>131</v>
      </c>
      <c r="C7" s="349">
        <f>C8+C19</f>
        <v>147894</v>
      </c>
      <c r="D7" s="349">
        <f>D8+D19</f>
        <v>41072</v>
      </c>
      <c r="E7" s="349">
        <f>E8+E19</f>
        <v>9215</v>
      </c>
      <c r="F7" s="349">
        <f t="shared" ref="F7:Q7" si="0">F8+F19</f>
        <v>3593</v>
      </c>
      <c r="G7" s="349">
        <f t="shared" si="0"/>
        <v>94014</v>
      </c>
      <c r="H7" s="349">
        <f t="shared" si="0"/>
        <v>143586</v>
      </c>
      <c r="I7" s="349">
        <f t="shared" si="0"/>
        <v>39876</v>
      </c>
      <c r="J7" s="349">
        <f t="shared" si="0"/>
        <v>8946</v>
      </c>
      <c r="K7" s="349">
        <f t="shared" si="0"/>
        <v>3488</v>
      </c>
      <c r="L7" s="349">
        <f t="shared" si="0"/>
        <v>91276</v>
      </c>
      <c r="M7" s="349">
        <f t="shared" si="0"/>
        <v>4308</v>
      </c>
      <c r="N7" s="349">
        <f t="shared" si="0"/>
        <v>1196</v>
      </c>
      <c r="O7" s="349">
        <f t="shared" si="0"/>
        <v>269</v>
      </c>
      <c r="P7" s="349">
        <f t="shared" si="0"/>
        <v>105</v>
      </c>
      <c r="Q7" s="349">
        <f t="shared" si="0"/>
        <v>2738</v>
      </c>
      <c r="S7" s="351"/>
      <c r="T7" s="351"/>
      <c r="U7" s="351"/>
      <c r="V7" s="351"/>
      <c r="W7" s="351"/>
      <c r="Y7" s="351"/>
      <c r="Z7" s="351"/>
    </row>
    <row r="8" spans="1:26" s="350" customFormat="1" ht="25.5" customHeight="1" x14ac:dyDescent="0.3">
      <c r="A8" s="352" t="s">
        <v>6</v>
      </c>
      <c r="B8" s="353" t="s">
        <v>21</v>
      </c>
      <c r="C8" s="349">
        <f>SUM(C9:C18)</f>
        <v>29785</v>
      </c>
      <c r="D8" s="349">
        <f t="shared" ref="D8:Q8" si="1">SUM(D9:D18)</f>
        <v>13482</v>
      </c>
      <c r="E8" s="349">
        <f t="shared" si="1"/>
        <v>6641</v>
      </c>
      <c r="F8" s="349">
        <f t="shared" si="1"/>
        <v>360</v>
      </c>
      <c r="G8" s="349">
        <f t="shared" si="1"/>
        <v>9302</v>
      </c>
      <c r="H8" s="349">
        <f>SUM(H9:H18)</f>
        <v>28916</v>
      </c>
      <c r="I8" s="349">
        <f t="shared" si="1"/>
        <v>13089</v>
      </c>
      <c r="J8" s="349">
        <f t="shared" si="1"/>
        <v>6447</v>
      </c>
      <c r="K8" s="349">
        <f t="shared" si="1"/>
        <v>349</v>
      </c>
      <c r="L8" s="349">
        <f>SUM(L9:L18)</f>
        <v>9031</v>
      </c>
      <c r="M8" s="349">
        <f t="shared" si="1"/>
        <v>869</v>
      </c>
      <c r="N8" s="349">
        <f t="shared" si="1"/>
        <v>393</v>
      </c>
      <c r="O8" s="349">
        <f t="shared" si="1"/>
        <v>194</v>
      </c>
      <c r="P8" s="349">
        <f t="shared" si="1"/>
        <v>11</v>
      </c>
      <c r="Q8" s="349">
        <f t="shared" si="1"/>
        <v>271</v>
      </c>
      <c r="T8" s="351"/>
      <c r="U8" s="351"/>
      <c r="V8" s="351"/>
      <c r="W8" s="351"/>
    </row>
    <row r="9" spans="1:26" s="354" customFormat="1" ht="33" customHeight="1" x14ac:dyDescent="0.3">
      <c r="A9" s="100">
        <v>1</v>
      </c>
      <c r="B9" s="101" t="s">
        <v>356</v>
      </c>
      <c r="C9" s="359">
        <f t="shared" ref="C9:C18" si="2">SUM(D9:G9)</f>
        <v>6009</v>
      </c>
      <c r="D9" s="359">
        <f t="shared" ref="D9:D18" si="3">I9+N9</f>
        <v>2910</v>
      </c>
      <c r="E9" s="359">
        <f t="shared" ref="E9:E18" si="4">J9+O9</f>
        <v>586</v>
      </c>
      <c r="F9" s="359"/>
      <c r="G9" s="359">
        <f t="shared" ref="G9:G18" si="5">L9+Q9</f>
        <v>2513</v>
      </c>
      <c r="H9" s="359">
        <f t="shared" ref="H9:H18" si="6">SUM(I9:L9)</f>
        <v>5837</v>
      </c>
      <c r="I9" s="359">
        <f>'PA chi tiết'!BC13+'PA chi tiết'!BF13+'PA chi tiết'!Y13</f>
        <v>2828</v>
      </c>
      <c r="J9" s="359">
        <f>'PA chi tiết'!AW13</f>
        <v>569</v>
      </c>
      <c r="K9" s="359"/>
      <c r="L9" s="359">
        <f>'PA chi tiết'!J13+'PA chi tiết'!AH13+'PA chi tiết'!AK13+'PA chi tiết'!M13</f>
        <v>2440</v>
      </c>
      <c r="M9" s="359">
        <f t="shared" ref="M9:M18" si="7">SUM(N9:Q9)</f>
        <v>172</v>
      </c>
      <c r="N9" s="359">
        <f>'PA chi tiết'!BD13+'PA chi tiết'!BG13+'PA chi tiết'!Z13</f>
        <v>82</v>
      </c>
      <c r="O9" s="359">
        <f>'PA chi tiết'!AX13</f>
        <v>17</v>
      </c>
      <c r="P9" s="359"/>
      <c r="Q9" s="359">
        <f>'PA chi tiết'!K13+'PA chi tiết'!AI13+'PA chi tiết'!AL13+'PA chi tiết'!N13</f>
        <v>73</v>
      </c>
      <c r="T9" s="355"/>
      <c r="U9" s="355"/>
      <c r="V9" s="355"/>
      <c r="W9" s="355"/>
    </row>
    <row r="10" spans="1:26" s="354" customFormat="1" ht="25.5" customHeight="1" x14ac:dyDescent="0.3">
      <c r="A10" s="106">
        <v>2</v>
      </c>
      <c r="B10" s="107" t="s">
        <v>91</v>
      </c>
      <c r="C10" s="356">
        <f t="shared" si="2"/>
        <v>5257</v>
      </c>
      <c r="D10" s="356">
        <f t="shared" si="3"/>
        <v>60</v>
      </c>
      <c r="E10" s="356">
        <f t="shared" si="4"/>
        <v>5197</v>
      </c>
      <c r="F10" s="356"/>
      <c r="G10" s="356">
        <f t="shared" si="5"/>
        <v>0</v>
      </c>
      <c r="H10" s="356">
        <f t="shared" si="6"/>
        <v>5104</v>
      </c>
      <c r="I10" s="356">
        <f>'PA chi tiết'!BC14+'PA chi tiết'!BF14</f>
        <v>58</v>
      </c>
      <c r="J10" s="356">
        <f>'PA chi tiết'!AT14</f>
        <v>5046</v>
      </c>
      <c r="K10" s="356"/>
      <c r="L10" s="356"/>
      <c r="M10" s="356">
        <f t="shared" si="7"/>
        <v>153</v>
      </c>
      <c r="N10" s="356">
        <f>'PA chi tiết'!BD14+'PA chi tiết'!BG14</f>
        <v>2</v>
      </c>
      <c r="O10" s="356">
        <f>'PA chi tiết'!AU14</f>
        <v>151</v>
      </c>
      <c r="P10" s="356"/>
      <c r="Q10" s="356"/>
      <c r="U10" s="355"/>
    </row>
    <row r="11" spans="1:26" s="354" customFormat="1" ht="25.5" customHeight="1" x14ac:dyDescent="0.3">
      <c r="A11" s="106">
        <v>3</v>
      </c>
      <c r="B11" s="107" t="s">
        <v>272</v>
      </c>
      <c r="C11" s="356">
        <f t="shared" si="2"/>
        <v>465</v>
      </c>
      <c r="D11" s="356">
        <f t="shared" si="3"/>
        <v>105</v>
      </c>
      <c r="E11" s="356">
        <f t="shared" si="4"/>
        <v>0</v>
      </c>
      <c r="F11" s="356">
        <f t="shared" ref="F11:F18" si="8">K11+P11</f>
        <v>360</v>
      </c>
      <c r="G11" s="356">
        <f t="shared" si="5"/>
        <v>0</v>
      </c>
      <c r="H11" s="356">
        <f t="shared" si="6"/>
        <v>450</v>
      </c>
      <c r="I11" s="356">
        <f>'PA chi tiết'!BC15+'PA chi tiết'!BF15</f>
        <v>101</v>
      </c>
      <c r="J11" s="356"/>
      <c r="K11" s="356">
        <f>'PA chi tiết'!P15</f>
        <v>349</v>
      </c>
      <c r="L11" s="356"/>
      <c r="M11" s="356">
        <f t="shared" si="7"/>
        <v>15</v>
      </c>
      <c r="N11" s="356">
        <f>'PA chi tiết'!BD15+'PA chi tiết'!BG15</f>
        <v>4</v>
      </c>
      <c r="O11" s="356"/>
      <c r="P11" s="356">
        <f>'PA chi tiết'!Q15</f>
        <v>11</v>
      </c>
      <c r="Q11" s="356"/>
      <c r="T11" s="355"/>
      <c r="U11" s="355"/>
      <c r="V11" s="355"/>
      <c r="W11" s="355"/>
      <c r="X11" s="355"/>
    </row>
    <row r="12" spans="1:26" s="354" customFormat="1" ht="25.5" customHeight="1" x14ac:dyDescent="0.3">
      <c r="A12" s="106">
        <v>4</v>
      </c>
      <c r="B12" s="107" t="s">
        <v>290</v>
      </c>
      <c r="C12" s="356">
        <f t="shared" si="2"/>
        <v>51</v>
      </c>
      <c r="D12" s="356">
        <f t="shared" si="3"/>
        <v>51</v>
      </c>
      <c r="E12" s="356">
        <f t="shared" si="4"/>
        <v>0</v>
      </c>
      <c r="F12" s="356">
        <f t="shared" si="8"/>
        <v>0</v>
      </c>
      <c r="G12" s="356">
        <f t="shared" si="5"/>
        <v>0</v>
      </c>
      <c r="H12" s="356">
        <f t="shared" si="6"/>
        <v>49</v>
      </c>
      <c r="I12" s="356">
        <f>'PA chi tiết'!BC16</f>
        <v>49</v>
      </c>
      <c r="J12" s="356"/>
      <c r="K12" s="356"/>
      <c r="L12" s="356"/>
      <c r="M12" s="356">
        <f t="shared" si="7"/>
        <v>2</v>
      </c>
      <c r="N12" s="356">
        <f>'PA chi tiết'!BD16</f>
        <v>2</v>
      </c>
      <c r="O12" s="356"/>
      <c r="P12" s="356"/>
      <c r="Q12" s="356"/>
      <c r="T12" s="355"/>
      <c r="U12" s="355"/>
      <c r="V12" s="355"/>
      <c r="W12" s="355"/>
      <c r="X12" s="355"/>
    </row>
    <row r="13" spans="1:26" s="354" customFormat="1" ht="18" x14ac:dyDescent="0.3">
      <c r="A13" s="106">
        <v>5</v>
      </c>
      <c r="B13" s="107" t="s">
        <v>357</v>
      </c>
      <c r="C13" s="356">
        <f t="shared" si="2"/>
        <v>7237</v>
      </c>
      <c r="D13" s="356">
        <f>I13+N13</f>
        <v>448</v>
      </c>
      <c r="E13" s="356">
        <f t="shared" si="4"/>
        <v>0</v>
      </c>
      <c r="F13" s="356">
        <f t="shared" si="8"/>
        <v>0</v>
      </c>
      <c r="G13" s="356">
        <f t="shared" si="5"/>
        <v>6789</v>
      </c>
      <c r="H13" s="356">
        <f t="shared" si="6"/>
        <v>7026</v>
      </c>
      <c r="I13" s="356">
        <f>'PA chi tiết'!BC17+'PA chi tiết'!BF17</f>
        <v>435</v>
      </c>
      <c r="J13" s="356"/>
      <c r="K13" s="356"/>
      <c r="L13" s="356">
        <f>'PA chi tiết'!J17+'PA chi tiết'!M17</f>
        <v>6591</v>
      </c>
      <c r="M13" s="356">
        <f t="shared" si="7"/>
        <v>211</v>
      </c>
      <c r="N13" s="356">
        <f>'PA chi tiết'!BD17+'PA chi tiết'!BG17</f>
        <v>13</v>
      </c>
      <c r="O13" s="356"/>
      <c r="P13" s="356"/>
      <c r="Q13" s="356">
        <f>'PA chi tiết'!K17+'PA chi tiết'!N17</f>
        <v>198</v>
      </c>
      <c r="T13" s="355"/>
      <c r="U13" s="355"/>
      <c r="V13" s="355"/>
      <c r="W13" s="355"/>
      <c r="X13" s="355"/>
    </row>
    <row r="14" spans="1:26" s="354" customFormat="1" ht="18" x14ac:dyDescent="0.3">
      <c r="A14" s="106">
        <v>6</v>
      </c>
      <c r="B14" s="107" t="s">
        <v>336</v>
      </c>
      <c r="C14" s="356">
        <f t="shared" si="2"/>
        <v>20</v>
      </c>
      <c r="D14" s="356">
        <f>I14+N14</f>
        <v>20</v>
      </c>
      <c r="E14" s="356"/>
      <c r="F14" s="356"/>
      <c r="G14" s="356"/>
      <c r="H14" s="356">
        <f t="shared" si="6"/>
        <v>19</v>
      </c>
      <c r="I14" s="356">
        <f>'PA chi tiết'!BF18</f>
        <v>19</v>
      </c>
      <c r="J14" s="356"/>
      <c r="K14" s="356"/>
      <c r="L14" s="356"/>
      <c r="M14" s="356">
        <f t="shared" si="7"/>
        <v>1</v>
      </c>
      <c r="N14" s="356">
        <f>'PA chi tiết'!BG18</f>
        <v>1</v>
      </c>
      <c r="O14" s="356"/>
      <c r="P14" s="356"/>
      <c r="Q14" s="356"/>
      <c r="T14" s="355"/>
      <c r="U14" s="355"/>
      <c r="V14" s="355"/>
      <c r="W14" s="355"/>
      <c r="X14" s="355"/>
    </row>
    <row r="15" spans="1:26" s="354" customFormat="1" ht="24.75" customHeight="1" x14ac:dyDescent="0.3">
      <c r="A15" s="106">
        <v>7</v>
      </c>
      <c r="B15" s="107" t="s">
        <v>358</v>
      </c>
      <c r="C15" s="356">
        <f t="shared" si="2"/>
        <v>295</v>
      </c>
      <c r="D15" s="356">
        <f t="shared" si="3"/>
        <v>0</v>
      </c>
      <c r="E15" s="356">
        <f t="shared" si="4"/>
        <v>295</v>
      </c>
      <c r="F15" s="356">
        <f t="shared" si="8"/>
        <v>0</v>
      </c>
      <c r="G15" s="356">
        <f t="shared" si="5"/>
        <v>0</v>
      </c>
      <c r="H15" s="356">
        <f t="shared" si="6"/>
        <v>286</v>
      </c>
      <c r="I15" s="356"/>
      <c r="J15" s="356">
        <f>'PA chi tiết'!AW19</f>
        <v>286</v>
      </c>
      <c r="K15" s="356"/>
      <c r="L15" s="356"/>
      <c r="M15" s="356">
        <f t="shared" si="7"/>
        <v>9</v>
      </c>
      <c r="N15" s="356"/>
      <c r="O15" s="356">
        <f>'PA chi tiết'!AX19</f>
        <v>9</v>
      </c>
      <c r="P15" s="356"/>
      <c r="Q15" s="356"/>
      <c r="T15" s="355"/>
      <c r="U15" s="355"/>
      <c r="V15" s="355"/>
      <c r="W15" s="355"/>
      <c r="X15" s="355"/>
    </row>
    <row r="16" spans="1:26" s="354" customFormat="1" ht="24.75" customHeight="1" x14ac:dyDescent="0.3">
      <c r="A16" s="106">
        <v>8</v>
      </c>
      <c r="B16" s="107" t="s">
        <v>20</v>
      </c>
      <c r="C16" s="356">
        <f t="shared" si="2"/>
        <v>9888</v>
      </c>
      <c r="D16" s="356">
        <f t="shared" si="3"/>
        <v>9888</v>
      </c>
      <c r="E16" s="356">
        <f t="shared" si="4"/>
        <v>0</v>
      </c>
      <c r="F16" s="356">
        <f t="shared" si="8"/>
        <v>0</v>
      </c>
      <c r="G16" s="356">
        <f t="shared" si="5"/>
        <v>0</v>
      </c>
      <c r="H16" s="356">
        <f t="shared" si="6"/>
        <v>9599</v>
      </c>
      <c r="I16" s="356">
        <f>'PA chi tiết'!AB20</f>
        <v>9599</v>
      </c>
      <c r="J16" s="356"/>
      <c r="K16" s="356"/>
      <c r="L16" s="356"/>
      <c r="M16" s="356">
        <f t="shared" si="7"/>
        <v>289</v>
      </c>
      <c r="N16" s="356">
        <f>'PA chi tiết'!AC20</f>
        <v>289</v>
      </c>
      <c r="O16" s="356"/>
      <c r="P16" s="356"/>
      <c r="Q16" s="356"/>
      <c r="T16" s="355"/>
      <c r="U16" s="355"/>
      <c r="V16" s="355"/>
      <c r="W16" s="355"/>
      <c r="X16" s="355"/>
    </row>
    <row r="17" spans="1:24" s="354" customFormat="1" ht="24.75" customHeight="1" x14ac:dyDescent="0.3">
      <c r="A17" s="106">
        <v>9</v>
      </c>
      <c r="B17" s="107" t="s">
        <v>282</v>
      </c>
      <c r="C17" s="356">
        <f t="shared" si="2"/>
        <v>263</v>
      </c>
      <c r="D17" s="356">
        <f t="shared" si="3"/>
        <v>0</v>
      </c>
      <c r="E17" s="356">
        <f t="shared" si="4"/>
        <v>263</v>
      </c>
      <c r="F17" s="356">
        <f t="shared" si="8"/>
        <v>0</v>
      </c>
      <c r="G17" s="356">
        <f t="shared" si="5"/>
        <v>0</v>
      </c>
      <c r="H17" s="356">
        <f t="shared" si="6"/>
        <v>255</v>
      </c>
      <c r="I17" s="356"/>
      <c r="J17" s="356">
        <f>'PA chi tiết'!AT21</f>
        <v>255</v>
      </c>
      <c r="K17" s="356"/>
      <c r="L17" s="356"/>
      <c r="M17" s="356">
        <f t="shared" si="7"/>
        <v>8</v>
      </c>
      <c r="N17" s="356"/>
      <c r="O17" s="356">
        <f>'PA chi tiết'!AU21</f>
        <v>8</v>
      </c>
      <c r="P17" s="356"/>
      <c r="Q17" s="356"/>
      <c r="T17" s="355"/>
      <c r="U17" s="355"/>
      <c r="V17" s="355"/>
      <c r="W17" s="355"/>
      <c r="X17" s="355"/>
    </row>
    <row r="18" spans="1:24" s="354" customFormat="1" ht="24.75" customHeight="1" x14ac:dyDescent="0.3">
      <c r="A18" s="112">
        <v>10</v>
      </c>
      <c r="B18" s="113" t="s">
        <v>283</v>
      </c>
      <c r="C18" s="356">
        <f t="shared" si="2"/>
        <v>300</v>
      </c>
      <c r="D18" s="356">
        <f t="shared" si="3"/>
        <v>0</v>
      </c>
      <c r="E18" s="356">
        <f t="shared" si="4"/>
        <v>300</v>
      </c>
      <c r="F18" s="356">
        <f t="shared" si="8"/>
        <v>0</v>
      </c>
      <c r="G18" s="356">
        <f t="shared" si="5"/>
        <v>0</v>
      </c>
      <c r="H18" s="356">
        <f t="shared" si="6"/>
        <v>291</v>
      </c>
      <c r="I18" s="360"/>
      <c r="J18" s="360">
        <f>'PA chi tiết'!AT22</f>
        <v>291</v>
      </c>
      <c r="K18" s="360"/>
      <c r="L18" s="360"/>
      <c r="M18" s="356">
        <f t="shared" si="7"/>
        <v>9</v>
      </c>
      <c r="N18" s="360"/>
      <c r="O18" s="360">
        <f>'PA chi tiết'!AU22</f>
        <v>9</v>
      </c>
      <c r="P18" s="360"/>
      <c r="Q18" s="360"/>
      <c r="T18" s="355"/>
      <c r="U18" s="355"/>
      <c r="V18" s="355"/>
      <c r="W18" s="355"/>
      <c r="X18" s="355"/>
    </row>
    <row r="19" spans="1:24" s="350" customFormat="1" ht="27" customHeight="1" x14ac:dyDescent="0.3">
      <c r="A19" s="357" t="s">
        <v>7</v>
      </c>
      <c r="B19" s="358" t="s">
        <v>305</v>
      </c>
      <c r="C19" s="349">
        <f>SUM(C20:C27)</f>
        <v>118109</v>
      </c>
      <c r="D19" s="349">
        <f t="shared" ref="D19:G19" si="9">SUM(D20:D27)</f>
        <v>27590</v>
      </c>
      <c r="E19" s="349">
        <f t="shared" si="9"/>
        <v>2574</v>
      </c>
      <c r="F19" s="349">
        <f t="shared" si="9"/>
        <v>3233</v>
      </c>
      <c r="G19" s="349">
        <f t="shared" si="9"/>
        <v>84712</v>
      </c>
      <c r="H19" s="349">
        <f>SUM(H20:H27)</f>
        <v>114670</v>
      </c>
      <c r="I19" s="349">
        <f>SUM(I20:I27)</f>
        <v>26787</v>
      </c>
      <c r="J19" s="349">
        <f t="shared" ref="J19:Q19" si="10">SUM(J20:J27)</f>
        <v>2499</v>
      </c>
      <c r="K19" s="349">
        <f t="shared" si="10"/>
        <v>3139</v>
      </c>
      <c r="L19" s="349">
        <f>SUM(L20:L27)</f>
        <v>82245</v>
      </c>
      <c r="M19" s="349">
        <f>SUM(M20:M27)</f>
        <v>3439</v>
      </c>
      <c r="N19" s="349">
        <f t="shared" si="10"/>
        <v>803</v>
      </c>
      <c r="O19" s="349">
        <f t="shared" si="10"/>
        <v>75</v>
      </c>
      <c r="P19" s="349">
        <f t="shared" si="10"/>
        <v>94</v>
      </c>
      <c r="Q19" s="349">
        <f t="shared" si="10"/>
        <v>2467</v>
      </c>
      <c r="T19" s="351"/>
      <c r="U19" s="351"/>
      <c r="X19" s="351"/>
    </row>
    <row r="20" spans="1:24" s="354" customFormat="1" ht="25.5" customHeight="1" x14ac:dyDescent="0.3">
      <c r="A20" s="247">
        <v>1</v>
      </c>
      <c r="B20" s="101" t="s">
        <v>10</v>
      </c>
      <c r="C20" s="359">
        <f>SUM(D20:G20)</f>
        <v>6187</v>
      </c>
      <c r="D20" s="359">
        <f t="shared" ref="D20:G27" si="11">I20+N20</f>
        <v>1816</v>
      </c>
      <c r="E20" s="359">
        <f t="shared" si="11"/>
        <v>170</v>
      </c>
      <c r="F20" s="359">
        <f t="shared" si="11"/>
        <v>331</v>
      </c>
      <c r="G20" s="359">
        <f>L20+Q20</f>
        <v>3870</v>
      </c>
      <c r="H20" s="359">
        <f t="shared" ref="H20:H27" si="12">SUM(I20:L20)</f>
        <v>6007</v>
      </c>
      <c r="I20" s="359">
        <f>'PA chi tiết'!AE24+'PA chi tiết'!BC24+'PA chi tiết'!BF24+'PA chi tiết'!AB24</f>
        <v>1764</v>
      </c>
      <c r="J20" s="359">
        <f>'PA chi tiết'!AT24+'PA chi tiết'!AW24</f>
        <v>165</v>
      </c>
      <c r="K20" s="359">
        <f>'PA chi tiết'!P24</f>
        <v>321</v>
      </c>
      <c r="L20" s="359">
        <f>'PA chi tiết'!G24+'PA chi tiết'!J24+'PA chi tiết'!M24+'PA chi tiết'!AH24+'PA chi tiết'!AK24+'PA chi tiết'!AN24</f>
        <v>3757</v>
      </c>
      <c r="M20" s="359">
        <f t="shared" ref="M20:M27" si="13">SUM(N20:Q20)</f>
        <v>180</v>
      </c>
      <c r="N20" s="359">
        <f>'PA chi tiết'!AC24+'PA chi tiết'!AF24+'PA chi tiết'!BD24+'PA chi tiết'!BG24</f>
        <v>52</v>
      </c>
      <c r="O20" s="359">
        <f>'PA chi tiết'!AU24+'PA chi tiết'!AX24</f>
        <v>5</v>
      </c>
      <c r="P20" s="359">
        <f>'PA chi tiết'!Q24</f>
        <v>10</v>
      </c>
      <c r="Q20" s="359">
        <f>'PA chi tiết'!H24+'PA chi tiết'!K24+'PA chi tiết'!N24+'PA chi tiết'!AI24+'PA chi tiết'!AL24+'PA chi tiết'!AO24</f>
        <v>113</v>
      </c>
    </row>
    <row r="21" spans="1:24" s="354" customFormat="1" ht="25.5" customHeight="1" x14ac:dyDescent="0.3">
      <c r="A21" s="106">
        <v>2</v>
      </c>
      <c r="B21" s="107" t="s">
        <v>4</v>
      </c>
      <c r="C21" s="356">
        <f t="shared" ref="C21:C27" si="14">SUM(D21:G21)</f>
        <v>28884</v>
      </c>
      <c r="D21" s="356">
        <f t="shared" si="11"/>
        <v>5001</v>
      </c>
      <c r="E21" s="356">
        <f t="shared" si="11"/>
        <v>405</v>
      </c>
      <c r="F21" s="356">
        <f t="shared" si="11"/>
        <v>525</v>
      </c>
      <c r="G21" s="356">
        <f>L21+Q21</f>
        <v>22953</v>
      </c>
      <c r="H21" s="356">
        <f t="shared" si="12"/>
        <v>28042</v>
      </c>
      <c r="I21" s="356">
        <f>'PA chi tiết'!AE25+'PA chi tiết'!BC25+'PA chi tiết'!BF25+'PA chi tiết'!AB25</f>
        <v>4855</v>
      </c>
      <c r="J21" s="356">
        <f>'PA chi tiết'!AT25+'PA chi tiết'!AW25</f>
        <v>393</v>
      </c>
      <c r="K21" s="356">
        <f>'PA chi tiết'!P25</f>
        <v>509</v>
      </c>
      <c r="L21" s="356">
        <f>'PA chi tiết'!G25+'PA chi tiết'!J25+'PA chi tiết'!M25+'PA chi tiết'!AH25+'PA chi tiết'!AK25+'PA chi tiết'!AN25</f>
        <v>22285</v>
      </c>
      <c r="M21" s="356">
        <f t="shared" si="13"/>
        <v>842</v>
      </c>
      <c r="N21" s="356">
        <f>'PA chi tiết'!AC25+'PA chi tiết'!AF25+'PA chi tiết'!BD25+'PA chi tiết'!BG25</f>
        <v>146</v>
      </c>
      <c r="O21" s="356">
        <f>'PA chi tiết'!AU25+'PA chi tiết'!AX25</f>
        <v>12</v>
      </c>
      <c r="P21" s="356">
        <f>'PA chi tiết'!Q25</f>
        <v>16</v>
      </c>
      <c r="Q21" s="356">
        <f>'PA chi tiết'!H25+'PA chi tiết'!K25+'PA chi tiết'!N25+'PA chi tiết'!AI25+'PA chi tiết'!AL25+'PA chi tiết'!AO25</f>
        <v>668</v>
      </c>
    </row>
    <row r="22" spans="1:24" s="354" customFormat="1" ht="25.5" customHeight="1" x14ac:dyDescent="0.3">
      <c r="A22" s="106">
        <v>3</v>
      </c>
      <c r="B22" s="107" t="s">
        <v>3</v>
      </c>
      <c r="C22" s="356">
        <f t="shared" si="14"/>
        <v>12328</v>
      </c>
      <c r="D22" s="356">
        <f t="shared" si="11"/>
        <v>3383</v>
      </c>
      <c r="E22" s="356">
        <f t="shared" si="11"/>
        <v>367</v>
      </c>
      <c r="F22" s="356">
        <f t="shared" si="11"/>
        <v>380</v>
      </c>
      <c r="G22" s="356">
        <f t="shared" si="11"/>
        <v>8198</v>
      </c>
      <c r="H22" s="356">
        <f t="shared" si="12"/>
        <v>11969</v>
      </c>
      <c r="I22" s="356">
        <f>'PA chi tiết'!AE26+'PA chi tiết'!BC26+'PA chi tiết'!BF26+'PA chi tiết'!AB26</f>
        <v>3284</v>
      </c>
      <c r="J22" s="356">
        <f>'PA chi tiết'!AT26+'PA chi tiết'!AW26</f>
        <v>356</v>
      </c>
      <c r="K22" s="356">
        <f>'PA chi tiết'!P26</f>
        <v>369</v>
      </c>
      <c r="L22" s="356">
        <f>'PA chi tiết'!G26+'PA chi tiết'!J26+'PA chi tiết'!M26+'PA chi tiết'!AH26+'PA chi tiết'!AK26+'PA chi tiết'!AN26</f>
        <v>7960</v>
      </c>
      <c r="M22" s="356">
        <f t="shared" si="13"/>
        <v>359</v>
      </c>
      <c r="N22" s="356">
        <f>'PA chi tiết'!AC26+'PA chi tiết'!AF26+'PA chi tiết'!BD26+'PA chi tiết'!BG26</f>
        <v>99</v>
      </c>
      <c r="O22" s="356">
        <f>'PA chi tiết'!AU26+'PA chi tiết'!AX26</f>
        <v>11</v>
      </c>
      <c r="P22" s="356">
        <f>'PA chi tiết'!Q26</f>
        <v>11</v>
      </c>
      <c r="Q22" s="356">
        <f>'PA chi tiết'!H26+'PA chi tiết'!K26+'PA chi tiết'!N26+'PA chi tiết'!AI26+'PA chi tiết'!AL26+'PA chi tiết'!AO26</f>
        <v>238</v>
      </c>
    </row>
    <row r="23" spans="1:24" s="354" customFormat="1" ht="25.5" customHeight="1" x14ac:dyDescent="0.3">
      <c r="A23" s="106">
        <v>4</v>
      </c>
      <c r="B23" s="107" t="s">
        <v>8</v>
      </c>
      <c r="C23" s="356">
        <f>SUM(D23:G23)</f>
        <v>27948</v>
      </c>
      <c r="D23" s="356">
        <f t="shared" si="11"/>
        <v>4783</v>
      </c>
      <c r="E23" s="356">
        <f t="shared" si="11"/>
        <v>380</v>
      </c>
      <c r="F23" s="356">
        <f t="shared" si="11"/>
        <v>450</v>
      </c>
      <c r="G23" s="356">
        <f t="shared" si="11"/>
        <v>22335</v>
      </c>
      <c r="H23" s="356">
        <f>SUM(I23:L23)</f>
        <v>27134</v>
      </c>
      <c r="I23" s="356">
        <f>'PA chi tiết'!AE27+'PA chi tiết'!BC27+'PA chi tiết'!BF27+'PA chi tiết'!AB27</f>
        <v>4645</v>
      </c>
      <c r="J23" s="356">
        <f>'PA chi tiết'!AT27+'PA chi tiết'!AW27</f>
        <v>369</v>
      </c>
      <c r="K23" s="356">
        <f>'PA chi tiết'!P27</f>
        <v>437</v>
      </c>
      <c r="L23" s="356">
        <f>'PA chi tiết'!G27+'PA chi tiết'!J27+'PA chi tiết'!M27+'PA chi tiết'!AH27+'PA chi tiết'!AK27+'PA chi tiết'!AN27</f>
        <v>21683</v>
      </c>
      <c r="M23" s="356">
        <f t="shared" si="13"/>
        <v>814</v>
      </c>
      <c r="N23" s="356">
        <f>'PA chi tiết'!AC27+'PA chi tiết'!AF27+'PA chi tiết'!BD27+'PA chi tiết'!BG27</f>
        <v>138</v>
      </c>
      <c r="O23" s="356">
        <f>'PA chi tiết'!AU27+'PA chi tiết'!AX27</f>
        <v>11</v>
      </c>
      <c r="P23" s="356">
        <f>'PA chi tiết'!Q27</f>
        <v>13</v>
      </c>
      <c r="Q23" s="356">
        <f>'PA chi tiết'!H27+'PA chi tiết'!K27+'PA chi tiết'!N27+'PA chi tiết'!AI27+'PA chi tiết'!AL27+'PA chi tiết'!AO27</f>
        <v>652</v>
      </c>
    </row>
    <row r="24" spans="1:24" s="354" customFormat="1" ht="25.5" customHeight="1" x14ac:dyDescent="0.3">
      <c r="A24" s="106">
        <v>5</v>
      </c>
      <c r="B24" s="107" t="s">
        <v>11</v>
      </c>
      <c r="C24" s="356">
        <f t="shared" si="14"/>
        <v>9402</v>
      </c>
      <c r="D24" s="356">
        <f t="shared" si="11"/>
        <v>2874</v>
      </c>
      <c r="E24" s="356">
        <f t="shared" si="11"/>
        <v>269</v>
      </c>
      <c r="F24" s="356">
        <f t="shared" si="11"/>
        <v>380</v>
      </c>
      <c r="G24" s="356">
        <f t="shared" si="11"/>
        <v>5879</v>
      </c>
      <c r="H24" s="356">
        <f t="shared" si="12"/>
        <v>9128</v>
      </c>
      <c r="I24" s="356">
        <f>'PA chi tiết'!AE28+'PA chi tiết'!BC28+'PA chi tiết'!BF28+'PA chi tiết'!AB28</f>
        <v>2790</v>
      </c>
      <c r="J24" s="356">
        <f>'PA chi tiết'!AT28+'PA chi tiết'!AW28</f>
        <v>261</v>
      </c>
      <c r="K24" s="356">
        <f>'PA chi tiết'!P28</f>
        <v>369</v>
      </c>
      <c r="L24" s="356">
        <f>'PA chi tiết'!G28+'PA chi tiết'!J28+'PA chi tiết'!M28+'PA chi tiết'!AH28+'PA chi tiết'!AK28+'PA chi tiết'!AN28</f>
        <v>5708</v>
      </c>
      <c r="M24" s="356">
        <f t="shared" si="13"/>
        <v>274</v>
      </c>
      <c r="N24" s="356">
        <f>'PA chi tiết'!AC28+'PA chi tiết'!AF28+'PA chi tiết'!BD28+'PA chi tiết'!BG28</f>
        <v>84</v>
      </c>
      <c r="O24" s="356">
        <f>'PA chi tiết'!AU28+'PA chi tiết'!AX28</f>
        <v>8</v>
      </c>
      <c r="P24" s="356">
        <f>'PA chi tiết'!Q28</f>
        <v>11</v>
      </c>
      <c r="Q24" s="356">
        <f>'PA chi tiết'!H28+'PA chi tiết'!K28+'PA chi tiết'!N28+'PA chi tiết'!AI28+'PA chi tiết'!AL28+'PA chi tiết'!AO28</f>
        <v>171</v>
      </c>
    </row>
    <row r="25" spans="1:24" s="354" customFormat="1" ht="25.5" customHeight="1" x14ac:dyDescent="0.3">
      <c r="A25" s="106">
        <v>6</v>
      </c>
      <c r="B25" s="107" t="s">
        <v>12</v>
      </c>
      <c r="C25" s="356">
        <f t="shared" si="14"/>
        <v>10595</v>
      </c>
      <c r="D25" s="356">
        <f t="shared" si="11"/>
        <v>3160</v>
      </c>
      <c r="E25" s="356">
        <f t="shared" si="11"/>
        <v>303</v>
      </c>
      <c r="F25" s="356">
        <f t="shared" si="11"/>
        <v>429</v>
      </c>
      <c r="G25" s="356">
        <f t="shared" si="11"/>
        <v>6703</v>
      </c>
      <c r="H25" s="356">
        <f t="shared" si="12"/>
        <v>10287</v>
      </c>
      <c r="I25" s="356">
        <f>'PA chi tiết'!AE29+'PA chi tiết'!BC29+'PA chi tiết'!BF29+'PA chi tiết'!AB29</f>
        <v>3068</v>
      </c>
      <c r="J25" s="356">
        <f>'PA chi tiết'!AT29+'PA chi tiết'!AW29</f>
        <v>294</v>
      </c>
      <c r="K25" s="356">
        <f>'PA chi tiết'!P29</f>
        <v>417</v>
      </c>
      <c r="L25" s="356">
        <f>'PA chi tiết'!G29+'PA chi tiết'!J29+'PA chi tiết'!M29+'PA chi tiết'!AH29+'PA chi tiết'!AK29+'PA chi tiết'!AN29</f>
        <v>6508</v>
      </c>
      <c r="M25" s="356">
        <f t="shared" si="13"/>
        <v>308</v>
      </c>
      <c r="N25" s="356">
        <f>'PA chi tiết'!AC29+'PA chi tiết'!AF29+'PA chi tiết'!BD29+'PA chi tiết'!BG29</f>
        <v>92</v>
      </c>
      <c r="O25" s="356">
        <f>'PA chi tiết'!AU29+'PA chi tiết'!AX29</f>
        <v>9</v>
      </c>
      <c r="P25" s="356">
        <f>'PA chi tiết'!Q29</f>
        <v>12</v>
      </c>
      <c r="Q25" s="356">
        <f>'PA chi tiết'!H29+'PA chi tiết'!K29+'PA chi tiết'!N29+'PA chi tiết'!AI29+'PA chi tiết'!AL29+'PA chi tiết'!AO29</f>
        <v>195</v>
      </c>
    </row>
    <row r="26" spans="1:24" s="354" customFormat="1" ht="25.5" customHeight="1" x14ac:dyDescent="0.3">
      <c r="A26" s="106">
        <v>7</v>
      </c>
      <c r="B26" s="107" t="s">
        <v>13</v>
      </c>
      <c r="C26" s="356">
        <f t="shared" si="14"/>
        <v>10178</v>
      </c>
      <c r="D26" s="356">
        <f t="shared" si="11"/>
        <v>3093</v>
      </c>
      <c r="E26" s="356">
        <f t="shared" si="11"/>
        <v>293</v>
      </c>
      <c r="F26" s="356">
        <f t="shared" si="11"/>
        <v>380</v>
      </c>
      <c r="G26" s="356">
        <f t="shared" si="11"/>
        <v>6412</v>
      </c>
      <c r="H26" s="356">
        <f t="shared" si="12"/>
        <v>9883</v>
      </c>
      <c r="I26" s="356">
        <f>'PA chi tiết'!AE30+'PA chi tiết'!BC30+'PA chi tiết'!BF30+'PA chi tiết'!AB30</f>
        <v>3003</v>
      </c>
      <c r="J26" s="356">
        <f>'PA chi tiết'!AT30+'PA chi tiết'!AW30</f>
        <v>285</v>
      </c>
      <c r="K26" s="356">
        <f>'PA chi tiết'!P30</f>
        <v>369</v>
      </c>
      <c r="L26" s="356">
        <f>'PA chi tiết'!G30+'PA chi tiết'!J30+'PA chi tiết'!M30+'PA chi tiết'!AH30+'PA chi tiết'!AK30+'PA chi tiết'!AN30</f>
        <v>6226</v>
      </c>
      <c r="M26" s="356">
        <f t="shared" si="13"/>
        <v>295</v>
      </c>
      <c r="N26" s="356">
        <f>'PA chi tiết'!AC30+'PA chi tiết'!AF30+'PA chi tiết'!BD30+'PA chi tiết'!BG30</f>
        <v>90</v>
      </c>
      <c r="O26" s="356">
        <f>'PA chi tiết'!AU30+'PA chi tiết'!AX30</f>
        <v>8</v>
      </c>
      <c r="P26" s="356">
        <f>'PA chi tiết'!Q30</f>
        <v>11</v>
      </c>
      <c r="Q26" s="356">
        <f>'PA chi tiết'!H30+'PA chi tiết'!K30+'PA chi tiết'!N30+'PA chi tiết'!AI30+'PA chi tiết'!AL30+'PA chi tiết'!AO30</f>
        <v>186</v>
      </c>
    </row>
    <row r="27" spans="1:24" s="354" customFormat="1" ht="25.5" customHeight="1" x14ac:dyDescent="0.3">
      <c r="A27" s="112">
        <v>8</v>
      </c>
      <c r="B27" s="113" t="s">
        <v>14</v>
      </c>
      <c r="C27" s="360">
        <f t="shared" si="14"/>
        <v>12587</v>
      </c>
      <c r="D27" s="360">
        <f t="shared" si="11"/>
        <v>3480</v>
      </c>
      <c r="E27" s="360">
        <f t="shared" si="11"/>
        <v>387</v>
      </c>
      <c r="F27" s="360">
        <f t="shared" si="11"/>
        <v>358</v>
      </c>
      <c r="G27" s="360">
        <f t="shared" si="11"/>
        <v>8362</v>
      </c>
      <c r="H27" s="360">
        <f t="shared" si="12"/>
        <v>12220</v>
      </c>
      <c r="I27" s="360">
        <f>'PA chi tiết'!AE31+'PA chi tiết'!BC31+'PA chi tiết'!BF31+'PA chi tiết'!AB31</f>
        <v>3378</v>
      </c>
      <c r="J27" s="360">
        <f>'PA chi tiết'!AT31+'PA chi tiết'!AW31</f>
        <v>376</v>
      </c>
      <c r="K27" s="360">
        <f>'PA chi tiết'!P31</f>
        <v>348</v>
      </c>
      <c r="L27" s="360">
        <f>'PA chi tiết'!G31+'PA chi tiết'!J31+'PA chi tiết'!M31+'PA chi tiết'!AH31+'PA chi tiết'!AK31+'PA chi tiết'!AN31</f>
        <v>8118</v>
      </c>
      <c r="M27" s="360">
        <f t="shared" si="13"/>
        <v>367</v>
      </c>
      <c r="N27" s="360">
        <f>'PA chi tiết'!AC31+'PA chi tiết'!AF31+'PA chi tiết'!BD31+'PA chi tiết'!BG31</f>
        <v>102</v>
      </c>
      <c r="O27" s="360">
        <f>'PA chi tiết'!AU31+'PA chi tiết'!AX31</f>
        <v>11</v>
      </c>
      <c r="P27" s="360">
        <f>'PA chi tiết'!Q31</f>
        <v>10</v>
      </c>
      <c r="Q27" s="360">
        <f>'PA chi tiết'!H31+'PA chi tiết'!K31+'PA chi tiết'!N31+'PA chi tiết'!AI31+'PA chi tiết'!AL31+'PA chi tiết'!AO31</f>
        <v>244</v>
      </c>
    </row>
    <row r="28" spans="1:24" s="354" customFormat="1" ht="15.5" x14ac:dyDescent="0.3">
      <c r="A28" s="361"/>
    </row>
    <row r="29" spans="1:24" s="354" customFormat="1" ht="15.5" x14ac:dyDescent="0.3">
      <c r="A29" s="361"/>
    </row>
    <row r="30" spans="1:24" s="354" customFormat="1" ht="15.5" x14ac:dyDescent="0.3">
      <c r="A30" s="361"/>
    </row>
    <row r="31" spans="1:24" s="354" customFormat="1" ht="15.5" x14ac:dyDescent="0.3">
      <c r="A31" s="361"/>
    </row>
    <row r="32" spans="1:24" s="354" customFormat="1" ht="15.5" x14ac:dyDescent="0.3">
      <c r="A32" s="361"/>
    </row>
    <row r="33" spans="1:1" s="354" customFormat="1" ht="15.5" x14ac:dyDescent="0.3">
      <c r="A33" s="361"/>
    </row>
    <row r="34" spans="1:1" s="354" customFormat="1" ht="15.5" x14ac:dyDescent="0.3">
      <c r="A34" s="361"/>
    </row>
    <row r="35" spans="1:1" s="354" customFormat="1" ht="15.5" x14ac:dyDescent="0.3">
      <c r="A35" s="361"/>
    </row>
    <row r="36" spans="1:1" s="354" customFormat="1" ht="15.5" x14ac:dyDescent="0.3">
      <c r="A36" s="361"/>
    </row>
    <row r="37" spans="1:1" s="354" customFormat="1" ht="15.5" x14ac:dyDescent="0.3">
      <c r="A37" s="361"/>
    </row>
    <row r="38" spans="1:1" s="354" customFormat="1" ht="15.5" x14ac:dyDescent="0.3">
      <c r="A38" s="361"/>
    </row>
    <row r="39" spans="1:1" s="354" customFormat="1" ht="15.5" x14ac:dyDescent="0.3">
      <c r="A39" s="361"/>
    </row>
    <row r="40" spans="1:1" s="354" customFormat="1" ht="15.5" x14ac:dyDescent="0.3">
      <c r="A40" s="361"/>
    </row>
    <row r="41" spans="1:1" s="354" customFormat="1" ht="15.5" x14ac:dyDescent="0.3">
      <c r="A41" s="361"/>
    </row>
    <row r="42" spans="1:1" s="354" customFormat="1" ht="15.5" x14ac:dyDescent="0.3">
      <c r="A42" s="361"/>
    </row>
    <row r="43" spans="1:1" s="354" customFormat="1" ht="15.5" x14ac:dyDescent="0.3">
      <c r="A43" s="361"/>
    </row>
    <row r="44" spans="1:1" s="354" customFormat="1" ht="15.5" x14ac:dyDescent="0.3">
      <c r="A44" s="361"/>
    </row>
  </sheetData>
  <mergeCells count="9">
    <mergeCell ref="A1:Q1"/>
    <mergeCell ref="A2:Q2"/>
    <mergeCell ref="A3:Q3"/>
    <mergeCell ref="O4:Q4"/>
    <mergeCell ref="A5:A6"/>
    <mergeCell ref="B5:B6"/>
    <mergeCell ref="C5:G5"/>
    <mergeCell ref="H5:L5"/>
    <mergeCell ref="M5:Q5"/>
  </mergeCells>
  <pageMargins left="0.78740157480314965" right="0.39370078740157483" top="0.78740157480314965" bottom="0.78740157480314965" header="0.31496062992125984" footer="0.31496062992125984"/>
  <pageSetup paperSize="9" scale="64" firstPageNumber="194" orientation="landscape" useFirstPageNumber="1" r:id="rId1"/>
  <headerFooter>
    <oddHeader xml:space="preserve">&amp;C&amp;P&amp;R&amp;"Times New Roman,Bold Italic"&amp;14Phụ lục 2: Chương trình GNBV
Biểu số 02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34"/>
  <sheetViews>
    <sheetView view="pageLayout" zoomScale="85" zoomScaleNormal="70" zoomScaleSheetLayoutView="70" zoomScalePageLayoutView="85" workbookViewId="0">
      <selection activeCell="A4" sqref="A4:A10"/>
    </sheetView>
  </sheetViews>
  <sheetFormatPr defaultColWidth="8.83203125" defaultRowHeight="18" x14ac:dyDescent="0.3"/>
  <cols>
    <col min="1" max="1" width="5.25" style="46" customWidth="1"/>
    <col min="2" max="2" width="32.75" style="46" customWidth="1"/>
    <col min="3" max="3" width="8.1640625" style="46" customWidth="1"/>
    <col min="4" max="4" width="7.58203125" style="46" customWidth="1"/>
    <col min="5" max="5" width="6.58203125" style="46" customWidth="1"/>
    <col min="6" max="7" width="7.1640625" style="46" customWidth="1"/>
    <col min="8" max="8" width="6.83203125" style="46" customWidth="1"/>
    <col min="9" max="9" width="7.4140625" style="46" customWidth="1"/>
    <col min="10" max="10" width="7.1640625" style="46" customWidth="1"/>
    <col min="11" max="11" width="6.25" style="46" customWidth="1"/>
    <col min="12" max="12" width="7" style="46" customWidth="1"/>
    <col min="13" max="13" width="7.58203125" style="46" customWidth="1"/>
    <col min="14" max="14" width="6.4140625" style="46" customWidth="1"/>
    <col min="15" max="15" width="6.83203125" style="46" customWidth="1"/>
    <col min="16" max="16" width="7" style="46" customWidth="1"/>
    <col min="17" max="17" width="6.25" style="46" customWidth="1"/>
    <col min="18" max="20" width="6.58203125" style="46" hidden="1" customWidth="1"/>
    <col min="21" max="23" width="6.83203125" style="46" hidden="1" customWidth="1"/>
    <col min="24" max="24" width="6.83203125" style="46" customWidth="1"/>
    <col min="25" max="26" width="6.58203125" style="46" customWidth="1"/>
    <col min="27" max="27" width="7" style="46" customWidth="1"/>
    <col min="28" max="28" width="7.25" style="46" customWidth="1"/>
    <col min="29" max="29" width="6.1640625" style="46" customWidth="1"/>
    <col min="30" max="30" width="7.4140625" style="46" customWidth="1"/>
    <col min="31" max="31" width="7.1640625" style="46" customWidth="1"/>
    <col min="32" max="32" width="7" style="46" customWidth="1"/>
    <col min="33" max="37" width="7.25" style="46" customWidth="1"/>
    <col min="38" max="38" width="5.83203125" style="46" customWidth="1"/>
    <col min="39" max="39" width="8.1640625" style="46" customWidth="1"/>
    <col min="40" max="40" width="8.83203125" style="46" customWidth="1"/>
    <col min="41" max="41" width="6.25" style="46" customWidth="1"/>
    <col min="42" max="42" width="6.83203125" style="46" hidden="1" customWidth="1"/>
    <col min="43" max="43" width="7.25" style="46" hidden="1" customWidth="1"/>
    <col min="44" max="44" width="6.1640625" style="46" hidden="1" customWidth="1"/>
    <col min="45" max="47" width="6.75" style="46" customWidth="1"/>
    <col min="48" max="50" width="7" style="46" customWidth="1"/>
    <col min="51" max="53" width="6.4140625" style="46" hidden="1" customWidth="1"/>
    <col min="54" max="59" width="9" style="46" customWidth="1"/>
    <col min="60" max="16384" width="8.83203125" style="46"/>
  </cols>
  <sheetData>
    <row r="1" spans="1:59" s="47" customFormat="1" ht="26.25" customHeight="1" x14ac:dyDescent="0.3">
      <c r="A1" s="34"/>
      <c r="B1" s="34"/>
      <c r="C1" s="475" t="s">
        <v>339</v>
      </c>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t="s">
        <v>339</v>
      </c>
      <c r="AH1" s="475"/>
      <c r="AI1" s="475"/>
      <c r="AJ1" s="475"/>
      <c r="AK1" s="475"/>
      <c r="AL1" s="475"/>
      <c r="AM1" s="475"/>
      <c r="AN1" s="475"/>
      <c r="AO1" s="475"/>
      <c r="AP1" s="475"/>
      <c r="AQ1" s="475"/>
      <c r="AR1" s="475"/>
      <c r="AS1" s="475"/>
      <c r="AT1" s="475"/>
      <c r="AU1" s="475"/>
      <c r="AV1" s="475"/>
      <c r="AW1" s="475"/>
      <c r="AX1" s="475"/>
      <c r="AY1" s="475"/>
      <c r="AZ1" s="475"/>
      <c r="BA1" s="475"/>
      <c r="BB1" s="475"/>
      <c r="BC1" s="475"/>
      <c r="BD1" s="475"/>
      <c r="BE1" s="475"/>
      <c r="BF1" s="475"/>
      <c r="BG1" s="475"/>
    </row>
    <row r="2" spans="1:59" s="47" customFormat="1" ht="25.5" x14ac:dyDescent="0.3">
      <c r="A2" s="254"/>
      <c r="B2" s="254"/>
      <c r="C2" s="495" t="str">
        <f>PB!A3</f>
        <v>(Kèm theo Báo cáo số 809/BC-UBND ngày 27 tháng 11 năm 2023 của UBND tỉnh)</v>
      </c>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t="str">
        <f>C2</f>
        <v>(Kèm theo Báo cáo số 809/BC-UBND ngày 27 tháng 11 năm 2023 của UBND tỉnh)</v>
      </c>
      <c r="AH2" s="495"/>
      <c r="AI2" s="495"/>
      <c r="AJ2" s="495"/>
      <c r="AK2" s="495"/>
      <c r="AL2" s="495"/>
      <c r="AM2" s="495"/>
      <c r="AN2" s="495"/>
      <c r="AO2" s="495"/>
      <c r="AP2" s="495"/>
      <c r="AQ2" s="495"/>
      <c r="AR2" s="495"/>
      <c r="AS2" s="495"/>
      <c r="AT2" s="495"/>
      <c r="AU2" s="495"/>
      <c r="AV2" s="495"/>
      <c r="AW2" s="495"/>
      <c r="AX2" s="495"/>
      <c r="AY2" s="495"/>
      <c r="AZ2" s="495"/>
      <c r="BA2" s="495"/>
      <c r="BB2" s="495"/>
      <c r="BC2" s="495"/>
      <c r="BD2" s="495"/>
      <c r="BE2" s="495"/>
      <c r="BF2" s="495"/>
      <c r="BG2" s="495"/>
    </row>
    <row r="3" spans="1:59" ht="23" x14ac:dyDescent="0.3">
      <c r="J3" s="59"/>
      <c r="K3" s="59"/>
      <c r="L3" s="59"/>
      <c r="M3" s="59"/>
      <c r="N3" s="59"/>
      <c r="O3" s="59"/>
      <c r="P3" s="59"/>
      <c r="Q3" s="59"/>
      <c r="R3" s="59"/>
      <c r="S3" s="59"/>
      <c r="T3" s="59"/>
      <c r="U3" s="59"/>
      <c r="V3" s="59"/>
      <c r="W3" s="59"/>
      <c r="X3" s="59"/>
      <c r="Y3" s="59"/>
      <c r="Z3" s="59"/>
      <c r="AA3" s="496" t="s">
        <v>27</v>
      </c>
      <c r="AB3" s="496"/>
      <c r="AC3" s="496"/>
      <c r="AD3" s="496"/>
      <c r="AE3" s="496"/>
      <c r="AF3" s="58"/>
      <c r="AG3" s="58"/>
      <c r="BC3" s="496" t="s">
        <v>27</v>
      </c>
      <c r="BD3" s="496"/>
      <c r="BE3" s="496"/>
      <c r="BF3" s="496"/>
      <c r="BG3" s="496"/>
    </row>
    <row r="4" spans="1:59" s="76" customFormat="1" ht="18.75" customHeight="1" x14ac:dyDescent="0.3">
      <c r="A4" s="499" t="s">
        <v>0</v>
      </c>
      <c r="B4" s="499" t="s">
        <v>1</v>
      </c>
      <c r="C4" s="499" t="s">
        <v>84</v>
      </c>
      <c r="D4" s="499"/>
      <c r="E4" s="499"/>
      <c r="F4" s="499" t="s">
        <v>85</v>
      </c>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499" t="s">
        <v>85</v>
      </c>
      <c r="AH4" s="499"/>
      <c r="AI4" s="499"/>
      <c r="AJ4" s="499"/>
      <c r="AK4" s="499"/>
      <c r="AL4" s="499"/>
      <c r="AM4" s="499"/>
      <c r="AN4" s="499"/>
      <c r="AO4" s="499"/>
      <c r="AP4" s="499"/>
      <c r="AQ4" s="499"/>
      <c r="AR4" s="499"/>
      <c r="AS4" s="499"/>
      <c r="AT4" s="499"/>
      <c r="AU4" s="499"/>
      <c r="AV4" s="499"/>
      <c r="AW4" s="499"/>
      <c r="AX4" s="499"/>
      <c r="AY4" s="499"/>
      <c r="AZ4" s="499"/>
      <c r="BA4" s="499"/>
      <c r="BB4" s="499"/>
      <c r="BC4" s="499"/>
      <c r="BD4" s="499"/>
      <c r="BE4" s="499"/>
      <c r="BF4" s="499"/>
      <c r="BG4" s="499"/>
    </row>
    <row r="5" spans="1:59" s="76" customFormat="1" ht="31.5" customHeight="1" x14ac:dyDescent="0.3">
      <c r="A5" s="499"/>
      <c r="B5" s="499"/>
      <c r="C5" s="499"/>
      <c r="D5" s="499"/>
      <c r="E5" s="499"/>
      <c r="F5" s="500" t="s">
        <v>294</v>
      </c>
      <c r="G5" s="500"/>
      <c r="H5" s="500"/>
      <c r="I5" s="500" t="s">
        <v>37</v>
      </c>
      <c r="J5" s="500"/>
      <c r="K5" s="500"/>
      <c r="L5" s="502" t="s">
        <v>39</v>
      </c>
      <c r="M5" s="502"/>
      <c r="N5" s="502"/>
      <c r="O5" s="502"/>
      <c r="P5" s="502"/>
      <c r="Q5" s="502"/>
      <c r="R5" s="500" t="s">
        <v>86</v>
      </c>
      <c r="S5" s="500"/>
      <c r="T5" s="500"/>
      <c r="U5" s="500"/>
      <c r="V5" s="500"/>
      <c r="W5" s="500"/>
      <c r="X5" s="500"/>
      <c r="Y5" s="500"/>
      <c r="Z5" s="500"/>
      <c r="AA5" s="500"/>
      <c r="AB5" s="500"/>
      <c r="AC5" s="500"/>
      <c r="AD5" s="500"/>
      <c r="AE5" s="500"/>
      <c r="AF5" s="500"/>
      <c r="AG5" s="500" t="s">
        <v>86</v>
      </c>
      <c r="AH5" s="500"/>
      <c r="AI5" s="500"/>
      <c r="AJ5" s="500"/>
      <c r="AK5" s="500"/>
      <c r="AL5" s="500"/>
      <c r="AM5" s="500" t="s">
        <v>296</v>
      </c>
      <c r="AN5" s="500"/>
      <c r="AO5" s="500"/>
      <c r="AP5" s="500" t="s">
        <v>53</v>
      </c>
      <c r="AQ5" s="500"/>
      <c r="AR5" s="500"/>
      <c r="AS5" s="500"/>
      <c r="AT5" s="500"/>
      <c r="AU5" s="500"/>
      <c r="AV5" s="500"/>
      <c r="AW5" s="500"/>
      <c r="AX5" s="500"/>
      <c r="AY5" s="500" t="s">
        <v>58</v>
      </c>
      <c r="AZ5" s="500"/>
      <c r="BA5" s="500"/>
      <c r="BB5" s="500"/>
      <c r="BC5" s="500"/>
      <c r="BD5" s="500"/>
      <c r="BE5" s="500"/>
      <c r="BF5" s="500"/>
      <c r="BG5" s="500"/>
    </row>
    <row r="6" spans="1:59" s="76" customFormat="1" ht="29.25" customHeight="1" x14ac:dyDescent="0.3">
      <c r="A6" s="499"/>
      <c r="B6" s="499"/>
      <c r="C6" s="499"/>
      <c r="D6" s="499"/>
      <c r="E6" s="499"/>
      <c r="F6" s="500"/>
      <c r="G6" s="500"/>
      <c r="H6" s="500"/>
      <c r="I6" s="500"/>
      <c r="J6" s="500"/>
      <c r="K6" s="500"/>
      <c r="L6" s="500" t="s">
        <v>40</v>
      </c>
      <c r="M6" s="500"/>
      <c r="N6" s="500"/>
      <c r="O6" s="500" t="s">
        <v>308</v>
      </c>
      <c r="P6" s="500"/>
      <c r="Q6" s="500"/>
      <c r="R6" s="499" t="s">
        <v>70</v>
      </c>
      <c r="S6" s="499"/>
      <c r="T6" s="499"/>
      <c r="U6" s="501" t="s">
        <v>45</v>
      </c>
      <c r="V6" s="501"/>
      <c r="W6" s="501"/>
      <c r="X6" s="501"/>
      <c r="Y6" s="501"/>
      <c r="Z6" s="501"/>
      <c r="AA6" s="501"/>
      <c r="AB6" s="501"/>
      <c r="AC6" s="501"/>
      <c r="AD6" s="501"/>
      <c r="AE6" s="501"/>
      <c r="AF6" s="501"/>
      <c r="AG6" s="501" t="s">
        <v>47</v>
      </c>
      <c r="AH6" s="501"/>
      <c r="AI6" s="501"/>
      <c r="AJ6" s="501" t="s">
        <v>49</v>
      </c>
      <c r="AK6" s="501"/>
      <c r="AL6" s="501"/>
      <c r="AM6" s="500"/>
      <c r="AN6" s="500"/>
      <c r="AO6" s="500"/>
      <c r="AP6" s="501" t="s">
        <v>94</v>
      </c>
      <c r="AQ6" s="501"/>
      <c r="AR6" s="501"/>
      <c r="AS6" s="500" t="s">
        <v>54</v>
      </c>
      <c r="AT6" s="500"/>
      <c r="AU6" s="500"/>
      <c r="AV6" s="500" t="s">
        <v>56</v>
      </c>
      <c r="AW6" s="500"/>
      <c r="AX6" s="500"/>
      <c r="AY6" s="500" t="s">
        <v>95</v>
      </c>
      <c r="AZ6" s="500"/>
      <c r="BA6" s="500"/>
      <c r="BB6" s="500" t="s">
        <v>71</v>
      </c>
      <c r="BC6" s="500"/>
      <c r="BD6" s="500"/>
      <c r="BE6" s="500" t="s">
        <v>72</v>
      </c>
      <c r="BF6" s="500"/>
      <c r="BG6" s="500"/>
    </row>
    <row r="7" spans="1:59" s="76" customFormat="1" ht="18.75" hidden="1" customHeight="1" x14ac:dyDescent="0.3">
      <c r="A7" s="499"/>
      <c r="B7" s="499"/>
      <c r="C7" s="499"/>
      <c r="D7" s="499"/>
      <c r="E7" s="499"/>
      <c r="F7" s="500"/>
      <c r="G7" s="500"/>
      <c r="H7" s="500"/>
      <c r="I7" s="500"/>
      <c r="J7" s="500"/>
      <c r="K7" s="500"/>
      <c r="L7" s="500"/>
      <c r="M7" s="500"/>
      <c r="N7" s="500"/>
      <c r="O7" s="500"/>
      <c r="P7" s="500"/>
      <c r="Q7" s="500"/>
      <c r="R7" s="499"/>
      <c r="S7" s="499"/>
      <c r="T7" s="499"/>
      <c r="U7" s="501" t="s">
        <v>68</v>
      </c>
      <c r="V7" s="501"/>
      <c r="W7" s="501"/>
      <c r="X7" s="401"/>
      <c r="Y7" s="506" t="s">
        <v>69</v>
      </c>
      <c r="Z7" s="506"/>
      <c r="AA7" s="506"/>
      <c r="AB7" s="506"/>
      <c r="AC7" s="506"/>
      <c r="AD7" s="506"/>
      <c r="AE7" s="506"/>
      <c r="AF7" s="506"/>
      <c r="AG7" s="501"/>
      <c r="AH7" s="501"/>
      <c r="AI7" s="501"/>
      <c r="AJ7" s="501"/>
      <c r="AK7" s="501"/>
      <c r="AL7" s="501"/>
      <c r="AM7" s="500"/>
      <c r="AN7" s="500"/>
      <c r="AO7" s="500"/>
      <c r="AP7" s="501"/>
      <c r="AQ7" s="501"/>
      <c r="AR7" s="501"/>
      <c r="AS7" s="500"/>
      <c r="AT7" s="500"/>
      <c r="AU7" s="500"/>
      <c r="AV7" s="500"/>
      <c r="AW7" s="500"/>
      <c r="AX7" s="500"/>
      <c r="AY7" s="500"/>
      <c r="AZ7" s="500"/>
      <c r="BA7" s="500"/>
      <c r="BB7" s="500"/>
      <c r="BC7" s="500"/>
      <c r="BD7" s="500"/>
      <c r="BE7" s="500"/>
      <c r="BF7" s="500"/>
      <c r="BG7" s="500"/>
    </row>
    <row r="8" spans="1:59" s="76" customFormat="1" ht="72" customHeight="1" x14ac:dyDescent="0.3">
      <c r="A8" s="499"/>
      <c r="B8" s="499"/>
      <c r="C8" s="499"/>
      <c r="D8" s="499"/>
      <c r="E8" s="499"/>
      <c r="F8" s="500"/>
      <c r="G8" s="500"/>
      <c r="H8" s="500"/>
      <c r="I8" s="500"/>
      <c r="J8" s="500"/>
      <c r="K8" s="500"/>
      <c r="L8" s="500"/>
      <c r="M8" s="500"/>
      <c r="N8" s="500"/>
      <c r="O8" s="500"/>
      <c r="P8" s="500"/>
      <c r="Q8" s="500"/>
      <c r="R8" s="499"/>
      <c r="S8" s="499"/>
      <c r="T8" s="499"/>
      <c r="U8" s="501"/>
      <c r="V8" s="501"/>
      <c r="W8" s="501"/>
      <c r="X8" s="503" t="s">
        <v>212</v>
      </c>
      <c r="Y8" s="504"/>
      <c r="Z8" s="505"/>
      <c r="AA8" s="500" t="s">
        <v>321</v>
      </c>
      <c r="AB8" s="500"/>
      <c r="AC8" s="500"/>
      <c r="AD8" s="500" t="s">
        <v>322</v>
      </c>
      <c r="AE8" s="500"/>
      <c r="AF8" s="500"/>
      <c r="AG8" s="501"/>
      <c r="AH8" s="501"/>
      <c r="AI8" s="501"/>
      <c r="AJ8" s="501"/>
      <c r="AK8" s="501"/>
      <c r="AL8" s="501"/>
      <c r="AM8" s="500"/>
      <c r="AN8" s="500"/>
      <c r="AO8" s="500"/>
      <c r="AP8" s="501"/>
      <c r="AQ8" s="501"/>
      <c r="AR8" s="501"/>
      <c r="AS8" s="500"/>
      <c r="AT8" s="500"/>
      <c r="AU8" s="500"/>
      <c r="AV8" s="500"/>
      <c r="AW8" s="500"/>
      <c r="AX8" s="500"/>
      <c r="AY8" s="500"/>
      <c r="AZ8" s="500"/>
      <c r="BA8" s="500"/>
      <c r="BB8" s="500"/>
      <c r="BC8" s="500"/>
      <c r="BD8" s="500"/>
      <c r="BE8" s="500"/>
      <c r="BF8" s="500"/>
      <c r="BG8" s="500"/>
    </row>
    <row r="9" spans="1:59" s="237" customFormat="1" ht="33" customHeight="1" x14ac:dyDescent="0.3">
      <c r="A9" s="499"/>
      <c r="B9" s="499"/>
      <c r="C9" s="499"/>
      <c r="D9" s="499"/>
      <c r="E9" s="499"/>
      <c r="F9" s="501" t="s">
        <v>253</v>
      </c>
      <c r="G9" s="501"/>
      <c r="H9" s="501"/>
      <c r="I9" s="501" t="s">
        <v>253</v>
      </c>
      <c r="J9" s="501"/>
      <c r="K9" s="501"/>
      <c r="L9" s="501" t="s">
        <v>253</v>
      </c>
      <c r="M9" s="501"/>
      <c r="N9" s="501"/>
      <c r="O9" s="501" t="s">
        <v>293</v>
      </c>
      <c r="P9" s="501"/>
      <c r="Q9" s="501"/>
      <c r="R9" s="499"/>
      <c r="S9" s="499"/>
      <c r="T9" s="499"/>
      <c r="U9" s="501" t="s">
        <v>254</v>
      </c>
      <c r="V9" s="501"/>
      <c r="W9" s="501"/>
      <c r="X9" s="501"/>
      <c r="Y9" s="501"/>
      <c r="Z9" s="501"/>
      <c r="AA9" s="501"/>
      <c r="AB9" s="501"/>
      <c r="AC9" s="501"/>
      <c r="AD9" s="501"/>
      <c r="AE9" s="501"/>
      <c r="AF9" s="501"/>
      <c r="AG9" s="501" t="s">
        <v>253</v>
      </c>
      <c r="AH9" s="501"/>
      <c r="AI9" s="501"/>
      <c r="AJ9" s="501" t="s">
        <v>253</v>
      </c>
      <c r="AK9" s="501"/>
      <c r="AL9" s="501"/>
      <c r="AM9" s="501" t="s">
        <v>253</v>
      </c>
      <c r="AN9" s="501"/>
      <c r="AO9" s="501"/>
      <c r="AP9" s="501"/>
      <c r="AQ9" s="501"/>
      <c r="AR9" s="501"/>
      <c r="AS9" s="501" t="s">
        <v>255</v>
      </c>
      <c r="AT9" s="501"/>
      <c r="AU9" s="501"/>
      <c r="AV9" s="501" t="s">
        <v>255</v>
      </c>
      <c r="AW9" s="501"/>
      <c r="AX9" s="501"/>
      <c r="AY9" s="500"/>
      <c r="AZ9" s="500"/>
      <c r="BA9" s="500"/>
      <c r="BB9" s="501" t="s">
        <v>254</v>
      </c>
      <c r="BC9" s="501"/>
      <c r="BD9" s="501"/>
      <c r="BE9" s="501" t="s">
        <v>254</v>
      </c>
      <c r="BF9" s="501"/>
      <c r="BG9" s="501"/>
    </row>
    <row r="10" spans="1:59" s="76" customFormat="1" ht="30.75" customHeight="1" x14ac:dyDescent="0.3">
      <c r="A10" s="499"/>
      <c r="B10" s="499"/>
      <c r="C10" s="363" t="s">
        <v>87</v>
      </c>
      <c r="D10" s="363" t="s">
        <v>88</v>
      </c>
      <c r="E10" s="363" t="s">
        <v>89</v>
      </c>
      <c r="F10" s="363" t="s">
        <v>87</v>
      </c>
      <c r="G10" s="363" t="s">
        <v>88</v>
      </c>
      <c r="H10" s="363" t="s">
        <v>89</v>
      </c>
      <c r="I10" s="363" t="s">
        <v>87</v>
      </c>
      <c r="J10" s="364" t="s">
        <v>88</v>
      </c>
      <c r="K10" s="364" t="s">
        <v>89</v>
      </c>
      <c r="L10" s="363" t="s">
        <v>5</v>
      </c>
      <c r="M10" s="364" t="s">
        <v>88</v>
      </c>
      <c r="N10" s="364" t="s">
        <v>89</v>
      </c>
      <c r="O10" s="363" t="s">
        <v>5</v>
      </c>
      <c r="P10" s="364" t="s">
        <v>88</v>
      </c>
      <c r="Q10" s="364" t="s">
        <v>89</v>
      </c>
      <c r="R10" s="364" t="s">
        <v>5</v>
      </c>
      <c r="S10" s="363" t="s">
        <v>88</v>
      </c>
      <c r="T10" s="363" t="s">
        <v>89</v>
      </c>
      <c r="U10" s="364" t="s">
        <v>5</v>
      </c>
      <c r="V10" s="363" t="s">
        <v>88</v>
      </c>
      <c r="W10" s="363" t="s">
        <v>89</v>
      </c>
      <c r="X10" s="400" t="s">
        <v>5</v>
      </c>
      <c r="Y10" s="399" t="s">
        <v>88</v>
      </c>
      <c r="Z10" s="399" t="s">
        <v>89</v>
      </c>
      <c r="AA10" s="399" t="s">
        <v>5</v>
      </c>
      <c r="AB10" s="399" t="s">
        <v>88</v>
      </c>
      <c r="AC10" s="399" t="s">
        <v>89</v>
      </c>
      <c r="AD10" s="399" t="s">
        <v>5</v>
      </c>
      <c r="AE10" s="399" t="s">
        <v>88</v>
      </c>
      <c r="AF10" s="399" t="s">
        <v>89</v>
      </c>
      <c r="AG10" s="363" t="s">
        <v>5</v>
      </c>
      <c r="AH10" s="363" t="s">
        <v>88</v>
      </c>
      <c r="AI10" s="363" t="s">
        <v>89</v>
      </c>
      <c r="AJ10" s="364" t="s">
        <v>5</v>
      </c>
      <c r="AK10" s="363" t="s">
        <v>88</v>
      </c>
      <c r="AL10" s="363" t="s">
        <v>89</v>
      </c>
      <c r="AM10" s="363" t="s">
        <v>87</v>
      </c>
      <c r="AN10" s="363" t="s">
        <v>88</v>
      </c>
      <c r="AO10" s="363" t="s">
        <v>89</v>
      </c>
      <c r="AP10" s="363" t="s">
        <v>87</v>
      </c>
      <c r="AQ10" s="363" t="s">
        <v>88</v>
      </c>
      <c r="AR10" s="363" t="s">
        <v>89</v>
      </c>
      <c r="AS10" s="363" t="s">
        <v>87</v>
      </c>
      <c r="AT10" s="363" t="s">
        <v>88</v>
      </c>
      <c r="AU10" s="363" t="s">
        <v>89</v>
      </c>
      <c r="AV10" s="363" t="s">
        <v>5</v>
      </c>
      <c r="AW10" s="363" t="s">
        <v>88</v>
      </c>
      <c r="AX10" s="363" t="s">
        <v>89</v>
      </c>
      <c r="AY10" s="363" t="s">
        <v>87</v>
      </c>
      <c r="AZ10" s="363" t="s">
        <v>88</v>
      </c>
      <c r="BA10" s="363" t="s">
        <v>89</v>
      </c>
      <c r="BB10" s="363" t="s">
        <v>87</v>
      </c>
      <c r="BC10" s="363" t="s">
        <v>88</v>
      </c>
      <c r="BD10" s="363" t="s">
        <v>89</v>
      </c>
      <c r="BE10" s="363" t="s">
        <v>5</v>
      </c>
      <c r="BF10" s="363" t="s">
        <v>88</v>
      </c>
      <c r="BG10" s="363" t="s">
        <v>89</v>
      </c>
    </row>
    <row r="11" spans="1:59" s="77" customFormat="1" ht="23.25" customHeight="1" x14ac:dyDescent="0.3">
      <c r="A11" s="363"/>
      <c r="B11" s="363" t="s">
        <v>33</v>
      </c>
      <c r="C11" s="226">
        <f>C12+C23</f>
        <v>147894</v>
      </c>
      <c r="D11" s="226">
        <f>D12+D23</f>
        <v>143586</v>
      </c>
      <c r="E11" s="226">
        <f>E12+E23</f>
        <v>4308</v>
      </c>
      <c r="F11" s="226">
        <f t="shared" ref="F11:BG11" si="0">F12+F23</f>
        <v>12837</v>
      </c>
      <c r="G11" s="226">
        <f t="shared" si="0"/>
        <v>12463</v>
      </c>
      <c r="H11" s="226">
        <f t="shared" si="0"/>
        <v>374</v>
      </c>
      <c r="I11" s="226">
        <f t="shared" si="0"/>
        <v>43585</v>
      </c>
      <c r="J11" s="226">
        <f t="shared" si="0"/>
        <v>42316</v>
      </c>
      <c r="K11" s="226">
        <f t="shared" si="0"/>
        <v>1269</v>
      </c>
      <c r="L11" s="226">
        <f t="shared" si="0"/>
        <v>18018</v>
      </c>
      <c r="M11" s="226">
        <f t="shared" si="0"/>
        <v>17493</v>
      </c>
      <c r="N11" s="226">
        <f t="shared" si="0"/>
        <v>525</v>
      </c>
      <c r="O11" s="226">
        <f t="shared" si="0"/>
        <v>3593</v>
      </c>
      <c r="P11" s="226">
        <f t="shared" si="0"/>
        <v>3488</v>
      </c>
      <c r="Q11" s="226">
        <f t="shared" si="0"/>
        <v>105</v>
      </c>
      <c r="R11" s="226">
        <f t="shared" si="0"/>
        <v>29258</v>
      </c>
      <c r="S11" s="226">
        <f t="shared" si="0"/>
        <v>28407</v>
      </c>
      <c r="T11" s="226">
        <f t="shared" si="0"/>
        <v>851</v>
      </c>
      <c r="U11" s="226">
        <f t="shared" si="0"/>
        <v>21009</v>
      </c>
      <c r="V11" s="226">
        <f t="shared" si="0"/>
        <v>20398</v>
      </c>
      <c r="W11" s="226">
        <f t="shared" si="0"/>
        <v>611</v>
      </c>
      <c r="X11" s="226">
        <f t="shared" si="0"/>
        <v>1050</v>
      </c>
      <c r="Y11" s="226">
        <f t="shared" si="0"/>
        <v>1020</v>
      </c>
      <c r="Z11" s="226">
        <f t="shared" si="0"/>
        <v>30</v>
      </c>
      <c r="AA11" s="226">
        <f t="shared" si="0"/>
        <v>12360</v>
      </c>
      <c r="AB11" s="226">
        <f t="shared" si="0"/>
        <v>11999</v>
      </c>
      <c r="AC11" s="226">
        <f t="shared" si="0"/>
        <v>361</v>
      </c>
      <c r="AD11" s="226">
        <f t="shared" si="0"/>
        <v>17487</v>
      </c>
      <c r="AE11" s="226">
        <f t="shared" si="0"/>
        <v>16978</v>
      </c>
      <c r="AF11" s="226">
        <f t="shared" si="0"/>
        <v>509</v>
      </c>
      <c r="AG11" s="226">
        <f t="shared" si="0"/>
        <v>1726</v>
      </c>
      <c r="AH11" s="226">
        <f t="shared" si="0"/>
        <v>1676</v>
      </c>
      <c r="AI11" s="226">
        <f t="shared" si="0"/>
        <v>50</v>
      </c>
      <c r="AJ11" s="226">
        <f t="shared" si="0"/>
        <v>6523</v>
      </c>
      <c r="AK11" s="226">
        <f t="shared" si="0"/>
        <v>6333</v>
      </c>
      <c r="AL11" s="226">
        <f t="shared" si="0"/>
        <v>190</v>
      </c>
      <c r="AM11" s="226">
        <f t="shared" si="0"/>
        <v>11325</v>
      </c>
      <c r="AN11" s="226">
        <f t="shared" si="0"/>
        <v>10995</v>
      </c>
      <c r="AO11" s="226">
        <f t="shared" si="0"/>
        <v>330</v>
      </c>
      <c r="AP11" s="226">
        <f t="shared" si="0"/>
        <v>9215</v>
      </c>
      <c r="AQ11" s="226">
        <f t="shared" si="0"/>
        <v>8946</v>
      </c>
      <c r="AR11" s="226">
        <f t="shared" si="0"/>
        <v>269</v>
      </c>
      <c r="AS11" s="226">
        <f t="shared" si="0"/>
        <v>6697</v>
      </c>
      <c r="AT11" s="226">
        <f t="shared" si="0"/>
        <v>6502</v>
      </c>
      <c r="AU11" s="226">
        <f t="shared" si="0"/>
        <v>195</v>
      </c>
      <c r="AV11" s="226">
        <f t="shared" si="0"/>
        <v>2518</v>
      </c>
      <c r="AW11" s="226">
        <f t="shared" si="0"/>
        <v>2444</v>
      </c>
      <c r="AX11" s="226">
        <f t="shared" si="0"/>
        <v>74</v>
      </c>
      <c r="AY11" s="226">
        <f t="shared" si="0"/>
        <v>10155</v>
      </c>
      <c r="AZ11" s="226">
        <f t="shared" si="0"/>
        <v>9860</v>
      </c>
      <c r="BA11" s="226">
        <f t="shared" si="0"/>
        <v>295</v>
      </c>
      <c r="BB11" s="226">
        <f t="shared" si="0"/>
        <v>6355</v>
      </c>
      <c r="BC11" s="226">
        <f t="shared" si="0"/>
        <v>6170</v>
      </c>
      <c r="BD11" s="226">
        <f t="shared" si="0"/>
        <v>185</v>
      </c>
      <c r="BE11" s="226">
        <f t="shared" si="0"/>
        <v>3820</v>
      </c>
      <c r="BF11" s="226">
        <f t="shared" si="0"/>
        <v>3709</v>
      </c>
      <c r="BG11" s="226">
        <f t="shared" si="0"/>
        <v>111</v>
      </c>
    </row>
    <row r="12" spans="1:59" s="77" customFormat="1" ht="22.5" customHeight="1" x14ac:dyDescent="0.3">
      <c r="A12" s="257"/>
      <c r="B12" s="257" t="s">
        <v>291</v>
      </c>
      <c r="C12" s="226">
        <f t="shared" ref="C12:AH12" si="1">SUM(C13:C22)</f>
        <v>29785</v>
      </c>
      <c r="D12" s="226">
        <f t="shared" si="1"/>
        <v>28916</v>
      </c>
      <c r="E12" s="226">
        <f t="shared" si="1"/>
        <v>869</v>
      </c>
      <c r="F12" s="226">
        <f t="shared" si="1"/>
        <v>0</v>
      </c>
      <c r="G12" s="226">
        <f t="shared" si="1"/>
        <v>0</v>
      </c>
      <c r="H12" s="226">
        <f t="shared" si="1"/>
        <v>0</v>
      </c>
      <c r="I12" s="226">
        <f t="shared" si="1"/>
        <v>6537</v>
      </c>
      <c r="J12" s="226">
        <f t="shared" si="1"/>
        <v>6347</v>
      </c>
      <c r="K12" s="226">
        <f t="shared" si="1"/>
        <v>190</v>
      </c>
      <c r="L12" s="226">
        <f t="shared" si="1"/>
        <v>1802</v>
      </c>
      <c r="M12" s="226">
        <f t="shared" si="1"/>
        <v>1749</v>
      </c>
      <c r="N12" s="226">
        <f t="shared" si="1"/>
        <v>53</v>
      </c>
      <c r="O12" s="226">
        <f t="shared" si="1"/>
        <v>360</v>
      </c>
      <c r="P12" s="226">
        <f t="shared" si="1"/>
        <v>349</v>
      </c>
      <c r="Q12" s="226">
        <f t="shared" si="1"/>
        <v>11</v>
      </c>
      <c r="R12" s="226">
        <f t="shared" si="1"/>
        <v>2013</v>
      </c>
      <c r="S12" s="226">
        <f t="shared" si="1"/>
        <v>1955</v>
      </c>
      <c r="T12" s="226">
        <f t="shared" si="1"/>
        <v>58</v>
      </c>
      <c r="U12" s="226">
        <f t="shared" si="1"/>
        <v>1050</v>
      </c>
      <c r="V12" s="226">
        <f t="shared" si="1"/>
        <v>1020</v>
      </c>
      <c r="W12" s="226">
        <f t="shared" si="1"/>
        <v>30</v>
      </c>
      <c r="X12" s="226">
        <f t="shared" si="1"/>
        <v>1050</v>
      </c>
      <c r="Y12" s="226">
        <f t="shared" si="1"/>
        <v>1020</v>
      </c>
      <c r="Z12" s="226">
        <f t="shared" si="1"/>
        <v>30</v>
      </c>
      <c r="AA12" s="226">
        <f t="shared" si="1"/>
        <v>9888</v>
      </c>
      <c r="AB12" s="226">
        <f t="shared" si="1"/>
        <v>9599</v>
      </c>
      <c r="AC12" s="226">
        <f t="shared" si="1"/>
        <v>289</v>
      </c>
      <c r="AD12" s="226">
        <f t="shared" si="1"/>
        <v>0</v>
      </c>
      <c r="AE12" s="226">
        <f t="shared" si="1"/>
        <v>0</v>
      </c>
      <c r="AF12" s="226">
        <f t="shared" si="1"/>
        <v>0</v>
      </c>
      <c r="AG12" s="226">
        <f t="shared" si="1"/>
        <v>311</v>
      </c>
      <c r="AH12" s="226">
        <f t="shared" si="1"/>
        <v>302</v>
      </c>
      <c r="AI12" s="226">
        <f t="shared" ref="AI12:BG12" si="2">SUM(AI13:AI22)</f>
        <v>9</v>
      </c>
      <c r="AJ12" s="226">
        <f t="shared" si="2"/>
        <v>652</v>
      </c>
      <c r="AK12" s="226">
        <f t="shared" si="2"/>
        <v>633</v>
      </c>
      <c r="AL12" s="226">
        <f t="shared" si="2"/>
        <v>19</v>
      </c>
      <c r="AM12" s="226">
        <f t="shared" si="2"/>
        <v>0</v>
      </c>
      <c r="AN12" s="226">
        <f t="shared" si="2"/>
        <v>0</v>
      </c>
      <c r="AO12" s="226">
        <f t="shared" si="2"/>
        <v>0</v>
      </c>
      <c r="AP12" s="226">
        <f t="shared" si="2"/>
        <v>6641</v>
      </c>
      <c r="AQ12" s="226">
        <f t="shared" si="2"/>
        <v>6447</v>
      </c>
      <c r="AR12" s="226">
        <f t="shared" si="2"/>
        <v>194</v>
      </c>
      <c r="AS12" s="226">
        <f t="shared" si="2"/>
        <v>5760</v>
      </c>
      <c r="AT12" s="226">
        <f t="shared" si="2"/>
        <v>5592</v>
      </c>
      <c r="AU12" s="226">
        <f t="shared" si="2"/>
        <v>168</v>
      </c>
      <c r="AV12" s="226">
        <f t="shared" si="2"/>
        <v>881</v>
      </c>
      <c r="AW12" s="226">
        <f t="shared" si="2"/>
        <v>855</v>
      </c>
      <c r="AX12" s="226">
        <f t="shared" si="2"/>
        <v>26</v>
      </c>
      <c r="AY12" s="226">
        <f t="shared" si="2"/>
        <v>2524</v>
      </c>
      <c r="AZ12" s="226">
        <f t="shared" si="2"/>
        <v>2451</v>
      </c>
      <c r="BA12" s="226">
        <f t="shared" si="2"/>
        <v>73</v>
      </c>
      <c r="BB12" s="226">
        <f t="shared" si="2"/>
        <v>1589</v>
      </c>
      <c r="BC12" s="226">
        <f t="shared" si="2"/>
        <v>1543</v>
      </c>
      <c r="BD12" s="226">
        <f t="shared" si="2"/>
        <v>46</v>
      </c>
      <c r="BE12" s="226">
        <f t="shared" si="2"/>
        <v>955</v>
      </c>
      <c r="BF12" s="226">
        <f t="shared" si="2"/>
        <v>927</v>
      </c>
      <c r="BG12" s="226">
        <f t="shared" si="2"/>
        <v>28</v>
      </c>
    </row>
    <row r="13" spans="1:59" s="77" customFormat="1" ht="18.75" customHeight="1" x14ac:dyDescent="0.3">
      <c r="A13" s="333">
        <v>1</v>
      </c>
      <c r="B13" s="334" t="s">
        <v>356</v>
      </c>
      <c r="C13" s="321">
        <f t="shared" ref="C13:C19" si="3">D13+E13</f>
        <v>6009</v>
      </c>
      <c r="D13" s="321">
        <f>G13+J13+M13+P13+AB13+AE13+AH13+AK13+AN13+AT13+AW13+BC13+BF13+Y13</f>
        <v>5837</v>
      </c>
      <c r="E13" s="321">
        <f>H13+K13+N13+Q13+AC13+AF13+AI13+AL13+AO13+AU13+AX13+BD13+BG13+Z13</f>
        <v>172</v>
      </c>
      <c r="F13" s="322">
        <f t="shared" ref="F13:F19" si="4">G13+H13</f>
        <v>0</v>
      </c>
      <c r="G13" s="335"/>
      <c r="H13" s="335"/>
      <c r="I13" s="322">
        <f t="shared" ref="I13:I19" si="5">J13+K13</f>
        <v>1550</v>
      </c>
      <c r="J13" s="335">
        <f>'2'!P8</f>
        <v>1505</v>
      </c>
      <c r="K13" s="335">
        <f>'2'!Q8</f>
        <v>45</v>
      </c>
      <c r="L13" s="335">
        <f t="shared" ref="L13:L19" si="6">M13+N13</f>
        <v>0</v>
      </c>
      <c r="M13" s="335"/>
      <c r="N13" s="335"/>
      <c r="O13" s="335">
        <f t="shared" ref="O13:O19" si="7">P13+Q13</f>
        <v>0</v>
      </c>
      <c r="P13" s="335"/>
      <c r="Q13" s="335"/>
      <c r="R13" s="322">
        <f t="shared" ref="R13:R19" si="8">S13+T13</f>
        <v>2013</v>
      </c>
      <c r="S13" s="322">
        <f>Y13+AH13+AK13</f>
        <v>1955</v>
      </c>
      <c r="T13" s="322">
        <f>Z13+AI13+AL13</f>
        <v>58</v>
      </c>
      <c r="U13" s="322">
        <f>V13+W13</f>
        <v>1050</v>
      </c>
      <c r="V13" s="322">
        <f>AB13+AE13+Y13</f>
        <v>1020</v>
      </c>
      <c r="W13" s="322">
        <f>AC13+AF13+Z13</f>
        <v>30</v>
      </c>
      <c r="X13" s="322">
        <f>Y13+Z13</f>
        <v>1050</v>
      </c>
      <c r="Y13" s="322">
        <v>1020</v>
      </c>
      <c r="Z13" s="322">
        <v>30</v>
      </c>
      <c r="AA13" s="335">
        <f t="shared" ref="AA13:AA19" si="9">AB13+AC13</f>
        <v>0</v>
      </c>
      <c r="AB13" s="335"/>
      <c r="AC13" s="335"/>
      <c r="AD13" s="335">
        <f t="shared" ref="AD13:AD19" si="10">AE13+AF13</f>
        <v>0</v>
      </c>
      <c r="AE13" s="335"/>
      <c r="AF13" s="335"/>
      <c r="AG13" s="322">
        <f t="shared" ref="AG13:AG19" si="11">AH13+AI13</f>
        <v>311</v>
      </c>
      <c r="AH13" s="335">
        <f>'TDA 2-4'!L8</f>
        <v>302</v>
      </c>
      <c r="AI13" s="335">
        <f>'TDA 2-4'!M8</f>
        <v>9</v>
      </c>
      <c r="AJ13" s="322">
        <f>AK13+AL13</f>
        <v>652</v>
      </c>
      <c r="AK13" s="335">
        <f>'TDA3-4'!L8</f>
        <v>633</v>
      </c>
      <c r="AL13" s="335">
        <f>'TDA3-4'!M8</f>
        <v>19</v>
      </c>
      <c r="AM13" s="322">
        <f t="shared" ref="AM13:AM19" si="12">AN13+AO13</f>
        <v>0</v>
      </c>
      <c r="AN13" s="335"/>
      <c r="AO13" s="335"/>
      <c r="AP13" s="322">
        <f t="shared" ref="AP13:AP19" si="13">AQ13+AR13</f>
        <v>586</v>
      </c>
      <c r="AQ13" s="322">
        <f t="shared" ref="AQ13:AQ19" si="14">AT13+AW13</f>
        <v>569</v>
      </c>
      <c r="AR13" s="322">
        <f t="shared" ref="AR13:AR19" si="15">AU13+AX13</f>
        <v>17</v>
      </c>
      <c r="AS13" s="322">
        <f t="shared" ref="AS13:AS19" si="16">AT13+AU13</f>
        <v>0</v>
      </c>
      <c r="AT13" s="335"/>
      <c r="AU13" s="335"/>
      <c r="AV13" s="322">
        <f t="shared" ref="AV13:AV19" si="17">AW13+AX13</f>
        <v>586</v>
      </c>
      <c r="AW13" s="335">
        <f>'TDA2-6'!N9</f>
        <v>569</v>
      </c>
      <c r="AX13" s="335">
        <f>'TDA2-6'!O9</f>
        <v>17</v>
      </c>
      <c r="AY13" s="322">
        <f t="shared" ref="AY13:AY19" si="18">AZ13+BA13</f>
        <v>1860</v>
      </c>
      <c r="AZ13" s="322">
        <f t="shared" ref="AZ13:AZ19" si="19">BC13+BF13</f>
        <v>1808</v>
      </c>
      <c r="BA13" s="322">
        <f t="shared" ref="BA13:BA19" si="20">BD13+BG13</f>
        <v>52</v>
      </c>
      <c r="BB13" s="322">
        <f t="shared" ref="BB13:BB19" si="21">BC13+BD13</f>
        <v>1078</v>
      </c>
      <c r="BC13" s="335">
        <f>'7'!P8</f>
        <v>1048</v>
      </c>
      <c r="BD13" s="335">
        <f>'7'!R8</f>
        <v>30</v>
      </c>
      <c r="BE13" s="322">
        <f t="shared" ref="BE13:BE19" si="22">BF13+BG13</f>
        <v>782</v>
      </c>
      <c r="BF13" s="335">
        <f>'7'!Q8</f>
        <v>760</v>
      </c>
      <c r="BG13" s="322">
        <f>'7'!S8</f>
        <v>22</v>
      </c>
    </row>
    <row r="14" spans="1:59" s="77" customFormat="1" ht="18.75" customHeight="1" x14ac:dyDescent="0.3">
      <c r="A14" s="323">
        <v>2</v>
      </c>
      <c r="B14" s="337" t="s">
        <v>91</v>
      </c>
      <c r="C14" s="325">
        <f t="shared" si="3"/>
        <v>5257</v>
      </c>
      <c r="D14" s="325">
        <f>G14+J14+M14+P14+AB14+AE14+AH14+AK14+AN14+AT14+AW14+BC14+BF14</f>
        <v>5104</v>
      </c>
      <c r="E14" s="325">
        <f t="shared" ref="E14:E19" si="23">H14+K14+N14+Q14+AC14+AF14+AI14+AL14+AO14+AU14+AX14+BD14+BG14</f>
        <v>153</v>
      </c>
      <c r="F14" s="326">
        <f>G14+H14</f>
        <v>0</v>
      </c>
      <c r="G14" s="326"/>
      <c r="H14" s="326"/>
      <c r="I14" s="326">
        <f t="shared" si="5"/>
        <v>0</v>
      </c>
      <c r="J14" s="326"/>
      <c r="K14" s="326"/>
      <c r="L14" s="338">
        <f t="shared" si="6"/>
        <v>0</v>
      </c>
      <c r="M14" s="326"/>
      <c r="N14" s="326"/>
      <c r="O14" s="338">
        <f t="shared" si="7"/>
        <v>0</v>
      </c>
      <c r="P14" s="326"/>
      <c r="Q14" s="326"/>
      <c r="R14" s="326">
        <f t="shared" si="8"/>
        <v>0</v>
      </c>
      <c r="S14" s="326"/>
      <c r="T14" s="326"/>
      <c r="U14" s="326">
        <f t="shared" ref="U14:U19" si="24">V14+W14</f>
        <v>0</v>
      </c>
      <c r="V14" s="326">
        <f t="shared" ref="V14:V19" si="25">AB14+AE14+Y14</f>
        <v>0</v>
      </c>
      <c r="W14" s="326">
        <f t="shared" ref="W14:W19" si="26">AC14+AF14+Z14</f>
        <v>0</v>
      </c>
      <c r="X14" s="326"/>
      <c r="Y14" s="326"/>
      <c r="Z14" s="326"/>
      <c r="AA14" s="338">
        <f t="shared" si="9"/>
        <v>0</v>
      </c>
      <c r="AB14" s="326"/>
      <c r="AC14" s="326"/>
      <c r="AD14" s="338">
        <f t="shared" si="10"/>
        <v>0</v>
      </c>
      <c r="AE14" s="326"/>
      <c r="AF14" s="326"/>
      <c r="AG14" s="326">
        <f t="shared" si="11"/>
        <v>0</v>
      </c>
      <c r="AH14" s="326"/>
      <c r="AI14" s="326"/>
      <c r="AJ14" s="326"/>
      <c r="AK14" s="326"/>
      <c r="AL14" s="326"/>
      <c r="AM14" s="326">
        <f t="shared" si="12"/>
        <v>0</v>
      </c>
      <c r="AN14" s="326"/>
      <c r="AO14" s="326"/>
      <c r="AP14" s="326">
        <f t="shared" si="13"/>
        <v>5197</v>
      </c>
      <c r="AQ14" s="326">
        <f t="shared" si="14"/>
        <v>5046</v>
      </c>
      <c r="AR14" s="326">
        <f t="shared" si="15"/>
        <v>151</v>
      </c>
      <c r="AS14" s="326">
        <f t="shared" si="16"/>
        <v>5197</v>
      </c>
      <c r="AT14" s="326">
        <f>'TDA1-6'!N10+'TDA1-6'!N14</f>
        <v>5046</v>
      </c>
      <c r="AU14" s="326">
        <f>'TDA1-6'!O10+'TDA1-6'!O14</f>
        <v>151</v>
      </c>
      <c r="AV14" s="326">
        <f t="shared" si="17"/>
        <v>0</v>
      </c>
      <c r="AW14" s="326"/>
      <c r="AX14" s="326"/>
      <c r="AY14" s="326">
        <f t="shared" si="18"/>
        <v>60</v>
      </c>
      <c r="AZ14" s="326">
        <f t="shared" si="19"/>
        <v>58</v>
      </c>
      <c r="BA14" s="326">
        <f t="shared" si="20"/>
        <v>2</v>
      </c>
      <c r="BB14" s="326">
        <f t="shared" si="21"/>
        <v>0</v>
      </c>
      <c r="BC14" s="326">
        <f>'7'!P11</f>
        <v>0</v>
      </c>
      <c r="BD14" s="326">
        <f>'7'!R11</f>
        <v>0</v>
      </c>
      <c r="BE14" s="326">
        <f t="shared" si="22"/>
        <v>60</v>
      </c>
      <c r="BF14" s="326">
        <f>'7'!Q11</f>
        <v>58</v>
      </c>
      <c r="BG14" s="326">
        <f>'7'!S11</f>
        <v>2</v>
      </c>
    </row>
    <row r="15" spans="1:59" s="77" customFormat="1" ht="18.75" customHeight="1" x14ac:dyDescent="0.3">
      <c r="A15" s="323">
        <v>3</v>
      </c>
      <c r="B15" s="337" t="s">
        <v>272</v>
      </c>
      <c r="C15" s="325">
        <f t="shared" si="3"/>
        <v>465</v>
      </c>
      <c r="D15" s="325">
        <f t="shared" ref="D15:D19" si="27">G15+J15+M15+P15+AB15+AE15+AH15+AK15+AN15+AT15+AW15+BC15+BF15</f>
        <v>450</v>
      </c>
      <c r="E15" s="325">
        <f t="shared" si="23"/>
        <v>15</v>
      </c>
      <c r="F15" s="326">
        <f t="shared" si="4"/>
        <v>0</v>
      </c>
      <c r="G15" s="326"/>
      <c r="H15" s="326"/>
      <c r="I15" s="326">
        <f t="shared" si="5"/>
        <v>0</v>
      </c>
      <c r="J15" s="326"/>
      <c r="K15" s="326"/>
      <c r="L15" s="338">
        <f t="shared" si="6"/>
        <v>0</v>
      </c>
      <c r="M15" s="326"/>
      <c r="N15" s="326"/>
      <c r="O15" s="338">
        <f>P15+Q15</f>
        <v>360</v>
      </c>
      <c r="P15" s="326">
        <f>'TDA 2-3'!L9</f>
        <v>349</v>
      </c>
      <c r="Q15" s="326">
        <f>'TDA 2-3'!M9</f>
        <v>11</v>
      </c>
      <c r="R15" s="326"/>
      <c r="S15" s="326"/>
      <c r="T15" s="326"/>
      <c r="U15" s="326"/>
      <c r="V15" s="326"/>
      <c r="W15" s="326"/>
      <c r="X15" s="326"/>
      <c r="Y15" s="326"/>
      <c r="Z15" s="326"/>
      <c r="AA15" s="338"/>
      <c r="AB15" s="326"/>
      <c r="AC15" s="326"/>
      <c r="AD15" s="338">
        <f t="shared" si="10"/>
        <v>0</v>
      </c>
      <c r="AE15" s="326"/>
      <c r="AF15" s="326"/>
      <c r="AG15" s="326">
        <f t="shared" si="11"/>
        <v>0</v>
      </c>
      <c r="AH15" s="326"/>
      <c r="AI15" s="326"/>
      <c r="AJ15" s="326"/>
      <c r="AK15" s="326"/>
      <c r="AL15" s="326"/>
      <c r="AM15" s="326">
        <f t="shared" si="12"/>
        <v>0</v>
      </c>
      <c r="AN15" s="326"/>
      <c r="AO15" s="326"/>
      <c r="AP15" s="326">
        <f t="shared" si="13"/>
        <v>0</v>
      </c>
      <c r="AQ15" s="326">
        <f t="shared" si="14"/>
        <v>0</v>
      </c>
      <c r="AR15" s="326">
        <f t="shared" si="15"/>
        <v>0</v>
      </c>
      <c r="AS15" s="326">
        <f t="shared" si="16"/>
        <v>0</v>
      </c>
      <c r="AT15" s="326"/>
      <c r="AU15" s="326"/>
      <c r="AV15" s="326">
        <f t="shared" si="17"/>
        <v>0</v>
      </c>
      <c r="AW15" s="326"/>
      <c r="AX15" s="326"/>
      <c r="AY15" s="326">
        <f t="shared" si="18"/>
        <v>105</v>
      </c>
      <c r="AZ15" s="326">
        <f t="shared" si="19"/>
        <v>101</v>
      </c>
      <c r="BA15" s="326">
        <f t="shared" si="20"/>
        <v>4</v>
      </c>
      <c r="BB15" s="326">
        <f t="shared" si="21"/>
        <v>85</v>
      </c>
      <c r="BC15" s="326">
        <f>'7'!P12</f>
        <v>82</v>
      </c>
      <c r="BD15" s="326">
        <f>'7'!R12</f>
        <v>3</v>
      </c>
      <c r="BE15" s="326">
        <f t="shared" si="22"/>
        <v>20</v>
      </c>
      <c r="BF15" s="326">
        <f>'7'!Q12</f>
        <v>19</v>
      </c>
      <c r="BG15" s="326">
        <f>'7'!S12</f>
        <v>1</v>
      </c>
    </row>
    <row r="16" spans="1:59" s="77" customFormat="1" ht="18.75" customHeight="1" x14ac:dyDescent="0.3">
      <c r="A16" s="323">
        <v>4</v>
      </c>
      <c r="B16" s="337" t="s">
        <v>290</v>
      </c>
      <c r="C16" s="325">
        <f t="shared" si="3"/>
        <v>51</v>
      </c>
      <c r="D16" s="325">
        <f t="shared" si="27"/>
        <v>49</v>
      </c>
      <c r="E16" s="325">
        <f t="shared" si="23"/>
        <v>2</v>
      </c>
      <c r="F16" s="326">
        <f t="shared" si="4"/>
        <v>0</v>
      </c>
      <c r="G16" s="326"/>
      <c r="H16" s="326"/>
      <c r="I16" s="326">
        <f t="shared" si="5"/>
        <v>0</v>
      </c>
      <c r="J16" s="326"/>
      <c r="K16" s="326"/>
      <c r="L16" s="338">
        <f t="shared" si="6"/>
        <v>0</v>
      </c>
      <c r="M16" s="326">
        <v>0</v>
      </c>
      <c r="N16" s="326">
        <v>0</v>
      </c>
      <c r="O16" s="338">
        <f t="shared" si="7"/>
        <v>0</v>
      </c>
      <c r="P16" s="326"/>
      <c r="Q16" s="326"/>
      <c r="R16" s="326">
        <f t="shared" si="8"/>
        <v>0</v>
      </c>
      <c r="S16" s="326"/>
      <c r="T16" s="326"/>
      <c r="U16" s="326">
        <f t="shared" ref="U16" si="28">V16+W16</f>
        <v>0</v>
      </c>
      <c r="V16" s="326">
        <f t="shared" ref="V16" si="29">AB16+AE16+Y16</f>
        <v>0</v>
      </c>
      <c r="W16" s="326">
        <f t="shared" ref="W16" si="30">AC16+AF16+Z16</f>
        <v>0</v>
      </c>
      <c r="X16" s="326"/>
      <c r="Y16" s="326"/>
      <c r="Z16" s="326"/>
      <c r="AA16" s="338">
        <f t="shared" si="9"/>
        <v>0</v>
      </c>
      <c r="AB16" s="326"/>
      <c r="AC16" s="326"/>
      <c r="AD16" s="338">
        <f t="shared" si="10"/>
        <v>0</v>
      </c>
      <c r="AE16" s="326"/>
      <c r="AF16" s="326"/>
      <c r="AG16" s="326">
        <f t="shared" si="11"/>
        <v>0</v>
      </c>
      <c r="AH16" s="326"/>
      <c r="AI16" s="326"/>
      <c r="AJ16" s="326"/>
      <c r="AK16" s="326"/>
      <c r="AL16" s="326"/>
      <c r="AM16" s="326">
        <f t="shared" si="12"/>
        <v>0</v>
      </c>
      <c r="AN16" s="326"/>
      <c r="AO16" s="326"/>
      <c r="AP16" s="326">
        <f t="shared" si="13"/>
        <v>0</v>
      </c>
      <c r="AQ16" s="326">
        <f t="shared" si="14"/>
        <v>0</v>
      </c>
      <c r="AR16" s="326">
        <f t="shared" si="15"/>
        <v>0</v>
      </c>
      <c r="AS16" s="326">
        <f t="shared" si="16"/>
        <v>0</v>
      </c>
      <c r="AT16" s="326"/>
      <c r="AU16" s="326"/>
      <c r="AV16" s="326">
        <f t="shared" si="17"/>
        <v>0</v>
      </c>
      <c r="AW16" s="326"/>
      <c r="AX16" s="326"/>
      <c r="AY16" s="326">
        <f t="shared" si="18"/>
        <v>51</v>
      </c>
      <c r="AZ16" s="326">
        <f t="shared" si="19"/>
        <v>49</v>
      </c>
      <c r="BA16" s="326">
        <f t="shared" si="20"/>
        <v>2</v>
      </c>
      <c r="BB16" s="326">
        <f t="shared" si="21"/>
        <v>51</v>
      </c>
      <c r="BC16" s="326">
        <f>'7'!P9</f>
        <v>49</v>
      </c>
      <c r="BD16" s="326">
        <f>'7'!R9</f>
        <v>2</v>
      </c>
      <c r="BE16" s="326">
        <f t="shared" si="22"/>
        <v>0</v>
      </c>
      <c r="BF16" s="326"/>
      <c r="BG16" s="326"/>
    </row>
    <row r="17" spans="1:59" s="77" customFormat="1" ht="27" customHeight="1" x14ac:dyDescent="0.3">
      <c r="A17" s="323">
        <v>5</v>
      </c>
      <c r="B17" s="337" t="s">
        <v>357</v>
      </c>
      <c r="C17" s="325">
        <f t="shared" si="3"/>
        <v>7237</v>
      </c>
      <c r="D17" s="325">
        <f t="shared" si="27"/>
        <v>7026</v>
      </c>
      <c r="E17" s="325">
        <f t="shared" si="23"/>
        <v>211</v>
      </c>
      <c r="F17" s="326">
        <f t="shared" si="4"/>
        <v>0</v>
      </c>
      <c r="G17" s="326"/>
      <c r="H17" s="326"/>
      <c r="I17" s="326">
        <f t="shared" si="5"/>
        <v>4987</v>
      </c>
      <c r="J17" s="326">
        <f>'2'!P9</f>
        <v>4842</v>
      </c>
      <c r="K17" s="326">
        <f>'2'!Q9</f>
        <v>145</v>
      </c>
      <c r="L17" s="396">
        <f>M17+N17</f>
        <v>1802</v>
      </c>
      <c r="M17" s="397">
        <f>'TD1-3'!P8</f>
        <v>1749</v>
      </c>
      <c r="N17" s="397">
        <f>'TD1-3'!Q8</f>
        <v>53</v>
      </c>
      <c r="O17" s="338">
        <f t="shared" si="7"/>
        <v>0</v>
      </c>
      <c r="P17" s="326"/>
      <c r="Q17" s="326"/>
      <c r="R17" s="326">
        <f t="shared" si="8"/>
        <v>0</v>
      </c>
      <c r="S17" s="326"/>
      <c r="T17" s="326"/>
      <c r="U17" s="326">
        <f t="shared" ref="U17" si="31">V17+W17</f>
        <v>0</v>
      </c>
      <c r="V17" s="326">
        <f t="shared" ref="V17" si="32">AB17+AE17+Y17</f>
        <v>0</v>
      </c>
      <c r="W17" s="326">
        <f t="shared" ref="W17" si="33">AC17+AF17+Z17</f>
        <v>0</v>
      </c>
      <c r="X17" s="326"/>
      <c r="Y17" s="326"/>
      <c r="Z17" s="326"/>
      <c r="AA17" s="338">
        <f t="shared" si="9"/>
        <v>0</v>
      </c>
      <c r="AB17" s="326"/>
      <c r="AC17" s="326"/>
      <c r="AD17" s="338">
        <f t="shared" si="10"/>
        <v>0</v>
      </c>
      <c r="AE17" s="326"/>
      <c r="AF17" s="326"/>
      <c r="AG17" s="326">
        <f t="shared" si="11"/>
        <v>0</v>
      </c>
      <c r="AH17" s="326"/>
      <c r="AI17" s="326"/>
      <c r="AJ17" s="326"/>
      <c r="AK17" s="326"/>
      <c r="AL17" s="326"/>
      <c r="AM17" s="326">
        <f t="shared" si="12"/>
        <v>0</v>
      </c>
      <c r="AN17" s="326"/>
      <c r="AO17" s="326"/>
      <c r="AP17" s="326">
        <f t="shared" si="13"/>
        <v>0</v>
      </c>
      <c r="AQ17" s="326">
        <f t="shared" si="14"/>
        <v>0</v>
      </c>
      <c r="AR17" s="326">
        <f t="shared" si="15"/>
        <v>0</v>
      </c>
      <c r="AS17" s="326">
        <f t="shared" si="16"/>
        <v>0</v>
      </c>
      <c r="AT17" s="326"/>
      <c r="AU17" s="326"/>
      <c r="AV17" s="326">
        <f t="shared" si="17"/>
        <v>0</v>
      </c>
      <c r="AW17" s="326"/>
      <c r="AX17" s="326"/>
      <c r="AY17" s="326">
        <f t="shared" si="18"/>
        <v>448</v>
      </c>
      <c r="AZ17" s="326">
        <f t="shared" si="19"/>
        <v>435</v>
      </c>
      <c r="BA17" s="326">
        <f t="shared" si="20"/>
        <v>13</v>
      </c>
      <c r="BB17" s="326">
        <f t="shared" si="21"/>
        <v>375</v>
      </c>
      <c r="BC17" s="326">
        <f>'7'!P10</f>
        <v>364</v>
      </c>
      <c r="BD17" s="326">
        <f>'7'!R10</f>
        <v>11</v>
      </c>
      <c r="BE17" s="326">
        <f t="shared" si="22"/>
        <v>73</v>
      </c>
      <c r="BF17" s="326">
        <f>'7'!Q10</f>
        <v>71</v>
      </c>
      <c r="BG17" s="326">
        <f>'7'!S10</f>
        <v>2</v>
      </c>
    </row>
    <row r="18" spans="1:59" s="77" customFormat="1" ht="18.75" customHeight="1" x14ac:dyDescent="0.3">
      <c r="A18" s="323">
        <v>6</v>
      </c>
      <c r="B18" s="337" t="s">
        <v>336</v>
      </c>
      <c r="C18" s="325">
        <f t="shared" ref="C18" si="34">D18+E18</f>
        <v>20</v>
      </c>
      <c r="D18" s="325">
        <f t="shared" ref="D18" si="35">G18+J18+M18+P18+AB18+AE18+AH18+AK18+AN18+AT18+AW18+BC18+BF18</f>
        <v>19</v>
      </c>
      <c r="E18" s="325">
        <f t="shared" ref="E18" si="36">H18+K18+N18+Q18+AC18+AF18+AI18+AL18+AO18+AU18+AX18+BD18+BG18</f>
        <v>1</v>
      </c>
      <c r="F18" s="326"/>
      <c r="G18" s="326"/>
      <c r="H18" s="326"/>
      <c r="I18" s="326"/>
      <c r="J18" s="326"/>
      <c r="K18" s="326"/>
      <c r="L18" s="396"/>
      <c r="M18" s="397"/>
      <c r="N18" s="397"/>
      <c r="O18" s="338"/>
      <c r="P18" s="326"/>
      <c r="Q18" s="326"/>
      <c r="R18" s="326"/>
      <c r="S18" s="326"/>
      <c r="T18" s="326"/>
      <c r="U18" s="326"/>
      <c r="V18" s="326"/>
      <c r="W18" s="326"/>
      <c r="X18" s="326"/>
      <c r="Y18" s="326"/>
      <c r="Z18" s="326"/>
      <c r="AA18" s="338"/>
      <c r="AB18" s="326"/>
      <c r="AC18" s="326"/>
      <c r="AD18" s="338"/>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6"/>
      <c r="BA18" s="326"/>
      <c r="BB18" s="326"/>
      <c r="BC18" s="326"/>
      <c r="BD18" s="326"/>
      <c r="BE18" s="326">
        <f t="shared" si="22"/>
        <v>20</v>
      </c>
      <c r="BF18" s="326">
        <f>'7'!Q13</f>
        <v>19</v>
      </c>
      <c r="BG18" s="326">
        <f>'7'!S13</f>
        <v>1</v>
      </c>
    </row>
    <row r="19" spans="1:59" s="77" customFormat="1" ht="18.75" customHeight="1" x14ac:dyDescent="0.3">
      <c r="A19" s="323">
        <v>7</v>
      </c>
      <c r="B19" s="337" t="s">
        <v>359</v>
      </c>
      <c r="C19" s="325">
        <f t="shared" si="3"/>
        <v>295</v>
      </c>
      <c r="D19" s="325">
        <f t="shared" si="27"/>
        <v>286</v>
      </c>
      <c r="E19" s="325">
        <f t="shared" si="23"/>
        <v>9</v>
      </c>
      <c r="F19" s="326">
        <f t="shared" si="4"/>
        <v>0</v>
      </c>
      <c r="G19" s="326"/>
      <c r="H19" s="326"/>
      <c r="I19" s="326">
        <f t="shared" si="5"/>
        <v>0</v>
      </c>
      <c r="J19" s="326"/>
      <c r="K19" s="326"/>
      <c r="L19" s="338">
        <f t="shared" si="6"/>
        <v>0</v>
      </c>
      <c r="M19" s="326">
        <v>0</v>
      </c>
      <c r="N19" s="326">
        <v>0</v>
      </c>
      <c r="O19" s="338">
        <f t="shared" si="7"/>
        <v>0</v>
      </c>
      <c r="P19" s="326">
        <v>0</v>
      </c>
      <c r="Q19" s="326">
        <v>0</v>
      </c>
      <c r="R19" s="326">
        <f t="shared" si="8"/>
        <v>0</v>
      </c>
      <c r="S19" s="326"/>
      <c r="T19" s="326"/>
      <c r="U19" s="326">
        <f t="shared" si="24"/>
        <v>0</v>
      </c>
      <c r="V19" s="326">
        <f t="shared" si="25"/>
        <v>0</v>
      </c>
      <c r="W19" s="326">
        <f t="shared" si="26"/>
        <v>0</v>
      </c>
      <c r="X19" s="326"/>
      <c r="Y19" s="326"/>
      <c r="Z19" s="326"/>
      <c r="AA19" s="338">
        <f t="shared" si="9"/>
        <v>0</v>
      </c>
      <c r="AB19" s="326"/>
      <c r="AC19" s="326"/>
      <c r="AD19" s="338">
        <f t="shared" si="10"/>
        <v>0</v>
      </c>
      <c r="AE19" s="326"/>
      <c r="AF19" s="326"/>
      <c r="AG19" s="326">
        <f t="shared" si="11"/>
        <v>0</v>
      </c>
      <c r="AH19" s="326"/>
      <c r="AI19" s="326"/>
      <c r="AJ19" s="326"/>
      <c r="AK19" s="326"/>
      <c r="AL19" s="326"/>
      <c r="AM19" s="326">
        <f t="shared" si="12"/>
        <v>0</v>
      </c>
      <c r="AN19" s="326"/>
      <c r="AO19" s="326"/>
      <c r="AP19" s="326">
        <f t="shared" si="13"/>
        <v>295</v>
      </c>
      <c r="AQ19" s="326">
        <f t="shared" si="14"/>
        <v>286</v>
      </c>
      <c r="AR19" s="326">
        <f t="shared" si="15"/>
        <v>9</v>
      </c>
      <c r="AS19" s="326">
        <f t="shared" si="16"/>
        <v>0</v>
      </c>
      <c r="AT19" s="326"/>
      <c r="AU19" s="326"/>
      <c r="AV19" s="326">
        <f t="shared" si="17"/>
        <v>295</v>
      </c>
      <c r="AW19" s="326">
        <f>'TDA2-6'!N10</f>
        <v>286</v>
      </c>
      <c r="AX19" s="326">
        <f>'TDA2-6'!O10</f>
        <v>9</v>
      </c>
      <c r="AY19" s="326">
        <f t="shared" si="18"/>
        <v>0</v>
      </c>
      <c r="AZ19" s="326">
        <f t="shared" si="19"/>
        <v>0</v>
      </c>
      <c r="BA19" s="326">
        <f t="shared" si="20"/>
        <v>0</v>
      </c>
      <c r="BB19" s="326">
        <f t="shared" si="21"/>
        <v>0</v>
      </c>
      <c r="BC19" s="326"/>
      <c r="BD19" s="326"/>
      <c r="BE19" s="326">
        <f t="shared" si="22"/>
        <v>0</v>
      </c>
      <c r="BF19" s="326"/>
      <c r="BG19" s="326"/>
    </row>
    <row r="20" spans="1:59" s="78" customFormat="1" ht="18.75" customHeight="1" x14ac:dyDescent="0.3">
      <c r="A20" s="336">
        <v>8</v>
      </c>
      <c r="B20" s="337" t="s">
        <v>20</v>
      </c>
      <c r="C20" s="325">
        <f>D20+E20</f>
        <v>9888</v>
      </c>
      <c r="D20" s="325">
        <f t="shared" ref="D20:E22" si="37">G20+J20+M20+P20+AB20+AE20+AH20+AK20+AN20+AT20+AW20+BC20+BF20</f>
        <v>9599</v>
      </c>
      <c r="E20" s="325">
        <f t="shared" si="37"/>
        <v>289</v>
      </c>
      <c r="F20" s="326">
        <f>G20+H20</f>
        <v>0</v>
      </c>
      <c r="G20" s="338"/>
      <c r="H20" s="338"/>
      <c r="I20" s="326">
        <f>J20+K20</f>
        <v>0</v>
      </c>
      <c r="J20" s="338"/>
      <c r="K20" s="338"/>
      <c r="L20" s="338">
        <f>M20+N20</f>
        <v>0</v>
      </c>
      <c r="M20" s="338"/>
      <c r="N20" s="338"/>
      <c r="O20" s="338">
        <f>P20+Q20</f>
        <v>0</v>
      </c>
      <c r="P20" s="338"/>
      <c r="Q20" s="338"/>
      <c r="R20" s="326">
        <f>S20+T20</f>
        <v>0</v>
      </c>
      <c r="S20" s="326">
        <f>V20+AH20+AK20</f>
        <v>0</v>
      </c>
      <c r="T20" s="326">
        <f>W20+AI20+AL20</f>
        <v>0</v>
      </c>
      <c r="U20" s="326">
        <f>V20+W20</f>
        <v>0</v>
      </c>
      <c r="V20" s="326"/>
      <c r="W20" s="326"/>
      <c r="X20" s="326"/>
      <c r="Y20" s="338"/>
      <c r="Z20" s="338"/>
      <c r="AA20" s="338">
        <f>AB20+AC20</f>
        <v>9888</v>
      </c>
      <c r="AB20" s="338">
        <f>'ND1-TDA 1-4'!M16</f>
        <v>9599</v>
      </c>
      <c r="AC20" s="338">
        <f>'ND1-TDA 1-4'!N16</f>
        <v>289</v>
      </c>
      <c r="AD20" s="338">
        <f>AE20+AF20</f>
        <v>0</v>
      </c>
      <c r="AE20" s="338"/>
      <c r="AF20" s="338"/>
      <c r="AG20" s="326">
        <f>AH20+AI20</f>
        <v>0</v>
      </c>
      <c r="AH20" s="338"/>
      <c r="AI20" s="338"/>
      <c r="AJ20" s="326">
        <f>AK20+AL20</f>
        <v>0</v>
      </c>
      <c r="AK20" s="338"/>
      <c r="AL20" s="338"/>
      <c r="AM20" s="326">
        <f>AN20+AO20</f>
        <v>0</v>
      </c>
      <c r="AN20" s="338"/>
      <c r="AO20" s="338"/>
      <c r="AP20" s="326">
        <f>AQ20+AR20</f>
        <v>0</v>
      </c>
      <c r="AQ20" s="326">
        <f t="shared" ref="AQ20:AR22" si="38">AT20+AW20</f>
        <v>0</v>
      </c>
      <c r="AR20" s="326">
        <f t="shared" si="38"/>
        <v>0</v>
      </c>
      <c r="AS20" s="326">
        <f>AT20+AU20</f>
        <v>0</v>
      </c>
      <c r="AT20" s="338"/>
      <c r="AU20" s="338"/>
      <c r="AV20" s="326">
        <f>AW20+AX20</f>
        <v>0</v>
      </c>
      <c r="AW20" s="338"/>
      <c r="AX20" s="338"/>
      <c r="AY20" s="326">
        <f>AZ20+BA20</f>
        <v>0</v>
      </c>
      <c r="AZ20" s="326">
        <f t="shared" ref="AZ20:BA22" si="39">BC20+BF20</f>
        <v>0</v>
      </c>
      <c r="BA20" s="326">
        <f t="shared" si="39"/>
        <v>0</v>
      </c>
      <c r="BB20" s="326">
        <f>BC20+BD20</f>
        <v>0</v>
      </c>
      <c r="BC20" s="338"/>
      <c r="BD20" s="338"/>
      <c r="BE20" s="326">
        <f>BF20+BG20</f>
        <v>0</v>
      </c>
      <c r="BF20" s="338"/>
      <c r="BG20" s="338"/>
    </row>
    <row r="21" spans="1:59" s="77" customFormat="1" ht="18.75" customHeight="1" x14ac:dyDescent="0.3">
      <c r="A21" s="323">
        <v>9</v>
      </c>
      <c r="B21" s="337" t="s">
        <v>282</v>
      </c>
      <c r="C21" s="325">
        <f>D21+E21</f>
        <v>263</v>
      </c>
      <c r="D21" s="325">
        <f t="shared" si="37"/>
        <v>255</v>
      </c>
      <c r="E21" s="325">
        <f t="shared" si="37"/>
        <v>8</v>
      </c>
      <c r="F21" s="326">
        <f>G21+H21</f>
        <v>0</v>
      </c>
      <c r="G21" s="326"/>
      <c r="H21" s="326"/>
      <c r="I21" s="326">
        <f>J21+K21</f>
        <v>0</v>
      </c>
      <c r="J21" s="326"/>
      <c r="K21" s="326"/>
      <c r="L21" s="338">
        <f>M21+N21</f>
        <v>0</v>
      </c>
      <c r="M21" s="326">
        <v>0</v>
      </c>
      <c r="N21" s="326">
        <v>0</v>
      </c>
      <c r="O21" s="338">
        <f>P21+Q21</f>
        <v>0</v>
      </c>
      <c r="P21" s="326"/>
      <c r="Q21" s="326"/>
      <c r="R21" s="326">
        <f>S21+T21</f>
        <v>0</v>
      </c>
      <c r="S21" s="326"/>
      <c r="T21" s="326"/>
      <c r="U21" s="326">
        <f t="shared" ref="U21:U22" si="40">V21+W21</f>
        <v>0</v>
      </c>
      <c r="V21" s="326">
        <f t="shared" ref="V21:V22" si="41">AB21+AE21+Y21</f>
        <v>0</v>
      </c>
      <c r="W21" s="326">
        <f t="shared" ref="W21:W22" si="42">AC21+AF21+Z21</f>
        <v>0</v>
      </c>
      <c r="X21" s="326"/>
      <c r="Y21" s="326"/>
      <c r="Z21" s="326"/>
      <c r="AA21" s="338">
        <f>AB21+AC21</f>
        <v>0</v>
      </c>
      <c r="AB21" s="326"/>
      <c r="AC21" s="326"/>
      <c r="AD21" s="338">
        <f>AE21+AF21</f>
        <v>0</v>
      </c>
      <c r="AE21" s="326"/>
      <c r="AF21" s="326"/>
      <c r="AG21" s="326">
        <f>AH21+AI21</f>
        <v>0</v>
      </c>
      <c r="AH21" s="326"/>
      <c r="AI21" s="326"/>
      <c r="AJ21" s="326"/>
      <c r="AK21" s="326"/>
      <c r="AL21" s="326"/>
      <c r="AM21" s="326">
        <f>AN21+AO21</f>
        <v>0</v>
      </c>
      <c r="AN21" s="326"/>
      <c r="AO21" s="326"/>
      <c r="AP21" s="326">
        <f>AQ21+AR21</f>
        <v>263</v>
      </c>
      <c r="AQ21" s="326">
        <f t="shared" si="38"/>
        <v>255</v>
      </c>
      <c r="AR21" s="326">
        <f t="shared" si="38"/>
        <v>8</v>
      </c>
      <c r="AS21" s="326">
        <f>AT21+AU21</f>
        <v>263</v>
      </c>
      <c r="AT21" s="326">
        <f>'TDA1-6'!N11</f>
        <v>255</v>
      </c>
      <c r="AU21" s="326">
        <f>'TDA1-6'!O11</f>
        <v>8</v>
      </c>
      <c r="AV21" s="326">
        <f>AW21+AX21</f>
        <v>0</v>
      </c>
      <c r="AW21" s="326"/>
      <c r="AX21" s="326"/>
      <c r="AY21" s="326">
        <f>AZ21+BA21</f>
        <v>0</v>
      </c>
      <c r="AZ21" s="326">
        <f t="shared" si="39"/>
        <v>0</v>
      </c>
      <c r="BA21" s="326">
        <f t="shared" si="39"/>
        <v>0</v>
      </c>
      <c r="BB21" s="326">
        <f>BC21+BD21</f>
        <v>0</v>
      </c>
      <c r="BC21" s="326"/>
      <c r="BD21" s="326"/>
      <c r="BE21" s="326">
        <f>BF21+BG21</f>
        <v>0</v>
      </c>
      <c r="BF21" s="326"/>
      <c r="BG21" s="326"/>
    </row>
    <row r="22" spans="1:59" s="77" customFormat="1" ht="18.75" customHeight="1" x14ac:dyDescent="0.3">
      <c r="A22" s="327">
        <v>10</v>
      </c>
      <c r="B22" s="339" t="s">
        <v>283</v>
      </c>
      <c r="C22" s="329">
        <f>D22+E22</f>
        <v>300</v>
      </c>
      <c r="D22" s="329">
        <f t="shared" si="37"/>
        <v>291</v>
      </c>
      <c r="E22" s="329">
        <f t="shared" si="37"/>
        <v>9</v>
      </c>
      <c r="F22" s="330">
        <f>G22+H22</f>
        <v>0</v>
      </c>
      <c r="G22" s="330"/>
      <c r="H22" s="330"/>
      <c r="I22" s="330">
        <f>J22+K22</f>
        <v>0</v>
      </c>
      <c r="J22" s="330"/>
      <c r="K22" s="330"/>
      <c r="L22" s="395">
        <f>M22+N22</f>
        <v>0</v>
      </c>
      <c r="M22" s="330">
        <v>0</v>
      </c>
      <c r="N22" s="330">
        <v>0</v>
      </c>
      <c r="O22" s="395">
        <f>P22+Q22</f>
        <v>0</v>
      </c>
      <c r="P22" s="330">
        <v>0</v>
      </c>
      <c r="Q22" s="330">
        <v>0</v>
      </c>
      <c r="R22" s="330">
        <f>S22+T22</f>
        <v>0</v>
      </c>
      <c r="S22" s="330"/>
      <c r="T22" s="330"/>
      <c r="U22" s="330">
        <f t="shared" si="40"/>
        <v>0</v>
      </c>
      <c r="V22" s="330">
        <f t="shared" si="41"/>
        <v>0</v>
      </c>
      <c r="W22" s="330">
        <f t="shared" si="42"/>
        <v>0</v>
      </c>
      <c r="X22" s="330"/>
      <c r="Y22" s="330"/>
      <c r="Z22" s="330"/>
      <c r="AA22" s="395">
        <f>AB22+AC22</f>
        <v>0</v>
      </c>
      <c r="AB22" s="330"/>
      <c r="AC22" s="330"/>
      <c r="AD22" s="395">
        <f>AE22+AF22</f>
        <v>0</v>
      </c>
      <c r="AE22" s="330"/>
      <c r="AF22" s="330"/>
      <c r="AG22" s="330">
        <f>AH22+AI22</f>
        <v>0</v>
      </c>
      <c r="AH22" s="330"/>
      <c r="AI22" s="330"/>
      <c r="AJ22" s="330"/>
      <c r="AK22" s="330"/>
      <c r="AL22" s="330"/>
      <c r="AM22" s="330">
        <f>AN22+AO22</f>
        <v>0</v>
      </c>
      <c r="AN22" s="330"/>
      <c r="AO22" s="330"/>
      <c r="AP22" s="330">
        <f>AQ22+AR22</f>
        <v>300</v>
      </c>
      <c r="AQ22" s="330">
        <f t="shared" si="38"/>
        <v>291</v>
      </c>
      <c r="AR22" s="330">
        <f t="shared" si="38"/>
        <v>9</v>
      </c>
      <c r="AS22" s="330">
        <f>AT22+AU22</f>
        <v>300</v>
      </c>
      <c r="AT22" s="330">
        <f>'TDA1-6'!N12</f>
        <v>291</v>
      </c>
      <c r="AU22" s="330">
        <f>'TDA1-6'!O12</f>
        <v>9</v>
      </c>
      <c r="AV22" s="330">
        <f>AW22+AX22</f>
        <v>0</v>
      </c>
      <c r="AW22" s="330"/>
      <c r="AX22" s="330"/>
      <c r="AY22" s="330">
        <f>AZ22+BA22</f>
        <v>0</v>
      </c>
      <c r="AZ22" s="330">
        <f t="shared" si="39"/>
        <v>0</v>
      </c>
      <c r="BA22" s="330">
        <f t="shared" si="39"/>
        <v>0</v>
      </c>
      <c r="BB22" s="330">
        <f>BC22+BD22</f>
        <v>0</v>
      </c>
      <c r="BC22" s="330"/>
      <c r="BD22" s="330"/>
      <c r="BE22" s="330">
        <f>BF22+BG22</f>
        <v>0</v>
      </c>
      <c r="BF22" s="330"/>
      <c r="BG22" s="330"/>
    </row>
    <row r="23" spans="1:59" s="76" customFormat="1" ht="20.25" customHeight="1" x14ac:dyDescent="0.3">
      <c r="A23" s="257"/>
      <c r="B23" s="257" t="s">
        <v>292</v>
      </c>
      <c r="C23" s="331">
        <f>SUM(C24:C31)</f>
        <v>118109</v>
      </c>
      <c r="D23" s="331">
        <f t="shared" ref="D23:BG23" si="43">SUM(D24:D31)</f>
        <v>114670</v>
      </c>
      <c r="E23" s="331">
        <f t="shared" si="43"/>
        <v>3439</v>
      </c>
      <c r="F23" s="331">
        <f t="shared" si="43"/>
        <v>12837</v>
      </c>
      <c r="G23" s="331">
        <f t="shared" si="43"/>
        <v>12463</v>
      </c>
      <c r="H23" s="331">
        <f t="shared" si="43"/>
        <v>374</v>
      </c>
      <c r="I23" s="331">
        <f t="shared" si="43"/>
        <v>37048</v>
      </c>
      <c r="J23" s="331">
        <f t="shared" si="43"/>
        <v>35969</v>
      </c>
      <c r="K23" s="331">
        <f t="shared" si="43"/>
        <v>1079</v>
      </c>
      <c r="L23" s="331">
        <f t="shared" si="43"/>
        <v>16216</v>
      </c>
      <c r="M23" s="331">
        <f t="shared" si="43"/>
        <v>15744</v>
      </c>
      <c r="N23" s="331">
        <f t="shared" si="43"/>
        <v>472</v>
      </c>
      <c r="O23" s="331">
        <f>SUM(O24:O31)</f>
        <v>3233</v>
      </c>
      <c r="P23" s="331">
        <f t="shared" si="43"/>
        <v>3139</v>
      </c>
      <c r="Q23" s="331">
        <f t="shared" si="43"/>
        <v>94</v>
      </c>
      <c r="R23" s="331">
        <f t="shared" si="43"/>
        <v>27245</v>
      </c>
      <c r="S23" s="331">
        <f t="shared" si="43"/>
        <v>26452</v>
      </c>
      <c r="T23" s="331">
        <f t="shared" si="43"/>
        <v>793</v>
      </c>
      <c r="U23" s="331">
        <f t="shared" si="43"/>
        <v>19959</v>
      </c>
      <c r="V23" s="331">
        <f t="shared" si="43"/>
        <v>19378</v>
      </c>
      <c r="W23" s="331">
        <f t="shared" si="43"/>
        <v>581</v>
      </c>
      <c r="X23" s="331"/>
      <c r="Y23" s="331">
        <f t="shared" si="43"/>
        <v>0</v>
      </c>
      <c r="Z23" s="331">
        <f t="shared" si="43"/>
        <v>0</v>
      </c>
      <c r="AA23" s="331">
        <f>SUM(AA24:AA31)</f>
        <v>2472</v>
      </c>
      <c r="AB23" s="331">
        <f t="shared" si="43"/>
        <v>2400</v>
      </c>
      <c r="AC23" s="331">
        <f t="shared" si="43"/>
        <v>72</v>
      </c>
      <c r="AD23" s="331">
        <f>SUM(AD24:AD31)</f>
        <v>17487</v>
      </c>
      <c r="AE23" s="331">
        <f t="shared" si="43"/>
        <v>16978</v>
      </c>
      <c r="AF23" s="331">
        <f t="shared" si="43"/>
        <v>509</v>
      </c>
      <c r="AG23" s="331">
        <f t="shared" si="43"/>
        <v>1415</v>
      </c>
      <c r="AH23" s="331">
        <f t="shared" si="43"/>
        <v>1374</v>
      </c>
      <c r="AI23" s="331">
        <f t="shared" si="43"/>
        <v>41</v>
      </c>
      <c r="AJ23" s="331">
        <f t="shared" si="43"/>
        <v>5871</v>
      </c>
      <c r="AK23" s="331">
        <f t="shared" si="43"/>
        <v>5700</v>
      </c>
      <c r="AL23" s="331">
        <f t="shared" si="43"/>
        <v>171</v>
      </c>
      <c r="AM23" s="331">
        <f t="shared" ref="AM23" si="44">SUM(AM24:AM31)</f>
        <v>11325</v>
      </c>
      <c r="AN23" s="331">
        <f t="shared" ref="AN23" si="45">SUM(AN24:AN31)</f>
        <v>10995</v>
      </c>
      <c r="AO23" s="331">
        <f t="shared" ref="AO23" si="46">SUM(AO24:AO31)</f>
        <v>330</v>
      </c>
      <c r="AP23" s="331">
        <f t="shared" si="43"/>
        <v>2574</v>
      </c>
      <c r="AQ23" s="331">
        <f t="shared" si="43"/>
        <v>2499</v>
      </c>
      <c r="AR23" s="331">
        <f t="shared" si="43"/>
        <v>75</v>
      </c>
      <c r="AS23" s="331">
        <f t="shared" si="43"/>
        <v>937</v>
      </c>
      <c r="AT23" s="331">
        <f t="shared" si="43"/>
        <v>910</v>
      </c>
      <c r="AU23" s="331">
        <f t="shared" si="43"/>
        <v>27</v>
      </c>
      <c r="AV23" s="331">
        <f t="shared" si="43"/>
        <v>1637</v>
      </c>
      <c r="AW23" s="331">
        <f t="shared" si="43"/>
        <v>1589</v>
      </c>
      <c r="AX23" s="331">
        <f t="shared" si="43"/>
        <v>48</v>
      </c>
      <c r="AY23" s="331">
        <f t="shared" si="43"/>
        <v>7631</v>
      </c>
      <c r="AZ23" s="331">
        <f t="shared" si="43"/>
        <v>7409</v>
      </c>
      <c r="BA23" s="331">
        <f t="shared" si="43"/>
        <v>222</v>
      </c>
      <c r="BB23" s="331">
        <f t="shared" si="43"/>
        <v>4766</v>
      </c>
      <c r="BC23" s="331">
        <f t="shared" si="43"/>
        <v>4627</v>
      </c>
      <c r="BD23" s="331">
        <f t="shared" si="43"/>
        <v>139</v>
      </c>
      <c r="BE23" s="331">
        <f t="shared" si="43"/>
        <v>2865</v>
      </c>
      <c r="BF23" s="331">
        <f t="shared" si="43"/>
        <v>2782</v>
      </c>
      <c r="BG23" s="331">
        <f t="shared" si="43"/>
        <v>83</v>
      </c>
    </row>
    <row r="24" spans="1:59" s="77" customFormat="1" ht="18.75" customHeight="1" x14ac:dyDescent="0.3">
      <c r="A24" s="319">
        <v>1</v>
      </c>
      <c r="B24" s="320" t="s">
        <v>10</v>
      </c>
      <c r="C24" s="321">
        <f>D24+E24</f>
        <v>6187</v>
      </c>
      <c r="D24" s="321">
        <f>G24+J24+M24+P24+AB24+AE24+AH24+AK24+AN24+AT24+AW24+BC24+BF24</f>
        <v>6007</v>
      </c>
      <c r="E24" s="321">
        <f>H24+K24+N24+Q24+AC24+AF24+AI24+AL24+AO24+AU24+AX24+BD24+BG24</f>
        <v>180</v>
      </c>
      <c r="F24" s="322">
        <f t="shared" ref="F24" si="47">G24+H24</f>
        <v>0</v>
      </c>
      <c r="G24" s="322"/>
      <c r="H24" s="322"/>
      <c r="I24" s="322">
        <f>J24+K24</f>
        <v>2332</v>
      </c>
      <c r="J24" s="322">
        <f>'2'!P11</f>
        <v>2264</v>
      </c>
      <c r="K24" s="322">
        <f>'2'!Q11</f>
        <v>68</v>
      </c>
      <c r="L24" s="335">
        <f t="shared" ref="L24:L31" si="48">M24+N24</f>
        <v>1021</v>
      </c>
      <c r="M24" s="322">
        <f>'TD1-3'!P10</f>
        <v>991</v>
      </c>
      <c r="N24" s="322">
        <f>'TD1-3'!Q10</f>
        <v>30</v>
      </c>
      <c r="O24" s="335">
        <f t="shared" ref="O24:O31" si="49">P24+Q24</f>
        <v>331</v>
      </c>
      <c r="P24" s="322">
        <f>'TDA 2-3'!L11</f>
        <v>321</v>
      </c>
      <c r="Q24" s="322">
        <f>'TDA 2-3'!M11</f>
        <v>10</v>
      </c>
      <c r="R24" s="322">
        <f>S24+T24</f>
        <v>1829</v>
      </c>
      <c r="S24" s="322">
        <f>V24+AH24+AK24</f>
        <v>1776</v>
      </c>
      <c r="T24" s="322">
        <f>W24+AI24+AL24</f>
        <v>53</v>
      </c>
      <c r="U24" s="322">
        <f>V24+W24</f>
        <v>1312</v>
      </c>
      <c r="V24" s="322">
        <f>AB24+AE24+Y24</f>
        <v>1274</v>
      </c>
      <c r="W24" s="322">
        <f>AC24+AF24+Z24</f>
        <v>38</v>
      </c>
      <c r="X24" s="322"/>
      <c r="Y24" s="322"/>
      <c r="Z24" s="322"/>
      <c r="AA24" s="335">
        <f t="shared" ref="AA24:AA31" si="50">AB24+AC24</f>
        <v>0</v>
      </c>
      <c r="AB24" s="322"/>
      <c r="AC24" s="322"/>
      <c r="AD24" s="335">
        <f t="shared" ref="AD24:AD31" si="51">AE24+AF24</f>
        <v>1312</v>
      </c>
      <c r="AE24" s="322">
        <f>'ND2-TDA1-4'!P8</f>
        <v>1274</v>
      </c>
      <c r="AF24" s="322">
        <f>'ND2-TDA1-4'!Q8</f>
        <v>38</v>
      </c>
      <c r="AG24" s="322">
        <f>AH24+AI24</f>
        <v>0</v>
      </c>
      <c r="AH24" s="322"/>
      <c r="AI24" s="322"/>
      <c r="AJ24" s="322">
        <f>AK24+AL24</f>
        <v>517</v>
      </c>
      <c r="AK24" s="322">
        <f>'TDA3-4'!L10</f>
        <v>502</v>
      </c>
      <c r="AL24" s="322">
        <f>'TDA3-4'!M10</f>
        <v>15</v>
      </c>
      <c r="AM24" s="322">
        <f t="shared" ref="AM24" si="52">AN24+AO24</f>
        <v>0</v>
      </c>
      <c r="AN24" s="322"/>
      <c r="AO24" s="322"/>
      <c r="AP24" s="322">
        <f>AQ24+AR24</f>
        <v>170</v>
      </c>
      <c r="AQ24" s="322">
        <f>AT24+AW24</f>
        <v>165</v>
      </c>
      <c r="AR24" s="322">
        <f>AU24+AX24</f>
        <v>5</v>
      </c>
      <c r="AS24" s="322">
        <f>AT24+AU24</f>
        <v>62</v>
      </c>
      <c r="AT24" s="322">
        <f>'TDA1-6'!N16</f>
        <v>60</v>
      </c>
      <c r="AU24" s="322">
        <f>'TDA1-6'!O16</f>
        <v>2</v>
      </c>
      <c r="AV24" s="322">
        <f>AW24+AX24</f>
        <v>108</v>
      </c>
      <c r="AW24" s="322">
        <f>'TDA2-6'!N12</f>
        <v>105</v>
      </c>
      <c r="AX24" s="322">
        <f>'TDA2-6'!O12</f>
        <v>3</v>
      </c>
      <c r="AY24" s="322">
        <f>AZ24+BA24</f>
        <v>504</v>
      </c>
      <c r="AZ24" s="322">
        <f>BC24+BF24</f>
        <v>490</v>
      </c>
      <c r="BA24" s="322">
        <f>BD24+BG24</f>
        <v>14</v>
      </c>
      <c r="BB24" s="322">
        <f>BC24+BD24</f>
        <v>315</v>
      </c>
      <c r="BC24" s="322">
        <f>'7'!P15</f>
        <v>306</v>
      </c>
      <c r="BD24" s="322">
        <f>'7'!R15</f>
        <v>9</v>
      </c>
      <c r="BE24" s="322">
        <f>BF24+BG24</f>
        <v>189</v>
      </c>
      <c r="BF24" s="322">
        <f>'7'!Q15</f>
        <v>184</v>
      </c>
      <c r="BG24" s="322">
        <f>'7'!S15</f>
        <v>5</v>
      </c>
    </row>
    <row r="25" spans="1:59" s="77" customFormat="1" ht="18.75" customHeight="1" x14ac:dyDescent="0.3">
      <c r="A25" s="323">
        <v>2</v>
      </c>
      <c r="B25" s="324" t="s">
        <v>4</v>
      </c>
      <c r="C25" s="325">
        <f t="shared" ref="C25:C31" si="53">D25+E25</f>
        <v>28884</v>
      </c>
      <c r="D25" s="325">
        <f t="shared" ref="D25:D31" si="54">G25+J25+M25+P25+AB25+AE25+AH25+AK25+AN25+AT25+AW25+BC25+BF25</f>
        <v>28042</v>
      </c>
      <c r="E25" s="325">
        <f t="shared" ref="E25:E30" si="55">H25+K25+N25+Q25+AC25+AF25+AI25+AL25+AO25+AU25+AX25+BD25+BG25</f>
        <v>842</v>
      </c>
      <c r="F25" s="326">
        <f>G25+H25</f>
        <v>6566</v>
      </c>
      <c r="G25" s="326">
        <f>'1'!N8</f>
        <v>6375</v>
      </c>
      <c r="H25" s="326">
        <f>'1'!O8</f>
        <v>191</v>
      </c>
      <c r="I25" s="326">
        <f t="shared" ref="I25:I31" si="56">J25+K25</f>
        <v>6442</v>
      </c>
      <c r="J25" s="326">
        <f>'2'!P12</f>
        <v>6254</v>
      </c>
      <c r="K25" s="326">
        <f>'2'!Q12</f>
        <v>188</v>
      </c>
      <c r="L25" s="338">
        <f t="shared" si="48"/>
        <v>2820</v>
      </c>
      <c r="M25" s="326">
        <f>'TD1-3'!P11</f>
        <v>2738</v>
      </c>
      <c r="N25" s="326">
        <f>'TD1-3'!Q11</f>
        <v>82</v>
      </c>
      <c r="O25" s="338">
        <f t="shared" si="49"/>
        <v>525</v>
      </c>
      <c r="P25" s="326">
        <f>'TDA 2-3'!L12</f>
        <v>509</v>
      </c>
      <c r="Q25" s="326">
        <f>'TDA 2-3'!M12</f>
        <v>16</v>
      </c>
      <c r="R25" s="326">
        <f t="shared" ref="R25:R31" si="57">S25+T25</f>
        <v>5423</v>
      </c>
      <c r="S25" s="326">
        <f t="shared" ref="S25:S31" si="58">V25+AH25+AK25</f>
        <v>5265</v>
      </c>
      <c r="T25" s="326">
        <f t="shared" ref="T25:T31" si="59">W25+AI25+AL25</f>
        <v>158</v>
      </c>
      <c r="U25" s="326">
        <f t="shared" ref="U25:U31" si="60">V25+W25</f>
        <v>3802</v>
      </c>
      <c r="V25" s="326">
        <f t="shared" ref="V25:V31" si="61">AB25+AE25</f>
        <v>3691</v>
      </c>
      <c r="W25" s="326">
        <f t="shared" ref="W25:W31" si="62">AC25+AF25+Z25</f>
        <v>111</v>
      </c>
      <c r="X25" s="326"/>
      <c r="Y25" s="326"/>
      <c r="Z25" s="326"/>
      <c r="AA25" s="338">
        <f t="shared" si="50"/>
        <v>1236</v>
      </c>
      <c r="AB25" s="326">
        <f>'ND1-TDA 1-4'!M9</f>
        <v>1200</v>
      </c>
      <c r="AC25" s="326">
        <f>'ND1-TDA 1-4'!N9</f>
        <v>36</v>
      </c>
      <c r="AD25" s="338">
        <f t="shared" si="51"/>
        <v>2566</v>
      </c>
      <c r="AE25" s="326">
        <f>'ND2-TDA1-4'!P9</f>
        <v>2491</v>
      </c>
      <c r="AF25" s="326">
        <f>'ND2-TDA1-4'!Q9</f>
        <v>75</v>
      </c>
      <c r="AG25" s="326">
        <f t="shared" ref="AG25:AG31" si="63">AH25+AI25</f>
        <v>729</v>
      </c>
      <c r="AH25" s="326">
        <f>'TDA 2-4'!L10</f>
        <v>708</v>
      </c>
      <c r="AI25" s="326">
        <f>'TDA 2-4'!M10</f>
        <v>21</v>
      </c>
      <c r="AJ25" s="326">
        <f t="shared" ref="AJ25:AJ31" si="64">AK25+AL25</f>
        <v>892</v>
      </c>
      <c r="AK25" s="326">
        <f>'TDA3-4'!L11</f>
        <v>866</v>
      </c>
      <c r="AL25" s="326">
        <f>'TDA3-4'!M11</f>
        <v>26</v>
      </c>
      <c r="AM25" s="326">
        <f>AN25+AO25</f>
        <v>5504</v>
      </c>
      <c r="AN25" s="326">
        <f>'5'!C6</f>
        <v>5344</v>
      </c>
      <c r="AO25" s="326">
        <f>'5'!D6</f>
        <v>160</v>
      </c>
      <c r="AP25" s="326">
        <f t="shared" ref="AP25:AP31" si="65">AQ25+AR25</f>
        <v>405</v>
      </c>
      <c r="AQ25" s="326">
        <f t="shared" ref="AQ25:AQ31" si="66">AT25+AW25</f>
        <v>393</v>
      </c>
      <c r="AR25" s="326">
        <f t="shared" ref="AR25:AR31" si="67">AU25+AX25</f>
        <v>12</v>
      </c>
      <c r="AS25" s="326">
        <f t="shared" ref="AS25:AS31" si="68">AT25+AU25</f>
        <v>147</v>
      </c>
      <c r="AT25" s="326">
        <f>'TDA1-6'!N17</f>
        <v>143</v>
      </c>
      <c r="AU25" s="326">
        <f>'TDA1-6'!O17</f>
        <v>4</v>
      </c>
      <c r="AV25" s="326">
        <f t="shared" ref="AV25:AV31" si="69">AW25+AX25</f>
        <v>258</v>
      </c>
      <c r="AW25" s="326">
        <f>'TDA2-6'!N13</f>
        <v>250</v>
      </c>
      <c r="AX25" s="326">
        <f>'TDA2-6'!O13</f>
        <v>8</v>
      </c>
      <c r="AY25" s="326">
        <f t="shared" ref="AY25:AY31" si="70">AZ25+BA25</f>
        <v>1199</v>
      </c>
      <c r="AZ25" s="326">
        <f t="shared" ref="AZ25:AZ31" si="71">BC25+BF25</f>
        <v>1164</v>
      </c>
      <c r="BA25" s="326">
        <f t="shared" ref="BA25:BA31" si="72">BD25+BG25</f>
        <v>35</v>
      </c>
      <c r="BB25" s="326">
        <f t="shared" ref="BB25:BB31" si="73">BC25+BD25</f>
        <v>749</v>
      </c>
      <c r="BC25" s="326">
        <f>'7'!P16</f>
        <v>727</v>
      </c>
      <c r="BD25" s="326">
        <f>'7'!R16</f>
        <v>22</v>
      </c>
      <c r="BE25" s="326">
        <f t="shared" ref="BE25:BE31" si="74">BF25+BG25</f>
        <v>450</v>
      </c>
      <c r="BF25" s="326">
        <f>'7'!Q16</f>
        <v>437</v>
      </c>
      <c r="BG25" s="326">
        <f>'7'!S16</f>
        <v>13</v>
      </c>
    </row>
    <row r="26" spans="1:59" s="77" customFormat="1" ht="18.75" customHeight="1" x14ac:dyDescent="0.3">
      <c r="A26" s="323">
        <v>3</v>
      </c>
      <c r="B26" s="324" t="s">
        <v>3</v>
      </c>
      <c r="C26" s="325">
        <f t="shared" si="53"/>
        <v>12328</v>
      </c>
      <c r="D26" s="325">
        <f t="shared" si="54"/>
        <v>11969</v>
      </c>
      <c r="E26" s="325">
        <f t="shared" si="55"/>
        <v>359</v>
      </c>
      <c r="F26" s="326">
        <f t="shared" ref="F26:F31" si="75">G26+H26</f>
        <v>0</v>
      </c>
      <c r="G26" s="326"/>
      <c r="H26" s="326"/>
      <c r="I26" s="326">
        <f t="shared" si="56"/>
        <v>5028</v>
      </c>
      <c r="J26" s="326">
        <f>'2'!P13</f>
        <v>4882</v>
      </c>
      <c r="K26" s="326">
        <f>'2'!Q13</f>
        <v>146</v>
      </c>
      <c r="L26" s="338">
        <f t="shared" si="48"/>
        <v>2201</v>
      </c>
      <c r="M26" s="326">
        <f>'TD1-3'!P12</f>
        <v>2137</v>
      </c>
      <c r="N26" s="326">
        <f>'TD1-3'!Q12</f>
        <v>64</v>
      </c>
      <c r="O26" s="338">
        <f t="shared" si="49"/>
        <v>380</v>
      </c>
      <c r="P26" s="326">
        <f>'TDA 2-3'!L13</f>
        <v>369</v>
      </c>
      <c r="Q26" s="326">
        <f>'TDA 2-3'!M13</f>
        <v>11</v>
      </c>
      <c r="R26" s="326">
        <f t="shared" si="57"/>
        <v>3265</v>
      </c>
      <c r="S26" s="326">
        <f t="shared" si="58"/>
        <v>3170</v>
      </c>
      <c r="T26" s="326">
        <f t="shared" si="59"/>
        <v>95</v>
      </c>
      <c r="U26" s="326">
        <f t="shared" si="60"/>
        <v>2296</v>
      </c>
      <c r="V26" s="326">
        <f t="shared" si="61"/>
        <v>2229</v>
      </c>
      <c r="W26" s="326">
        <f t="shared" si="62"/>
        <v>67</v>
      </c>
      <c r="X26" s="326"/>
      <c r="Y26" s="326"/>
      <c r="Z26" s="326"/>
      <c r="AA26" s="338">
        <f t="shared" si="50"/>
        <v>0</v>
      </c>
      <c r="AB26" s="326">
        <f>'ND1-TDA 1-4'!M10</f>
        <v>0</v>
      </c>
      <c r="AC26" s="326">
        <f>'ND1-TDA 1-4'!N10</f>
        <v>0</v>
      </c>
      <c r="AD26" s="338">
        <f t="shared" si="51"/>
        <v>2296</v>
      </c>
      <c r="AE26" s="326">
        <f>'ND2-TDA1-4'!P10</f>
        <v>2229</v>
      </c>
      <c r="AF26" s="326">
        <f>'ND2-TDA1-4'!Q10</f>
        <v>67</v>
      </c>
      <c r="AG26" s="326">
        <f t="shared" si="63"/>
        <v>0</v>
      </c>
      <c r="AH26" s="326"/>
      <c r="AI26" s="326"/>
      <c r="AJ26" s="326">
        <f t="shared" si="64"/>
        <v>969</v>
      </c>
      <c r="AK26" s="326">
        <f>'TDA3-4'!L12</f>
        <v>941</v>
      </c>
      <c r="AL26" s="326">
        <f>'TDA3-4'!M12</f>
        <v>28</v>
      </c>
      <c r="AM26" s="326">
        <f t="shared" ref="AM26:AM31" si="76">AN26+AO26</f>
        <v>0</v>
      </c>
      <c r="AN26" s="326"/>
      <c r="AO26" s="326"/>
      <c r="AP26" s="326">
        <f t="shared" si="65"/>
        <v>367</v>
      </c>
      <c r="AQ26" s="326">
        <f t="shared" si="66"/>
        <v>356</v>
      </c>
      <c r="AR26" s="326">
        <f t="shared" si="67"/>
        <v>11</v>
      </c>
      <c r="AS26" s="326">
        <f t="shared" si="68"/>
        <v>134</v>
      </c>
      <c r="AT26" s="326">
        <f>'TDA1-6'!N18</f>
        <v>130</v>
      </c>
      <c r="AU26" s="326">
        <f>'TDA1-6'!O18</f>
        <v>4</v>
      </c>
      <c r="AV26" s="326">
        <f t="shared" si="69"/>
        <v>233</v>
      </c>
      <c r="AW26" s="326">
        <f>'TDA2-6'!N14</f>
        <v>226</v>
      </c>
      <c r="AX26" s="326">
        <f>'TDA2-6'!O14</f>
        <v>7</v>
      </c>
      <c r="AY26" s="326">
        <f t="shared" si="70"/>
        <v>1087</v>
      </c>
      <c r="AZ26" s="326">
        <f t="shared" si="71"/>
        <v>1055</v>
      </c>
      <c r="BA26" s="326">
        <f t="shared" si="72"/>
        <v>32</v>
      </c>
      <c r="BB26" s="326">
        <f t="shared" si="73"/>
        <v>679</v>
      </c>
      <c r="BC26" s="326">
        <f>'7'!P17</f>
        <v>659</v>
      </c>
      <c r="BD26" s="326">
        <f>'7'!R17</f>
        <v>20</v>
      </c>
      <c r="BE26" s="326">
        <f t="shared" si="74"/>
        <v>408</v>
      </c>
      <c r="BF26" s="326">
        <f>'7'!Q17</f>
        <v>396</v>
      </c>
      <c r="BG26" s="326">
        <f>'7'!S17</f>
        <v>12</v>
      </c>
    </row>
    <row r="27" spans="1:59" s="77" customFormat="1" ht="18.75" customHeight="1" x14ac:dyDescent="0.3">
      <c r="A27" s="323">
        <v>4</v>
      </c>
      <c r="B27" s="324" t="s">
        <v>8</v>
      </c>
      <c r="C27" s="325">
        <f t="shared" si="53"/>
        <v>27948</v>
      </c>
      <c r="D27" s="325">
        <f t="shared" si="54"/>
        <v>27134</v>
      </c>
      <c r="E27" s="325">
        <f t="shared" si="55"/>
        <v>814</v>
      </c>
      <c r="F27" s="326">
        <f t="shared" si="75"/>
        <v>6271</v>
      </c>
      <c r="G27" s="326">
        <f>'1'!N9</f>
        <v>6088</v>
      </c>
      <c r="H27" s="326">
        <f>'1'!O9</f>
        <v>183</v>
      </c>
      <c r="I27" s="326">
        <f t="shared" si="56"/>
        <v>6063</v>
      </c>
      <c r="J27" s="326">
        <f>'2'!P14</f>
        <v>5886</v>
      </c>
      <c r="K27" s="326">
        <f>'2'!Q14</f>
        <v>177</v>
      </c>
      <c r="L27" s="338">
        <f t="shared" si="48"/>
        <v>2654</v>
      </c>
      <c r="M27" s="326">
        <f>'TD1-3'!P13</f>
        <v>2577</v>
      </c>
      <c r="N27" s="326">
        <f>'TD1-3'!Q13</f>
        <v>77</v>
      </c>
      <c r="O27" s="338">
        <f t="shared" si="49"/>
        <v>450</v>
      </c>
      <c r="P27" s="326">
        <f>'TDA 2-3'!L14</f>
        <v>437</v>
      </c>
      <c r="Q27" s="326">
        <f>'TDA 2-3'!M14</f>
        <v>13</v>
      </c>
      <c r="R27" s="326">
        <f t="shared" si="57"/>
        <v>5181</v>
      </c>
      <c r="S27" s="326">
        <f t="shared" si="58"/>
        <v>5030</v>
      </c>
      <c r="T27" s="326">
        <f t="shared" si="59"/>
        <v>151</v>
      </c>
      <c r="U27" s="326">
        <f t="shared" si="60"/>
        <v>3655</v>
      </c>
      <c r="V27" s="326">
        <f t="shared" si="61"/>
        <v>3549</v>
      </c>
      <c r="W27" s="326">
        <f t="shared" si="62"/>
        <v>106</v>
      </c>
      <c r="X27" s="326"/>
      <c r="Y27" s="326"/>
      <c r="Z27" s="326"/>
      <c r="AA27" s="338">
        <f t="shared" si="50"/>
        <v>1236</v>
      </c>
      <c r="AB27" s="326">
        <f>'ND1-TDA 1-4'!M11</f>
        <v>1200</v>
      </c>
      <c r="AC27" s="326">
        <f>'ND1-TDA 1-4'!N11</f>
        <v>36</v>
      </c>
      <c r="AD27" s="338">
        <f t="shared" si="51"/>
        <v>2419</v>
      </c>
      <c r="AE27" s="326">
        <f>'ND2-TDA1-4'!P11</f>
        <v>2349</v>
      </c>
      <c r="AF27" s="326">
        <f>'ND2-TDA1-4'!Q11</f>
        <v>70</v>
      </c>
      <c r="AG27" s="326">
        <f t="shared" si="63"/>
        <v>686</v>
      </c>
      <c r="AH27" s="326">
        <f>'TDA 2-4'!L11</f>
        <v>666</v>
      </c>
      <c r="AI27" s="326">
        <f>'TDA 2-4'!M11</f>
        <v>20</v>
      </c>
      <c r="AJ27" s="326">
        <f t="shared" si="64"/>
        <v>840</v>
      </c>
      <c r="AK27" s="326">
        <f>'TDA3-4'!L13</f>
        <v>815</v>
      </c>
      <c r="AL27" s="326">
        <f>'TDA3-4'!M13</f>
        <v>25</v>
      </c>
      <c r="AM27" s="326">
        <f t="shared" si="76"/>
        <v>5821</v>
      </c>
      <c r="AN27" s="326">
        <f>'5'!C7</f>
        <v>5651</v>
      </c>
      <c r="AO27" s="326">
        <f>'5'!D7</f>
        <v>170</v>
      </c>
      <c r="AP27" s="326">
        <f t="shared" si="65"/>
        <v>380</v>
      </c>
      <c r="AQ27" s="326">
        <f t="shared" si="66"/>
        <v>369</v>
      </c>
      <c r="AR27" s="326">
        <f t="shared" si="67"/>
        <v>11</v>
      </c>
      <c r="AS27" s="326">
        <f t="shared" si="68"/>
        <v>138</v>
      </c>
      <c r="AT27" s="326">
        <f>'TDA1-6'!N19</f>
        <v>134</v>
      </c>
      <c r="AU27" s="326">
        <f>'TDA1-6'!O19</f>
        <v>4</v>
      </c>
      <c r="AV27" s="326">
        <f t="shared" si="69"/>
        <v>242</v>
      </c>
      <c r="AW27" s="326">
        <f>'TDA2-6'!N15</f>
        <v>235</v>
      </c>
      <c r="AX27" s="326">
        <f>'TDA2-6'!O15</f>
        <v>7</v>
      </c>
      <c r="AY27" s="326">
        <f t="shared" si="70"/>
        <v>1128</v>
      </c>
      <c r="AZ27" s="326">
        <f t="shared" si="71"/>
        <v>1096</v>
      </c>
      <c r="BA27" s="326">
        <f t="shared" si="72"/>
        <v>32</v>
      </c>
      <c r="BB27" s="326">
        <f t="shared" si="73"/>
        <v>704</v>
      </c>
      <c r="BC27" s="326">
        <f>'7'!P18</f>
        <v>684</v>
      </c>
      <c r="BD27" s="326">
        <f>'7'!R18</f>
        <v>20</v>
      </c>
      <c r="BE27" s="326">
        <f t="shared" si="74"/>
        <v>424</v>
      </c>
      <c r="BF27" s="326">
        <f>'7'!Q18</f>
        <v>412</v>
      </c>
      <c r="BG27" s="326">
        <f>'7'!S18</f>
        <v>12</v>
      </c>
    </row>
    <row r="28" spans="1:59" s="77" customFormat="1" ht="18.75" customHeight="1" x14ac:dyDescent="0.3">
      <c r="A28" s="323">
        <v>5</v>
      </c>
      <c r="B28" s="324" t="s">
        <v>11</v>
      </c>
      <c r="C28" s="325">
        <f t="shared" si="53"/>
        <v>9402</v>
      </c>
      <c r="D28" s="325">
        <f t="shared" si="54"/>
        <v>9128</v>
      </c>
      <c r="E28" s="325">
        <f t="shared" si="55"/>
        <v>274</v>
      </c>
      <c r="F28" s="326">
        <f t="shared" si="75"/>
        <v>0</v>
      </c>
      <c r="G28" s="326"/>
      <c r="H28" s="326"/>
      <c r="I28" s="326">
        <f t="shared" si="56"/>
        <v>3687</v>
      </c>
      <c r="J28" s="326">
        <f>'2'!P15</f>
        <v>3580</v>
      </c>
      <c r="K28" s="326">
        <f>'2'!Q15</f>
        <v>107</v>
      </c>
      <c r="L28" s="338">
        <f t="shared" si="48"/>
        <v>1614</v>
      </c>
      <c r="M28" s="326">
        <f>'TD1-3'!P14</f>
        <v>1567</v>
      </c>
      <c r="N28" s="326">
        <f>'TD1-3'!Q14</f>
        <v>47</v>
      </c>
      <c r="O28" s="338">
        <f t="shared" si="49"/>
        <v>380</v>
      </c>
      <c r="P28" s="326">
        <f>'TDA 2-3'!L15</f>
        <v>369</v>
      </c>
      <c r="Q28" s="326">
        <f>'TDA 2-3'!M15</f>
        <v>11</v>
      </c>
      <c r="R28" s="326">
        <f t="shared" si="57"/>
        <v>2655</v>
      </c>
      <c r="S28" s="326">
        <f t="shared" si="58"/>
        <v>2578</v>
      </c>
      <c r="T28" s="326">
        <f t="shared" si="59"/>
        <v>77</v>
      </c>
      <c r="U28" s="326">
        <f t="shared" si="60"/>
        <v>2077</v>
      </c>
      <c r="V28" s="326">
        <f t="shared" si="61"/>
        <v>2017</v>
      </c>
      <c r="W28" s="326">
        <f t="shared" si="62"/>
        <v>60</v>
      </c>
      <c r="X28" s="326"/>
      <c r="Y28" s="326"/>
      <c r="Z28" s="326"/>
      <c r="AA28" s="338">
        <f t="shared" si="50"/>
        <v>0</v>
      </c>
      <c r="AB28" s="326">
        <f>'ND1-TDA 1-4'!M12</f>
        <v>0</v>
      </c>
      <c r="AC28" s="326">
        <f>'ND1-TDA 1-4'!N12</f>
        <v>0</v>
      </c>
      <c r="AD28" s="338">
        <f t="shared" si="51"/>
        <v>2077</v>
      </c>
      <c r="AE28" s="326">
        <f>'ND2-TDA1-4'!P12</f>
        <v>2017</v>
      </c>
      <c r="AF28" s="326">
        <f>'ND2-TDA1-4'!Q12</f>
        <v>60</v>
      </c>
      <c r="AG28" s="326">
        <f>AH28+AI28</f>
        <v>0</v>
      </c>
      <c r="AH28" s="326"/>
      <c r="AI28" s="326"/>
      <c r="AJ28" s="326">
        <f t="shared" si="64"/>
        <v>578</v>
      </c>
      <c r="AK28" s="326">
        <f>'TDA3-4'!L14</f>
        <v>561</v>
      </c>
      <c r="AL28" s="326">
        <f>'TDA3-4'!M14</f>
        <v>17</v>
      </c>
      <c r="AM28" s="326">
        <f t="shared" si="76"/>
        <v>0</v>
      </c>
      <c r="AN28" s="326"/>
      <c r="AO28" s="326"/>
      <c r="AP28" s="326">
        <f t="shared" si="65"/>
        <v>269</v>
      </c>
      <c r="AQ28" s="326">
        <f t="shared" si="66"/>
        <v>261</v>
      </c>
      <c r="AR28" s="326">
        <f t="shared" si="67"/>
        <v>8</v>
      </c>
      <c r="AS28" s="326">
        <f t="shared" si="68"/>
        <v>98</v>
      </c>
      <c r="AT28" s="326">
        <f>'TDA1-6'!N20</f>
        <v>95</v>
      </c>
      <c r="AU28" s="326">
        <f>'TDA1-6'!O20</f>
        <v>3</v>
      </c>
      <c r="AV28" s="326">
        <f t="shared" si="69"/>
        <v>171</v>
      </c>
      <c r="AW28" s="326">
        <f>'TDA2-6'!N16</f>
        <v>166</v>
      </c>
      <c r="AX28" s="326">
        <f>'TDA2-6'!O16</f>
        <v>5</v>
      </c>
      <c r="AY28" s="326">
        <f t="shared" si="70"/>
        <v>797</v>
      </c>
      <c r="AZ28" s="326">
        <f t="shared" si="71"/>
        <v>773</v>
      </c>
      <c r="BA28" s="326">
        <f t="shared" si="72"/>
        <v>24</v>
      </c>
      <c r="BB28" s="326">
        <f t="shared" si="73"/>
        <v>498</v>
      </c>
      <c r="BC28" s="326">
        <f>'7'!P19</f>
        <v>483</v>
      </c>
      <c r="BD28" s="326">
        <f>'7'!R19</f>
        <v>15</v>
      </c>
      <c r="BE28" s="326">
        <f t="shared" si="74"/>
        <v>299</v>
      </c>
      <c r="BF28" s="326">
        <f>'7'!Q19</f>
        <v>290</v>
      </c>
      <c r="BG28" s="326">
        <f>'7'!S19</f>
        <v>9</v>
      </c>
    </row>
    <row r="29" spans="1:59" s="77" customFormat="1" ht="18.75" customHeight="1" x14ac:dyDescent="0.3">
      <c r="A29" s="323">
        <v>6</v>
      </c>
      <c r="B29" s="324" t="s">
        <v>12</v>
      </c>
      <c r="C29" s="325">
        <f t="shared" si="53"/>
        <v>10595</v>
      </c>
      <c r="D29" s="325">
        <f t="shared" si="54"/>
        <v>10287</v>
      </c>
      <c r="E29" s="325">
        <f t="shared" si="55"/>
        <v>308</v>
      </c>
      <c r="F29" s="326">
        <f t="shared" si="75"/>
        <v>0</v>
      </c>
      <c r="G29" s="326"/>
      <c r="H29" s="326"/>
      <c r="I29" s="326">
        <f t="shared" si="56"/>
        <v>4168</v>
      </c>
      <c r="J29" s="326">
        <f>'2'!P16</f>
        <v>4047</v>
      </c>
      <c r="K29" s="326">
        <f>'2'!Q16</f>
        <v>121</v>
      </c>
      <c r="L29" s="338">
        <f t="shared" si="48"/>
        <v>1824</v>
      </c>
      <c r="M29" s="326">
        <f>'TD1-3'!P15</f>
        <v>1771</v>
      </c>
      <c r="N29" s="326">
        <f>'TD1-3'!Q15</f>
        <v>53</v>
      </c>
      <c r="O29" s="338">
        <f t="shared" si="49"/>
        <v>429</v>
      </c>
      <c r="P29" s="326">
        <f>'TDA 2-3'!L16</f>
        <v>417</v>
      </c>
      <c r="Q29" s="326">
        <f>'TDA 2-3'!M16</f>
        <v>12</v>
      </c>
      <c r="R29" s="326">
        <f t="shared" si="57"/>
        <v>2971</v>
      </c>
      <c r="S29" s="326">
        <f t="shared" si="58"/>
        <v>2884</v>
      </c>
      <c r="T29" s="326">
        <f t="shared" si="59"/>
        <v>87</v>
      </c>
      <c r="U29" s="326">
        <f t="shared" si="60"/>
        <v>2260</v>
      </c>
      <c r="V29" s="326">
        <f t="shared" si="61"/>
        <v>2194</v>
      </c>
      <c r="W29" s="326">
        <f t="shared" si="62"/>
        <v>66</v>
      </c>
      <c r="X29" s="326"/>
      <c r="Y29" s="326"/>
      <c r="Z29" s="326"/>
      <c r="AA29" s="338">
        <f t="shared" si="50"/>
        <v>0</v>
      </c>
      <c r="AB29" s="326">
        <f>'ND1-TDA 1-4'!M13</f>
        <v>0</v>
      </c>
      <c r="AC29" s="326">
        <f>'ND1-TDA 1-4'!N13</f>
        <v>0</v>
      </c>
      <c r="AD29" s="338">
        <f t="shared" si="51"/>
        <v>2260</v>
      </c>
      <c r="AE29" s="326">
        <f>'ND2-TDA1-4'!P13</f>
        <v>2194</v>
      </c>
      <c r="AF29" s="326">
        <f>'ND2-TDA1-4'!Q13</f>
        <v>66</v>
      </c>
      <c r="AG29" s="326">
        <f t="shared" si="63"/>
        <v>0</v>
      </c>
      <c r="AH29" s="326"/>
      <c r="AI29" s="326"/>
      <c r="AJ29" s="326">
        <f t="shared" si="64"/>
        <v>711</v>
      </c>
      <c r="AK29" s="326">
        <f>'TDA3-4'!L15</f>
        <v>690</v>
      </c>
      <c r="AL29" s="326">
        <f>'TDA3-4'!M15</f>
        <v>21</v>
      </c>
      <c r="AM29" s="326">
        <f t="shared" si="76"/>
        <v>0</v>
      </c>
      <c r="AN29" s="326"/>
      <c r="AO29" s="326"/>
      <c r="AP29" s="326">
        <f t="shared" si="65"/>
        <v>303</v>
      </c>
      <c r="AQ29" s="326">
        <f t="shared" si="66"/>
        <v>294</v>
      </c>
      <c r="AR29" s="326">
        <f t="shared" si="67"/>
        <v>9</v>
      </c>
      <c r="AS29" s="326">
        <f t="shared" si="68"/>
        <v>110</v>
      </c>
      <c r="AT29" s="326">
        <f>'TDA1-6'!N21</f>
        <v>107</v>
      </c>
      <c r="AU29" s="326">
        <f>'TDA1-6'!O21</f>
        <v>3</v>
      </c>
      <c r="AV29" s="326">
        <f t="shared" si="69"/>
        <v>193</v>
      </c>
      <c r="AW29" s="326">
        <f>'TDA2-6'!N17</f>
        <v>187</v>
      </c>
      <c r="AX29" s="326">
        <f>'TDA2-6'!O17</f>
        <v>6</v>
      </c>
      <c r="AY29" s="326">
        <f t="shared" si="70"/>
        <v>900</v>
      </c>
      <c r="AZ29" s="326">
        <f t="shared" si="71"/>
        <v>874</v>
      </c>
      <c r="BA29" s="326">
        <f t="shared" si="72"/>
        <v>26</v>
      </c>
      <c r="BB29" s="326">
        <f t="shared" si="73"/>
        <v>562</v>
      </c>
      <c r="BC29" s="326">
        <f>'7'!P20</f>
        <v>546</v>
      </c>
      <c r="BD29" s="326">
        <f>'7'!R20</f>
        <v>16</v>
      </c>
      <c r="BE29" s="326">
        <f t="shared" si="74"/>
        <v>338</v>
      </c>
      <c r="BF29" s="326">
        <f>'7'!Q20</f>
        <v>328</v>
      </c>
      <c r="BG29" s="326">
        <f>'7'!S20</f>
        <v>10</v>
      </c>
    </row>
    <row r="30" spans="1:59" s="77" customFormat="1" ht="18.75" customHeight="1" x14ac:dyDescent="0.3">
      <c r="A30" s="323">
        <v>7</v>
      </c>
      <c r="B30" s="324" t="s">
        <v>13</v>
      </c>
      <c r="C30" s="325">
        <f t="shared" si="53"/>
        <v>10178</v>
      </c>
      <c r="D30" s="325">
        <f t="shared" si="54"/>
        <v>9883</v>
      </c>
      <c r="E30" s="325">
        <f t="shared" si="55"/>
        <v>295</v>
      </c>
      <c r="F30" s="326">
        <f t="shared" si="75"/>
        <v>0</v>
      </c>
      <c r="G30" s="326"/>
      <c r="H30" s="326"/>
      <c r="I30" s="326">
        <f t="shared" si="56"/>
        <v>4022</v>
      </c>
      <c r="J30" s="326">
        <f>'2'!P17</f>
        <v>3905</v>
      </c>
      <c r="K30" s="326">
        <f>'2'!Q17</f>
        <v>117</v>
      </c>
      <c r="L30" s="338">
        <f t="shared" si="48"/>
        <v>1760</v>
      </c>
      <c r="M30" s="326">
        <f>'TD1-3'!P16</f>
        <v>1709</v>
      </c>
      <c r="N30" s="326">
        <f>'TD1-3'!Q16</f>
        <v>51</v>
      </c>
      <c r="O30" s="338">
        <f t="shared" si="49"/>
        <v>380</v>
      </c>
      <c r="P30" s="326">
        <f>'TDA 2-3'!L17</f>
        <v>369</v>
      </c>
      <c r="Q30" s="326">
        <f>'TDA 2-3'!M17</f>
        <v>11</v>
      </c>
      <c r="R30" s="326">
        <f t="shared" si="57"/>
        <v>2854</v>
      </c>
      <c r="S30" s="326">
        <f t="shared" si="58"/>
        <v>2771</v>
      </c>
      <c r="T30" s="326">
        <f t="shared" si="59"/>
        <v>83</v>
      </c>
      <c r="U30" s="326">
        <f t="shared" si="60"/>
        <v>2224</v>
      </c>
      <c r="V30" s="326">
        <f t="shared" si="61"/>
        <v>2159</v>
      </c>
      <c r="W30" s="326">
        <f t="shared" si="62"/>
        <v>65</v>
      </c>
      <c r="X30" s="326"/>
      <c r="Y30" s="326"/>
      <c r="Z30" s="326"/>
      <c r="AA30" s="338">
        <f t="shared" si="50"/>
        <v>0</v>
      </c>
      <c r="AB30" s="326">
        <f>'ND1-TDA 1-4'!M14</f>
        <v>0</v>
      </c>
      <c r="AC30" s="326">
        <f>'ND1-TDA 1-4'!N14</f>
        <v>0</v>
      </c>
      <c r="AD30" s="338">
        <f t="shared" si="51"/>
        <v>2224</v>
      </c>
      <c r="AE30" s="326">
        <f>'ND2-TDA1-4'!P14</f>
        <v>2159</v>
      </c>
      <c r="AF30" s="326">
        <f>'ND2-TDA1-4'!Q14</f>
        <v>65</v>
      </c>
      <c r="AG30" s="326">
        <f t="shared" si="63"/>
        <v>0</v>
      </c>
      <c r="AH30" s="326"/>
      <c r="AI30" s="326"/>
      <c r="AJ30" s="326">
        <f t="shared" si="64"/>
        <v>630</v>
      </c>
      <c r="AK30" s="326">
        <f>'TDA3-4'!L16</f>
        <v>612</v>
      </c>
      <c r="AL30" s="326">
        <f>'TDA3-4'!M16</f>
        <v>18</v>
      </c>
      <c r="AM30" s="326">
        <f t="shared" si="76"/>
        <v>0</v>
      </c>
      <c r="AN30" s="326"/>
      <c r="AO30" s="326"/>
      <c r="AP30" s="326">
        <f t="shared" si="65"/>
        <v>293</v>
      </c>
      <c r="AQ30" s="326">
        <f t="shared" si="66"/>
        <v>285</v>
      </c>
      <c r="AR30" s="326">
        <f t="shared" si="67"/>
        <v>8</v>
      </c>
      <c r="AS30" s="326">
        <f t="shared" si="68"/>
        <v>107</v>
      </c>
      <c r="AT30" s="326">
        <f>'TDA1-6'!N22</f>
        <v>104</v>
      </c>
      <c r="AU30" s="326">
        <f>'TDA1-6'!O22</f>
        <v>3</v>
      </c>
      <c r="AV30" s="326">
        <f t="shared" si="69"/>
        <v>186</v>
      </c>
      <c r="AW30" s="326">
        <f>'TDA2-6'!N18</f>
        <v>181</v>
      </c>
      <c r="AX30" s="326">
        <f>'TDA2-6'!O18</f>
        <v>5</v>
      </c>
      <c r="AY30" s="326">
        <f t="shared" si="70"/>
        <v>869</v>
      </c>
      <c r="AZ30" s="326">
        <f t="shared" si="71"/>
        <v>844</v>
      </c>
      <c r="BA30" s="326">
        <f t="shared" si="72"/>
        <v>25</v>
      </c>
      <c r="BB30" s="326">
        <f t="shared" si="73"/>
        <v>543</v>
      </c>
      <c r="BC30" s="326">
        <f>'7'!P21</f>
        <v>527</v>
      </c>
      <c r="BD30" s="326">
        <f>'7'!R21</f>
        <v>16</v>
      </c>
      <c r="BE30" s="326">
        <f t="shared" si="74"/>
        <v>326</v>
      </c>
      <c r="BF30" s="326">
        <f>'7'!Q21</f>
        <v>317</v>
      </c>
      <c r="BG30" s="326">
        <f>'7'!S21</f>
        <v>9</v>
      </c>
    </row>
    <row r="31" spans="1:59" s="78" customFormat="1" ht="18.75" customHeight="1" x14ac:dyDescent="0.3">
      <c r="A31" s="327">
        <v>8</v>
      </c>
      <c r="B31" s="328" t="s">
        <v>14</v>
      </c>
      <c r="C31" s="329">
        <f t="shared" si="53"/>
        <v>12587</v>
      </c>
      <c r="D31" s="329">
        <f t="shared" si="54"/>
        <v>12220</v>
      </c>
      <c r="E31" s="329">
        <f>H31+K31+N31+Q31+AC31+AF31+AI31+AL31+AO31+AU31+AX31+BD31+BG31</f>
        <v>367</v>
      </c>
      <c r="F31" s="330">
        <f t="shared" si="75"/>
        <v>0</v>
      </c>
      <c r="G31" s="330"/>
      <c r="H31" s="330"/>
      <c r="I31" s="330">
        <f t="shared" si="56"/>
        <v>5306</v>
      </c>
      <c r="J31" s="330">
        <f>'2'!P18</f>
        <v>5151</v>
      </c>
      <c r="K31" s="330">
        <f>'2'!Q18</f>
        <v>155</v>
      </c>
      <c r="L31" s="395">
        <f t="shared" si="48"/>
        <v>2322</v>
      </c>
      <c r="M31" s="330">
        <f>'TD1-3'!P17</f>
        <v>2254</v>
      </c>
      <c r="N31" s="330">
        <f>'TD1-3'!Q17</f>
        <v>68</v>
      </c>
      <c r="O31" s="395">
        <f t="shared" si="49"/>
        <v>358</v>
      </c>
      <c r="P31" s="330">
        <f>'TDA 2-3'!L18</f>
        <v>348</v>
      </c>
      <c r="Q31" s="330">
        <f>'TDA 2-3'!M18</f>
        <v>10</v>
      </c>
      <c r="R31" s="330">
        <f t="shared" si="57"/>
        <v>3067</v>
      </c>
      <c r="S31" s="330">
        <f t="shared" si="58"/>
        <v>2978</v>
      </c>
      <c r="T31" s="330">
        <f t="shared" si="59"/>
        <v>89</v>
      </c>
      <c r="U31" s="330">
        <f t="shared" si="60"/>
        <v>2333</v>
      </c>
      <c r="V31" s="330">
        <f t="shared" si="61"/>
        <v>2265</v>
      </c>
      <c r="W31" s="330">
        <f t="shared" si="62"/>
        <v>68</v>
      </c>
      <c r="X31" s="330"/>
      <c r="Y31" s="330"/>
      <c r="Z31" s="330"/>
      <c r="AA31" s="395">
        <f t="shared" si="50"/>
        <v>0</v>
      </c>
      <c r="AB31" s="330">
        <f>'ND1-TDA 1-4'!M15</f>
        <v>0</v>
      </c>
      <c r="AC31" s="330">
        <f>'ND1-TDA 1-4'!N15</f>
        <v>0</v>
      </c>
      <c r="AD31" s="395">
        <f t="shared" si="51"/>
        <v>2333</v>
      </c>
      <c r="AE31" s="330">
        <f>'ND2-TDA1-4'!P15</f>
        <v>2265</v>
      </c>
      <c r="AF31" s="330">
        <f>'ND2-TDA1-4'!Q15</f>
        <v>68</v>
      </c>
      <c r="AG31" s="330">
        <f t="shared" si="63"/>
        <v>0</v>
      </c>
      <c r="AH31" s="330"/>
      <c r="AI31" s="330"/>
      <c r="AJ31" s="330">
        <f t="shared" si="64"/>
        <v>734</v>
      </c>
      <c r="AK31" s="330">
        <f>'TDA3-4'!L17</f>
        <v>713</v>
      </c>
      <c r="AL31" s="330">
        <f>'TDA3-4'!M17</f>
        <v>21</v>
      </c>
      <c r="AM31" s="330">
        <f t="shared" si="76"/>
        <v>0</v>
      </c>
      <c r="AN31" s="330"/>
      <c r="AO31" s="330"/>
      <c r="AP31" s="330">
        <f t="shared" si="65"/>
        <v>387</v>
      </c>
      <c r="AQ31" s="330">
        <f t="shared" si="66"/>
        <v>376</v>
      </c>
      <c r="AR31" s="330">
        <f t="shared" si="67"/>
        <v>11</v>
      </c>
      <c r="AS31" s="330">
        <f t="shared" si="68"/>
        <v>141</v>
      </c>
      <c r="AT31" s="330">
        <f>'TDA1-6'!N23</f>
        <v>137</v>
      </c>
      <c r="AU31" s="330">
        <f>'TDA1-6'!O23</f>
        <v>4</v>
      </c>
      <c r="AV31" s="330">
        <f t="shared" si="69"/>
        <v>246</v>
      </c>
      <c r="AW31" s="330">
        <f>'TDA2-6'!N19</f>
        <v>239</v>
      </c>
      <c r="AX31" s="330">
        <f>'TDA2-6'!O19</f>
        <v>7</v>
      </c>
      <c r="AY31" s="330">
        <f t="shared" si="70"/>
        <v>1147</v>
      </c>
      <c r="AZ31" s="330">
        <f t="shared" si="71"/>
        <v>1113</v>
      </c>
      <c r="BA31" s="330">
        <f t="shared" si="72"/>
        <v>34</v>
      </c>
      <c r="BB31" s="330">
        <f t="shared" si="73"/>
        <v>716</v>
      </c>
      <c r="BC31" s="330">
        <f>'7'!P22</f>
        <v>695</v>
      </c>
      <c r="BD31" s="330">
        <f>'7'!R22</f>
        <v>21</v>
      </c>
      <c r="BE31" s="330">
        <f t="shared" si="74"/>
        <v>431</v>
      </c>
      <c r="BF31" s="330">
        <f>'7'!Q22</f>
        <v>418</v>
      </c>
      <c r="BG31" s="330">
        <f>'7'!S22</f>
        <v>13</v>
      </c>
    </row>
    <row r="32" spans="1:59" x14ac:dyDescent="0.3">
      <c r="B32" s="203"/>
      <c r="D32" s="201"/>
      <c r="M32" s="202"/>
    </row>
    <row r="33" spans="31:31" x14ac:dyDescent="0.3">
      <c r="AE33" s="56"/>
    </row>
    <row r="34" spans="31:31" x14ac:dyDescent="0.3">
      <c r="AE34" s="56"/>
    </row>
  </sheetData>
  <mergeCells count="48">
    <mergeCell ref="C1:AF1"/>
    <mergeCell ref="AS6:AU8"/>
    <mergeCell ref="AJ6:AL8"/>
    <mergeCell ref="AM5:AO8"/>
    <mergeCell ref="BC3:BG3"/>
    <mergeCell ref="AP5:AX5"/>
    <mergeCell ref="AG4:BG4"/>
    <mergeCell ref="AA8:AC8"/>
    <mergeCell ref="AG1:BG1"/>
    <mergeCell ref="AG2:BG2"/>
    <mergeCell ref="AY5:BG5"/>
    <mergeCell ref="AG5:AL5"/>
    <mergeCell ref="AA3:AE3"/>
    <mergeCell ref="R6:T9"/>
    <mergeCell ref="C2:AF2"/>
    <mergeCell ref="Y7:AF7"/>
    <mergeCell ref="AY6:BA9"/>
    <mergeCell ref="BB9:BD9"/>
    <mergeCell ref="BE9:BG9"/>
    <mergeCell ref="AV6:AX8"/>
    <mergeCell ref="BB6:BD8"/>
    <mergeCell ref="BE6:BG8"/>
    <mergeCell ref="AP6:AR9"/>
    <mergeCell ref="AS9:AU9"/>
    <mergeCell ref="AM9:AO9"/>
    <mergeCell ref="AG6:AI8"/>
    <mergeCell ref="AV9:AX9"/>
    <mergeCell ref="U6:AF6"/>
    <mergeCell ref="R5:AF5"/>
    <mergeCell ref="AG9:AI9"/>
    <mergeCell ref="AJ9:AL9"/>
    <mergeCell ref="X8:Z8"/>
    <mergeCell ref="A4:A10"/>
    <mergeCell ref="B4:B10"/>
    <mergeCell ref="F5:H8"/>
    <mergeCell ref="I5:K8"/>
    <mergeCell ref="L6:N8"/>
    <mergeCell ref="C4:E9"/>
    <mergeCell ref="I9:K9"/>
    <mergeCell ref="L9:N9"/>
    <mergeCell ref="F4:AF4"/>
    <mergeCell ref="F9:H9"/>
    <mergeCell ref="L5:Q5"/>
    <mergeCell ref="O6:Q8"/>
    <mergeCell ref="O9:Q9"/>
    <mergeCell ref="AD8:AF8"/>
    <mergeCell ref="U9:AF9"/>
    <mergeCell ref="U7:W8"/>
  </mergeCells>
  <pageMargins left="0.59055118110236227" right="0.19685039370078741" top="0.59055118110236227" bottom="0.39370078740157483" header="0.31496062992125984" footer="0.31496062992125984"/>
  <pageSetup paperSize="9" scale="65" firstPageNumber="195" fitToHeight="0" orientation="landscape" useFirstPageNumber="1" r:id="rId1"/>
  <headerFooter>
    <oddHeader xml:space="preserve">&amp;C&amp;P&amp;R&amp;"-,Bold Italic"Phụ lục 2: Chương trình GNBV
Biểu số 03         </oddHeader>
  </headerFooter>
  <colBreaks count="1" manualBreakCount="1">
    <brk id="32" max="3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Y17"/>
  <sheetViews>
    <sheetView view="pageLayout" zoomScale="70" zoomScaleNormal="85" zoomScaleSheetLayoutView="85" zoomScalePageLayoutView="70" workbookViewId="0">
      <selection activeCell="I15" sqref="I15"/>
    </sheetView>
  </sheetViews>
  <sheetFormatPr defaultColWidth="9" defaultRowHeight="18" x14ac:dyDescent="0.3"/>
  <cols>
    <col min="1" max="1" width="7.1640625" style="21" customWidth="1"/>
    <col min="2" max="2" width="20.58203125" style="15" customWidth="1"/>
    <col min="3" max="3" width="9.25" style="21" customWidth="1"/>
    <col min="4" max="4" width="8.1640625" style="21" customWidth="1"/>
    <col min="5" max="5" width="9.1640625" style="21" customWidth="1"/>
    <col min="6" max="6" width="7.75" style="21" bestFit="1" customWidth="1"/>
    <col min="7" max="7" width="14.4140625" style="22" customWidth="1"/>
    <col min="8" max="8" width="8" style="22" customWidth="1"/>
    <col min="9" max="9" width="9.25" style="22" customWidth="1"/>
    <col min="10" max="10" width="8.1640625" style="22" customWidth="1"/>
    <col min="11" max="11" width="12.58203125" style="22" customWidth="1"/>
    <col min="12" max="12" width="12" style="22" customWidth="1"/>
    <col min="13" max="13" width="11.75" style="22" customWidth="1"/>
    <col min="14" max="14" width="11.25" style="22" customWidth="1"/>
    <col min="15" max="15" width="10.75" style="22" customWidth="1"/>
    <col min="16" max="16" width="11.25" style="267" customWidth="1"/>
    <col min="17" max="18" width="9" style="15" customWidth="1"/>
    <col min="19" max="19" width="15.75" style="15" customWidth="1"/>
    <col min="20" max="20" width="15" style="15" customWidth="1"/>
    <col min="21" max="22" width="9" style="15" customWidth="1"/>
    <col min="23" max="23" width="9" style="15"/>
    <col min="24" max="24" width="15.1640625" style="344" hidden="1" customWidth="1"/>
    <col min="25" max="25" width="12.75" style="344" hidden="1" customWidth="1"/>
    <col min="26" max="16384" width="9" style="15"/>
  </cols>
  <sheetData>
    <row r="1" spans="1:25" s="1" customFormat="1" ht="17.5" x14ac:dyDescent="0.3">
      <c r="A1" s="508"/>
      <c r="B1" s="508"/>
      <c r="P1" s="405"/>
      <c r="X1" s="340"/>
      <c r="Y1" s="340"/>
    </row>
    <row r="2" spans="1:25" s="1" customFormat="1" ht="33.65" customHeight="1" x14ac:dyDescent="0.3">
      <c r="A2" s="509" t="s">
        <v>73</v>
      </c>
      <c r="B2" s="509"/>
      <c r="C2" s="509"/>
      <c r="D2" s="509"/>
      <c r="E2" s="509"/>
      <c r="F2" s="509"/>
      <c r="G2" s="509"/>
      <c r="H2" s="509"/>
      <c r="I2" s="509"/>
      <c r="J2" s="509"/>
      <c r="K2" s="509"/>
      <c r="L2" s="509"/>
      <c r="M2" s="509"/>
      <c r="N2" s="509"/>
      <c r="O2" s="509"/>
      <c r="P2" s="509"/>
      <c r="X2" s="340"/>
      <c r="Y2" s="340"/>
    </row>
    <row r="3" spans="1:25" s="2" customFormat="1" ht="33.65" customHeight="1" x14ac:dyDescent="0.3">
      <c r="A3" s="510" t="s">
        <v>355</v>
      </c>
      <c r="B3" s="510"/>
      <c r="C3" s="510"/>
      <c r="D3" s="510"/>
      <c r="E3" s="510"/>
      <c r="F3" s="510"/>
      <c r="G3" s="510"/>
      <c r="H3" s="510"/>
      <c r="I3" s="510"/>
      <c r="J3" s="510"/>
      <c r="K3" s="510"/>
      <c r="L3" s="510"/>
      <c r="M3" s="510"/>
      <c r="N3" s="510"/>
      <c r="O3" s="510"/>
      <c r="P3" s="510"/>
      <c r="X3" s="341"/>
      <c r="Y3" s="341"/>
    </row>
    <row r="4" spans="1:25" s="13" customFormat="1" ht="69" customHeight="1" x14ac:dyDescent="0.3">
      <c r="A4" s="511" t="s">
        <v>0</v>
      </c>
      <c r="B4" s="511" t="s">
        <v>1</v>
      </c>
      <c r="C4" s="513" t="s">
        <v>143</v>
      </c>
      <c r="D4" s="514"/>
      <c r="E4" s="513" t="s">
        <v>144</v>
      </c>
      <c r="F4" s="514"/>
      <c r="G4" s="517" t="s">
        <v>256</v>
      </c>
      <c r="H4" s="518"/>
      <c r="I4" s="513" t="s">
        <v>103</v>
      </c>
      <c r="J4" s="514"/>
      <c r="K4" s="515" t="s">
        <v>148</v>
      </c>
      <c r="L4" s="515" t="s">
        <v>112</v>
      </c>
      <c r="M4" s="515" t="s">
        <v>114</v>
      </c>
      <c r="N4" s="515" t="s">
        <v>334</v>
      </c>
      <c r="O4" s="515" t="s">
        <v>335</v>
      </c>
      <c r="P4" s="515" t="s">
        <v>93</v>
      </c>
      <c r="S4"/>
      <c r="X4" s="342"/>
      <c r="Y4" s="342"/>
    </row>
    <row r="5" spans="1:25" s="72" customFormat="1" ht="89.25" customHeight="1" x14ac:dyDescent="0.3">
      <c r="A5" s="512"/>
      <c r="B5" s="512"/>
      <c r="C5" s="332" t="s">
        <v>100</v>
      </c>
      <c r="D5" s="332" t="s">
        <v>99</v>
      </c>
      <c r="E5" s="332" t="s">
        <v>100</v>
      </c>
      <c r="F5" s="332" t="s">
        <v>99</v>
      </c>
      <c r="G5" s="246" t="s">
        <v>258</v>
      </c>
      <c r="H5" s="332" t="s">
        <v>99</v>
      </c>
      <c r="I5" s="332" t="s">
        <v>100</v>
      </c>
      <c r="J5" s="332" t="s">
        <v>99</v>
      </c>
      <c r="K5" s="516"/>
      <c r="L5" s="516"/>
      <c r="M5" s="516"/>
      <c r="N5" s="516"/>
      <c r="O5" s="516"/>
      <c r="P5" s="516"/>
      <c r="X5" s="343"/>
      <c r="Y5" s="343"/>
    </row>
    <row r="6" spans="1:25" s="13" customFormat="1" ht="17.5" x14ac:dyDescent="0.3">
      <c r="A6" s="81" t="s">
        <v>105</v>
      </c>
      <c r="B6" s="81" t="s">
        <v>106</v>
      </c>
      <c r="C6" s="79" t="s">
        <v>117</v>
      </c>
      <c r="D6" s="85">
        <v>1</v>
      </c>
      <c r="E6" s="79" t="s">
        <v>118</v>
      </c>
      <c r="F6" s="85">
        <v>2</v>
      </c>
      <c r="G6" s="8" t="s">
        <v>119</v>
      </c>
      <c r="H6" s="85">
        <v>3</v>
      </c>
      <c r="I6" s="79" t="s">
        <v>122</v>
      </c>
      <c r="J6" s="85">
        <v>4</v>
      </c>
      <c r="K6" s="85" t="s">
        <v>145</v>
      </c>
      <c r="L6" s="85">
        <v>6</v>
      </c>
      <c r="M6" s="85">
        <v>7</v>
      </c>
      <c r="N6" s="85" t="s">
        <v>146</v>
      </c>
      <c r="O6" s="85" t="s">
        <v>147</v>
      </c>
      <c r="P6" s="362" t="s">
        <v>133</v>
      </c>
      <c r="X6" s="342" t="s">
        <v>202</v>
      </c>
      <c r="Y6" s="342" t="s">
        <v>203</v>
      </c>
    </row>
    <row r="7" spans="1:25" s="13" customFormat="1" ht="17.5" x14ac:dyDescent="0.3">
      <c r="A7" s="81"/>
      <c r="B7" s="81" t="s">
        <v>5</v>
      </c>
      <c r="C7" s="79"/>
      <c r="D7" s="79"/>
      <c r="E7" s="79"/>
      <c r="F7" s="79"/>
      <c r="G7" s="8"/>
      <c r="H7" s="8"/>
      <c r="I7" s="79"/>
      <c r="J7" s="79"/>
      <c r="K7" s="94">
        <f>K8+K9</f>
        <v>1.74</v>
      </c>
      <c r="L7" s="79"/>
      <c r="M7" s="79"/>
      <c r="N7" s="176">
        <v>12463</v>
      </c>
      <c r="O7" s="176">
        <v>374</v>
      </c>
      <c r="P7" s="176">
        <f>P8+P9</f>
        <v>12837</v>
      </c>
      <c r="R7" s="193"/>
      <c r="S7" s="121"/>
      <c r="X7" s="342">
        <v>8520</v>
      </c>
      <c r="Y7" s="342">
        <v>8520</v>
      </c>
    </row>
    <row r="8" spans="1:25" ht="24" customHeight="1" x14ac:dyDescent="0.3">
      <c r="A8" s="247">
        <v>1</v>
      </c>
      <c r="B8" s="248" t="s">
        <v>4</v>
      </c>
      <c r="C8" s="249">
        <v>7456</v>
      </c>
      <c r="D8" s="250">
        <v>0.15</v>
      </c>
      <c r="E8" s="250">
        <f>53.54+15.61</f>
        <v>69.150000000000006</v>
      </c>
      <c r="F8" s="250">
        <v>0.5</v>
      </c>
      <c r="G8" s="251" t="s">
        <v>19</v>
      </c>
      <c r="H8" s="252">
        <v>0.12</v>
      </c>
      <c r="I8" s="251">
        <v>10</v>
      </c>
      <c r="J8" s="252">
        <v>0.12</v>
      </c>
      <c r="K8" s="252">
        <f>D8+F8+H8+J8</f>
        <v>0.89</v>
      </c>
      <c r="L8" s="249">
        <f>$N$7/$K$7</f>
        <v>7162.64367816092</v>
      </c>
      <c r="M8" s="249">
        <f>$O$7/$K$7</f>
        <v>214.94252873563218</v>
      </c>
      <c r="N8" s="253">
        <v>6375</v>
      </c>
      <c r="O8" s="253">
        <v>191</v>
      </c>
      <c r="P8" s="253">
        <f>N8+O8</f>
        <v>6566</v>
      </c>
      <c r="X8" s="344">
        <f>X7/K7*K8</f>
        <v>4357.9310344827591</v>
      </c>
      <c r="Y8" s="344">
        <f>O7/K7*K8</f>
        <v>191.29885057471265</v>
      </c>
    </row>
    <row r="9" spans="1:25" ht="36.75" customHeight="1" x14ac:dyDescent="0.3">
      <c r="A9" s="112">
        <v>2</v>
      </c>
      <c r="B9" s="113" t="s">
        <v>8</v>
      </c>
      <c r="C9" s="137">
        <v>7438</v>
      </c>
      <c r="D9" s="114">
        <v>0.15</v>
      </c>
      <c r="E9" s="114">
        <f>51.13+12.29</f>
        <v>63.42</v>
      </c>
      <c r="F9" s="114">
        <v>0.46</v>
      </c>
      <c r="G9" s="115" t="s">
        <v>19</v>
      </c>
      <c r="H9" s="117">
        <v>0.12</v>
      </c>
      <c r="I9" s="115">
        <v>10</v>
      </c>
      <c r="J9" s="117">
        <v>0.12</v>
      </c>
      <c r="K9" s="117">
        <f>D9+F9+H9+J9</f>
        <v>0.85</v>
      </c>
      <c r="L9" s="137">
        <f>$N$7/$K$7</f>
        <v>7162.64367816092</v>
      </c>
      <c r="M9" s="137">
        <f>$O$7/$K$7</f>
        <v>214.94252873563218</v>
      </c>
      <c r="N9" s="120">
        <v>6088</v>
      </c>
      <c r="O9" s="120">
        <v>183</v>
      </c>
      <c r="P9" s="120">
        <f>N9+O9</f>
        <v>6271</v>
      </c>
      <c r="X9" s="344">
        <f>X7/K7*K9</f>
        <v>4162.0689655172409</v>
      </c>
      <c r="Y9" s="344">
        <f>O7/K7*K9</f>
        <v>182.70114942528735</v>
      </c>
    </row>
    <row r="11" spans="1:25" x14ac:dyDescent="0.3">
      <c r="B11" s="196" t="s">
        <v>201</v>
      </c>
      <c r="R11" s="165"/>
    </row>
    <row r="12" spans="1:25" ht="21" x14ac:dyDescent="0.55000000000000004">
      <c r="B12" s="190" t="s">
        <v>165</v>
      </c>
    </row>
    <row r="13" spans="1:25" ht="21.5" x14ac:dyDescent="0.3">
      <c r="B13" s="188" t="s">
        <v>166</v>
      </c>
    </row>
    <row r="14" spans="1:25" ht="21.5" x14ac:dyDescent="0.3">
      <c r="B14" s="188" t="s">
        <v>167</v>
      </c>
    </row>
    <row r="15" spans="1:25" x14ac:dyDescent="0.3">
      <c r="B15" s="188" t="s">
        <v>168</v>
      </c>
    </row>
    <row r="16" spans="1:25" x14ac:dyDescent="0.3">
      <c r="B16" s="122"/>
    </row>
    <row r="17" spans="2:16" ht="33.75" customHeight="1" x14ac:dyDescent="0.3">
      <c r="B17" s="507" t="s">
        <v>323</v>
      </c>
      <c r="C17" s="507"/>
      <c r="D17" s="507"/>
      <c r="E17" s="507"/>
      <c r="F17" s="507"/>
      <c r="G17" s="507"/>
      <c r="H17" s="507"/>
      <c r="I17" s="507"/>
      <c r="J17" s="507"/>
      <c r="K17" s="507"/>
      <c r="L17" s="507"/>
      <c r="M17" s="507"/>
      <c r="N17" s="507"/>
      <c r="O17" s="507"/>
      <c r="P17" s="507"/>
    </row>
  </sheetData>
  <mergeCells count="16">
    <mergeCell ref="B17:P17"/>
    <mergeCell ref="A1:B1"/>
    <mergeCell ref="A2:P2"/>
    <mergeCell ref="A3:P3"/>
    <mergeCell ref="A4:A5"/>
    <mergeCell ref="B4:B5"/>
    <mergeCell ref="E4:F4"/>
    <mergeCell ref="O4:O5"/>
    <mergeCell ref="P4:P5"/>
    <mergeCell ref="C4:D4"/>
    <mergeCell ref="K4:K5"/>
    <mergeCell ref="G4:H4"/>
    <mergeCell ref="I4:J4"/>
    <mergeCell ref="M4:M5"/>
    <mergeCell ref="L4:L5"/>
    <mergeCell ref="N4:N5"/>
  </mergeCells>
  <pageMargins left="0.78740157480314965" right="0.39370078740157483" top="0.78740157480314965" bottom="0.78740157480314965" header="0.31496062992125984" footer="0.31496062992125984"/>
  <pageSetup paperSize="9" scale="76" firstPageNumber="197" orientation="landscape" useFirstPageNumber="1" r:id="rId1"/>
  <headerFooter>
    <oddHeader>&amp;C&amp;P&amp;R&amp;"Times New Roman,Bold Italic"&amp;12Phụ lục 2: Chương trình GNBV
Biểu số 2.1</oddHeader>
  </headerFooter>
  <colBreaks count="1" manualBreakCount="1">
    <brk id="16"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D32"/>
  <sheetViews>
    <sheetView view="pageLayout" topLeftCell="A4" zoomScale="85" zoomScaleNormal="70" zoomScaleSheetLayoutView="50" zoomScalePageLayoutView="85" workbookViewId="0">
      <selection activeCell="B12" sqref="B12"/>
    </sheetView>
  </sheetViews>
  <sheetFormatPr defaultColWidth="9" defaultRowHeight="18" x14ac:dyDescent="0.3"/>
  <cols>
    <col min="1" max="1" width="7.1640625" style="21" customWidth="1"/>
    <col min="2" max="2" width="32.58203125" style="15" customWidth="1"/>
    <col min="3" max="3" width="10.25" style="21" customWidth="1"/>
    <col min="4" max="4" width="9.75" style="21" customWidth="1"/>
    <col min="5" max="5" width="12.58203125" style="22" customWidth="1"/>
    <col min="6" max="6" width="9.75" style="22" customWidth="1"/>
    <col min="7" max="7" width="14.4140625" style="22" customWidth="1"/>
    <col min="8" max="8" width="11" style="22" customWidth="1"/>
    <col min="9" max="9" width="10.58203125" style="22" customWidth="1"/>
    <col min="10" max="10" width="11.58203125" style="22" customWidth="1"/>
    <col min="11" max="11" width="12.58203125" style="22" customWidth="1"/>
    <col min="12" max="12" width="15.58203125" style="22" customWidth="1"/>
    <col min="13" max="13" width="11.58203125" style="22" customWidth="1"/>
    <col min="14" max="14" width="10.75" style="22" customWidth="1"/>
    <col min="15" max="15" width="12.1640625" style="22" customWidth="1"/>
    <col min="16" max="16" width="14.4140625" style="22" customWidth="1"/>
    <col min="17" max="17" width="14.1640625" style="22" customWidth="1"/>
    <col min="18" max="18" width="14.4140625" style="267" customWidth="1"/>
    <col min="19" max="19" width="9" style="15" hidden="1" customWidth="1"/>
    <col min="20" max="20" width="13.75" style="15" hidden="1" customWidth="1"/>
    <col min="21" max="21" width="9.25" style="15" hidden="1" customWidth="1"/>
    <col min="22" max="22" width="17.83203125" style="15" hidden="1" customWidth="1"/>
    <col min="23" max="23" width="22.83203125" style="15" customWidth="1"/>
    <col min="24" max="25" width="15" style="15" customWidth="1"/>
    <col min="26" max="26" width="11.25" style="15" customWidth="1"/>
    <col min="27" max="30" width="9" style="15" customWidth="1"/>
    <col min="31" max="16384" width="9" style="15"/>
  </cols>
  <sheetData>
    <row r="1" spans="1:30" s="1" customFormat="1" ht="33.65" customHeight="1" x14ac:dyDescent="0.3">
      <c r="A1" s="509" t="s">
        <v>74</v>
      </c>
      <c r="B1" s="509"/>
      <c r="C1" s="509"/>
      <c r="D1" s="509"/>
      <c r="E1" s="509"/>
      <c r="F1" s="509"/>
      <c r="G1" s="509"/>
      <c r="H1" s="509"/>
      <c r="I1" s="509"/>
      <c r="J1" s="509"/>
      <c r="K1" s="509"/>
      <c r="L1" s="509"/>
      <c r="M1" s="509"/>
      <c r="N1" s="509"/>
      <c r="O1" s="509"/>
      <c r="P1" s="509"/>
      <c r="Q1" s="509"/>
      <c r="R1" s="509"/>
    </row>
    <row r="2" spans="1:30" s="2" customFormat="1" ht="33.65" customHeight="1" x14ac:dyDescent="0.3">
      <c r="A2" s="510" t="str">
        <f>'1'!A3:P3</f>
        <v>(Kèm theo Báo cáo số 809/BC-UBND ngày 27 tháng 11 năm 2023 của UBND tỉnh)</v>
      </c>
      <c r="B2" s="510"/>
      <c r="C2" s="510"/>
      <c r="D2" s="510"/>
      <c r="E2" s="510"/>
      <c r="F2" s="510"/>
      <c r="G2" s="510"/>
      <c r="H2" s="510"/>
      <c r="I2" s="510"/>
      <c r="J2" s="510"/>
      <c r="K2" s="510"/>
      <c r="L2" s="510"/>
      <c r="M2" s="510"/>
      <c r="N2" s="510"/>
      <c r="O2" s="510"/>
      <c r="P2" s="510"/>
      <c r="Q2" s="510"/>
      <c r="R2" s="510"/>
    </row>
    <row r="3" spans="1:30" s="13" customFormat="1" ht="91.5" customHeight="1" x14ac:dyDescent="0.3">
      <c r="A3" s="523" t="s">
        <v>0</v>
      </c>
      <c r="B3" s="523" t="s">
        <v>1</v>
      </c>
      <c r="C3" s="521" t="s">
        <v>97</v>
      </c>
      <c r="D3" s="522"/>
      <c r="E3" s="521" t="s">
        <v>98</v>
      </c>
      <c r="F3" s="522"/>
      <c r="G3" s="525" t="s">
        <v>102</v>
      </c>
      <c r="H3" s="526"/>
      <c r="I3" s="521" t="s">
        <v>103</v>
      </c>
      <c r="J3" s="522"/>
      <c r="K3" s="519" t="s">
        <v>240</v>
      </c>
      <c r="L3" s="93" t="s">
        <v>107</v>
      </c>
      <c r="M3" s="519" t="s">
        <v>23</v>
      </c>
      <c r="N3" s="519" t="s">
        <v>112</v>
      </c>
      <c r="O3" s="519" t="s">
        <v>156</v>
      </c>
      <c r="P3" s="519" t="s">
        <v>334</v>
      </c>
      <c r="Q3" s="519" t="s">
        <v>335</v>
      </c>
      <c r="R3" s="519" t="s">
        <v>93</v>
      </c>
      <c r="U3" s="185"/>
    </row>
    <row r="4" spans="1:30" s="13" customFormat="1" ht="83.25" customHeight="1" x14ac:dyDescent="0.3">
      <c r="A4" s="524"/>
      <c r="B4" s="524"/>
      <c r="C4" s="11" t="s">
        <v>100</v>
      </c>
      <c r="D4" s="11" t="s">
        <v>99</v>
      </c>
      <c r="E4" s="11" t="s">
        <v>100</v>
      </c>
      <c r="F4" s="11" t="s">
        <v>99</v>
      </c>
      <c r="G4" s="245" t="s">
        <v>257</v>
      </c>
      <c r="H4" s="11" t="s">
        <v>101</v>
      </c>
      <c r="I4" s="11" t="s">
        <v>100</v>
      </c>
      <c r="J4" s="11" t="s">
        <v>104</v>
      </c>
      <c r="K4" s="520"/>
      <c r="L4" s="11" t="s">
        <v>108</v>
      </c>
      <c r="M4" s="520"/>
      <c r="N4" s="520"/>
      <c r="O4" s="520"/>
      <c r="P4" s="520"/>
      <c r="Q4" s="520"/>
      <c r="R4" s="520"/>
    </row>
    <row r="5" spans="1:30" s="13" customFormat="1" ht="17.5" x14ac:dyDescent="0.3">
      <c r="A5" s="92" t="s">
        <v>105</v>
      </c>
      <c r="B5" s="92" t="s">
        <v>106</v>
      </c>
      <c r="C5" s="11" t="s">
        <v>117</v>
      </c>
      <c r="D5" s="85">
        <v>1</v>
      </c>
      <c r="E5" s="11" t="s">
        <v>118</v>
      </c>
      <c r="F5" s="85">
        <v>2</v>
      </c>
      <c r="G5" s="8" t="s">
        <v>119</v>
      </c>
      <c r="H5" s="85">
        <v>3</v>
      </c>
      <c r="I5" s="11" t="s">
        <v>122</v>
      </c>
      <c r="J5" s="85">
        <v>4</v>
      </c>
      <c r="K5" s="85" t="s">
        <v>157</v>
      </c>
      <c r="L5" s="85" t="s">
        <v>158</v>
      </c>
      <c r="M5" s="85" t="s">
        <v>159</v>
      </c>
      <c r="N5" s="362">
        <v>8</v>
      </c>
      <c r="O5" s="85">
        <v>9</v>
      </c>
      <c r="P5" s="85" t="s">
        <v>160</v>
      </c>
      <c r="Q5" s="85" t="s">
        <v>161</v>
      </c>
      <c r="R5" s="362" t="s">
        <v>162</v>
      </c>
      <c r="T5" s="193"/>
      <c r="W5" s="121"/>
    </row>
    <row r="6" spans="1:30" s="13" customFormat="1" ht="17.5" x14ac:dyDescent="0.3">
      <c r="A6" s="82"/>
      <c r="B6" s="95" t="s">
        <v>5</v>
      </c>
      <c r="C6" s="11"/>
      <c r="D6" s="11"/>
      <c r="E6" s="83"/>
      <c r="F6" s="83"/>
      <c r="G6" s="8"/>
      <c r="H6" s="91"/>
      <c r="I6" s="83"/>
      <c r="J6" s="83"/>
      <c r="K6" s="83"/>
      <c r="L6" s="83"/>
      <c r="M6" s="94"/>
      <c r="N6" s="266"/>
      <c r="O6" s="83"/>
      <c r="P6" s="219">
        <f>P7+P10</f>
        <v>42315.6</v>
      </c>
      <c r="Q6" s="219">
        <f>Q7+Q10</f>
        <v>1269.058</v>
      </c>
      <c r="R6" s="219">
        <f>R7+R10</f>
        <v>43585</v>
      </c>
      <c r="T6" s="193"/>
      <c r="U6" s="193">
        <f>P6*0.85</f>
        <v>35968.259999999995</v>
      </c>
      <c r="V6" s="268">
        <f>U6*0.03</f>
        <v>1079.0477999999998</v>
      </c>
    </row>
    <row r="7" spans="1:30" s="25" customFormat="1" ht="17.5" x14ac:dyDescent="0.3">
      <c r="A7" s="81" t="s">
        <v>6</v>
      </c>
      <c r="B7" s="96" t="s">
        <v>110</v>
      </c>
      <c r="C7" s="81"/>
      <c r="D7" s="81"/>
      <c r="E7" s="79"/>
      <c r="F7" s="79"/>
      <c r="G7" s="79"/>
      <c r="H7" s="79"/>
      <c r="I7" s="79"/>
      <c r="J7" s="79"/>
      <c r="K7" s="79"/>
      <c r="L7" s="79"/>
      <c r="M7" s="79"/>
      <c r="N7" s="79"/>
      <c r="O7" s="79"/>
      <c r="P7" s="176">
        <f>P8+P9</f>
        <v>6347</v>
      </c>
      <c r="Q7" s="176">
        <f t="shared" ref="Q7:R7" si="0">Q8+Q9</f>
        <v>190</v>
      </c>
      <c r="R7" s="176">
        <f t="shared" si="0"/>
        <v>6537</v>
      </c>
      <c r="T7" s="194"/>
    </row>
    <row r="8" spans="1:30" ht="45" customHeight="1" x14ac:dyDescent="0.3">
      <c r="A8" s="102">
        <v>1</v>
      </c>
      <c r="B8" s="366" t="s">
        <v>111</v>
      </c>
      <c r="C8" s="102"/>
      <c r="D8" s="102"/>
      <c r="E8" s="279"/>
      <c r="F8" s="279"/>
      <c r="G8" s="279"/>
      <c r="H8" s="279"/>
      <c r="I8" s="279"/>
      <c r="J8" s="279"/>
      <c r="K8" s="279"/>
      <c r="L8" s="279"/>
      <c r="M8" s="279"/>
      <c r="N8" s="279"/>
      <c r="O8" s="279"/>
      <c r="P8" s="118">
        <v>1505</v>
      </c>
      <c r="Q8" s="118">
        <v>45</v>
      </c>
      <c r="R8" s="118">
        <f>P8+Q8</f>
        <v>1550</v>
      </c>
      <c r="U8" s="15" t="s">
        <v>202</v>
      </c>
      <c r="V8" s="15" t="s">
        <v>203</v>
      </c>
    </row>
    <row r="9" spans="1:30" ht="37.5" customHeight="1" x14ac:dyDescent="0.3">
      <c r="A9" s="114">
        <v>2</v>
      </c>
      <c r="B9" s="406" t="s">
        <v>357</v>
      </c>
      <c r="C9" s="114"/>
      <c r="D9" s="114"/>
      <c r="E9" s="137"/>
      <c r="F9" s="137"/>
      <c r="G9" s="137"/>
      <c r="H9" s="137"/>
      <c r="I9" s="137"/>
      <c r="J9" s="137"/>
      <c r="K9" s="137"/>
      <c r="L9" s="137"/>
      <c r="M9" s="137"/>
      <c r="N9" s="137"/>
      <c r="O9" s="137"/>
      <c r="P9" s="120">
        <v>4842</v>
      </c>
      <c r="Q9" s="120">
        <v>145</v>
      </c>
      <c r="R9" s="120">
        <f>P9+Q9</f>
        <v>4987</v>
      </c>
    </row>
    <row r="10" spans="1:30" s="13" customFormat="1" ht="24" customHeight="1" x14ac:dyDescent="0.3">
      <c r="A10" s="82" t="s">
        <v>7</v>
      </c>
      <c r="B10" s="95" t="s">
        <v>109</v>
      </c>
      <c r="C10" s="11"/>
      <c r="D10" s="11"/>
      <c r="E10" s="219">
        <f>SUM(E11:E18)</f>
        <v>29881</v>
      </c>
      <c r="F10" s="83"/>
      <c r="G10" s="8"/>
      <c r="H10" s="91"/>
      <c r="I10" s="219">
        <f>SUM(I11:I18)</f>
        <v>108</v>
      </c>
      <c r="J10" s="83"/>
      <c r="K10" s="83"/>
      <c r="L10" s="83"/>
      <c r="M10" s="94">
        <f>SUM(M11:M18)</f>
        <v>12.71</v>
      </c>
      <c r="N10" s="266"/>
      <c r="O10" s="83"/>
      <c r="P10" s="219">
        <v>35968.6</v>
      </c>
      <c r="Q10" s="219">
        <v>1079.058</v>
      </c>
      <c r="R10" s="219">
        <f>SUM(R11:R18)</f>
        <v>37048</v>
      </c>
      <c r="T10" s="121"/>
      <c r="U10" s="123"/>
    </row>
    <row r="11" spans="1:30" ht="24" customHeight="1" x14ac:dyDescent="0.3">
      <c r="A11" s="369">
        <v>1</v>
      </c>
      <c r="B11" s="370" t="s">
        <v>10</v>
      </c>
      <c r="C11" s="102">
        <f>2.76+1.04</f>
        <v>3.8</v>
      </c>
      <c r="D11" s="102">
        <v>0.4</v>
      </c>
      <c r="E11" s="142">
        <f>332+125</f>
        <v>457</v>
      </c>
      <c r="F11" s="104">
        <v>0.4</v>
      </c>
      <c r="G11" s="103"/>
      <c r="H11" s="105"/>
      <c r="I11" s="142">
        <v>8</v>
      </c>
      <c r="J11" s="105">
        <v>1</v>
      </c>
      <c r="K11" s="105">
        <f t="shared" ref="K11:K18" si="1">D11+F11</f>
        <v>0.8</v>
      </c>
      <c r="L11" s="105">
        <f>H11*2.5+J11</f>
        <v>1</v>
      </c>
      <c r="M11" s="105">
        <f>K11*L11</f>
        <v>0.8</v>
      </c>
      <c r="N11" s="279">
        <f>P10/$M$10</f>
        <v>2829.9449252557038</v>
      </c>
      <c r="O11" s="118">
        <f>$Q$10/$M$10</f>
        <v>84.898347757671118</v>
      </c>
      <c r="P11" s="118">
        <v>2264</v>
      </c>
      <c r="Q11" s="118">
        <v>68</v>
      </c>
      <c r="R11" s="118">
        <f>P11+Q11</f>
        <v>2332</v>
      </c>
      <c r="T11" s="165"/>
      <c r="U11" s="192">
        <f>M11*N11</f>
        <v>2263.9559402045629</v>
      </c>
      <c r="V11" s="192">
        <f>M11*O11</f>
        <v>67.918678206136903</v>
      </c>
      <c r="X11" s="267"/>
      <c r="Y11" s="267"/>
      <c r="Z11" s="192"/>
      <c r="AD11" s="165"/>
    </row>
    <row r="12" spans="1:30" ht="24" customHeight="1" x14ac:dyDescent="0.3">
      <c r="A12" s="371">
        <v>2</v>
      </c>
      <c r="B12" s="372" t="s">
        <v>4</v>
      </c>
      <c r="C12" s="108">
        <f>53.54+15.61</f>
        <v>69.150000000000006</v>
      </c>
      <c r="D12" s="108">
        <v>0.9</v>
      </c>
      <c r="E12" s="143">
        <f>3992+1164</f>
        <v>5156</v>
      </c>
      <c r="F12" s="110">
        <v>0.8</v>
      </c>
      <c r="G12" s="109" t="s">
        <v>19</v>
      </c>
      <c r="H12" s="111">
        <v>0.12</v>
      </c>
      <c r="I12" s="143">
        <v>10</v>
      </c>
      <c r="J12" s="111">
        <v>1</v>
      </c>
      <c r="K12" s="111">
        <f t="shared" si="1"/>
        <v>1.7000000000000002</v>
      </c>
      <c r="L12" s="111">
        <f>H12*2.5+J12</f>
        <v>1.3</v>
      </c>
      <c r="M12" s="111">
        <f>K12*L12</f>
        <v>2.2100000000000004</v>
      </c>
      <c r="N12" s="280">
        <f>$P$10/$M$10</f>
        <v>2829.9449252557038</v>
      </c>
      <c r="O12" s="119">
        <f t="shared" ref="O12:O18" si="2">$Q$10/$M$10</f>
        <v>84.898347757671118</v>
      </c>
      <c r="P12" s="119">
        <v>6254</v>
      </c>
      <c r="Q12" s="119">
        <v>188</v>
      </c>
      <c r="R12" s="119">
        <f t="shared" ref="R12:R18" si="3">P12+Q12</f>
        <v>6442</v>
      </c>
      <c r="U12" s="15">
        <f t="shared" ref="U12:U18" si="4">M12*N12</f>
        <v>6254.1782848151061</v>
      </c>
      <c r="V12" s="192">
        <f t="shared" ref="V12:V18" si="5">M12*O12</f>
        <v>187.6253485444532</v>
      </c>
    </row>
    <row r="13" spans="1:30" ht="24" customHeight="1" x14ac:dyDescent="0.3">
      <c r="A13" s="371">
        <v>3</v>
      </c>
      <c r="B13" s="372" t="s">
        <v>3</v>
      </c>
      <c r="C13" s="108">
        <f>28.33+13.31</f>
        <v>41.64</v>
      </c>
      <c r="D13" s="108">
        <v>0.7</v>
      </c>
      <c r="E13" s="143">
        <f>3443+1618</f>
        <v>5061</v>
      </c>
      <c r="F13" s="110">
        <v>0.8</v>
      </c>
      <c r="G13" s="109"/>
      <c r="H13" s="111"/>
      <c r="I13" s="143">
        <v>15</v>
      </c>
      <c r="J13" s="111">
        <v>1.1499999999999999</v>
      </c>
      <c r="K13" s="111">
        <f t="shared" si="1"/>
        <v>1.5</v>
      </c>
      <c r="L13" s="111">
        <f t="shared" ref="L13" si="6">H13*2.5+J13</f>
        <v>1.1499999999999999</v>
      </c>
      <c r="M13" s="111">
        <f>K13*L13</f>
        <v>1.7249999999999999</v>
      </c>
      <c r="N13" s="280">
        <f t="shared" ref="N13:N18" si="7">$P$10/$M$10</f>
        <v>2829.9449252557038</v>
      </c>
      <c r="O13" s="119">
        <f t="shared" si="2"/>
        <v>84.898347757671118</v>
      </c>
      <c r="P13" s="119">
        <v>4882</v>
      </c>
      <c r="Q13" s="119">
        <v>146</v>
      </c>
      <c r="R13" s="119">
        <f t="shared" si="3"/>
        <v>5028</v>
      </c>
      <c r="U13" s="15">
        <f t="shared" si="4"/>
        <v>4881.6549960660886</v>
      </c>
      <c r="V13" s="192">
        <f t="shared" si="5"/>
        <v>146.44964988198268</v>
      </c>
    </row>
    <row r="14" spans="1:30" ht="24" customHeight="1" x14ac:dyDescent="0.3">
      <c r="A14" s="371">
        <v>4</v>
      </c>
      <c r="B14" s="372" t="s">
        <v>8</v>
      </c>
      <c r="C14" s="108">
        <f>51.13+12.29</f>
        <v>63.42</v>
      </c>
      <c r="D14" s="108">
        <v>0.9</v>
      </c>
      <c r="E14" s="143">
        <f>3803+914</f>
        <v>4717</v>
      </c>
      <c r="F14" s="110">
        <v>0.7</v>
      </c>
      <c r="G14" s="109" t="s">
        <v>19</v>
      </c>
      <c r="H14" s="111">
        <v>0.12</v>
      </c>
      <c r="I14" s="143">
        <v>10</v>
      </c>
      <c r="J14" s="111">
        <v>1</v>
      </c>
      <c r="K14" s="111">
        <f t="shared" si="1"/>
        <v>1.6</v>
      </c>
      <c r="L14" s="111">
        <f>H14*2.5+J14</f>
        <v>1.3</v>
      </c>
      <c r="M14" s="111">
        <f t="shared" ref="M14:M18" si="8">K14*L14</f>
        <v>2.08</v>
      </c>
      <c r="N14" s="280">
        <f t="shared" si="7"/>
        <v>2829.9449252557038</v>
      </c>
      <c r="O14" s="119">
        <f t="shared" si="2"/>
        <v>84.898347757671118</v>
      </c>
      <c r="P14" s="119">
        <v>5886</v>
      </c>
      <c r="Q14" s="119">
        <v>177</v>
      </c>
      <c r="R14" s="119">
        <f t="shared" si="3"/>
        <v>6063</v>
      </c>
      <c r="U14" s="15">
        <f t="shared" si="4"/>
        <v>5886.2854445318644</v>
      </c>
      <c r="V14" s="192">
        <f t="shared" si="5"/>
        <v>176.58856333595594</v>
      </c>
    </row>
    <row r="15" spans="1:30" ht="24" customHeight="1" x14ac:dyDescent="0.3">
      <c r="A15" s="371">
        <v>5</v>
      </c>
      <c r="B15" s="372" t="s">
        <v>11</v>
      </c>
      <c r="C15" s="108">
        <f>20.66+10.3</f>
        <v>30.96</v>
      </c>
      <c r="D15" s="108">
        <v>0.6</v>
      </c>
      <c r="E15" s="143">
        <f>1791+893</f>
        <v>2684</v>
      </c>
      <c r="F15" s="110">
        <v>0.5</v>
      </c>
      <c r="G15" s="109"/>
      <c r="H15" s="110"/>
      <c r="I15" s="143">
        <v>14</v>
      </c>
      <c r="J15" s="111">
        <v>1.1499999999999999</v>
      </c>
      <c r="K15" s="111">
        <f t="shared" si="1"/>
        <v>1.1000000000000001</v>
      </c>
      <c r="L15" s="111">
        <f>H15*2.5+J15</f>
        <v>1.1499999999999999</v>
      </c>
      <c r="M15" s="111">
        <f t="shared" si="8"/>
        <v>1.2649999999999999</v>
      </c>
      <c r="N15" s="280">
        <f t="shared" si="7"/>
        <v>2829.9449252557038</v>
      </c>
      <c r="O15" s="119">
        <f t="shared" si="2"/>
        <v>84.898347757671118</v>
      </c>
      <c r="P15" s="119">
        <v>3580</v>
      </c>
      <c r="Q15" s="119">
        <v>107</v>
      </c>
      <c r="R15" s="119">
        <f t="shared" si="3"/>
        <v>3687</v>
      </c>
      <c r="U15" s="15">
        <f t="shared" si="4"/>
        <v>3579.880330448465</v>
      </c>
      <c r="V15" s="192">
        <f t="shared" si="5"/>
        <v>107.39640991345395</v>
      </c>
      <c r="AD15" s="165"/>
    </row>
    <row r="16" spans="1:30" ht="24" customHeight="1" x14ac:dyDescent="0.3">
      <c r="A16" s="371">
        <v>6</v>
      </c>
      <c r="B16" s="372" t="s">
        <v>12</v>
      </c>
      <c r="C16" s="108">
        <f>18.37+8.75</f>
        <v>27.12</v>
      </c>
      <c r="D16" s="108">
        <v>0.5</v>
      </c>
      <c r="E16" s="143">
        <f>2424+1155</f>
        <v>3579</v>
      </c>
      <c r="F16" s="110">
        <v>0.6</v>
      </c>
      <c r="G16" s="109"/>
      <c r="H16" s="110"/>
      <c r="I16" s="143">
        <v>20</v>
      </c>
      <c r="J16" s="111">
        <v>1.3</v>
      </c>
      <c r="K16" s="111">
        <f t="shared" si="1"/>
        <v>1.1000000000000001</v>
      </c>
      <c r="L16" s="111">
        <f>H16*2.5+J16</f>
        <v>1.3</v>
      </c>
      <c r="M16" s="111">
        <f t="shared" si="8"/>
        <v>1.4300000000000002</v>
      </c>
      <c r="N16" s="280">
        <f t="shared" si="7"/>
        <v>2829.9449252557038</v>
      </c>
      <c r="O16" s="119">
        <f t="shared" si="2"/>
        <v>84.898347757671118</v>
      </c>
      <c r="P16" s="119">
        <v>4047</v>
      </c>
      <c r="Q16" s="119">
        <v>121</v>
      </c>
      <c r="R16" s="119">
        <f t="shared" si="3"/>
        <v>4168</v>
      </c>
      <c r="U16" s="15">
        <f t="shared" si="4"/>
        <v>4046.8212431156567</v>
      </c>
      <c r="V16" s="192">
        <f t="shared" si="5"/>
        <v>121.40463729346972</v>
      </c>
    </row>
    <row r="17" spans="1:30" ht="24" customHeight="1" x14ac:dyDescent="0.3">
      <c r="A17" s="371">
        <v>7</v>
      </c>
      <c r="B17" s="372" t="s">
        <v>13</v>
      </c>
      <c r="C17" s="108">
        <f>21.32+12.08</f>
        <v>33.4</v>
      </c>
      <c r="D17" s="108">
        <v>0.6</v>
      </c>
      <c r="E17" s="143">
        <f>2208+1251</f>
        <v>3459</v>
      </c>
      <c r="F17" s="110">
        <v>0.6</v>
      </c>
      <c r="G17" s="109"/>
      <c r="H17" s="110"/>
      <c r="I17" s="143">
        <v>14</v>
      </c>
      <c r="J17" s="111">
        <v>1.1499999999999999</v>
      </c>
      <c r="K17" s="111">
        <f t="shared" si="1"/>
        <v>1.2</v>
      </c>
      <c r="L17" s="111">
        <f>H17*2.5+J17</f>
        <v>1.1499999999999999</v>
      </c>
      <c r="M17" s="111">
        <f t="shared" si="8"/>
        <v>1.38</v>
      </c>
      <c r="N17" s="280">
        <f t="shared" si="7"/>
        <v>2829.9449252557038</v>
      </c>
      <c r="O17" s="119">
        <f t="shared" si="2"/>
        <v>84.898347757671118</v>
      </c>
      <c r="P17" s="119">
        <v>3905</v>
      </c>
      <c r="Q17" s="119">
        <v>117</v>
      </c>
      <c r="R17" s="119">
        <f t="shared" si="3"/>
        <v>4022</v>
      </c>
      <c r="U17" s="15">
        <f t="shared" si="4"/>
        <v>3905.323996852871</v>
      </c>
      <c r="V17" s="192">
        <f t="shared" si="5"/>
        <v>117.15971990558613</v>
      </c>
    </row>
    <row r="18" spans="1:30" ht="24" customHeight="1" x14ac:dyDescent="0.3">
      <c r="A18" s="373">
        <v>8</v>
      </c>
      <c r="B18" s="374" t="s">
        <v>14</v>
      </c>
      <c r="C18" s="114">
        <f>38.83+8.01</f>
        <v>46.839999999999996</v>
      </c>
      <c r="D18" s="114">
        <v>0.7</v>
      </c>
      <c r="E18" s="144">
        <f>3953+815</f>
        <v>4768</v>
      </c>
      <c r="F18" s="116">
        <v>0.7</v>
      </c>
      <c r="G18" s="115"/>
      <c r="H18" s="116"/>
      <c r="I18" s="144">
        <v>17</v>
      </c>
      <c r="J18" s="117">
        <v>1.3</v>
      </c>
      <c r="K18" s="117">
        <f t="shared" si="1"/>
        <v>1.4</v>
      </c>
      <c r="L18" s="117">
        <f>H18*2.5+J18</f>
        <v>1.3</v>
      </c>
      <c r="M18" s="117">
        <f t="shared" si="8"/>
        <v>1.8199999999999998</v>
      </c>
      <c r="N18" s="137">
        <f t="shared" si="7"/>
        <v>2829.9449252557038</v>
      </c>
      <c r="O18" s="120">
        <f t="shared" si="2"/>
        <v>84.898347757671118</v>
      </c>
      <c r="P18" s="120">
        <v>5151</v>
      </c>
      <c r="Q18" s="120">
        <v>155</v>
      </c>
      <c r="R18" s="120">
        <f t="shared" si="3"/>
        <v>5306</v>
      </c>
      <c r="U18" s="15">
        <f t="shared" si="4"/>
        <v>5150.4997639653802</v>
      </c>
      <c r="V18" s="192">
        <f t="shared" si="5"/>
        <v>154.51499291896141</v>
      </c>
      <c r="AD18" s="165"/>
    </row>
    <row r="20" spans="1:30" x14ac:dyDescent="0.3">
      <c r="B20" s="196" t="s">
        <v>201</v>
      </c>
      <c r="P20" s="183"/>
    </row>
    <row r="21" spans="1:30" x14ac:dyDescent="0.3">
      <c r="B21" s="186" t="s">
        <v>163</v>
      </c>
    </row>
    <row r="22" spans="1:30" x14ac:dyDescent="0.3">
      <c r="B22" s="186" t="s">
        <v>164</v>
      </c>
    </row>
    <row r="23" spans="1:30" ht="21.5" x14ac:dyDescent="0.3">
      <c r="B23" s="187" t="s">
        <v>149</v>
      </c>
    </row>
    <row r="24" spans="1:30" x14ac:dyDescent="0.3">
      <c r="B24" s="186" t="s">
        <v>69</v>
      </c>
    </row>
    <row r="25" spans="1:30" ht="21.5" x14ac:dyDescent="0.3">
      <c r="B25" s="188" t="s">
        <v>150</v>
      </c>
    </row>
    <row r="26" spans="1:30" ht="21.5" x14ac:dyDescent="0.3">
      <c r="B26" s="188" t="s">
        <v>151</v>
      </c>
    </row>
    <row r="27" spans="1:30" ht="21.5" x14ac:dyDescent="0.3">
      <c r="B27" s="188" t="s">
        <v>152</v>
      </c>
    </row>
    <row r="28" spans="1:30" ht="21" x14ac:dyDescent="0.3">
      <c r="B28" s="186" t="s">
        <v>153</v>
      </c>
    </row>
    <row r="29" spans="1:30" ht="21" x14ac:dyDescent="0.3">
      <c r="B29" s="186" t="s">
        <v>154</v>
      </c>
    </row>
    <row r="30" spans="1:30" x14ac:dyDescent="0.3">
      <c r="B30" s="188" t="s">
        <v>155</v>
      </c>
    </row>
    <row r="31" spans="1:30" x14ac:dyDescent="0.4">
      <c r="B31" s="189"/>
    </row>
    <row r="32" spans="1:30" x14ac:dyDescent="0.3">
      <c r="B32" s="186" t="s">
        <v>324</v>
      </c>
    </row>
  </sheetData>
  <mergeCells count="15">
    <mergeCell ref="O3:O4"/>
    <mergeCell ref="R3:R4"/>
    <mergeCell ref="K3:K4"/>
    <mergeCell ref="A1:R1"/>
    <mergeCell ref="A2:R2"/>
    <mergeCell ref="C3:D3"/>
    <mergeCell ref="E3:F3"/>
    <mergeCell ref="B3:B4"/>
    <mergeCell ref="A3:A4"/>
    <mergeCell ref="G3:H3"/>
    <mergeCell ref="I3:J3"/>
    <mergeCell ref="N3:N4"/>
    <mergeCell ref="P3:P4"/>
    <mergeCell ref="Q3:Q4"/>
    <mergeCell ref="M3:M4"/>
  </mergeCells>
  <pageMargins left="0.78740157480314965" right="0.39370078740157483" top="0.78740157480314965" bottom="0.78740157480314965" header="0.31496062992125984" footer="0.31496062992125984"/>
  <pageSetup paperSize="9" scale="53" firstPageNumber="198" orientation="landscape" useFirstPageNumber="1" r:id="rId1"/>
  <headerFooter>
    <oddHeader>&amp;C&amp;13&amp;P&amp;R&amp;"Times New Roman,Bold Italic"&amp;12Phụ lục 2: Chương trình GNBV
Biểu số 2.1</oddHeader>
  </headerFooter>
  <colBreaks count="1" manualBreakCount="1">
    <brk id="18"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31"/>
  <sheetViews>
    <sheetView view="pageLayout" zoomScale="70" zoomScaleNormal="85" zoomScalePageLayoutView="70" workbookViewId="0">
      <selection activeCell="C8" sqref="C8"/>
    </sheetView>
  </sheetViews>
  <sheetFormatPr defaultColWidth="9" defaultRowHeight="18" x14ac:dyDescent="0.3"/>
  <cols>
    <col min="1" max="1" width="7.1640625" style="21" customWidth="1"/>
    <col min="2" max="2" width="32.58203125" style="15" customWidth="1"/>
    <col min="3" max="3" width="10.25" style="21" customWidth="1"/>
    <col min="4" max="4" width="9.75" style="21" customWidth="1"/>
    <col min="5" max="5" width="11.1640625" style="22" customWidth="1"/>
    <col min="6" max="6" width="9.75" style="22" customWidth="1"/>
    <col min="7" max="7" width="14.4140625" style="22" customWidth="1"/>
    <col min="8" max="8" width="11" style="22" customWidth="1"/>
    <col min="9" max="9" width="10.58203125" style="22" customWidth="1"/>
    <col min="10" max="10" width="11.58203125" style="22" customWidth="1"/>
    <col min="11" max="11" width="12.58203125" style="22" customWidth="1"/>
    <col min="12" max="12" width="16.1640625" style="22" customWidth="1"/>
    <col min="13" max="13" width="12.1640625" style="22" customWidth="1"/>
    <col min="14" max="14" width="9.58203125" style="22" customWidth="1"/>
    <col min="15" max="15" width="10.1640625" style="22" customWidth="1"/>
    <col min="16" max="16" width="13.1640625" style="22" customWidth="1"/>
    <col min="17" max="17" width="12.25" style="22" customWidth="1"/>
    <col min="18" max="18" width="14.4140625" style="267" customWidth="1"/>
    <col min="19" max="19" width="11.1640625" style="15" hidden="1" customWidth="1"/>
    <col min="20" max="20" width="13.75" style="15" hidden="1" customWidth="1"/>
    <col min="21" max="21" width="15.75" style="15" hidden="1" customWidth="1"/>
    <col min="22" max="22" width="12.4140625" style="15" hidden="1" customWidth="1"/>
    <col min="23" max="23" width="9" style="15" hidden="1" customWidth="1"/>
    <col min="24" max="30" width="9" style="15" customWidth="1"/>
    <col min="31" max="16384" width="9" style="15"/>
  </cols>
  <sheetData>
    <row r="1" spans="1:22" s="1" customFormat="1" ht="33.65" customHeight="1" x14ac:dyDescent="0.3">
      <c r="A1" s="509" t="s">
        <v>340</v>
      </c>
      <c r="B1" s="509"/>
      <c r="C1" s="509"/>
      <c r="D1" s="509"/>
      <c r="E1" s="509"/>
      <c r="F1" s="509"/>
      <c r="G1" s="509"/>
      <c r="H1" s="509"/>
      <c r="I1" s="509"/>
      <c r="J1" s="509"/>
      <c r="K1" s="509"/>
      <c r="L1" s="509"/>
      <c r="M1" s="509"/>
      <c r="N1" s="509"/>
      <c r="O1" s="509"/>
      <c r="P1" s="509"/>
      <c r="Q1" s="509"/>
      <c r="R1" s="509"/>
    </row>
    <row r="2" spans="1:22" s="2" customFormat="1" ht="33.65" customHeight="1" x14ac:dyDescent="0.3">
      <c r="A2" s="510" t="str">
        <f>'1'!A3:P3</f>
        <v>(Kèm theo Báo cáo số 809/BC-UBND ngày 27 tháng 11 năm 2023 của UBND tỉnh)</v>
      </c>
      <c r="B2" s="510"/>
      <c r="C2" s="510"/>
      <c r="D2" s="510"/>
      <c r="E2" s="510"/>
      <c r="F2" s="510"/>
      <c r="G2" s="510"/>
      <c r="H2" s="510"/>
      <c r="I2" s="510"/>
      <c r="J2" s="510"/>
      <c r="K2" s="510"/>
      <c r="L2" s="510"/>
      <c r="M2" s="510"/>
      <c r="N2" s="510"/>
      <c r="O2" s="510"/>
      <c r="P2" s="510"/>
      <c r="Q2" s="510"/>
      <c r="R2" s="510"/>
    </row>
    <row r="3" spans="1:22" s="13" customFormat="1" ht="91.5" customHeight="1" x14ac:dyDescent="0.3">
      <c r="A3" s="523" t="s">
        <v>0</v>
      </c>
      <c r="B3" s="523" t="s">
        <v>1</v>
      </c>
      <c r="C3" s="521" t="s">
        <v>97</v>
      </c>
      <c r="D3" s="522"/>
      <c r="E3" s="521" t="s">
        <v>98</v>
      </c>
      <c r="F3" s="522"/>
      <c r="G3" s="525" t="s">
        <v>102</v>
      </c>
      <c r="H3" s="526"/>
      <c r="I3" s="521" t="s">
        <v>103</v>
      </c>
      <c r="J3" s="522"/>
      <c r="K3" s="519" t="s">
        <v>240</v>
      </c>
      <c r="L3" s="93" t="s">
        <v>107</v>
      </c>
      <c r="M3" s="519" t="s">
        <v>23</v>
      </c>
      <c r="N3" s="519" t="s">
        <v>112</v>
      </c>
      <c r="O3" s="519" t="s">
        <v>156</v>
      </c>
      <c r="P3" s="519" t="s">
        <v>334</v>
      </c>
      <c r="Q3" s="519" t="s">
        <v>335</v>
      </c>
      <c r="R3" s="519" t="s">
        <v>93</v>
      </c>
      <c r="U3" s="185"/>
    </row>
    <row r="4" spans="1:22" s="13" customFormat="1" ht="83.25" customHeight="1" x14ac:dyDescent="0.3">
      <c r="A4" s="524"/>
      <c r="B4" s="524"/>
      <c r="C4" s="11" t="s">
        <v>100</v>
      </c>
      <c r="D4" s="11" t="s">
        <v>99</v>
      </c>
      <c r="E4" s="11" t="s">
        <v>100</v>
      </c>
      <c r="F4" s="11" t="s">
        <v>99</v>
      </c>
      <c r="G4" s="332" t="s">
        <v>257</v>
      </c>
      <c r="H4" s="11" t="s">
        <v>101</v>
      </c>
      <c r="I4" s="11" t="s">
        <v>100</v>
      </c>
      <c r="J4" s="11" t="s">
        <v>104</v>
      </c>
      <c r="K4" s="520"/>
      <c r="L4" s="11" t="s">
        <v>108</v>
      </c>
      <c r="M4" s="520"/>
      <c r="N4" s="520"/>
      <c r="O4" s="520"/>
      <c r="P4" s="520"/>
      <c r="Q4" s="520"/>
      <c r="R4" s="520"/>
    </row>
    <row r="5" spans="1:22" s="13" customFormat="1" ht="17.5" x14ac:dyDescent="0.3">
      <c r="A5" s="92" t="s">
        <v>105</v>
      </c>
      <c r="B5" s="92" t="s">
        <v>106</v>
      </c>
      <c r="C5" s="11" t="s">
        <v>117</v>
      </c>
      <c r="D5" s="388">
        <v>1</v>
      </c>
      <c r="E5" s="11" t="s">
        <v>118</v>
      </c>
      <c r="F5" s="388">
        <v>2</v>
      </c>
      <c r="G5" s="8" t="s">
        <v>119</v>
      </c>
      <c r="H5" s="388">
        <v>3</v>
      </c>
      <c r="I5" s="11" t="s">
        <v>122</v>
      </c>
      <c r="J5" s="388">
        <v>4</v>
      </c>
      <c r="K5" s="388" t="s">
        <v>157</v>
      </c>
      <c r="L5" s="388" t="s">
        <v>158</v>
      </c>
      <c r="M5" s="388" t="s">
        <v>159</v>
      </c>
      <c r="N5" s="362">
        <v>8</v>
      </c>
      <c r="O5" s="388">
        <v>9</v>
      </c>
      <c r="P5" s="362" t="s">
        <v>160</v>
      </c>
      <c r="Q5" s="362" t="s">
        <v>161</v>
      </c>
      <c r="R5" s="362" t="s">
        <v>162</v>
      </c>
      <c r="T5" s="193"/>
    </row>
    <row r="6" spans="1:22" s="13" customFormat="1" ht="17.5" x14ac:dyDescent="0.3">
      <c r="A6" s="389"/>
      <c r="B6" s="95" t="s">
        <v>5</v>
      </c>
      <c r="C6" s="11"/>
      <c r="D6" s="11"/>
      <c r="E6" s="390"/>
      <c r="F6" s="390"/>
      <c r="G6" s="8"/>
      <c r="H6" s="91"/>
      <c r="I6" s="390"/>
      <c r="J6" s="390"/>
      <c r="K6" s="390"/>
      <c r="L6" s="390"/>
      <c r="M6" s="94"/>
      <c r="N6" s="390"/>
      <c r="O6" s="390"/>
      <c r="P6" s="219">
        <f>P7+P9</f>
        <v>17493</v>
      </c>
      <c r="Q6" s="219">
        <f>Q7+Q9</f>
        <v>525</v>
      </c>
      <c r="R6" s="219">
        <f>R7+R9</f>
        <v>18018</v>
      </c>
      <c r="S6" s="268"/>
      <c r="T6" s="193"/>
      <c r="U6" s="193">
        <f>P6*0.85</f>
        <v>14869.05</v>
      </c>
      <c r="V6" s="268">
        <f>U6*0.03</f>
        <v>446.07149999999996</v>
      </c>
    </row>
    <row r="7" spans="1:22" s="25" customFormat="1" ht="17.5" x14ac:dyDescent="0.3">
      <c r="A7" s="81" t="s">
        <v>6</v>
      </c>
      <c r="B7" s="96" t="s">
        <v>110</v>
      </c>
      <c r="C7" s="81"/>
      <c r="D7" s="81"/>
      <c r="E7" s="79"/>
      <c r="F7" s="79"/>
      <c r="G7" s="79"/>
      <c r="H7" s="79"/>
      <c r="I7" s="79"/>
      <c r="J7" s="79"/>
      <c r="K7" s="79"/>
      <c r="L7" s="79"/>
      <c r="M7" s="79"/>
      <c r="N7" s="79"/>
      <c r="O7" s="79"/>
      <c r="P7" s="176">
        <f>P8</f>
        <v>1749</v>
      </c>
      <c r="Q7" s="176">
        <f>Q8</f>
        <v>53</v>
      </c>
      <c r="R7" s="176">
        <f>P7+Q7</f>
        <v>1802</v>
      </c>
      <c r="T7" s="194"/>
    </row>
    <row r="8" spans="1:22" ht="36" x14ac:dyDescent="0.3">
      <c r="A8" s="28">
        <v>1</v>
      </c>
      <c r="B8" s="97" t="s">
        <v>357</v>
      </c>
      <c r="C8" s="98"/>
      <c r="D8" s="98"/>
      <c r="E8" s="99"/>
      <c r="F8" s="99"/>
      <c r="G8" s="14"/>
      <c r="H8" s="99"/>
      <c r="I8" s="99"/>
      <c r="J8" s="99"/>
      <c r="K8" s="99"/>
      <c r="L8" s="99"/>
      <c r="M8" s="14"/>
      <c r="N8" s="99"/>
      <c r="O8" s="99"/>
      <c r="P8" s="220">
        <v>1749</v>
      </c>
      <c r="Q8" s="220">
        <v>53</v>
      </c>
      <c r="R8" s="174">
        <f>P8+Q8</f>
        <v>1802</v>
      </c>
      <c r="S8" s="407"/>
      <c r="U8" s="15" t="s">
        <v>202</v>
      </c>
      <c r="V8" s="15" t="s">
        <v>203</v>
      </c>
    </row>
    <row r="9" spans="1:22" s="13" customFormat="1" ht="24" customHeight="1" x14ac:dyDescent="0.3">
      <c r="A9" s="389" t="s">
        <v>7</v>
      </c>
      <c r="B9" s="95" t="s">
        <v>109</v>
      </c>
      <c r="C9" s="11"/>
      <c r="D9" s="11"/>
      <c r="E9" s="404">
        <f>SUM(E10:E17)</f>
        <v>29881</v>
      </c>
      <c r="F9" s="390"/>
      <c r="G9" s="8"/>
      <c r="H9" s="91"/>
      <c r="I9" s="404">
        <f>SUM(I10:I17)</f>
        <v>108</v>
      </c>
      <c r="J9" s="390"/>
      <c r="K9" s="390"/>
      <c r="L9" s="390"/>
      <c r="M9" s="94">
        <f>SUM(M10:M17)</f>
        <v>12.71</v>
      </c>
      <c r="N9" s="390"/>
      <c r="O9" s="390"/>
      <c r="P9" s="219">
        <v>15744</v>
      </c>
      <c r="Q9" s="219">
        <v>472</v>
      </c>
      <c r="R9" s="219">
        <f>SUM(R10:R17)</f>
        <v>16216</v>
      </c>
      <c r="T9" s="121"/>
      <c r="U9" s="123"/>
    </row>
    <row r="10" spans="1:22" ht="24" customHeight="1" x14ac:dyDescent="0.3">
      <c r="A10" s="369">
        <v>1</v>
      </c>
      <c r="B10" s="370" t="s">
        <v>10</v>
      </c>
      <c r="C10" s="102">
        <f>2.76+1.04</f>
        <v>3.8</v>
      </c>
      <c r="D10" s="102">
        <v>0.4</v>
      </c>
      <c r="E10" s="103">
        <f>332+125</f>
        <v>457</v>
      </c>
      <c r="F10" s="104">
        <v>0.4</v>
      </c>
      <c r="G10" s="103"/>
      <c r="H10" s="105"/>
      <c r="I10" s="103">
        <v>8</v>
      </c>
      <c r="J10" s="105">
        <v>1</v>
      </c>
      <c r="K10" s="105">
        <f t="shared" ref="K10:K17" si="0">D10+F10</f>
        <v>0.8</v>
      </c>
      <c r="L10" s="105">
        <f>H10*2.5+J10</f>
        <v>1</v>
      </c>
      <c r="M10" s="105">
        <f>K10*L10</f>
        <v>0.8</v>
      </c>
      <c r="N10" s="279">
        <f>$P$9/$M$9</f>
        <v>1238.7096774193546</v>
      </c>
      <c r="O10" s="279">
        <f>$Q$9/$M$9</f>
        <v>37.136113296616834</v>
      </c>
      <c r="P10" s="118">
        <v>991</v>
      </c>
      <c r="Q10" s="118">
        <v>30</v>
      </c>
      <c r="R10" s="118">
        <f>P10+Q10</f>
        <v>1021</v>
      </c>
      <c r="T10" s="165"/>
      <c r="U10" s="192">
        <f>M10*N10</f>
        <v>990.96774193548379</v>
      </c>
      <c r="V10" s="192">
        <f>M10*O10</f>
        <v>29.708890637293468</v>
      </c>
    </row>
    <row r="11" spans="1:22" ht="24" customHeight="1" x14ac:dyDescent="0.3">
      <c r="A11" s="371">
        <v>2</v>
      </c>
      <c r="B11" s="372" t="s">
        <v>4</v>
      </c>
      <c r="C11" s="108">
        <f>53.54+15.61</f>
        <v>69.150000000000006</v>
      </c>
      <c r="D11" s="108">
        <v>0.9</v>
      </c>
      <c r="E11" s="109">
        <f>3992+1164</f>
        <v>5156</v>
      </c>
      <c r="F11" s="110">
        <v>0.8</v>
      </c>
      <c r="G11" s="109" t="s">
        <v>19</v>
      </c>
      <c r="H11" s="111">
        <v>0.12</v>
      </c>
      <c r="I11" s="109">
        <v>10</v>
      </c>
      <c r="J11" s="111">
        <v>1</v>
      </c>
      <c r="K11" s="111">
        <f t="shared" si="0"/>
        <v>1.7000000000000002</v>
      </c>
      <c r="L11" s="111">
        <f>H11*2.5+J11</f>
        <v>1.3</v>
      </c>
      <c r="M11" s="111">
        <f>K11*L11</f>
        <v>2.2100000000000004</v>
      </c>
      <c r="N11" s="280">
        <f>$P$9/$M$9</f>
        <v>1238.7096774193546</v>
      </c>
      <c r="O11" s="280">
        <f t="shared" ref="O11:O17" si="1">$Q$9/$M$9</f>
        <v>37.136113296616834</v>
      </c>
      <c r="P11" s="119">
        <v>2738</v>
      </c>
      <c r="Q11" s="119">
        <v>82</v>
      </c>
      <c r="R11" s="119">
        <f t="shared" ref="R11:R17" si="2">P11+Q11</f>
        <v>2820</v>
      </c>
      <c r="U11" s="192">
        <f t="shared" ref="U11:U17" si="3">M11*N11</f>
        <v>2737.5483870967741</v>
      </c>
      <c r="V11" s="192">
        <f t="shared" ref="V11:V17" si="4">M11*O11</f>
        <v>82.070810385523217</v>
      </c>
    </row>
    <row r="12" spans="1:22" ht="24" customHeight="1" x14ac:dyDescent="0.3">
      <c r="A12" s="371">
        <v>3</v>
      </c>
      <c r="B12" s="372" t="s">
        <v>3</v>
      </c>
      <c r="C12" s="108">
        <f>28.33+13.31</f>
        <v>41.64</v>
      </c>
      <c r="D12" s="108">
        <v>0.7</v>
      </c>
      <c r="E12" s="109">
        <f>3443+1618</f>
        <v>5061</v>
      </c>
      <c r="F12" s="110">
        <v>0.8</v>
      </c>
      <c r="G12" s="109"/>
      <c r="H12" s="111"/>
      <c r="I12" s="109">
        <v>15</v>
      </c>
      <c r="J12" s="111">
        <v>1.1499999999999999</v>
      </c>
      <c r="K12" s="111">
        <f t="shared" si="0"/>
        <v>1.5</v>
      </c>
      <c r="L12" s="111">
        <f t="shared" ref="L12" si="5">H12*2.5+J12</f>
        <v>1.1499999999999999</v>
      </c>
      <c r="M12" s="111">
        <f>K12*L12</f>
        <v>1.7249999999999999</v>
      </c>
      <c r="N12" s="280">
        <f>$P$9/$M$9</f>
        <v>1238.7096774193546</v>
      </c>
      <c r="O12" s="280">
        <f t="shared" si="1"/>
        <v>37.136113296616834</v>
      </c>
      <c r="P12" s="119">
        <v>2137</v>
      </c>
      <c r="Q12" s="119">
        <v>64</v>
      </c>
      <c r="R12" s="119">
        <f t="shared" si="2"/>
        <v>2201</v>
      </c>
      <c r="U12" s="192">
        <f t="shared" si="3"/>
        <v>2136.7741935483864</v>
      </c>
      <c r="V12" s="192">
        <f t="shared" si="4"/>
        <v>64.059795436664032</v>
      </c>
    </row>
    <row r="13" spans="1:22" ht="24" customHeight="1" x14ac:dyDescent="0.3">
      <c r="A13" s="371">
        <v>4</v>
      </c>
      <c r="B13" s="372" t="s">
        <v>8</v>
      </c>
      <c r="C13" s="108">
        <f>51.13+12.29</f>
        <v>63.42</v>
      </c>
      <c r="D13" s="108">
        <v>0.9</v>
      </c>
      <c r="E13" s="109">
        <f>3803+914</f>
        <v>4717</v>
      </c>
      <c r="F13" s="110">
        <v>0.7</v>
      </c>
      <c r="G13" s="109" t="s">
        <v>19</v>
      </c>
      <c r="H13" s="111">
        <v>0.12</v>
      </c>
      <c r="I13" s="109">
        <v>10</v>
      </c>
      <c r="J13" s="111">
        <v>1</v>
      </c>
      <c r="K13" s="111">
        <f t="shared" si="0"/>
        <v>1.6</v>
      </c>
      <c r="L13" s="111">
        <f>H13*2.5+J13</f>
        <v>1.3</v>
      </c>
      <c r="M13" s="111">
        <f t="shared" ref="M13:M17" si="6">K13*L13</f>
        <v>2.08</v>
      </c>
      <c r="N13" s="280">
        <f t="shared" ref="N13:N17" si="7">$P$9/$M$9</f>
        <v>1238.7096774193546</v>
      </c>
      <c r="O13" s="280">
        <f t="shared" si="1"/>
        <v>37.136113296616834</v>
      </c>
      <c r="P13" s="119">
        <v>2577</v>
      </c>
      <c r="Q13" s="119">
        <v>77</v>
      </c>
      <c r="R13" s="119">
        <f t="shared" si="2"/>
        <v>2654</v>
      </c>
      <c r="U13" s="192">
        <f t="shared" si="3"/>
        <v>2576.5161290322576</v>
      </c>
      <c r="V13" s="192">
        <f t="shared" si="4"/>
        <v>77.243115656963013</v>
      </c>
    </row>
    <row r="14" spans="1:22" ht="24" customHeight="1" x14ac:dyDescent="0.3">
      <c r="A14" s="371">
        <v>5</v>
      </c>
      <c r="B14" s="372" t="s">
        <v>11</v>
      </c>
      <c r="C14" s="108">
        <f>20.66+10.3</f>
        <v>30.96</v>
      </c>
      <c r="D14" s="108">
        <v>0.6</v>
      </c>
      <c r="E14" s="109">
        <f>1791+893</f>
        <v>2684</v>
      </c>
      <c r="F14" s="110">
        <v>0.5</v>
      </c>
      <c r="G14" s="109"/>
      <c r="H14" s="110"/>
      <c r="I14" s="109">
        <v>14</v>
      </c>
      <c r="J14" s="111">
        <v>1.1499999999999999</v>
      </c>
      <c r="K14" s="111">
        <f t="shared" si="0"/>
        <v>1.1000000000000001</v>
      </c>
      <c r="L14" s="111">
        <f>H14*2.5+J14</f>
        <v>1.1499999999999999</v>
      </c>
      <c r="M14" s="111">
        <f t="shared" si="6"/>
        <v>1.2649999999999999</v>
      </c>
      <c r="N14" s="280">
        <f t="shared" si="7"/>
        <v>1238.7096774193546</v>
      </c>
      <c r="O14" s="280">
        <f t="shared" si="1"/>
        <v>37.136113296616834</v>
      </c>
      <c r="P14" s="119">
        <v>1567</v>
      </c>
      <c r="Q14" s="119">
        <v>47</v>
      </c>
      <c r="R14" s="119">
        <f t="shared" si="2"/>
        <v>1614</v>
      </c>
      <c r="U14" s="192">
        <f t="shared" si="3"/>
        <v>1566.9677419354834</v>
      </c>
      <c r="V14" s="192">
        <f t="shared" si="4"/>
        <v>46.977183320220291</v>
      </c>
    </row>
    <row r="15" spans="1:22" ht="24" customHeight="1" x14ac:dyDescent="0.3">
      <c r="A15" s="371">
        <v>6</v>
      </c>
      <c r="B15" s="372" t="s">
        <v>12</v>
      </c>
      <c r="C15" s="108">
        <f>18.37+8.75</f>
        <v>27.12</v>
      </c>
      <c r="D15" s="108">
        <v>0.5</v>
      </c>
      <c r="E15" s="109">
        <f>2424+1155</f>
        <v>3579</v>
      </c>
      <c r="F15" s="110">
        <v>0.6</v>
      </c>
      <c r="G15" s="109"/>
      <c r="H15" s="110"/>
      <c r="I15" s="109">
        <v>20</v>
      </c>
      <c r="J15" s="111">
        <v>1.3</v>
      </c>
      <c r="K15" s="111">
        <f t="shared" si="0"/>
        <v>1.1000000000000001</v>
      </c>
      <c r="L15" s="111">
        <f>H15*2.5+J15</f>
        <v>1.3</v>
      </c>
      <c r="M15" s="111">
        <f t="shared" si="6"/>
        <v>1.4300000000000002</v>
      </c>
      <c r="N15" s="280">
        <f t="shared" si="7"/>
        <v>1238.7096774193546</v>
      </c>
      <c r="O15" s="280">
        <f t="shared" si="1"/>
        <v>37.136113296616834</v>
      </c>
      <c r="P15" s="119">
        <v>1771</v>
      </c>
      <c r="Q15" s="119">
        <v>53</v>
      </c>
      <c r="R15" s="119">
        <f t="shared" si="2"/>
        <v>1824</v>
      </c>
      <c r="U15" s="192">
        <f t="shared" si="3"/>
        <v>1771.3548387096773</v>
      </c>
      <c r="V15" s="192">
        <f t="shared" si="4"/>
        <v>53.104642014162081</v>
      </c>
    </row>
    <row r="16" spans="1:22" ht="24" customHeight="1" x14ac:dyDescent="0.3">
      <c r="A16" s="371">
        <v>7</v>
      </c>
      <c r="B16" s="372" t="s">
        <v>13</v>
      </c>
      <c r="C16" s="108">
        <f>21.32+12.08</f>
        <v>33.4</v>
      </c>
      <c r="D16" s="108">
        <v>0.6</v>
      </c>
      <c r="E16" s="109">
        <f>2208+1251</f>
        <v>3459</v>
      </c>
      <c r="F16" s="110">
        <v>0.6</v>
      </c>
      <c r="G16" s="109"/>
      <c r="H16" s="110"/>
      <c r="I16" s="109">
        <v>14</v>
      </c>
      <c r="J16" s="111">
        <v>1.1499999999999999</v>
      </c>
      <c r="K16" s="111">
        <f t="shared" si="0"/>
        <v>1.2</v>
      </c>
      <c r="L16" s="111">
        <f>H16*2.5+J16</f>
        <v>1.1499999999999999</v>
      </c>
      <c r="M16" s="111">
        <f t="shared" si="6"/>
        <v>1.38</v>
      </c>
      <c r="N16" s="280">
        <f t="shared" si="7"/>
        <v>1238.7096774193546</v>
      </c>
      <c r="O16" s="280">
        <f t="shared" si="1"/>
        <v>37.136113296616834</v>
      </c>
      <c r="P16" s="119">
        <v>1709</v>
      </c>
      <c r="Q16" s="119">
        <v>51</v>
      </c>
      <c r="R16" s="119">
        <f t="shared" si="2"/>
        <v>1760</v>
      </c>
      <c r="U16" s="192">
        <f t="shared" si="3"/>
        <v>1709.4193548387093</v>
      </c>
      <c r="V16" s="192">
        <f t="shared" si="4"/>
        <v>51.24783634933123</v>
      </c>
    </row>
    <row r="17" spans="1:22" ht="24" customHeight="1" x14ac:dyDescent="0.3">
      <c r="A17" s="373">
        <v>8</v>
      </c>
      <c r="B17" s="374" t="s">
        <v>14</v>
      </c>
      <c r="C17" s="114">
        <f>38.83+8.01</f>
        <v>46.839999999999996</v>
      </c>
      <c r="D17" s="114">
        <v>0.7</v>
      </c>
      <c r="E17" s="115">
        <f>3953+815</f>
        <v>4768</v>
      </c>
      <c r="F17" s="116">
        <v>0.7</v>
      </c>
      <c r="G17" s="115"/>
      <c r="H17" s="116"/>
      <c r="I17" s="115">
        <v>17</v>
      </c>
      <c r="J17" s="117">
        <v>1.3</v>
      </c>
      <c r="K17" s="117">
        <f t="shared" si="0"/>
        <v>1.4</v>
      </c>
      <c r="L17" s="117">
        <f>H17*2.5+J17</f>
        <v>1.3</v>
      </c>
      <c r="M17" s="117">
        <f t="shared" si="6"/>
        <v>1.8199999999999998</v>
      </c>
      <c r="N17" s="137">
        <f t="shared" si="7"/>
        <v>1238.7096774193546</v>
      </c>
      <c r="O17" s="137">
        <f t="shared" si="1"/>
        <v>37.136113296616834</v>
      </c>
      <c r="P17" s="120">
        <v>2254</v>
      </c>
      <c r="Q17" s="120">
        <v>68</v>
      </c>
      <c r="R17" s="120">
        <f t="shared" si="2"/>
        <v>2322</v>
      </c>
      <c r="U17" s="192">
        <f t="shared" si="3"/>
        <v>2254.4516129032254</v>
      </c>
      <c r="V17" s="192">
        <f t="shared" si="4"/>
        <v>67.587726199842635</v>
      </c>
    </row>
    <row r="19" spans="1:22" x14ac:dyDescent="0.3">
      <c r="B19" s="196" t="s">
        <v>201</v>
      </c>
    </row>
    <row r="20" spans="1:22" x14ac:dyDescent="0.3">
      <c r="B20" s="186" t="s">
        <v>319</v>
      </c>
    </row>
    <row r="21" spans="1:22" x14ac:dyDescent="0.3">
      <c r="B21" s="186" t="s">
        <v>164</v>
      </c>
    </row>
    <row r="22" spans="1:22" ht="21.5" x14ac:dyDescent="0.3">
      <c r="B22" s="391" t="s">
        <v>149</v>
      </c>
    </row>
    <row r="23" spans="1:22" x14ac:dyDescent="0.3">
      <c r="B23" s="186" t="s">
        <v>69</v>
      </c>
    </row>
    <row r="24" spans="1:22" ht="21.5" x14ac:dyDescent="0.3">
      <c r="B24" s="188" t="s">
        <v>150</v>
      </c>
    </row>
    <row r="25" spans="1:22" ht="21.5" x14ac:dyDescent="0.3">
      <c r="B25" s="188" t="s">
        <v>151</v>
      </c>
    </row>
    <row r="26" spans="1:22" ht="21.5" x14ac:dyDescent="0.3">
      <c r="B26" s="188" t="s">
        <v>152</v>
      </c>
    </row>
    <row r="27" spans="1:22" ht="21" x14ac:dyDescent="0.3">
      <c r="B27" s="186" t="s">
        <v>153</v>
      </c>
    </row>
    <row r="28" spans="1:22" ht="21" x14ac:dyDescent="0.3">
      <c r="B28" s="186" t="s">
        <v>154</v>
      </c>
    </row>
    <row r="29" spans="1:22" x14ac:dyDescent="0.3">
      <c r="B29" s="188" t="s">
        <v>155</v>
      </c>
    </row>
    <row r="30" spans="1:22" x14ac:dyDescent="0.4">
      <c r="B30" s="189"/>
    </row>
    <row r="31" spans="1:22" x14ac:dyDescent="0.3">
      <c r="B31" s="186" t="s">
        <v>354</v>
      </c>
    </row>
  </sheetData>
  <mergeCells count="15">
    <mergeCell ref="A1:R1"/>
    <mergeCell ref="A2:R2"/>
    <mergeCell ref="A3:A4"/>
    <mergeCell ref="B3:B4"/>
    <mergeCell ref="C3:D3"/>
    <mergeCell ref="E3:F3"/>
    <mergeCell ref="G3:H3"/>
    <mergeCell ref="I3:J3"/>
    <mergeCell ref="K3:K4"/>
    <mergeCell ref="M3:M4"/>
    <mergeCell ref="N3:N4"/>
    <mergeCell ref="O3:O4"/>
    <mergeCell ref="P3:P4"/>
    <mergeCell ref="Q3:Q4"/>
    <mergeCell ref="R3:R4"/>
  </mergeCells>
  <pageMargins left="0.78740157480314965" right="0.39370078740157483" top="0.78740157480314965" bottom="0.78740157480314965" header="0.31496062992125984" footer="0.31496062992125984"/>
  <pageSetup paperSize="9" scale="57" firstPageNumber="199" orientation="landscape" useFirstPageNumber="1" r:id="rId1"/>
  <headerFooter>
    <oddHeader>&amp;C&amp;14&amp;P&amp;R&amp;"Times New Roman,Bold Italic"&amp;14Phụ lục 2: Chương trình GNBV
Biểu số 2.3</oddHeader>
  </headerFooter>
  <colBreaks count="1" manualBreakCount="1">
    <brk id="18"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M23"/>
  <sheetViews>
    <sheetView view="pageBreakPreview" zoomScale="85" zoomScaleNormal="85" zoomScaleSheetLayoutView="85" workbookViewId="0">
      <selection activeCell="B22" sqref="B22"/>
    </sheetView>
  </sheetViews>
  <sheetFormatPr defaultColWidth="9" defaultRowHeight="18" x14ac:dyDescent="0.3"/>
  <cols>
    <col min="1" max="1" width="7.1640625" style="21" customWidth="1"/>
    <col min="2" max="2" width="39.75" style="15" customWidth="1"/>
    <col min="3" max="3" width="17.75" style="21" customWidth="1"/>
    <col min="4" max="4" width="16.58203125" style="22" customWidth="1"/>
    <col min="5" max="5" width="11.4140625" style="22" customWidth="1"/>
    <col min="6" max="6" width="15.1640625" style="22" customWidth="1"/>
    <col min="7" max="7" width="10.83203125" style="22" customWidth="1"/>
    <col min="8" max="8" width="16.25" style="15" customWidth="1"/>
    <col min="9" max="9" width="16.58203125" style="15" customWidth="1"/>
    <col min="10" max="10" width="13" style="15" customWidth="1"/>
    <col min="11" max="16384" width="9" style="15"/>
  </cols>
  <sheetData>
    <row r="1" spans="1:13" s="1" customFormat="1" ht="55.5" customHeight="1" x14ac:dyDescent="0.3">
      <c r="A1" s="528" t="s">
        <v>92</v>
      </c>
      <c r="B1" s="528"/>
      <c r="C1" s="528"/>
      <c r="D1" s="528"/>
      <c r="E1" s="528"/>
      <c r="F1" s="528"/>
      <c r="G1" s="528"/>
      <c r="H1" s="528"/>
      <c r="I1" s="528"/>
      <c r="J1" s="528"/>
    </row>
    <row r="2" spans="1:13" s="2" customFormat="1" ht="19.5" customHeight="1" x14ac:dyDescent="0.3">
      <c r="A2" s="527" t="e">
        <f>#REF!</f>
        <v>#REF!</v>
      </c>
      <c r="B2" s="527"/>
      <c r="C2" s="527"/>
      <c r="D2" s="527"/>
      <c r="E2" s="527"/>
      <c r="F2" s="527"/>
      <c r="G2" s="527"/>
      <c r="H2" s="527"/>
      <c r="I2" s="527"/>
      <c r="J2" s="527"/>
    </row>
    <row r="3" spans="1:13" x14ac:dyDescent="0.3">
      <c r="A3" s="527"/>
      <c r="B3" s="527"/>
      <c r="C3" s="527"/>
      <c r="D3" s="527"/>
      <c r="E3" s="527"/>
      <c r="F3" s="527"/>
      <c r="G3" s="527"/>
    </row>
    <row r="4" spans="1:13" ht="70" x14ac:dyDescent="0.3">
      <c r="A4" s="53" t="s">
        <v>0</v>
      </c>
      <c r="B4" s="53" t="s">
        <v>1</v>
      </c>
      <c r="C4" s="11" t="s">
        <v>16</v>
      </c>
      <c r="D4" s="54" t="s">
        <v>17</v>
      </c>
      <c r="E4" s="51" t="s">
        <v>18</v>
      </c>
      <c r="F4" s="54" t="s">
        <v>9</v>
      </c>
      <c r="G4" s="54" t="s">
        <v>5</v>
      </c>
      <c r="H4" s="55" t="s">
        <v>81</v>
      </c>
      <c r="I4" s="55" t="s">
        <v>83</v>
      </c>
      <c r="J4" s="55" t="s">
        <v>93</v>
      </c>
    </row>
    <row r="5" spans="1:13" x14ac:dyDescent="0.3">
      <c r="A5" s="3" t="s">
        <v>6</v>
      </c>
      <c r="B5" s="3" t="s">
        <v>2</v>
      </c>
      <c r="C5" s="3">
        <f>26.93+9.74</f>
        <v>36.67</v>
      </c>
      <c r="D5" s="7">
        <f>SUM(D6:D13)</f>
        <v>29881</v>
      </c>
      <c r="E5" s="7"/>
      <c r="F5" s="7">
        <f>SUM(F6:F13)</f>
        <v>108</v>
      </c>
      <c r="G5" s="14"/>
      <c r="H5" s="29">
        <v>6168</v>
      </c>
      <c r="I5" s="29">
        <v>185</v>
      </c>
      <c r="J5" s="66">
        <f>H5+I5</f>
        <v>6353</v>
      </c>
    </row>
    <row r="6" spans="1:13" x14ac:dyDescent="0.3">
      <c r="A6" s="4">
        <v>1</v>
      </c>
      <c r="B6" s="5" t="s">
        <v>10</v>
      </c>
      <c r="C6" s="16">
        <f>2.76+1.04</f>
        <v>3.8</v>
      </c>
      <c r="D6" s="17">
        <f>332+125</f>
        <v>457</v>
      </c>
      <c r="E6" s="17"/>
      <c r="F6" s="17">
        <v>8</v>
      </c>
      <c r="G6" s="14"/>
      <c r="H6" s="26"/>
      <c r="I6" s="26"/>
      <c r="J6" s="65">
        <f t="shared" ref="J6:J23" si="0">H6+I6</f>
        <v>0</v>
      </c>
    </row>
    <row r="7" spans="1:13" x14ac:dyDescent="0.3">
      <c r="A7" s="4">
        <v>2</v>
      </c>
      <c r="B7" s="5" t="s">
        <v>4</v>
      </c>
      <c r="C7" s="16">
        <f>53.54+15.61</f>
        <v>69.150000000000006</v>
      </c>
      <c r="D7" s="17">
        <f>3992+1164</f>
        <v>5156</v>
      </c>
      <c r="E7" s="17" t="s">
        <v>19</v>
      </c>
      <c r="F7" s="17">
        <v>10</v>
      </c>
      <c r="G7" s="14"/>
      <c r="H7" s="26"/>
      <c r="I7" s="26"/>
      <c r="J7" s="65">
        <f t="shared" si="0"/>
        <v>0</v>
      </c>
    </row>
    <row r="8" spans="1:13" x14ac:dyDescent="0.3">
      <c r="A8" s="4">
        <v>3</v>
      </c>
      <c r="B8" s="5" t="s">
        <v>3</v>
      </c>
      <c r="C8" s="16">
        <f>28.33+13.31</f>
        <v>41.64</v>
      </c>
      <c r="D8" s="17">
        <f>3443+1618</f>
        <v>5061</v>
      </c>
      <c r="E8" s="17"/>
      <c r="F8" s="17">
        <v>15</v>
      </c>
      <c r="G8" s="14"/>
      <c r="H8" s="26"/>
      <c r="I8" s="26"/>
      <c r="J8" s="65">
        <f t="shared" si="0"/>
        <v>0</v>
      </c>
    </row>
    <row r="9" spans="1:13" x14ac:dyDescent="0.3">
      <c r="A9" s="4">
        <v>4</v>
      </c>
      <c r="B9" s="5" t="s">
        <v>8</v>
      </c>
      <c r="C9" s="16">
        <f>51.13+12.29</f>
        <v>63.42</v>
      </c>
      <c r="D9" s="17">
        <f>3803+914</f>
        <v>4717</v>
      </c>
      <c r="E9" s="17" t="s">
        <v>19</v>
      </c>
      <c r="F9" s="17">
        <v>10</v>
      </c>
      <c r="G9" s="14"/>
      <c r="H9" s="26"/>
      <c r="I9" s="26"/>
      <c r="J9" s="65">
        <f t="shared" si="0"/>
        <v>0</v>
      </c>
    </row>
    <row r="10" spans="1:13" x14ac:dyDescent="0.3">
      <c r="A10" s="4">
        <v>5</v>
      </c>
      <c r="B10" s="5" t="s">
        <v>11</v>
      </c>
      <c r="C10" s="16">
        <f>20.66+10.3</f>
        <v>30.96</v>
      </c>
      <c r="D10" s="17">
        <f>1791+893</f>
        <v>2684</v>
      </c>
      <c r="E10" s="17"/>
      <c r="F10" s="17">
        <v>14</v>
      </c>
      <c r="G10" s="14"/>
      <c r="H10" s="26"/>
      <c r="I10" s="26"/>
      <c r="J10" s="65">
        <f t="shared" si="0"/>
        <v>0</v>
      </c>
    </row>
    <row r="11" spans="1:13" x14ac:dyDescent="0.3">
      <c r="A11" s="4">
        <v>6</v>
      </c>
      <c r="B11" s="5" t="s">
        <v>12</v>
      </c>
      <c r="C11" s="16">
        <f>18.37+8.75</f>
        <v>27.12</v>
      </c>
      <c r="D11" s="17">
        <f>2424+1155</f>
        <v>3579</v>
      </c>
      <c r="E11" s="17"/>
      <c r="F11" s="17">
        <v>20</v>
      </c>
      <c r="G11" s="14"/>
      <c r="H11" s="26"/>
      <c r="I11" s="26"/>
      <c r="J11" s="65">
        <f t="shared" si="0"/>
        <v>0</v>
      </c>
    </row>
    <row r="12" spans="1:13" x14ac:dyDescent="0.3">
      <c r="A12" s="4">
        <v>7</v>
      </c>
      <c r="B12" s="5" t="s">
        <v>13</v>
      </c>
      <c r="C12" s="16">
        <f>21.32+12.08</f>
        <v>33.4</v>
      </c>
      <c r="D12" s="17">
        <f>2208+1251</f>
        <v>3459</v>
      </c>
      <c r="E12" s="17"/>
      <c r="F12" s="17">
        <v>14</v>
      </c>
      <c r="G12" s="14"/>
      <c r="H12" s="26"/>
      <c r="I12" s="26"/>
      <c r="J12" s="65">
        <f t="shared" si="0"/>
        <v>0</v>
      </c>
    </row>
    <row r="13" spans="1:13" x14ac:dyDescent="0.3">
      <c r="A13" s="4">
        <v>8</v>
      </c>
      <c r="B13" s="5" t="s">
        <v>14</v>
      </c>
      <c r="C13" s="16">
        <f>38.83+8.01</f>
        <v>46.839999999999996</v>
      </c>
      <c r="D13" s="17">
        <f>3953+815</f>
        <v>4768</v>
      </c>
      <c r="E13" s="17"/>
      <c r="F13" s="17">
        <v>17</v>
      </c>
      <c r="G13" s="14"/>
      <c r="H13" s="26"/>
      <c r="I13" s="26"/>
      <c r="J13" s="65">
        <f t="shared" si="0"/>
        <v>0</v>
      </c>
    </row>
    <row r="14" spans="1:13" x14ac:dyDescent="0.3">
      <c r="A14" s="3" t="s">
        <v>7</v>
      </c>
      <c r="B14" s="3" t="s">
        <v>15</v>
      </c>
      <c r="C14" s="3">
        <f t="shared" ref="C14:F14" si="1">SUM(C15:C22)</f>
        <v>5.3</v>
      </c>
      <c r="D14" s="3">
        <f t="shared" si="1"/>
        <v>5.1000000000000005</v>
      </c>
      <c r="E14" s="6">
        <f t="shared" si="1"/>
        <v>0.24</v>
      </c>
      <c r="F14" s="3">
        <f t="shared" si="1"/>
        <v>9.0500000000000007</v>
      </c>
      <c r="G14" s="6">
        <f>C14+D14+F14</f>
        <v>19.450000000000003</v>
      </c>
      <c r="H14" s="29">
        <f>H5-H23</f>
        <v>5551.2</v>
      </c>
      <c r="I14" s="29">
        <f>I5-I23</f>
        <v>166.5</v>
      </c>
      <c r="J14" s="66">
        <f t="shared" si="0"/>
        <v>5717.7</v>
      </c>
      <c r="M14" s="50"/>
    </row>
    <row r="15" spans="1:13" x14ac:dyDescent="0.3">
      <c r="A15" s="4">
        <v>1</v>
      </c>
      <c r="B15" s="5" t="s">
        <v>10</v>
      </c>
      <c r="C15" s="16">
        <v>0.4</v>
      </c>
      <c r="D15" s="18">
        <v>0.4</v>
      </c>
      <c r="E15" s="19"/>
      <c r="F15" s="19">
        <v>1</v>
      </c>
      <c r="G15" s="20">
        <f>(C15+D15)*(E15*2.5+F15)</f>
        <v>0.8</v>
      </c>
      <c r="H15" s="29"/>
      <c r="I15" s="29"/>
      <c r="J15" s="65">
        <f t="shared" si="0"/>
        <v>0</v>
      </c>
    </row>
    <row r="16" spans="1:13" x14ac:dyDescent="0.3">
      <c r="A16" s="4">
        <v>2</v>
      </c>
      <c r="B16" s="5" t="s">
        <v>4</v>
      </c>
      <c r="C16" s="16">
        <v>0.9</v>
      </c>
      <c r="D16" s="18">
        <v>0.8</v>
      </c>
      <c r="E16" s="19">
        <v>0.12</v>
      </c>
      <c r="F16" s="19">
        <v>1</v>
      </c>
      <c r="G16" s="20">
        <f t="shared" ref="G16:G22" si="2">(C16+D16)*(E16*2.5+F16)</f>
        <v>2.2100000000000004</v>
      </c>
      <c r="H16" s="17"/>
      <c r="I16" s="17"/>
      <c r="J16" s="65">
        <f t="shared" si="0"/>
        <v>0</v>
      </c>
    </row>
    <row r="17" spans="1:10" x14ac:dyDescent="0.3">
      <c r="A17" s="4">
        <v>3</v>
      </c>
      <c r="B17" s="5" t="s">
        <v>3</v>
      </c>
      <c r="C17" s="16">
        <v>0.7</v>
      </c>
      <c r="D17" s="18">
        <v>0.8</v>
      </c>
      <c r="E17" s="19"/>
      <c r="F17" s="19">
        <v>1.1499999999999999</v>
      </c>
      <c r="G17" s="20">
        <f t="shared" si="2"/>
        <v>1.7249999999999999</v>
      </c>
      <c r="H17" s="17"/>
      <c r="I17" s="17"/>
      <c r="J17" s="65">
        <f t="shared" si="0"/>
        <v>0</v>
      </c>
    </row>
    <row r="18" spans="1:10" x14ac:dyDescent="0.3">
      <c r="A18" s="60">
        <v>4</v>
      </c>
      <c r="B18" s="61" t="s">
        <v>8</v>
      </c>
      <c r="C18" s="62">
        <v>0.9</v>
      </c>
      <c r="D18" s="63">
        <v>0.7</v>
      </c>
      <c r="E18" s="64">
        <v>0.12</v>
      </c>
      <c r="F18" s="64">
        <v>1</v>
      </c>
      <c r="G18" s="64">
        <f t="shared" si="2"/>
        <v>2.08</v>
      </c>
      <c r="H18" s="17"/>
      <c r="I18" s="17"/>
      <c r="J18" s="65">
        <f t="shared" si="0"/>
        <v>0</v>
      </c>
    </row>
    <row r="19" spans="1:10" x14ac:dyDescent="0.3">
      <c r="A19" s="4">
        <v>5</v>
      </c>
      <c r="B19" s="5" t="s">
        <v>11</v>
      </c>
      <c r="C19" s="16">
        <v>0.6</v>
      </c>
      <c r="D19" s="18">
        <v>0.5</v>
      </c>
      <c r="E19" s="18"/>
      <c r="F19" s="19">
        <v>1.1499999999999999</v>
      </c>
      <c r="G19" s="20">
        <f t="shared" si="2"/>
        <v>1.2649999999999999</v>
      </c>
      <c r="H19" s="17"/>
      <c r="I19" s="17"/>
      <c r="J19" s="65">
        <f t="shared" si="0"/>
        <v>0</v>
      </c>
    </row>
    <row r="20" spans="1:10" x14ac:dyDescent="0.3">
      <c r="A20" s="4">
        <v>6</v>
      </c>
      <c r="B20" s="5" t="s">
        <v>12</v>
      </c>
      <c r="C20" s="16">
        <v>0.5</v>
      </c>
      <c r="D20" s="18">
        <v>0.6</v>
      </c>
      <c r="E20" s="18"/>
      <c r="F20" s="19">
        <v>1.3</v>
      </c>
      <c r="G20" s="20">
        <f t="shared" si="2"/>
        <v>1.4300000000000002</v>
      </c>
      <c r="H20" s="17"/>
      <c r="I20" s="17"/>
      <c r="J20" s="65">
        <f t="shared" si="0"/>
        <v>0</v>
      </c>
    </row>
    <row r="21" spans="1:10" x14ac:dyDescent="0.3">
      <c r="A21" s="4">
        <v>7</v>
      </c>
      <c r="B21" s="5" t="s">
        <v>13</v>
      </c>
      <c r="C21" s="16">
        <v>0.6</v>
      </c>
      <c r="D21" s="18">
        <v>0.6</v>
      </c>
      <c r="E21" s="18"/>
      <c r="F21" s="19">
        <v>1.1499999999999999</v>
      </c>
      <c r="G21" s="20">
        <f t="shared" si="2"/>
        <v>1.38</v>
      </c>
      <c r="H21" s="17"/>
      <c r="I21" s="17"/>
      <c r="J21" s="65">
        <f t="shared" si="0"/>
        <v>0</v>
      </c>
    </row>
    <row r="22" spans="1:10" x14ac:dyDescent="0.3">
      <c r="A22" s="4">
        <v>8</v>
      </c>
      <c r="B22" s="5" t="s">
        <v>14</v>
      </c>
      <c r="C22" s="16">
        <v>0.7</v>
      </c>
      <c r="D22" s="18">
        <v>0.7</v>
      </c>
      <c r="E22" s="18"/>
      <c r="F22" s="19">
        <v>1.3</v>
      </c>
      <c r="G22" s="20">
        <f t="shared" si="2"/>
        <v>1.8199999999999998</v>
      </c>
      <c r="H22" s="17"/>
      <c r="I22" s="17"/>
      <c r="J22" s="65">
        <f t="shared" si="0"/>
        <v>0</v>
      </c>
    </row>
    <row r="23" spans="1:10" x14ac:dyDescent="0.3">
      <c r="A23" s="52" t="s">
        <v>22</v>
      </c>
      <c r="B23" s="52" t="s">
        <v>21</v>
      </c>
      <c r="C23" s="52"/>
      <c r="D23" s="23"/>
      <c r="E23" s="23"/>
      <c r="F23" s="23"/>
      <c r="G23" s="23"/>
      <c r="H23" s="49">
        <f>0.1*H5</f>
        <v>616.80000000000007</v>
      </c>
      <c r="I23" s="57">
        <f>I5*0.1</f>
        <v>18.5</v>
      </c>
      <c r="J23" s="66">
        <f t="shared" si="0"/>
        <v>635.30000000000007</v>
      </c>
    </row>
  </sheetData>
  <mergeCells count="3">
    <mergeCell ref="A3:G3"/>
    <mergeCell ref="A1:J1"/>
    <mergeCell ref="A2:J2"/>
  </mergeCells>
  <pageMargins left="0.78740157480314965" right="0.39370078740157483" top="0.78740157480314965" bottom="0.78740157480314965" header="0.31496062992125984" footer="0.31496062992125984"/>
  <pageSetup paperSize="9" scale="81"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T32"/>
  <sheetViews>
    <sheetView view="pageLayout" zoomScale="70" zoomScaleNormal="70" zoomScaleSheetLayoutView="85" zoomScalePageLayoutView="70" workbookViewId="0">
      <selection activeCell="G8" sqref="G8"/>
    </sheetView>
  </sheetViews>
  <sheetFormatPr defaultColWidth="9" defaultRowHeight="18" x14ac:dyDescent="0.3"/>
  <cols>
    <col min="1" max="1" width="5.4140625" style="21" customWidth="1"/>
    <col min="2" max="2" width="27.4140625" style="15" customWidth="1"/>
    <col min="3" max="3" width="17.4140625" style="22" customWidth="1"/>
    <col min="4" max="4" width="15.1640625" style="22" customWidth="1"/>
    <col min="5" max="5" width="14.25" style="22" customWidth="1"/>
    <col min="6" max="6" width="16.1640625" style="22" customWidth="1"/>
    <col min="7" max="7" width="17" style="22" customWidth="1"/>
    <col min="8" max="8" width="14.58203125" style="22" customWidth="1"/>
    <col min="9" max="9" width="14.4140625" style="22" customWidth="1"/>
    <col min="10" max="10" width="12.58203125" style="22" customWidth="1"/>
    <col min="11" max="11" width="9.58203125" style="22" customWidth="1"/>
    <col min="12" max="12" width="11.58203125" style="15" customWidth="1"/>
    <col min="13" max="13" width="11.83203125" style="15" customWidth="1"/>
    <col min="14" max="14" width="11.75" style="15" customWidth="1"/>
    <col min="15" max="15" width="9" style="15" hidden="1" customWidth="1"/>
    <col min="16" max="16" width="15.1640625" style="15" hidden="1" customWidth="1"/>
    <col min="17" max="17" width="9" style="15" hidden="1" customWidth="1"/>
    <col min="18" max="18" width="15" style="15" hidden="1" customWidth="1"/>
    <col min="19" max="19" width="9" style="15" hidden="1" customWidth="1"/>
    <col min="20" max="20" width="15" style="15" hidden="1" customWidth="1"/>
    <col min="21" max="16384" width="9" style="15"/>
  </cols>
  <sheetData>
    <row r="1" spans="1:18" s="21" customFormat="1" x14ac:dyDescent="0.3">
      <c r="A1" s="528" t="s">
        <v>314</v>
      </c>
      <c r="B1" s="528"/>
      <c r="C1" s="528"/>
      <c r="D1" s="528"/>
      <c r="E1" s="528"/>
      <c r="F1" s="528"/>
      <c r="G1" s="528"/>
      <c r="H1" s="528"/>
      <c r="I1" s="528"/>
      <c r="J1" s="528"/>
      <c r="K1" s="528"/>
      <c r="L1" s="528"/>
      <c r="M1" s="528"/>
      <c r="N1" s="528"/>
    </row>
    <row r="2" spans="1:18" s="21" customFormat="1" x14ac:dyDescent="0.3">
      <c r="A2" s="528"/>
      <c r="B2" s="528"/>
      <c r="C2" s="528"/>
      <c r="D2" s="528"/>
      <c r="E2" s="528"/>
      <c r="F2" s="528"/>
      <c r="G2" s="528"/>
      <c r="H2" s="528"/>
      <c r="I2" s="528"/>
      <c r="J2" s="528"/>
      <c r="K2" s="528"/>
      <c r="L2" s="528"/>
      <c r="M2" s="528"/>
      <c r="N2" s="528"/>
    </row>
    <row r="3" spans="1:18" s="2" customFormat="1" x14ac:dyDescent="0.3">
      <c r="A3" s="510" t="str">
        <f>'2'!A2:R2</f>
        <v>(Kèm theo Báo cáo số 809/BC-UBND ngày 27 tháng 11 năm 2023 của UBND tỉnh)</v>
      </c>
      <c r="B3" s="510"/>
      <c r="C3" s="510"/>
      <c r="D3" s="510"/>
      <c r="E3" s="510"/>
      <c r="F3" s="510"/>
      <c r="G3" s="510"/>
      <c r="H3" s="510"/>
      <c r="I3" s="510"/>
      <c r="J3" s="510"/>
      <c r="K3" s="510"/>
      <c r="L3" s="510"/>
      <c r="M3" s="510"/>
      <c r="N3" s="510"/>
    </row>
    <row r="4" spans="1:18" s="13" customFormat="1" ht="74.25" customHeight="1" x14ac:dyDescent="0.3">
      <c r="A4" s="511" t="s">
        <v>0</v>
      </c>
      <c r="B4" s="511" t="s">
        <v>1</v>
      </c>
      <c r="C4" s="517" t="s">
        <v>269</v>
      </c>
      <c r="D4" s="518"/>
      <c r="E4" s="513" t="s">
        <v>270</v>
      </c>
      <c r="F4" s="514"/>
      <c r="G4" s="513" t="s">
        <v>307</v>
      </c>
      <c r="H4" s="514"/>
      <c r="I4" s="515" t="s">
        <v>148</v>
      </c>
      <c r="J4" s="515" t="s">
        <v>112</v>
      </c>
      <c r="K4" s="515" t="s">
        <v>114</v>
      </c>
      <c r="L4" s="519" t="s">
        <v>334</v>
      </c>
      <c r="M4" s="519" t="s">
        <v>335</v>
      </c>
      <c r="N4" s="511" t="s">
        <v>93</v>
      </c>
    </row>
    <row r="5" spans="1:18" s="13" customFormat="1" ht="51" customHeight="1" x14ac:dyDescent="0.3">
      <c r="A5" s="512"/>
      <c r="B5" s="512"/>
      <c r="C5" s="264" t="s">
        <v>257</v>
      </c>
      <c r="D5" s="264" t="s">
        <v>173</v>
      </c>
      <c r="E5" s="264" t="s">
        <v>100</v>
      </c>
      <c r="F5" s="264" t="s">
        <v>175</v>
      </c>
      <c r="G5" s="264" t="s">
        <v>267</v>
      </c>
      <c r="H5" s="264" t="s">
        <v>260</v>
      </c>
      <c r="I5" s="516"/>
      <c r="J5" s="516"/>
      <c r="K5" s="516"/>
      <c r="L5" s="520"/>
      <c r="M5" s="520"/>
      <c r="N5" s="512"/>
    </row>
    <row r="6" spans="1:18" s="72" customFormat="1" ht="20.25" customHeight="1" x14ac:dyDescent="0.3">
      <c r="A6" s="260" t="s">
        <v>105</v>
      </c>
      <c r="B6" s="260" t="s">
        <v>106</v>
      </c>
      <c r="C6" s="85" t="s">
        <v>117</v>
      </c>
      <c r="D6" s="263">
        <v>1</v>
      </c>
      <c r="E6" s="262" t="s">
        <v>118</v>
      </c>
      <c r="F6" s="263">
        <v>2</v>
      </c>
      <c r="G6" s="262" t="s">
        <v>119</v>
      </c>
      <c r="H6" s="263">
        <v>3</v>
      </c>
      <c r="I6" s="263" t="s">
        <v>268</v>
      </c>
      <c r="J6" s="263">
        <v>5</v>
      </c>
      <c r="K6" s="263">
        <v>6</v>
      </c>
      <c r="L6" s="263" t="s">
        <v>120</v>
      </c>
      <c r="M6" s="263" t="s">
        <v>121</v>
      </c>
      <c r="N6" s="263" t="s">
        <v>130</v>
      </c>
      <c r="O6" s="90"/>
      <c r="P6" s="72" t="s">
        <v>202</v>
      </c>
      <c r="R6" s="72" t="s">
        <v>203</v>
      </c>
    </row>
    <row r="7" spans="1:18" s="72" customFormat="1" ht="20.25" customHeight="1" x14ac:dyDescent="0.3">
      <c r="A7" s="402"/>
      <c r="B7" s="402" t="s">
        <v>131</v>
      </c>
      <c r="C7" s="398"/>
      <c r="D7" s="263"/>
      <c r="E7" s="403"/>
      <c r="F7" s="263"/>
      <c r="G7" s="403"/>
      <c r="H7" s="263"/>
      <c r="I7" s="263"/>
      <c r="J7" s="263"/>
      <c r="K7" s="263"/>
      <c r="L7" s="272">
        <f>L8+L10</f>
        <v>3488</v>
      </c>
      <c r="M7" s="272">
        <f t="shared" ref="M7:N7" si="0">M8+M10</f>
        <v>105</v>
      </c>
      <c r="N7" s="272">
        <f t="shared" si="0"/>
        <v>3593</v>
      </c>
      <c r="O7" s="90"/>
    </row>
    <row r="8" spans="1:18" ht="21" customHeight="1" x14ac:dyDescent="0.3">
      <c r="A8" s="3" t="s">
        <v>6</v>
      </c>
      <c r="B8" s="260" t="s">
        <v>21</v>
      </c>
      <c r="C8" s="7"/>
      <c r="D8" s="7"/>
      <c r="E8" s="141">
        <f>SUM(E11:E18)</f>
        <v>108</v>
      </c>
      <c r="F8" s="7"/>
      <c r="G8" s="141"/>
      <c r="H8" s="7"/>
      <c r="I8" s="126"/>
      <c r="J8" s="14"/>
      <c r="K8" s="14"/>
      <c r="L8" s="173">
        <f>L9</f>
        <v>349</v>
      </c>
      <c r="M8" s="173">
        <f>M9</f>
        <v>11</v>
      </c>
      <c r="N8" s="173">
        <f>N9</f>
        <v>360</v>
      </c>
    </row>
    <row r="9" spans="1:18" ht="21" customHeight="1" x14ac:dyDescent="0.3">
      <c r="A9" s="273">
        <v>1</v>
      </c>
      <c r="B9" s="127" t="s">
        <v>272</v>
      </c>
      <c r="C9" s="274"/>
      <c r="D9" s="274"/>
      <c r="E9" s="275"/>
      <c r="F9" s="274"/>
      <c r="G9" s="275"/>
      <c r="H9" s="274"/>
      <c r="I9" s="276"/>
      <c r="J9" s="99"/>
      <c r="K9" s="99"/>
      <c r="L9" s="277">
        <v>349</v>
      </c>
      <c r="M9" s="277">
        <v>11</v>
      </c>
      <c r="N9" s="277">
        <f>M9+L9</f>
        <v>360</v>
      </c>
    </row>
    <row r="10" spans="1:18" ht="21" customHeight="1" x14ac:dyDescent="0.3">
      <c r="A10" s="269" t="s">
        <v>7</v>
      </c>
      <c r="B10" s="260" t="s">
        <v>128</v>
      </c>
      <c r="C10" s="270"/>
      <c r="D10" s="270"/>
      <c r="E10" s="271">
        <f>SUM(E11:E18)</f>
        <v>108</v>
      </c>
      <c r="F10" s="270"/>
      <c r="G10" s="271"/>
      <c r="H10" s="270"/>
      <c r="I10" s="278">
        <f>SUM(I11:I18)</f>
        <v>11.736000000000001</v>
      </c>
      <c r="J10" s="99"/>
      <c r="K10" s="99"/>
      <c r="L10" s="272">
        <v>3139</v>
      </c>
      <c r="M10" s="272">
        <v>94</v>
      </c>
      <c r="N10" s="272">
        <f>M10+L10</f>
        <v>3233</v>
      </c>
    </row>
    <row r="11" spans="1:18" ht="21" customHeight="1" x14ac:dyDescent="0.3">
      <c r="A11" s="100">
        <v>1</v>
      </c>
      <c r="B11" s="127" t="s">
        <v>10</v>
      </c>
      <c r="C11" s="103"/>
      <c r="D11" s="128"/>
      <c r="E11" s="142">
        <v>8</v>
      </c>
      <c r="F11" s="105">
        <v>1</v>
      </c>
      <c r="G11" s="281" t="s">
        <v>261</v>
      </c>
      <c r="H11" s="297">
        <v>1.2</v>
      </c>
      <c r="I11" s="130">
        <f>(D11*3+F11)*H11</f>
        <v>1.2</v>
      </c>
      <c r="J11" s="279">
        <f>$L$10/$I$10</f>
        <v>267.46762099522834</v>
      </c>
      <c r="K11" s="279">
        <f>$M$10/$I$10</f>
        <v>8.0095432856169051</v>
      </c>
      <c r="L11" s="142">
        <v>321</v>
      </c>
      <c r="M11" s="142">
        <v>10</v>
      </c>
      <c r="N11" s="142">
        <f>L11+M11</f>
        <v>331</v>
      </c>
      <c r="P11" s="15">
        <f>I11*J11</f>
        <v>320.96114519427402</v>
      </c>
      <c r="R11" s="15">
        <f>I11*K11</f>
        <v>9.6114519427402865</v>
      </c>
    </row>
    <row r="12" spans="1:18" ht="21" customHeight="1" x14ac:dyDescent="0.3">
      <c r="A12" s="106">
        <v>2</v>
      </c>
      <c r="B12" s="131" t="s">
        <v>4</v>
      </c>
      <c r="C12" s="109" t="s">
        <v>19</v>
      </c>
      <c r="D12" s="132">
        <v>0.12</v>
      </c>
      <c r="E12" s="143">
        <v>10</v>
      </c>
      <c r="F12" s="111">
        <v>1</v>
      </c>
      <c r="G12" s="143" t="s">
        <v>262</v>
      </c>
      <c r="H12" s="238">
        <v>1.4</v>
      </c>
      <c r="I12" s="133">
        <f t="shared" ref="I12:I18" si="1">(D12*3+F12)*H12</f>
        <v>1.9039999999999997</v>
      </c>
      <c r="J12" s="280">
        <f t="shared" ref="J12:J18" si="2">$L$10/$I$10</f>
        <v>267.46762099522834</v>
      </c>
      <c r="K12" s="280">
        <f t="shared" ref="K12:K18" si="3">$M$10/$I$10</f>
        <v>8.0095432856169051</v>
      </c>
      <c r="L12" s="143">
        <v>509</v>
      </c>
      <c r="M12" s="143">
        <v>16</v>
      </c>
      <c r="N12" s="143">
        <f t="shared" ref="N12:N18" si="4">L12+M12</f>
        <v>525</v>
      </c>
      <c r="P12" s="15">
        <f t="shared" ref="P12:P18" si="5">I12*J12</f>
        <v>509.2583503749147</v>
      </c>
      <c r="R12" s="15">
        <f t="shared" ref="R12:R18" si="6">I12*K12</f>
        <v>15.250170415814585</v>
      </c>
    </row>
    <row r="13" spans="1:18" ht="21" customHeight="1" x14ac:dyDescent="0.3">
      <c r="A13" s="106">
        <v>3</v>
      </c>
      <c r="B13" s="131" t="s">
        <v>3</v>
      </c>
      <c r="C13" s="109"/>
      <c r="D13" s="132"/>
      <c r="E13" s="143">
        <v>15</v>
      </c>
      <c r="F13" s="111">
        <v>1.1499999999999999</v>
      </c>
      <c r="G13" s="143" t="s">
        <v>263</v>
      </c>
      <c r="H13" s="238">
        <v>1.2</v>
      </c>
      <c r="I13" s="133">
        <f t="shared" si="1"/>
        <v>1.38</v>
      </c>
      <c r="J13" s="280">
        <f t="shared" si="2"/>
        <v>267.46762099522834</v>
      </c>
      <c r="K13" s="280">
        <f t="shared" si="3"/>
        <v>8.0095432856169051</v>
      </c>
      <c r="L13" s="143">
        <v>369</v>
      </c>
      <c r="M13" s="143">
        <v>11</v>
      </c>
      <c r="N13" s="143">
        <f t="shared" si="4"/>
        <v>380</v>
      </c>
      <c r="P13" s="15">
        <f t="shared" si="5"/>
        <v>369.10531697341509</v>
      </c>
      <c r="R13" s="15">
        <f t="shared" si="6"/>
        <v>11.053169734151329</v>
      </c>
    </row>
    <row r="14" spans="1:18" ht="21" customHeight="1" x14ac:dyDescent="0.3">
      <c r="A14" s="106">
        <v>4</v>
      </c>
      <c r="B14" s="131" t="s">
        <v>8</v>
      </c>
      <c r="C14" s="109" t="s">
        <v>19</v>
      </c>
      <c r="D14" s="132">
        <v>0.12</v>
      </c>
      <c r="E14" s="143">
        <v>10</v>
      </c>
      <c r="F14" s="111">
        <v>1</v>
      </c>
      <c r="G14" s="143" t="s">
        <v>264</v>
      </c>
      <c r="H14" s="238">
        <v>1.2</v>
      </c>
      <c r="I14" s="133">
        <f t="shared" si="1"/>
        <v>1.6319999999999999</v>
      </c>
      <c r="J14" s="280">
        <f t="shared" si="2"/>
        <v>267.46762099522834</v>
      </c>
      <c r="K14" s="280">
        <f t="shared" si="3"/>
        <v>8.0095432856169051</v>
      </c>
      <c r="L14" s="143">
        <v>437</v>
      </c>
      <c r="M14" s="143">
        <v>13</v>
      </c>
      <c r="N14" s="143">
        <f t="shared" si="4"/>
        <v>450</v>
      </c>
      <c r="P14" s="15">
        <f t="shared" si="5"/>
        <v>436.50715746421264</v>
      </c>
      <c r="R14" s="15">
        <f t="shared" si="6"/>
        <v>13.071574642126789</v>
      </c>
    </row>
    <row r="15" spans="1:18" ht="21" customHeight="1" x14ac:dyDescent="0.3">
      <c r="A15" s="106">
        <v>5</v>
      </c>
      <c r="B15" s="131" t="s">
        <v>11</v>
      </c>
      <c r="C15" s="109"/>
      <c r="D15" s="132"/>
      <c r="E15" s="143">
        <v>14</v>
      </c>
      <c r="F15" s="111">
        <v>1.1499999999999999</v>
      </c>
      <c r="G15" s="143">
        <v>11</v>
      </c>
      <c r="H15" s="238">
        <v>1.2</v>
      </c>
      <c r="I15" s="133">
        <f t="shared" si="1"/>
        <v>1.38</v>
      </c>
      <c r="J15" s="280">
        <f t="shared" si="2"/>
        <v>267.46762099522834</v>
      </c>
      <c r="K15" s="280">
        <f t="shared" si="3"/>
        <v>8.0095432856169051</v>
      </c>
      <c r="L15" s="143">
        <v>369</v>
      </c>
      <c r="M15" s="143">
        <v>11</v>
      </c>
      <c r="N15" s="143">
        <f t="shared" si="4"/>
        <v>380</v>
      </c>
      <c r="P15" s="15">
        <f t="shared" si="5"/>
        <v>369.10531697341509</v>
      </c>
      <c r="R15" s="15">
        <f t="shared" si="6"/>
        <v>11.053169734151329</v>
      </c>
    </row>
    <row r="16" spans="1:18" ht="21" customHeight="1" x14ac:dyDescent="0.3">
      <c r="A16" s="106">
        <v>6</v>
      </c>
      <c r="B16" s="131" t="s">
        <v>12</v>
      </c>
      <c r="C16" s="109"/>
      <c r="D16" s="132"/>
      <c r="E16" s="143">
        <v>20</v>
      </c>
      <c r="F16" s="111">
        <v>1.3</v>
      </c>
      <c r="G16" s="143" t="s">
        <v>265</v>
      </c>
      <c r="H16" s="238">
        <v>1.2</v>
      </c>
      <c r="I16" s="133">
        <f t="shared" si="1"/>
        <v>1.56</v>
      </c>
      <c r="J16" s="280">
        <f t="shared" si="2"/>
        <v>267.46762099522834</v>
      </c>
      <c r="K16" s="280">
        <f t="shared" si="3"/>
        <v>8.0095432856169051</v>
      </c>
      <c r="L16" s="143">
        <v>417</v>
      </c>
      <c r="M16" s="143">
        <v>12</v>
      </c>
      <c r="N16" s="143">
        <f t="shared" si="4"/>
        <v>429</v>
      </c>
      <c r="P16" s="15">
        <f t="shared" si="5"/>
        <v>417.2494887525562</v>
      </c>
      <c r="R16" s="15">
        <f t="shared" si="6"/>
        <v>12.494887525562373</v>
      </c>
    </row>
    <row r="17" spans="1:18" ht="21" customHeight="1" x14ac:dyDescent="0.3">
      <c r="A17" s="106">
        <v>7</v>
      </c>
      <c r="B17" s="131" t="s">
        <v>13</v>
      </c>
      <c r="C17" s="109"/>
      <c r="D17" s="132"/>
      <c r="E17" s="143">
        <v>14</v>
      </c>
      <c r="F17" s="111">
        <v>1.1499999999999999</v>
      </c>
      <c r="G17" s="143">
        <v>14</v>
      </c>
      <c r="H17" s="238">
        <v>1.2</v>
      </c>
      <c r="I17" s="133">
        <f t="shared" si="1"/>
        <v>1.38</v>
      </c>
      <c r="J17" s="280">
        <f t="shared" si="2"/>
        <v>267.46762099522834</v>
      </c>
      <c r="K17" s="280">
        <f t="shared" si="3"/>
        <v>8.0095432856169051</v>
      </c>
      <c r="L17" s="143">
        <v>369</v>
      </c>
      <c r="M17" s="143">
        <v>11</v>
      </c>
      <c r="N17" s="143">
        <f t="shared" si="4"/>
        <v>380</v>
      </c>
      <c r="P17" s="15">
        <f t="shared" si="5"/>
        <v>369.10531697341509</v>
      </c>
      <c r="R17" s="15">
        <f t="shared" si="6"/>
        <v>11.053169734151329</v>
      </c>
    </row>
    <row r="18" spans="1:18" ht="21" customHeight="1" x14ac:dyDescent="0.3">
      <c r="A18" s="112">
        <v>8</v>
      </c>
      <c r="B18" s="134" t="s">
        <v>14</v>
      </c>
      <c r="C18" s="115"/>
      <c r="D18" s="135"/>
      <c r="E18" s="144">
        <v>17</v>
      </c>
      <c r="F18" s="117">
        <v>1.3</v>
      </c>
      <c r="G18" s="144" t="s">
        <v>266</v>
      </c>
      <c r="H18" s="239">
        <v>1</v>
      </c>
      <c r="I18" s="136">
        <f t="shared" si="1"/>
        <v>1.3</v>
      </c>
      <c r="J18" s="137">
        <f t="shared" si="2"/>
        <v>267.46762099522834</v>
      </c>
      <c r="K18" s="137">
        <f t="shared" si="3"/>
        <v>8.0095432856169051</v>
      </c>
      <c r="L18" s="144">
        <v>348</v>
      </c>
      <c r="M18" s="144">
        <v>10</v>
      </c>
      <c r="N18" s="144">
        <f t="shared" si="4"/>
        <v>358</v>
      </c>
      <c r="P18" s="15">
        <f t="shared" si="5"/>
        <v>347.70790729379684</v>
      </c>
      <c r="R18" s="15">
        <f t="shared" si="6"/>
        <v>10.412406271301977</v>
      </c>
    </row>
    <row r="19" spans="1:18" x14ac:dyDescent="0.3">
      <c r="B19" s="196" t="s">
        <v>201</v>
      </c>
    </row>
    <row r="20" spans="1:18" x14ac:dyDescent="0.3">
      <c r="B20" s="186" t="s">
        <v>178</v>
      </c>
      <c r="P20" s="122" t="s">
        <v>259</v>
      </c>
    </row>
    <row r="21" spans="1:18" x14ac:dyDescent="0.3">
      <c r="B21" s="530" t="s">
        <v>274</v>
      </c>
      <c r="C21" s="530"/>
      <c r="D21" s="530"/>
    </row>
    <row r="22" spans="1:18" x14ac:dyDescent="0.3">
      <c r="B22" s="186" t="s">
        <v>69</v>
      </c>
    </row>
    <row r="23" spans="1:18" x14ac:dyDescent="0.3">
      <c r="B23" s="186" t="s">
        <v>276</v>
      </c>
    </row>
    <row r="24" spans="1:18" x14ac:dyDescent="0.3">
      <c r="B24" s="186" t="s">
        <v>275</v>
      </c>
    </row>
    <row r="25" spans="1:18" x14ac:dyDescent="0.3">
      <c r="B25" s="186" t="s">
        <v>277</v>
      </c>
    </row>
    <row r="26" spans="1:18" x14ac:dyDescent="0.3">
      <c r="B26" s="531" t="s">
        <v>273</v>
      </c>
      <c r="C26" s="531"/>
      <c r="D26" s="531"/>
    </row>
    <row r="27" spans="1:18" ht="21" x14ac:dyDescent="0.3">
      <c r="B27" s="186" t="s">
        <v>153</v>
      </c>
    </row>
    <row r="28" spans="1:18" ht="21" x14ac:dyDescent="0.3">
      <c r="B28" s="186" t="s">
        <v>154</v>
      </c>
    </row>
    <row r="29" spans="1:18" x14ac:dyDescent="0.3">
      <c r="B29" s="188" t="s">
        <v>186</v>
      </c>
    </row>
    <row r="30" spans="1:18" ht="13.5" customHeight="1" x14ac:dyDescent="0.4">
      <c r="B30" s="189"/>
    </row>
    <row r="31" spans="1:18" x14ac:dyDescent="0.3">
      <c r="B31" s="529" t="s">
        <v>278</v>
      </c>
      <c r="C31" s="529"/>
      <c r="D31" s="529"/>
      <c r="E31" s="529"/>
      <c r="F31" s="529"/>
      <c r="G31" s="529"/>
      <c r="H31" s="529"/>
      <c r="I31" s="529"/>
      <c r="J31" s="529"/>
      <c r="K31" s="529"/>
      <c r="L31" s="529"/>
      <c r="M31" s="529"/>
      <c r="N31" s="529"/>
      <c r="O31" s="529"/>
    </row>
    <row r="32" spans="1:18" x14ac:dyDescent="0.3">
      <c r="B32" s="529" t="s">
        <v>271</v>
      </c>
      <c r="C32" s="529"/>
      <c r="D32" s="529"/>
      <c r="E32" s="529"/>
      <c r="F32" s="529"/>
      <c r="G32" s="529"/>
      <c r="H32" s="529"/>
      <c r="I32" s="529"/>
      <c r="J32" s="529"/>
      <c r="K32" s="529"/>
      <c r="L32" s="529"/>
      <c r="M32" s="529"/>
      <c r="N32" s="529"/>
      <c r="O32" s="529"/>
    </row>
  </sheetData>
  <mergeCells count="18">
    <mergeCell ref="B32:O32"/>
    <mergeCell ref="B21:D21"/>
    <mergeCell ref="B26:D26"/>
    <mergeCell ref="B31:O31"/>
    <mergeCell ref="I4:I5"/>
    <mergeCell ref="J4:J5"/>
    <mergeCell ref="K4:K5"/>
    <mergeCell ref="L4:L5"/>
    <mergeCell ref="M4:M5"/>
    <mergeCell ref="N4:N5"/>
    <mergeCell ref="A1:N1"/>
    <mergeCell ref="A2:N2"/>
    <mergeCell ref="A3:N3"/>
    <mergeCell ref="A4:A5"/>
    <mergeCell ref="B4:B5"/>
    <mergeCell ref="C4:D4"/>
    <mergeCell ref="E4:F4"/>
    <mergeCell ref="G4:H4"/>
  </mergeCells>
  <pageMargins left="0.78740157480314965" right="0.39370078740157483" top="0.78740157480314965" bottom="0.78740157480314965" header="0.31496062992125984" footer="0.31496062992125984"/>
  <pageSetup paperSize="9" scale="65" firstPageNumber="200" orientation="landscape" useFirstPageNumber="1" r:id="rId1"/>
  <headerFooter>
    <oddHeader>&amp;C&amp;14&amp;P&amp;R&amp;"Times New Roman,Bold Italic"&amp;13Phụ lục 2: Chương trình GNBV
Biểu số 2.4</oddHeader>
  </headerFooter>
  <colBreaks count="1" manualBreakCount="1">
    <brk id="14" max="1048575"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8040F126D0B4B4DB83E10593CC9657E" ma:contentTypeVersion="2" ma:contentTypeDescription="Create a new document." ma:contentTypeScope="" ma:versionID="bc865b4f45415bd6d9edb59b6d820544">
  <xsd:schema xmlns:xsd="http://www.w3.org/2001/XMLSchema" xmlns:xs="http://www.w3.org/2001/XMLSchema" xmlns:p="http://schemas.microsoft.com/office/2006/metadata/properties" xmlns:ns2="24e12227-0b0d-4b23-9586-977e009500b0" xmlns:ns3="ae4e42cd-c673-4541-a17d-d353a4125f5e" targetNamespace="http://schemas.microsoft.com/office/2006/metadata/properties" ma:root="true" ma:fieldsID="0acf8286736a2877a680aa0849ebe948" ns2:_="" ns3:_="">
    <xsd:import namespace="24e12227-0b0d-4b23-9586-977e009500b0"/>
    <xsd:import namespace="ae4e42cd-c673-4541-a17d-d353a4125f5e"/>
    <xsd:element name="properties">
      <xsd:complexType>
        <xsd:sequence>
          <xsd:element name="documentManagement">
            <xsd:complexType>
              <xsd:all>
                <xsd:element ref="ns2:MaTinBai" minOccurs="0"/>
                <xsd:element ref="ns2:KieuTepTi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12227-0b0d-4b23-9586-977e009500b0" elementFormDefault="qualified">
    <xsd:import namespace="http://schemas.microsoft.com/office/2006/documentManagement/types"/>
    <xsd:import namespace="http://schemas.microsoft.com/office/infopath/2007/PartnerControls"/>
    <xsd:element name="MaTinBai" ma:index="8" nillable="true" ma:displayName="MaTinBai" ma:internalName="MaTinBai">
      <xsd:simpleType>
        <xsd:restriction base="dms:Text">
          <xsd:maxLength value="255"/>
        </xsd:restriction>
      </xsd:simpleType>
    </xsd:element>
    <xsd:element name="KieuTepTin" ma:index="9" nillable="true" ma:displayName="KieuTepTin" ma:default="Tài liệu đính kèm" ma:format="Dropdown" ma:internalName="KieuTepTin">
      <xsd:simpleType>
        <xsd:restriction base="dms:Choice">
          <xsd:enumeration value="Tài liệu đính kèm"/>
          <xsd:enumeration value="Tài liệu"/>
          <xsd:enumeration value="Khác"/>
        </xsd:restriction>
      </xsd:simpleType>
    </xsd:element>
  </xsd:schema>
  <xsd:schema xmlns:xsd="http://www.w3.org/2001/XMLSchema" xmlns:xs="http://www.w3.org/2001/XMLSchema" xmlns:dms="http://schemas.microsoft.com/office/2006/documentManagement/types" xmlns:pc="http://schemas.microsoft.com/office/infopath/2007/PartnerControls" targetNamespace="ae4e42cd-c673-4541-a17d-d353a4125f5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ieuTepTin xmlns="24e12227-0b0d-4b23-9586-977e009500b0">Tài liệu đính kèm</KieuTepTin>
    <_dlc_DocId xmlns="ae4e42cd-c673-4541-a17d-d353a4125f5e">DDYPFUVZ5X6F-6-6303</_dlc_DocId>
    <_dlc_DocIdUrl xmlns="ae4e42cd-c673-4541-a17d-d353a4125f5e">
      <Url>https://dbdc.backan.gov.vn/_layouts/15/DocIdRedir.aspx?ID=DDYPFUVZ5X6F-6-6303</Url>
      <Description>DDYPFUVZ5X6F-6-6303</Description>
    </_dlc_DocIdUrl>
    <MaTinBai xmlns="24e12227-0b0d-4b23-9586-977e009500b0">49cf939c33962b5e</MaTinBai>
  </documentManagement>
</p:properties>
</file>

<file path=customXml/itemProps1.xml><?xml version="1.0" encoding="utf-8"?>
<ds:datastoreItem xmlns:ds="http://schemas.openxmlformats.org/officeDocument/2006/customXml" ds:itemID="{0005160E-3383-4ECD-8FC5-BD5AFD59D1BF}"/>
</file>

<file path=customXml/itemProps2.xml><?xml version="1.0" encoding="utf-8"?>
<ds:datastoreItem xmlns:ds="http://schemas.openxmlformats.org/officeDocument/2006/customXml" ds:itemID="{1EBAD1BA-6949-4383-B0AA-D83BB801D771}"/>
</file>

<file path=customXml/itemProps3.xml><?xml version="1.0" encoding="utf-8"?>
<ds:datastoreItem xmlns:ds="http://schemas.openxmlformats.org/officeDocument/2006/customXml" ds:itemID="{C6071E65-F829-4E79-8AD7-B3BC14DEAE51}"/>
</file>

<file path=customXml/itemProps4.xml><?xml version="1.0" encoding="utf-8"?>
<ds:datastoreItem xmlns:ds="http://schemas.openxmlformats.org/officeDocument/2006/customXml" ds:itemID="{4C2335FD-B11B-464F-84EE-02AF46E466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17</vt:i4>
      </vt:variant>
      <vt:variant>
        <vt:lpstr>Phạm vi Có tên</vt:lpstr>
      </vt:variant>
      <vt:variant>
        <vt:i4>16</vt:i4>
      </vt:variant>
    </vt:vector>
  </HeadingPairs>
  <TitlesOfParts>
    <vt:vector size="33" baseType="lpstr">
      <vt:lpstr>Sheet1</vt:lpstr>
      <vt:lpstr>Nguồn</vt:lpstr>
      <vt:lpstr>PB</vt:lpstr>
      <vt:lpstr>PA chi tiết</vt:lpstr>
      <vt:lpstr>1</vt:lpstr>
      <vt:lpstr>2</vt:lpstr>
      <vt:lpstr>TD1-3</vt:lpstr>
      <vt:lpstr>tIỂU DỰ ÁN 1- DA3</vt:lpstr>
      <vt:lpstr>TDA 2-3</vt:lpstr>
      <vt:lpstr>ND1-TDA 1-4</vt:lpstr>
      <vt:lpstr>ND2-TDA1-4</vt:lpstr>
      <vt:lpstr>TDA 2-4</vt:lpstr>
      <vt:lpstr>TDA3-4</vt:lpstr>
      <vt:lpstr>5</vt:lpstr>
      <vt:lpstr>TDA1-6</vt:lpstr>
      <vt:lpstr>TDA2-6</vt:lpstr>
      <vt:lpstr>7</vt:lpstr>
      <vt:lpstr>'ND1-TDA 1-4'!bookmark5</vt:lpstr>
      <vt:lpstr>'ND2-TDA1-4'!bookmark6</vt:lpstr>
      <vt:lpstr>'ND2-TDA1-4'!bookmark7</vt:lpstr>
      <vt:lpstr>Nguồn!Print_Titles</vt:lpstr>
      <vt:lpstr>'PA chi tiết'!Print_Titles</vt:lpstr>
      <vt:lpstr>'1'!Vùng_In</vt:lpstr>
      <vt:lpstr>'2'!Vùng_In</vt:lpstr>
      <vt:lpstr>'7'!Vùng_In</vt:lpstr>
      <vt:lpstr>'ND1-TDA 1-4'!Vùng_In</vt:lpstr>
      <vt:lpstr>'ND2-TDA1-4'!Vùng_In</vt:lpstr>
      <vt:lpstr>'PA chi tiết'!Vùng_In</vt:lpstr>
      <vt:lpstr>'TDA 2-4'!Vùng_In</vt:lpstr>
      <vt:lpstr>'TDA1-6'!Vùng_In</vt:lpstr>
      <vt:lpstr>'TDA2-6'!Vùng_In</vt:lpstr>
      <vt:lpstr>'TDA3-4'!Vùng_In</vt:lpstr>
      <vt:lpstr>'tIỂU DỰ ÁN 1- DA3'!Vùng_In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2023-11-27T14:37:26Z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0x010100A8040F126D0B4B4DB83E10593CC9657E</vt:lpwstr>
  </property>
  <property fmtid="{D5CDD505-2E9C-101B-9397-08002B2CF9AE}" pid="3" name="_dlc_DocIdItemGuid">
    <vt:lpwstr>42c2e8ec-1dca-4a56-8629-c11af9316eba</vt:lpwstr>
  </property>
</Properties>
</file>