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Năm 2023\HĐND\2780\"/>
    </mc:Choice>
  </mc:AlternateContent>
  <xr:revisionPtr revIDLastSave="0" documentId="13_ncr:1_{895A1D2B-3145-45DC-A77C-7637CFFED996}" xr6:coauthVersionLast="47" xr6:coauthVersionMax="47" xr10:uidLastSave="{00000000-0000-0000-0000-000000000000}"/>
  <bookViews>
    <workbookView xWindow="-120" yWindow="-120" windowWidth="29040" windowHeight="15840" tabRatio="927" firstSheet="1" activeTab="8" xr2:uid="{00000000-000D-0000-FFFF-FFFF00000000}"/>
  </bookViews>
  <sheets>
    <sheet name="B1-TH DA" sheetId="1" state="hidden" r:id="rId1"/>
    <sheet name="1 Điều hành" sheetId="36" r:id="rId2"/>
    <sheet name="2 Nhiệm vụ" sheetId="33" r:id="rId3"/>
    <sheet name="3 Bảo trì" sheetId="35" r:id="rId4"/>
    <sheet name="4 NĐ 35" sheetId="34" r:id="rId5"/>
    <sheet name="5 CĐ số" sheetId="37" state="hidden" r:id="rId6"/>
    <sheet name="6 ô tô" sheetId="41" state="hidden" r:id="rId7"/>
    <sheet name="5a DTTS" sheetId="29" r:id="rId8"/>
    <sheet name="5b DTTS" sheetId="27" r:id="rId9"/>
    <sheet name="6A GNBV" sheetId="30" r:id="rId10"/>
    <sheet name="6B GNBV" sheetId="28" r:id="rId11"/>
    <sheet name="7a NTM" sheetId="31" r:id="rId12"/>
    <sheet name="7b NTM" sheetId="32" r:id="rId13"/>
    <sheet name="B3-DA1" sheetId="2" state="hidden" r:id="rId14"/>
    <sheet name="B4-TDA1,DA3" sheetId="3" state="hidden" r:id="rId15"/>
    <sheet name="B5-TDA2,DA3" sheetId="5" state="hidden" r:id="rId16"/>
    <sheet name="B6-DA4" sheetId="6" state="hidden" r:id="rId17"/>
    <sheet name="B7-TDA1,DA5" sheetId="7" state="hidden" r:id="rId18"/>
    <sheet name="B7-TDA2,DA5" sheetId="8" state="hidden" r:id="rId19"/>
    <sheet name="B8-TDA3,DA5" sheetId="9" state="hidden" r:id="rId20"/>
    <sheet name="B9-TDA4,DA5" sheetId="24" state="hidden" r:id="rId21"/>
    <sheet name="B10-DA6" sheetId="10" state="hidden" r:id="rId22"/>
    <sheet name="B11-DA7" sheetId="11" state="hidden" r:id="rId23"/>
    <sheet name="B12-DA8" sheetId="12" state="hidden" r:id="rId24"/>
    <sheet name="B13-TDA1,DA9" sheetId="25" state="hidden" r:id="rId25"/>
    <sheet name="B14-TDA2,DA9" sheetId="13" state="hidden" r:id="rId26"/>
    <sheet name="B15-TDA1,DA10" sheetId="14" state="hidden" r:id="rId27"/>
    <sheet name="B16-TDA2,DA10" sheetId="15" state="hidden" r:id="rId28"/>
    <sheet name="B17-TDA3,DA10" sheetId="26" state="hidden" r:id="rId29"/>
    <sheet name="8" sheetId="40"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Print_Area" localSheetId="21">'B10-DA6'!$A:$N</definedName>
    <definedName name="_xlnm.Print_Area" localSheetId="22">'B11-DA7'!$A:$L</definedName>
    <definedName name="_xlnm.Print_Area" localSheetId="24">'B13-TDA1,DA9'!$A:$L</definedName>
    <definedName name="_xlnm.Print_Area" localSheetId="26">'B15-TDA1,DA10'!$A$1:$O$15</definedName>
    <definedName name="_xlnm.Print_Titles" localSheetId="2">'2 Nhiệm vụ'!$4:$4</definedName>
    <definedName name="_xlnm.Print_Titles" localSheetId="5">'5 CĐ số'!$4:$5</definedName>
    <definedName name="_xlnm.Print_Titles" localSheetId="7">'5a DTTS'!$6:$9</definedName>
    <definedName name="_xlnm.Print_Titles" localSheetId="8">'5b DTTS'!$A:$B</definedName>
    <definedName name="_xlnm.Print_Titles" localSheetId="9">'6A GNBV'!$4:$5</definedName>
    <definedName name="_xlnm.Print_Titles" localSheetId="10">'6B GNBV'!$A:$B</definedName>
    <definedName name="_xlnm.Print_Titles" localSheetId="12">'7b NTM'!$4:$9</definedName>
    <definedName name="_xlnm.Print_Titles" localSheetId="21">'B10-DA6'!$4:$4</definedName>
    <definedName name="_xlnm.Print_Titles" localSheetId="0">'B1-TH DA'!$6:$8</definedName>
    <definedName name="_xlnm.Print_Titles" localSheetId="13">'B3-DA1'!$6:$6</definedName>
    <definedName name="_xlnm.Print_Titles" localSheetId="14">'B4-TDA1,DA3'!$5:$5</definedName>
    <definedName name="_xlnm.Print_Titles" localSheetId="16">'B6-DA4'!$4:$4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3" i="33" l="1"/>
  <c r="D582" i="33" l="1"/>
  <c r="U38" i="40" l="1"/>
  <c r="C38" i="40"/>
  <c r="U37" i="40"/>
  <c r="U14" i="40" s="1"/>
  <c r="C37" i="40"/>
  <c r="U36" i="40"/>
  <c r="C36" i="40" s="1"/>
  <c r="U35" i="40"/>
  <c r="T34" i="40"/>
  <c r="T9" i="40" s="1"/>
  <c r="R33" i="40"/>
  <c r="R17" i="40" s="1"/>
  <c r="C17" i="40" s="1"/>
  <c r="B33" i="40"/>
  <c r="R32" i="40"/>
  <c r="S32" i="40" s="1"/>
  <c r="S16" i="40" s="1"/>
  <c r="P32" i="40"/>
  <c r="P16" i="40" s="1"/>
  <c r="M32" i="40"/>
  <c r="M16" i="40" s="1"/>
  <c r="J32" i="40"/>
  <c r="J16" i="40" s="1"/>
  <c r="G32" i="40"/>
  <c r="G16" i="40" s="1"/>
  <c r="R31" i="40"/>
  <c r="S31" i="40" s="1"/>
  <c r="S15" i="40" s="1"/>
  <c r="P31" i="40"/>
  <c r="M31" i="40"/>
  <c r="J31" i="40"/>
  <c r="J15" i="40" s="1"/>
  <c r="G31" i="40"/>
  <c r="G15" i="40" s="1"/>
  <c r="R30" i="40"/>
  <c r="S30" i="40" s="1"/>
  <c r="S14" i="40" s="1"/>
  <c r="P30" i="40"/>
  <c r="M30" i="40"/>
  <c r="J30" i="40"/>
  <c r="G30" i="40"/>
  <c r="B30" i="40"/>
  <c r="P29" i="40"/>
  <c r="M29" i="40"/>
  <c r="J29" i="40"/>
  <c r="G29" i="40"/>
  <c r="R28" i="40"/>
  <c r="S28" i="40" s="1"/>
  <c r="S12" i="40" s="1"/>
  <c r="P28" i="40"/>
  <c r="M28" i="40"/>
  <c r="J28" i="40"/>
  <c r="G28" i="40"/>
  <c r="R27" i="40"/>
  <c r="R11" i="40" s="1"/>
  <c r="P27" i="40"/>
  <c r="M27" i="40"/>
  <c r="J27" i="40"/>
  <c r="G27" i="40"/>
  <c r="R26" i="40"/>
  <c r="R10" i="40" s="1"/>
  <c r="J26" i="40"/>
  <c r="G26" i="40"/>
  <c r="Q25" i="40"/>
  <c r="Q9" i="40" s="1"/>
  <c r="O25" i="40"/>
  <c r="L25" i="40"/>
  <c r="K25" i="40"/>
  <c r="I25" i="40"/>
  <c r="F25" i="40"/>
  <c r="N24" i="40"/>
  <c r="N14" i="40" s="1"/>
  <c r="M24" i="40"/>
  <c r="P24" i="40" s="1"/>
  <c r="H24" i="40"/>
  <c r="H14" i="40" s="1"/>
  <c r="G24" i="40"/>
  <c r="B24" i="40"/>
  <c r="B14" i="40" s="1"/>
  <c r="N23" i="40"/>
  <c r="M23" i="40"/>
  <c r="P23" i="40" s="1"/>
  <c r="P13" i="40" s="1"/>
  <c r="H23" i="40"/>
  <c r="H13" i="40" s="1"/>
  <c r="G23" i="40"/>
  <c r="N22" i="40"/>
  <c r="K22" i="40"/>
  <c r="K12" i="40" s="1"/>
  <c r="H22" i="40"/>
  <c r="H12" i="40" s="1"/>
  <c r="E22" i="40"/>
  <c r="G22" i="40" s="1"/>
  <c r="N21" i="40"/>
  <c r="M21" i="40"/>
  <c r="M11" i="40" s="1"/>
  <c r="H21" i="40"/>
  <c r="H11" i="40" s="1"/>
  <c r="G21" i="40"/>
  <c r="J21" i="40" s="1"/>
  <c r="N20" i="40"/>
  <c r="N19" i="40" s="1"/>
  <c r="N9" i="40" s="1"/>
  <c r="K20" i="40"/>
  <c r="M20" i="40" s="1"/>
  <c r="E20" i="40"/>
  <c r="E10" i="40" s="1"/>
  <c r="L19" i="40"/>
  <c r="F19" i="40"/>
  <c r="Q17" i="40"/>
  <c r="E17" i="40"/>
  <c r="U16" i="40"/>
  <c r="T16" i="40"/>
  <c r="R16" i="40"/>
  <c r="Q16" i="40"/>
  <c r="O16" i="40"/>
  <c r="N16" i="40"/>
  <c r="L16" i="40"/>
  <c r="K16" i="40"/>
  <c r="I16" i="40"/>
  <c r="H16" i="40"/>
  <c r="F16" i="40"/>
  <c r="E16" i="40"/>
  <c r="Q15" i="40"/>
  <c r="P15" i="40"/>
  <c r="O15" i="40"/>
  <c r="N15" i="40"/>
  <c r="M15" i="40"/>
  <c r="L15" i="40"/>
  <c r="K15" i="40"/>
  <c r="I15" i="40"/>
  <c r="H15" i="40"/>
  <c r="F15" i="40"/>
  <c r="E15" i="40"/>
  <c r="T14" i="40"/>
  <c r="Q14" i="40"/>
  <c r="L14" i="40"/>
  <c r="K14" i="40"/>
  <c r="F14" i="40"/>
  <c r="E14" i="40"/>
  <c r="T13" i="40"/>
  <c r="N13" i="40"/>
  <c r="L13" i="40"/>
  <c r="K13" i="40"/>
  <c r="F13" i="40"/>
  <c r="E13" i="40"/>
  <c r="T12" i="40"/>
  <c r="R12" i="40"/>
  <c r="Q12" i="40"/>
  <c r="N12" i="40"/>
  <c r="L12" i="40"/>
  <c r="F12" i="40"/>
  <c r="E12" i="40"/>
  <c r="Q11" i="40"/>
  <c r="N11" i="40"/>
  <c r="L11" i="40"/>
  <c r="K11" i="40"/>
  <c r="G11" i="40"/>
  <c r="F11" i="40"/>
  <c r="E11" i="40"/>
  <c r="Q10" i="40"/>
  <c r="N10" i="40"/>
  <c r="L10" i="40"/>
  <c r="J10" i="40"/>
  <c r="I10" i="40"/>
  <c r="H10" i="40"/>
  <c r="F10" i="40"/>
  <c r="L9" i="40"/>
  <c r="F9" i="40"/>
  <c r="N7" i="40"/>
  <c r="T6" i="40"/>
  <c r="Q6" i="40"/>
  <c r="P6" i="40"/>
  <c r="N6" i="40"/>
  <c r="M6" i="40"/>
  <c r="R15" i="40" l="1"/>
  <c r="U34" i="40"/>
  <c r="U9" i="40" s="1"/>
  <c r="M13" i="40"/>
  <c r="R14" i="40"/>
  <c r="U12" i="40"/>
  <c r="U13" i="40"/>
  <c r="M25" i="40"/>
  <c r="C35" i="40"/>
  <c r="C34" i="40" s="1"/>
  <c r="K10" i="40"/>
  <c r="J25" i="40"/>
  <c r="C30" i="40"/>
  <c r="J22" i="40"/>
  <c r="J12" i="40" s="1"/>
  <c r="I22" i="40"/>
  <c r="I12" i="40" s="1"/>
  <c r="O24" i="40"/>
  <c r="O14" i="40" s="1"/>
  <c r="S27" i="40"/>
  <c r="S11" i="40" s="1"/>
  <c r="C16" i="40"/>
  <c r="C28" i="40"/>
  <c r="C29" i="40"/>
  <c r="H19" i="40"/>
  <c r="H9" i="40" s="1"/>
  <c r="O23" i="40"/>
  <c r="O13" i="40" s="1"/>
  <c r="R25" i="40"/>
  <c r="R9" i="40" s="1"/>
  <c r="C15" i="40"/>
  <c r="C27" i="40"/>
  <c r="I21" i="40"/>
  <c r="I11" i="40" s="1"/>
  <c r="P14" i="40"/>
  <c r="P25" i="40"/>
  <c r="J11" i="40"/>
  <c r="O20" i="40"/>
  <c r="O21" i="40"/>
  <c r="O11" i="40" s="1"/>
  <c r="I23" i="40"/>
  <c r="G10" i="40"/>
  <c r="G12" i="40"/>
  <c r="M14" i="40"/>
  <c r="P20" i="40"/>
  <c r="C20" i="40" s="1"/>
  <c r="P21" i="40"/>
  <c r="P11" i="40" s="1"/>
  <c r="M22" i="40"/>
  <c r="J23" i="40"/>
  <c r="J13" i="40" s="1"/>
  <c r="S26" i="40"/>
  <c r="G19" i="40"/>
  <c r="I24" i="40"/>
  <c r="I14" i="40" s="1"/>
  <c r="G25" i="40"/>
  <c r="G13" i="40"/>
  <c r="G14" i="40"/>
  <c r="J24" i="40"/>
  <c r="J14" i="40" s="1"/>
  <c r="C32" i="40"/>
  <c r="C33" i="40"/>
  <c r="M10" i="40"/>
  <c r="C14" i="40" l="1"/>
  <c r="C24" i="40"/>
  <c r="M12" i="40"/>
  <c r="P22" i="40"/>
  <c r="P12" i="40" s="1"/>
  <c r="C12" i="40" s="1"/>
  <c r="O22" i="40"/>
  <c r="O12" i="40" s="1"/>
  <c r="O19" i="40"/>
  <c r="O9" i="40" s="1"/>
  <c r="O10" i="40"/>
  <c r="C13" i="40"/>
  <c r="C23" i="40"/>
  <c r="P10" i="40"/>
  <c r="C11" i="40"/>
  <c r="J19" i="40"/>
  <c r="J9" i="40" s="1"/>
  <c r="G9" i="40"/>
  <c r="M19" i="40"/>
  <c r="M9" i="40" s="1"/>
  <c r="S10" i="40"/>
  <c r="C10" i="40" s="1"/>
  <c r="S25" i="40"/>
  <c r="S9" i="40" s="1"/>
  <c r="I13" i="40"/>
  <c r="I19" i="40"/>
  <c r="I9" i="40" s="1"/>
  <c r="C26" i="40"/>
  <c r="C25" i="40" s="1"/>
  <c r="C22" i="40" l="1"/>
  <c r="C19" i="40" s="1"/>
  <c r="C9" i="40"/>
  <c r="P19" i="40"/>
  <c r="P9" i="40" s="1"/>
  <c r="D717" i="33" l="1"/>
  <c r="D672" i="33"/>
  <c r="D478" i="33"/>
  <c r="D472" i="33" s="1"/>
  <c r="D685" i="33" l="1"/>
  <c r="D676" i="33"/>
  <c r="D547" i="33"/>
  <c r="D546" i="33"/>
  <c r="D545" i="33"/>
  <c r="D544" i="33"/>
  <c r="D543" i="33"/>
  <c r="D274" i="33" l="1"/>
  <c r="D721" i="33" l="1"/>
  <c r="D6" i="33" l="1"/>
  <c r="D43" i="33"/>
  <c r="D748" i="33" l="1"/>
  <c r="D6" i="31" l="1"/>
  <c r="E6" i="31"/>
  <c r="S6" i="31"/>
  <c r="T6" i="31"/>
  <c r="AL44" i="32"/>
  <c r="AK44" i="32"/>
  <c r="AI44" i="32"/>
  <c r="AH44" i="32"/>
  <c r="AD44" i="32"/>
  <c r="AB44" i="32"/>
  <c r="AA44" i="32" s="1"/>
  <c r="X44" i="32"/>
  <c r="W44" i="32"/>
  <c r="V44" i="32"/>
  <c r="T44" i="32"/>
  <c r="S44" i="32"/>
  <c r="Q44" i="32"/>
  <c r="O44" i="32" s="1"/>
  <c r="P44" i="32"/>
  <c r="N44" i="32"/>
  <c r="M44" i="32"/>
  <c r="K44" i="32"/>
  <c r="J44" i="32"/>
  <c r="F44" i="32"/>
  <c r="AJ43" i="32"/>
  <c r="AI43" i="32"/>
  <c r="AH43" i="32"/>
  <c r="AD43" i="32"/>
  <c r="AC43" i="32"/>
  <c r="AB43" i="32"/>
  <c r="X43" i="32"/>
  <c r="W43" i="32"/>
  <c r="V43" i="32"/>
  <c r="T43" i="32"/>
  <c r="S43" i="32"/>
  <c r="O43" i="32"/>
  <c r="N43" i="32"/>
  <c r="M43" i="32"/>
  <c r="K43" i="32"/>
  <c r="J43" i="32"/>
  <c r="F43" i="32"/>
  <c r="AJ42" i="32"/>
  <c r="AI42" i="32"/>
  <c r="AH42" i="32"/>
  <c r="AD42" i="32"/>
  <c r="AC42" i="32"/>
  <c r="AB42" i="32"/>
  <c r="X42" i="32"/>
  <c r="U42" i="32"/>
  <c r="O42" i="32"/>
  <c r="N42" i="32"/>
  <c r="M42" i="32"/>
  <c r="K42" i="32"/>
  <c r="J42" i="32"/>
  <c r="F42" i="32"/>
  <c r="AL41" i="32"/>
  <c r="AK41" i="32"/>
  <c r="AI41" i="32"/>
  <c r="AH41" i="32"/>
  <c r="AD41" i="32"/>
  <c r="AC41" i="32"/>
  <c r="AB41" i="32"/>
  <c r="X41" i="32"/>
  <c r="W41" i="32"/>
  <c r="V41" i="32"/>
  <c r="T41" i="32"/>
  <c r="S41" i="32"/>
  <c r="O41" i="32"/>
  <c r="N41" i="32"/>
  <c r="M41" i="32"/>
  <c r="K41" i="32"/>
  <c r="J41" i="32"/>
  <c r="F41" i="32"/>
  <c r="AL40" i="32"/>
  <c r="AK40" i="32"/>
  <c r="AI40" i="32"/>
  <c r="AH40" i="32"/>
  <c r="AD40" i="32"/>
  <c r="AC40" i="32"/>
  <c r="AB40" i="32"/>
  <c r="X40" i="32"/>
  <c r="W40" i="32"/>
  <c r="V40" i="32"/>
  <c r="T40" i="32"/>
  <c r="S40" i="32"/>
  <c r="O40" i="32"/>
  <c r="N40" i="32"/>
  <c r="M40" i="32"/>
  <c r="K40" i="32"/>
  <c r="J40" i="32"/>
  <c r="F40" i="32"/>
  <c r="AL39" i="32"/>
  <c r="AK39" i="32"/>
  <c r="AI39" i="32"/>
  <c r="AH39" i="32"/>
  <c r="AD39" i="32"/>
  <c r="AC39" i="32"/>
  <c r="AB39" i="32"/>
  <c r="X39" i="32"/>
  <c r="W39" i="32"/>
  <c r="V39" i="32"/>
  <c r="T39" i="32"/>
  <c r="S39" i="32"/>
  <c r="O39" i="32"/>
  <c r="N39" i="32"/>
  <c r="M39" i="32"/>
  <c r="K39" i="32"/>
  <c r="J39" i="32"/>
  <c r="F39" i="32"/>
  <c r="AJ38" i="32"/>
  <c r="AI38" i="32"/>
  <c r="AH38" i="32"/>
  <c r="AD38" i="32"/>
  <c r="AC38" i="32"/>
  <c r="AB38" i="32"/>
  <c r="X38" i="32"/>
  <c r="W38" i="32"/>
  <c r="V38" i="32"/>
  <c r="R38" i="32"/>
  <c r="O38" i="32"/>
  <c r="N38" i="32"/>
  <c r="M38" i="32"/>
  <c r="K38" i="32"/>
  <c r="J38" i="32"/>
  <c r="F38" i="32"/>
  <c r="AL37" i="32"/>
  <c r="AK37" i="32"/>
  <c r="AI37" i="32"/>
  <c r="AH37" i="32"/>
  <c r="AD37" i="32"/>
  <c r="AD36" i="32" s="1"/>
  <c r="AC37" i="32"/>
  <c r="AB37" i="32"/>
  <c r="X37" i="32"/>
  <c r="W37" i="32"/>
  <c r="V37" i="32"/>
  <c r="R37" i="32"/>
  <c r="O37" i="32"/>
  <c r="N37" i="32"/>
  <c r="M37" i="32"/>
  <c r="K37" i="32"/>
  <c r="J37" i="32"/>
  <c r="F37" i="32"/>
  <c r="F36" i="32" s="1"/>
  <c r="AF36" i="32"/>
  <c r="AE36" i="32"/>
  <c r="Z36" i="32"/>
  <c r="Y36" i="32"/>
  <c r="P36" i="32"/>
  <c r="H36" i="32"/>
  <c r="G36" i="32"/>
  <c r="AG35" i="32"/>
  <c r="AA35" i="32"/>
  <c r="X35" i="32"/>
  <c r="U35" i="32"/>
  <c r="R35" i="32"/>
  <c r="O35" i="32"/>
  <c r="N35" i="32"/>
  <c r="E35" i="32" s="1"/>
  <c r="M35" i="32"/>
  <c r="I35" i="32"/>
  <c r="AI34" i="32"/>
  <c r="E34" i="32" s="1"/>
  <c r="AH34" i="32"/>
  <c r="AI33" i="32"/>
  <c r="AH33" i="32"/>
  <c r="D33" i="32" s="1"/>
  <c r="AI32" i="32"/>
  <c r="E32" i="32" s="1"/>
  <c r="AH32" i="32"/>
  <c r="D32" i="32" s="1"/>
  <c r="AI31" i="32"/>
  <c r="E31" i="32" s="1"/>
  <c r="AH31" i="32"/>
  <c r="AG31" i="32" s="1"/>
  <c r="AI30" i="32"/>
  <c r="E30" i="32" s="1"/>
  <c r="AH30" i="32"/>
  <c r="AI29" i="32"/>
  <c r="AH29" i="32"/>
  <c r="D29" i="32" s="1"/>
  <c r="AI28" i="32"/>
  <c r="E28" i="32" s="1"/>
  <c r="AH28" i="32"/>
  <c r="D28" i="32" s="1"/>
  <c r="AI27" i="32"/>
  <c r="AH27" i="32"/>
  <c r="D27" i="32" s="1"/>
  <c r="AI26" i="32"/>
  <c r="E26" i="32" s="1"/>
  <c r="AH26" i="32"/>
  <c r="AI25" i="32"/>
  <c r="AH25" i="32"/>
  <c r="D25" i="32" s="1"/>
  <c r="AI24" i="32"/>
  <c r="AH24" i="32"/>
  <c r="AF24" i="32"/>
  <c r="AE24" i="32"/>
  <c r="AI23" i="32"/>
  <c r="AH23" i="32"/>
  <c r="AC23" i="32"/>
  <c r="AB23" i="32"/>
  <c r="AI22" i="32"/>
  <c r="AH22" i="32"/>
  <c r="AC22" i="32"/>
  <c r="AB22" i="32"/>
  <c r="X22" i="32"/>
  <c r="W22" i="32"/>
  <c r="V22" i="32"/>
  <c r="R22" i="32"/>
  <c r="O22" i="32"/>
  <c r="L22" i="32"/>
  <c r="I22" i="32"/>
  <c r="AI21" i="32"/>
  <c r="AH21" i="32"/>
  <c r="AC21" i="32"/>
  <c r="AB21" i="32"/>
  <c r="X21" i="32"/>
  <c r="U21" i="32"/>
  <c r="R21" i="32"/>
  <c r="O21" i="32"/>
  <c r="N21" i="32"/>
  <c r="M21" i="32"/>
  <c r="I21" i="32"/>
  <c r="AI20" i="32"/>
  <c r="AH20" i="32"/>
  <c r="AC20" i="32"/>
  <c r="AB20" i="32"/>
  <c r="X20" i="32"/>
  <c r="AI19" i="32"/>
  <c r="E19" i="32" s="1"/>
  <c r="AH19" i="32"/>
  <c r="AA19" i="32"/>
  <c r="X19" i="32"/>
  <c r="AI18" i="32"/>
  <c r="AH18" i="32"/>
  <c r="AA18" i="32"/>
  <c r="X18" i="32"/>
  <c r="U18" i="32"/>
  <c r="R18" i="32"/>
  <c r="O18" i="32"/>
  <c r="N18" i="32"/>
  <c r="M18" i="32"/>
  <c r="I18" i="32"/>
  <c r="AI17" i="32"/>
  <c r="AH17" i="32"/>
  <c r="AA17" i="32"/>
  <c r="Z17" i="32"/>
  <c r="Y17" i="32"/>
  <c r="U17" i="32"/>
  <c r="R17" i="32"/>
  <c r="O17" i="32"/>
  <c r="L17" i="32"/>
  <c r="I17" i="32"/>
  <c r="AI16" i="32"/>
  <c r="AH16" i="32"/>
  <c r="AA16" i="32"/>
  <c r="Z16" i="32"/>
  <c r="Y16" i="32"/>
  <c r="U16" i="32"/>
  <c r="R16" i="32"/>
  <c r="O16" i="32"/>
  <c r="L16" i="32"/>
  <c r="I16" i="32"/>
  <c r="AI15" i="32"/>
  <c r="AH15" i="32"/>
  <c r="AA15" i="32"/>
  <c r="X15" i="32"/>
  <c r="U15" i="32"/>
  <c r="Q15" i="32"/>
  <c r="P15" i="32"/>
  <c r="P12" i="32" s="1"/>
  <c r="L15" i="32"/>
  <c r="I15" i="32"/>
  <c r="AJ14" i="32"/>
  <c r="AI14" i="32"/>
  <c r="AH14" i="32"/>
  <c r="AD14" i="32"/>
  <c r="AA14" i="32"/>
  <c r="Z14" i="32"/>
  <c r="Y14" i="32"/>
  <c r="W14" i="32"/>
  <c r="V14" i="32"/>
  <c r="R14" i="32"/>
  <c r="R12" i="32" s="1"/>
  <c r="O14" i="32"/>
  <c r="N14" i="32"/>
  <c r="M14" i="32"/>
  <c r="K14" i="32"/>
  <c r="J14" i="32"/>
  <c r="J12" i="32" s="1"/>
  <c r="F14" i="32"/>
  <c r="AJ13" i="32"/>
  <c r="AI13" i="32"/>
  <c r="AH13" i="32"/>
  <c r="AD13" i="32"/>
  <c r="AA13" i="32"/>
  <c r="X13" i="32"/>
  <c r="U13" i="32"/>
  <c r="R13" i="32"/>
  <c r="O13" i="32"/>
  <c r="N13" i="32"/>
  <c r="E13" i="32" s="1"/>
  <c r="M13" i="32"/>
  <c r="D13" i="32" s="1"/>
  <c r="I13" i="32"/>
  <c r="F13" i="32"/>
  <c r="T12" i="32"/>
  <c r="S12" i="32"/>
  <c r="H12" i="32"/>
  <c r="G12" i="32"/>
  <c r="H11" i="32"/>
  <c r="BG31" i="28"/>
  <c r="BF31" i="28"/>
  <c r="BD31" i="28"/>
  <c r="BC31" i="28"/>
  <c r="BB31" i="28" s="1"/>
  <c r="AX31" i="28"/>
  <c r="AW31" i="28"/>
  <c r="AU31" i="28"/>
  <c r="AT31" i="28"/>
  <c r="AM31" i="28"/>
  <c r="AL31" i="28"/>
  <c r="AK31" i="28"/>
  <c r="AG31" i="28"/>
  <c r="AF31" i="28"/>
  <c r="AE31" i="28"/>
  <c r="AC31" i="28"/>
  <c r="AB31" i="28"/>
  <c r="Q31" i="28"/>
  <c r="P31" i="28"/>
  <c r="N31" i="28"/>
  <c r="M31" i="28"/>
  <c r="K31" i="28"/>
  <c r="J31" i="28"/>
  <c r="F31" i="28"/>
  <c r="BG30" i="28"/>
  <c r="BF30" i="28"/>
  <c r="BD30" i="28"/>
  <c r="BC30" i="28"/>
  <c r="AX30" i="28"/>
  <c r="AW30" i="28"/>
  <c r="AU30" i="28"/>
  <c r="AT30" i="28"/>
  <c r="AM30" i="28"/>
  <c r="AL30" i="28"/>
  <c r="AK30" i="28"/>
  <c r="AG30" i="28"/>
  <c r="AF30" i="28"/>
  <c r="AE30" i="28"/>
  <c r="AC30" i="28"/>
  <c r="AB30" i="28"/>
  <c r="Q30" i="28"/>
  <c r="P30" i="28"/>
  <c r="N30" i="28"/>
  <c r="M30" i="28"/>
  <c r="K30" i="28"/>
  <c r="J30" i="28"/>
  <c r="F30" i="28"/>
  <c r="BG29" i="28"/>
  <c r="BF29" i="28"/>
  <c r="BD29" i="28"/>
  <c r="BC29" i="28"/>
  <c r="AX29" i="28"/>
  <c r="AW29" i="28"/>
  <c r="AU29" i="28"/>
  <c r="AT29" i="28"/>
  <c r="AM29" i="28"/>
  <c r="AL29" i="28"/>
  <c r="AK29" i="28"/>
  <c r="AG29" i="28"/>
  <c r="AF29" i="28"/>
  <c r="AE29" i="28"/>
  <c r="AC29" i="28"/>
  <c r="AB29" i="28"/>
  <c r="Q29" i="28"/>
  <c r="P29" i="28"/>
  <c r="N29" i="28"/>
  <c r="M29" i="28"/>
  <c r="K29" i="28"/>
  <c r="J29" i="28"/>
  <c r="F29" i="28"/>
  <c r="BG28" i="28"/>
  <c r="BF28" i="28"/>
  <c r="BD28" i="28"/>
  <c r="BC28" i="28"/>
  <c r="AX28" i="28"/>
  <c r="AW28" i="28"/>
  <c r="AU28" i="28"/>
  <c r="AR28" i="28" s="1"/>
  <c r="AT28" i="28"/>
  <c r="AM28" i="28"/>
  <c r="AL28" i="28"/>
  <c r="AK28" i="28"/>
  <c r="AG28" i="28"/>
  <c r="AF28" i="28"/>
  <c r="AE28" i="28"/>
  <c r="AC28" i="28"/>
  <c r="AB28" i="28"/>
  <c r="Q28" i="28"/>
  <c r="P28" i="28"/>
  <c r="N28" i="28"/>
  <c r="M28" i="28"/>
  <c r="K28" i="28"/>
  <c r="J28" i="28"/>
  <c r="F28" i="28"/>
  <c r="BG27" i="28"/>
  <c r="BF27" i="28"/>
  <c r="BD27" i="28"/>
  <c r="BC27" i="28"/>
  <c r="AX27" i="28"/>
  <c r="AW27" i="28"/>
  <c r="AU27" i="28"/>
  <c r="AT27" i="28"/>
  <c r="AS27" i="28" s="1"/>
  <c r="AO27" i="28"/>
  <c r="AN27" i="28"/>
  <c r="AL27" i="28"/>
  <c r="AK27" i="28"/>
  <c r="AI27" i="28"/>
  <c r="AH27" i="28"/>
  <c r="AF27" i="28"/>
  <c r="AE27" i="28"/>
  <c r="AC27" i="28"/>
  <c r="AB27" i="28"/>
  <c r="Q27" i="28"/>
  <c r="P27" i="28"/>
  <c r="N27" i="28"/>
  <c r="M27" i="28"/>
  <c r="K27" i="28"/>
  <c r="J27" i="28"/>
  <c r="H27" i="28"/>
  <c r="G27" i="28"/>
  <c r="BG26" i="28"/>
  <c r="BF26" i="28"/>
  <c r="BD26" i="28"/>
  <c r="BC26" i="28"/>
  <c r="AX26" i="28"/>
  <c r="AW26" i="28"/>
  <c r="AU26" i="28"/>
  <c r="AT26" i="28"/>
  <c r="AM26" i="28"/>
  <c r="AL26" i="28"/>
  <c r="AK26" i="28"/>
  <c r="AG26" i="28"/>
  <c r="AF26" i="28"/>
  <c r="AE26" i="28"/>
  <c r="AC26" i="28"/>
  <c r="AB26" i="28"/>
  <c r="Q26" i="28"/>
  <c r="P26" i="28"/>
  <c r="N26" i="28"/>
  <c r="M26" i="28"/>
  <c r="K26" i="28"/>
  <c r="J26" i="28"/>
  <c r="F26" i="28"/>
  <c r="BG25" i="28"/>
  <c r="BF25" i="28"/>
  <c r="BD25" i="28"/>
  <c r="BC25" i="28"/>
  <c r="AX25" i="28"/>
  <c r="AW25" i="28"/>
  <c r="AU25" i="28"/>
  <c r="AT25" i="28"/>
  <c r="AO25" i="28"/>
  <c r="AN25" i="28"/>
  <c r="AL25" i="28"/>
  <c r="AK25" i="28"/>
  <c r="AI25" i="28"/>
  <c r="AH25" i="28"/>
  <c r="AF25" i="28"/>
  <c r="AE25" i="28"/>
  <c r="AC25" i="28"/>
  <c r="AB25" i="28"/>
  <c r="Q25" i="28"/>
  <c r="P25" i="28"/>
  <c r="N25" i="28"/>
  <c r="M25" i="28"/>
  <c r="K25" i="28"/>
  <c r="J25" i="28"/>
  <c r="H25" i="28"/>
  <c r="G25" i="28"/>
  <c r="BG24" i="28"/>
  <c r="BF24" i="28"/>
  <c r="BD24" i="28"/>
  <c r="BC24" i="28"/>
  <c r="AX24" i="28"/>
  <c r="AW24" i="28"/>
  <c r="AU24" i="28"/>
  <c r="AT24" i="28"/>
  <c r="AM24" i="28"/>
  <c r="AL24" i="28"/>
  <c r="AK24" i="28"/>
  <c r="AG24" i="28"/>
  <c r="AF24" i="28"/>
  <c r="W24" i="28" s="1"/>
  <c r="AE24" i="28"/>
  <c r="AA24" i="28"/>
  <c r="Q24" i="28"/>
  <c r="P24" i="28"/>
  <c r="N24" i="28"/>
  <c r="M24" i="28"/>
  <c r="K24" i="28"/>
  <c r="J24" i="28"/>
  <c r="F24" i="28"/>
  <c r="Z23" i="28"/>
  <c r="Y23" i="28"/>
  <c r="BE22" i="28"/>
  <c r="BB22" i="28"/>
  <c r="BA22" i="28"/>
  <c r="AZ22" i="28"/>
  <c r="AY22" i="28" s="1"/>
  <c r="AV22" i="28"/>
  <c r="AU22" i="28"/>
  <c r="E22" i="28" s="1"/>
  <c r="AT22" i="28"/>
  <c r="AM22" i="28"/>
  <c r="AG22" i="28"/>
  <c r="AD22" i="28"/>
  <c r="AA22" i="28"/>
  <c r="W22" i="28"/>
  <c r="V22" i="28"/>
  <c r="U22" i="28" s="1"/>
  <c r="R22" i="28"/>
  <c r="O22" i="28"/>
  <c r="L22" i="28"/>
  <c r="I22" i="28"/>
  <c r="F22" i="28"/>
  <c r="BE21" i="28"/>
  <c r="BB21" i="28"/>
  <c r="BA21" i="28"/>
  <c r="AZ21" i="28"/>
  <c r="AV21" i="28"/>
  <c r="AU21" i="28"/>
  <c r="AR21" i="28" s="1"/>
  <c r="AT21" i="28"/>
  <c r="AQ21" i="28" s="1"/>
  <c r="AM21" i="28"/>
  <c r="AG21" i="28"/>
  <c r="AD21" i="28"/>
  <c r="AA21" i="28"/>
  <c r="W21" i="28"/>
  <c r="V21" i="28"/>
  <c r="U21" i="28"/>
  <c r="R21" i="28"/>
  <c r="O21" i="28"/>
  <c r="L21" i="28"/>
  <c r="I21" i="28"/>
  <c r="F21" i="28"/>
  <c r="BE20" i="28"/>
  <c r="BB20" i="28"/>
  <c r="BA20" i="28"/>
  <c r="AZ20" i="28"/>
  <c r="AV20" i="28"/>
  <c r="AS20" i="28"/>
  <c r="AR20" i="28"/>
  <c r="AQ20" i="28"/>
  <c r="AM20" i="28"/>
  <c r="AJ20" i="28"/>
  <c r="AG20" i="28"/>
  <c r="AD20" i="28"/>
  <c r="AC20" i="28"/>
  <c r="E20" i="28" s="1"/>
  <c r="AB20" i="28"/>
  <c r="D20" i="28" s="1"/>
  <c r="U20" i="28"/>
  <c r="T20" i="28"/>
  <c r="S20" i="28"/>
  <c r="O20" i="28"/>
  <c r="L20" i="28"/>
  <c r="I20" i="28"/>
  <c r="F20" i="28"/>
  <c r="BE19" i="28"/>
  <c r="BB19" i="28"/>
  <c r="BA19" i="28"/>
  <c r="AZ19" i="28"/>
  <c r="AX19" i="28"/>
  <c r="AR19" i="28" s="1"/>
  <c r="AW19" i="28"/>
  <c r="AQ19" i="28" s="1"/>
  <c r="AS19" i="28"/>
  <c r="AM19" i="28"/>
  <c r="AG19" i="28"/>
  <c r="AD19" i="28"/>
  <c r="AA19" i="28"/>
  <c r="W19" i="28"/>
  <c r="V19" i="28"/>
  <c r="U19" i="28" s="1"/>
  <c r="R19" i="28"/>
  <c r="O19" i="28"/>
  <c r="L19" i="28"/>
  <c r="I19" i="28"/>
  <c r="F19" i="28"/>
  <c r="BG18" i="28"/>
  <c r="E18" i="28" s="1"/>
  <c r="BF18" i="28"/>
  <c r="BG17" i="28"/>
  <c r="BF17" i="28"/>
  <c r="BD17" i="28"/>
  <c r="BC17" i="28"/>
  <c r="AV17" i="28"/>
  <c r="AS17" i="28"/>
  <c r="AR17" i="28"/>
  <c r="AP17" i="28" s="1"/>
  <c r="AQ17" i="28"/>
  <c r="AM17" i="28"/>
  <c r="AG17" i="28"/>
  <c r="AD17" i="28"/>
  <c r="AA17" i="28"/>
  <c r="W17" i="28"/>
  <c r="V17" i="28"/>
  <c r="R17" i="28"/>
  <c r="O17" i="28"/>
  <c r="N17" i="28"/>
  <c r="N12" i="28" s="1"/>
  <c r="M17" i="28"/>
  <c r="M12" i="28" s="1"/>
  <c r="K17" i="28"/>
  <c r="J17" i="28"/>
  <c r="F17" i="28"/>
  <c r="BE16" i="28"/>
  <c r="BD16" i="28"/>
  <c r="BA16" i="28" s="1"/>
  <c r="BC16" i="28"/>
  <c r="AV16" i="28"/>
  <c r="AS16" i="28"/>
  <c r="AR16" i="28"/>
  <c r="AQ16" i="28"/>
  <c r="AM16" i="28"/>
  <c r="AG16" i="28"/>
  <c r="AD16" i="28"/>
  <c r="AA16" i="28"/>
  <c r="W16" i="28"/>
  <c r="V16" i="28"/>
  <c r="R16" i="28"/>
  <c r="O16" i="28"/>
  <c r="L16" i="28"/>
  <c r="I16" i="28"/>
  <c r="F16" i="28"/>
  <c r="BG15" i="28"/>
  <c r="BF15" i="28"/>
  <c r="BD15" i="28"/>
  <c r="BC15" i="28"/>
  <c r="AV15" i="28"/>
  <c r="AS15" i="28"/>
  <c r="AR15" i="28"/>
  <c r="AQ15" i="28"/>
  <c r="AM15" i="28"/>
  <c r="AG15" i="28"/>
  <c r="AD15" i="28"/>
  <c r="Q15" i="28"/>
  <c r="Q12" i="28" s="1"/>
  <c r="P15" i="28"/>
  <c r="P12" i="28" s="1"/>
  <c r="L15" i="28"/>
  <c r="I15" i="28"/>
  <c r="F15" i="28"/>
  <c r="BG14" i="28"/>
  <c r="BF14" i="28"/>
  <c r="BD14" i="28"/>
  <c r="BC14" i="28"/>
  <c r="AV14" i="28"/>
  <c r="AU14" i="28"/>
  <c r="AT14" i="28"/>
  <c r="AQ14" i="28" s="1"/>
  <c r="AM14" i="28"/>
  <c r="AG14" i="28"/>
  <c r="AD14" i="28"/>
  <c r="AA14" i="28"/>
  <c r="W14" i="28"/>
  <c r="V14" i="28"/>
  <c r="R14" i="28"/>
  <c r="O14" i="28"/>
  <c r="L14" i="28"/>
  <c r="I14" i="28"/>
  <c r="F14" i="28"/>
  <c r="BG13" i="28"/>
  <c r="BF13" i="28"/>
  <c r="BD13" i="28"/>
  <c r="BC13" i="28"/>
  <c r="AX13" i="28"/>
  <c r="AW13" i="28"/>
  <c r="AS13" i="28"/>
  <c r="AM13" i="28"/>
  <c r="AL13" i="28"/>
  <c r="AK13" i="28"/>
  <c r="AK12" i="28" s="1"/>
  <c r="AI13" i="28"/>
  <c r="AI12" i="28" s="1"/>
  <c r="AH13" i="28"/>
  <c r="AH12" i="28" s="1"/>
  <c r="AD13" i="28"/>
  <c r="AD12" i="28" s="1"/>
  <c r="AA13" i="28"/>
  <c r="X13" i="28"/>
  <c r="X12" i="28" s="1"/>
  <c r="X11" i="28" s="1"/>
  <c r="W13" i="28"/>
  <c r="V13" i="28"/>
  <c r="O13" i="28"/>
  <c r="L13" i="28"/>
  <c r="K13" i="28"/>
  <c r="J13" i="28"/>
  <c r="F13" i="28"/>
  <c r="F12" i="28" s="1"/>
  <c r="AO12" i="28"/>
  <c r="AN12" i="28"/>
  <c r="AF12" i="28"/>
  <c r="AE12" i="28"/>
  <c r="Z12" i="28"/>
  <c r="Y12" i="28"/>
  <c r="Y11" i="28" s="1"/>
  <c r="W12" i="28"/>
  <c r="H12" i="28"/>
  <c r="G12" i="28"/>
  <c r="Z11" i="28"/>
  <c r="U16" i="28" l="1"/>
  <c r="U14" i="28"/>
  <c r="AY19" i="28"/>
  <c r="R20" i="28"/>
  <c r="V31" i="28"/>
  <c r="O36" i="32"/>
  <c r="AP15" i="28"/>
  <c r="AP16" i="28"/>
  <c r="AM12" i="28"/>
  <c r="G11" i="32"/>
  <c r="U13" i="28"/>
  <c r="AY21" i="28"/>
  <c r="F12" i="32"/>
  <c r="F11" i="32" s="1"/>
  <c r="X36" i="32"/>
  <c r="V12" i="28"/>
  <c r="U17" i="28"/>
  <c r="AP20" i="28"/>
  <c r="AY20" i="28"/>
  <c r="O26" i="28"/>
  <c r="L30" i="28"/>
  <c r="I37" i="32"/>
  <c r="AJ25" i="28"/>
  <c r="L28" i="28"/>
  <c r="BB28" i="28"/>
  <c r="AA37" i="32"/>
  <c r="U41" i="32"/>
  <c r="AA40" i="32"/>
  <c r="I43" i="32"/>
  <c r="AJ44" i="32"/>
  <c r="BA14" i="28"/>
  <c r="AJ29" i="28"/>
  <c r="BE25" i="28"/>
  <c r="BE14" i="28"/>
  <c r="BE15" i="28"/>
  <c r="L29" i="28"/>
  <c r="O31" i="28"/>
  <c r="U40" i="32"/>
  <c r="BG23" i="28"/>
  <c r="AX12" i="28"/>
  <c r="AR31" i="28"/>
  <c r="E19" i="28"/>
  <c r="F27" i="28"/>
  <c r="AV29" i="28"/>
  <c r="I28" i="28"/>
  <c r="L44" i="32"/>
  <c r="I27" i="28"/>
  <c r="BB25" i="28"/>
  <c r="AG41" i="32"/>
  <c r="R43" i="32"/>
  <c r="AG43" i="32"/>
  <c r="AD26" i="28"/>
  <c r="W25" i="28"/>
  <c r="T25" i="28" s="1"/>
  <c r="E43" i="32"/>
  <c r="I25" i="28"/>
  <c r="AD25" i="28"/>
  <c r="AG21" i="32"/>
  <c r="E24" i="32"/>
  <c r="AZ17" i="28"/>
  <c r="AD24" i="28"/>
  <c r="AV24" i="28"/>
  <c r="O28" i="28"/>
  <c r="BA30" i="28"/>
  <c r="C32" i="32"/>
  <c r="BE27" i="28"/>
  <c r="AQ29" i="28"/>
  <c r="AR30" i="28"/>
  <c r="AV31" i="28"/>
  <c r="AA39" i="32"/>
  <c r="BE17" i="28"/>
  <c r="AJ24" i="28"/>
  <c r="AQ28" i="28"/>
  <c r="AP28" i="28" s="1"/>
  <c r="AR29" i="28"/>
  <c r="E23" i="32"/>
  <c r="AG44" i="32"/>
  <c r="W27" i="28"/>
  <c r="T27" i="28" s="1"/>
  <c r="AR27" i="28"/>
  <c r="AZ31" i="28"/>
  <c r="X14" i="32"/>
  <c r="AG19" i="32"/>
  <c r="L21" i="32"/>
  <c r="AG23" i="32"/>
  <c r="AG30" i="32"/>
  <c r="U37" i="32"/>
  <c r="AA42" i="32"/>
  <c r="V25" i="28"/>
  <c r="S25" i="28" s="1"/>
  <c r="L26" i="28"/>
  <c r="AG27" i="28"/>
  <c r="I30" i="28"/>
  <c r="L31" i="28"/>
  <c r="AG15" i="32"/>
  <c r="U39" i="32"/>
  <c r="AG42" i="32"/>
  <c r="D44" i="32"/>
  <c r="BB14" i="28"/>
  <c r="BA15" i="28"/>
  <c r="AZ29" i="28"/>
  <c r="I40" i="32"/>
  <c r="BA13" i="28"/>
  <c r="E42" i="32"/>
  <c r="AJ27" i="28"/>
  <c r="BB27" i="28"/>
  <c r="E15" i="32"/>
  <c r="AG37" i="32"/>
  <c r="S31" i="28"/>
  <c r="AJ41" i="32"/>
  <c r="T13" i="28"/>
  <c r="T12" i="28" s="1"/>
  <c r="Z12" i="32"/>
  <c r="Z11" i="32" s="1"/>
  <c r="BE29" i="28"/>
  <c r="AA30" i="28"/>
  <c r="AG24" i="32"/>
  <c r="AG28" i="32"/>
  <c r="AK11" i="32"/>
  <c r="L40" i="32"/>
  <c r="E13" i="28"/>
  <c r="O24" i="28"/>
  <c r="O25" i="28"/>
  <c r="AG25" i="28"/>
  <c r="I26" i="28"/>
  <c r="AA29" i="28"/>
  <c r="I31" i="28"/>
  <c r="AD31" i="28"/>
  <c r="L18" i="32"/>
  <c r="E18" i="32"/>
  <c r="C28" i="32"/>
  <c r="AG32" i="32"/>
  <c r="L35" i="32"/>
  <c r="D41" i="32"/>
  <c r="AJ31" i="28"/>
  <c r="AG14" i="32"/>
  <c r="AA20" i="32"/>
  <c r="D14" i="28"/>
  <c r="T24" i="28"/>
  <c r="AX23" i="28"/>
  <c r="I29" i="28"/>
  <c r="AD29" i="28"/>
  <c r="AD30" i="28"/>
  <c r="AV30" i="28"/>
  <c r="BA31" i="28"/>
  <c r="Q12" i="32"/>
  <c r="D14" i="32"/>
  <c r="X16" i="32"/>
  <c r="D20" i="32"/>
  <c r="L39" i="32"/>
  <c r="AL11" i="32"/>
  <c r="AA28" i="28"/>
  <c r="D38" i="32"/>
  <c r="D39" i="32"/>
  <c r="AV13" i="28"/>
  <c r="BB15" i="28"/>
  <c r="I17" i="28"/>
  <c r="D19" i="28"/>
  <c r="AS21" i="28"/>
  <c r="I24" i="28"/>
  <c r="BB24" i="28"/>
  <c r="AM25" i="28"/>
  <c r="AZ26" i="28"/>
  <c r="AV27" i="28"/>
  <c r="AV28" i="28"/>
  <c r="E30" i="28"/>
  <c r="AA31" i="28"/>
  <c r="AQ31" i="28"/>
  <c r="BE31" i="28"/>
  <c r="Y12" i="32"/>
  <c r="Y11" i="32" s="1"/>
  <c r="AA21" i="32"/>
  <c r="AA23" i="32"/>
  <c r="D35" i="32"/>
  <c r="C35" i="32" s="1"/>
  <c r="I41" i="32"/>
  <c r="W26" i="28"/>
  <c r="T26" i="28" s="1"/>
  <c r="AG39" i="32"/>
  <c r="AG13" i="28"/>
  <c r="AG12" i="28" s="1"/>
  <c r="D21" i="28"/>
  <c r="AL12" i="28"/>
  <c r="AJ13" i="28"/>
  <c r="AJ12" i="28" s="1"/>
  <c r="E15" i="28"/>
  <c r="E21" i="28"/>
  <c r="AA27" i="28"/>
  <c r="BA27" i="28"/>
  <c r="AJ28" i="28"/>
  <c r="BA28" i="28"/>
  <c r="AJ30" i="28"/>
  <c r="BB30" i="28"/>
  <c r="W31" i="28"/>
  <c r="U31" i="28" s="1"/>
  <c r="AG17" i="32"/>
  <c r="W36" i="32"/>
  <c r="BB17" i="28"/>
  <c r="BA29" i="28"/>
  <c r="R39" i="32"/>
  <c r="S13" i="28"/>
  <c r="BB13" i="28"/>
  <c r="E14" i="28"/>
  <c r="AS22" i="28"/>
  <c r="AS24" i="28"/>
  <c r="F25" i="28"/>
  <c r="AV25" i="28"/>
  <c r="AV26" i="28"/>
  <c r="AD27" i="28"/>
  <c r="AQ27" i="28"/>
  <c r="BE28" i="28"/>
  <c r="O29" i="28"/>
  <c r="O30" i="28"/>
  <c r="AZ30" i="28"/>
  <c r="L14" i="32"/>
  <c r="E17" i="32"/>
  <c r="D24" i="32"/>
  <c r="I38" i="32"/>
  <c r="AJ39" i="32"/>
  <c r="R40" i="32"/>
  <c r="AG40" i="32"/>
  <c r="AA41" i="32"/>
  <c r="D43" i="32"/>
  <c r="BE30" i="28"/>
  <c r="L13" i="32"/>
  <c r="P11" i="32"/>
  <c r="AG18" i="32"/>
  <c r="D22" i="32"/>
  <c r="AG27" i="32"/>
  <c r="AG29" i="32"/>
  <c r="AC36" i="32"/>
  <c r="E37" i="32"/>
  <c r="U38" i="32"/>
  <c r="L42" i="32"/>
  <c r="AA43" i="32"/>
  <c r="D13" i="28"/>
  <c r="Q23" i="28"/>
  <c r="Q11" i="28" s="1"/>
  <c r="E29" i="28"/>
  <c r="AH12" i="32"/>
  <c r="E22" i="32"/>
  <c r="D24" i="28"/>
  <c r="AC23" i="28"/>
  <c r="AR25" i="28"/>
  <c r="K23" i="28"/>
  <c r="E27" i="28"/>
  <c r="AI23" i="28"/>
  <c r="AI11" i="28" s="1"/>
  <c r="AC12" i="28"/>
  <c r="AQ13" i="28"/>
  <c r="AZ13" i="28"/>
  <c r="AZ14" i="28"/>
  <c r="BB16" i="28"/>
  <c r="AE23" i="28"/>
  <c r="AE11" i="28" s="1"/>
  <c r="V24" i="28"/>
  <c r="U24" i="28" s="1"/>
  <c r="BA24" i="28"/>
  <c r="AB23" i="28"/>
  <c r="AR26" i="28"/>
  <c r="AD28" i="28"/>
  <c r="AG13" i="32"/>
  <c r="E16" i="32"/>
  <c r="E21" i="32"/>
  <c r="AG25" i="32"/>
  <c r="L41" i="32"/>
  <c r="BD12" i="28"/>
  <c r="AR14" i="28"/>
  <c r="AP14" i="28" s="1"/>
  <c r="D15" i="28"/>
  <c r="BG12" i="28"/>
  <c r="D22" i="28"/>
  <c r="C22" i="28" s="1"/>
  <c r="AK23" i="28"/>
  <c r="AK11" i="28" s="1"/>
  <c r="BF23" i="28"/>
  <c r="L25" i="28"/>
  <c r="BA25" i="28"/>
  <c r="BB26" i="28"/>
  <c r="V27" i="28"/>
  <c r="S27" i="28" s="1"/>
  <c r="R27" i="28" s="1"/>
  <c r="D17" i="32"/>
  <c r="D19" i="32"/>
  <c r="C19" i="32" s="1"/>
  <c r="AA22" i="32"/>
  <c r="AD24" i="32"/>
  <c r="AD12" i="32" s="1"/>
  <c r="AD11" i="32" s="1"/>
  <c r="AG26" i="32"/>
  <c r="D31" i="32"/>
  <c r="C31" i="32" s="1"/>
  <c r="K36" i="32"/>
  <c r="AB36" i="32"/>
  <c r="I39" i="32"/>
  <c r="V36" i="32"/>
  <c r="AJ40" i="32"/>
  <c r="AT12" i="28"/>
  <c r="AR13" i="28"/>
  <c r="AW12" i="28"/>
  <c r="BE13" i="28"/>
  <c r="AS14" i="28"/>
  <c r="AZ15" i="28"/>
  <c r="BE18" i="28"/>
  <c r="AA20" i="28"/>
  <c r="AA12" i="28" s="1"/>
  <c r="AL23" i="28"/>
  <c r="E25" i="28"/>
  <c r="BA26" i="28"/>
  <c r="AC12" i="32"/>
  <c r="U43" i="32"/>
  <c r="AV19" i="28"/>
  <c r="AP21" i="28"/>
  <c r="AN23" i="28"/>
  <c r="AN11" i="28" s="1"/>
  <c r="L24" i="28"/>
  <c r="AR24" i="28"/>
  <c r="AO23" i="28"/>
  <c r="AO11" i="28" s="1"/>
  <c r="AZ25" i="28"/>
  <c r="AJ26" i="28"/>
  <c r="BE26" i="28"/>
  <c r="L27" i="28"/>
  <c r="AM27" i="28"/>
  <c r="AB12" i="32"/>
  <c r="U14" i="32"/>
  <c r="AG33" i="32"/>
  <c r="J36" i="32"/>
  <c r="J11" i="32" s="1"/>
  <c r="L38" i="32"/>
  <c r="R41" i="32"/>
  <c r="R44" i="32"/>
  <c r="AP19" i="28"/>
  <c r="AT23" i="28"/>
  <c r="E24" i="28"/>
  <c r="D25" i="28"/>
  <c r="AS25" i="28"/>
  <c r="AA26" i="28"/>
  <c r="AZ27" i="28"/>
  <c r="AZ28" i="28"/>
  <c r="D29" i="28"/>
  <c r="V29" i="28"/>
  <c r="S29" i="28" s="1"/>
  <c r="BB29" i="28"/>
  <c r="D30" i="28"/>
  <c r="I14" i="32"/>
  <c r="I12" i="32" s="1"/>
  <c r="D18" i="32"/>
  <c r="E20" i="32"/>
  <c r="AG22" i="32"/>
  <c r="E27" i="32"/>
  <c r="C27" i="32" s="1"/>
  <c r="AG34" i="32"/>
  <c r="AJ37" i="32"/>
  <c r="AG38" i="32"/>
  <c r="D40" i="32"/>
  <c r="I42" i="32"/>
  <c r="I44" i="32"/>
  <c r="E17" i="28"/>
  <c r="AH23" i="28"/>
  <c r="AH11" i="28" s="1"/>
  <c r="AS26" i="28"/>
  <c r="O27" i="28"/>
  <c r="D28" i="28"/>
  <c r="V28" i="28"/>
  <c r="S28" i="28" s="1"/>
  <c r="AQ30" i="28"/>
  <c r="D21" i="32"/>
  <c r="D37" i="32"/>
  <c r="AI36" i="32"/>
  <c r="U44" i="32"/>
  <c r="C13" i="32"/>
  <c r="K12" i="32"/>
  <c r="AI12" i="32"/>
  <c r="O15" i="32"/>
  <c r="O12" i="32" s="1"/>
  <c r="X17" i="32"/>
  <c r="U22" i="32"/>
  <c r="N36" i="32"/>
  <c r="AA38" i="32"/>
  <c r="L43" i="32"/>
  <c r="M12" i="32"/>
  <c r="D16" i="32"/>
  <c r="E38" i="32"/>
  <c r="E39" i="32"/>
  <c r="E41" i="32"/>
  <c r="N12" i="32"/>
  <c r="N11" i="32" s="1"/>
  <c r="V12" i="32"/>
  <c r="D23" i="32"/>
  <c r="D26" i="32"/>
  <c r="C26" i="32" s="1"/>
  <c r="D30" i="32"/>
  <c r="C30" i="32" s="1"/>
  <c r="D34" i="32"/>
  <c r="C34" i="32" s="1"/>
  <c r="Q36" i="32"/>
  <c r="W12" i="32"/>
  <c r="AE12" i="32"/>
  <c r="AE11" i="32" s="1"/>
  <c r="D15" i="32"/>
  <c r="AH36" i="32"/>
  <c r="AF12" i="32"/>
  <c r="AF11" i="32" s="1"/>
  <c r="E14" i="32"/>
  <c r="AG16" i="32"/>
  <c r="AG20" i="32"/>
  <c r="S36" i="32"/>
  <c r="S11" i="32" s="1"/>
  <c r="L37" i="32"/>
  <c r="D42" i="32"/>
  <c r="E44" i="32"/>
  <c r="E25" i="32"/>
  <c r="C25" i="32" s="1"/>
  <c r="E29" i="32"/>
  <c r="C29" i="32" s="1"/>
  <c r="E33" i="32"/>
  <c r="C33" i="32" s="1"/>
  <c r="T36" i="32"/>
  <c r="T11" i="32" s="1"/>
  <c r="E40" i="32"/>
  <c r="M36" i="32"/>
  <c r="C20" i="28"/>
  <c r="I13" i="28"/>
  <c r="I12" i="28" s="1"/>
  <c r="E16" i="28"/>
  <c r="L17" i="28"/>
  <c r="L12" i="28" s="1"/>
  <c r="N23" i="28"/>
  <c r="N11" i="28" s="1"/>
  <c r="AU23" i="28"/>
  <c r="BC23" i="28"/>
  <c r="BE24" i="28"/>
  <c r="AA25" i="28"/>
  <c r="AQ25" i="28"/>
  <c r="AQ26" i="28"/>
  <c r="AS28" i="28"/>
  <c r="AS29" i="28"/>
  <c r="V30" i="28"/>
  <c r="AS30" i="28"/>
  <c r="D31" i="28"/>
  <c r="AS31" i="28"/>
  <c r="BC12" i="28"/>
  <c r="D16" i="28"/>
  <c r="G23" i="28"/>
  <c r="G11" i="28" s="1"/>
  <c r="W30" i="28"/>
  <c r="T30" i="28" s="1"/>
  <c r="J12" i="28"/>
  <c r="BF12" i="28"/>
  <c r="O15" i="28"/>
  <c r="O12" i="28" s="1"/>
  <c r="D17" i="28"/>
  <c r="AQ22" i="28"/>
  <c r="H23" i="28"/>
  <c r="H11" i="28" s="1"/>
  <c r="P23" i="28"/>
  <c r="P11" i="28" s="1"/>
  <c r="AW23" i="28"/>
  <c r="AQ24" i="28"/>
  <c r="D26" i="28"/>
  <c r="V26" i="28"/>
  <c r="D27" i="28"/>
  <c r="AU12" i="28"/>
  <c r="M23" i="28"/>
  <c r="M11" i="28" s="1"/>
  <c r="W29" i="28"/>
  <c r="T29" i="28" s="1"/>
  <c r="K12" i="28"/>
  <c r="AZ16" i="28"/>
  <c r="AY16" i="28" s="1"/>
  <c r="BA17" i="28"/>
  <c r="D18" i="28"/>
  <c r="C18" i="28" s="1"/>
  <c r="AR22" i="28"/>
  <c r="AZ24" i="28"/>
  <c r="E26" i="28"/>
  <c r="BD23" i="28"/>
  <c r="E28" i="28"/>
  <c r="AB12" i="28"/>
  <c r="J23" i="28"/>
  <c r="AF23" i="28"/>
  <c r="AF11" i="28" s="1"/>
  <c r="W28" i="28"/>
  <c r="T28" i="28" s="1"/>
  <c r="E31" i="28"/>
  <c r="W11" i="32" l="1"/>
  <c r="U12" i="28"/>
  <c r="O11" i="32"/>
  <c r="AP27" i="28"/>
  <c r="AG23" i="28"/>
  <c r="AB11" i="28"/>
  <c r="AC11" i="32"/>
  <c r="C14" i="28"/>
  <c r="C21" i="32"/>
  <c r="C24" i="32"/>
  <c r="F23" i="28"/>
  <c r="F11" i="28" s="1"/>
  <c r="AH11" i="32"/>
  <c r="C23" i="32"/>
  <c r="AY17" i="28"/>
  <c r="C25" i="28"/>
  <c r="Q11" i="32"/>
  <c r="C39" i="32"/>
  <c r="X12" i="32"/>
  <c r="X11" i="32" s="1"/>
  <c r="AI11" i="32"/>
  <c r="AM23" i="28"/>
  <c r="AM11" i="28" s="1"/>
  <c r="AP29" i="28"/>
  <c r="AP31" i="28"/>
  <c r="C19" i="28"/>
  <c r="C42" i="32"/>
  <c r="C18" i="32"/>
  <c r="C43" i="32"/>
  <c r="AY31" i="28"/>
  <c r="C44" i="32"/>
  <c r="C24" i="28"/>
  <c r="C17" i="32"/>
  <c r="BG11" i="28"/>
  <c r="AY14" i="28"/>
  <c r="AX11" i="28"/>
  <c r="U12" i="32"/>
  <c r="U25" i="28"/>
  <c r="AP25" i="28"/>
  <c r="U27" i="28"/>
  <c r="T31" i="28"/>
  <c r="R31" i="28" s="1"/>
  <c r="C15" i="32"/>
  <c r="L23" i="28"/>
  <c r="L11" i="28" s="1"/>
  <c r="AA12" i="32"/>
  <c r="AY30" i="28"/>
  <c r="C28" i="28"/>
  <c r="C41" i="32"/>
  <c r="C38" i="32"/>
  <c r="AY29" i="28"/>
  <c r="L12" i="32"/>
  <c r="C27" i="28"/>
  <c r="BE12" i="28"/>
  <c r="AY13" i="28"/>
  <c r="AW11" i="28"/>
  <c r="AY26" i="28"/>
  <c r="AP30" i="28"/>
  <c r="BD11" i="28"/>
  <c r="C30" i="28"/>
  <c r="AY25" i="28"/>
  <c r="AY15" i="28"/>
  <c r="K11" i="32"/>
  <c r="BB23" i="28"/>
  <c r="AS12" i="28"/>
  <c r="BA23" i="28"/>
  <c r="AG11" i="28"/>
  <c r="C13" i="28"/>
  <c r="R25" i="28"/>
  <c r="AR12" i="28"/>
  <c r="I36" i="32"/>
  <c r="I11" i="32" s="1"/>
  <c r="BE23" i="28"/>
  <c r="C29" i="28"/>
  <c r="C15" i="28"/>
  <c r="D23" i="28"/>
  <c r="AV23" i="28"/>
  <c r="C37" i="32"/>
  <c r="C14" i="32"/>
  <c r="C16" i="32"/>
  <c r="AY28" i="28"/>
  <c r="AY27" i="28"/>
  <c r="E12" i="28"/>
  <c r="AL11" i="28"/>
  <c r="C21" i="28"/>
  <c r="J11" i="28"/>
  <c r="AA36" i="32"/>
  <c r="AA11" i="32" s="1"/>
  <c r="AV12" i="28"/>
  <c r="C20" i="32"/>
  <c r="C17" i="28"/>
  <c r="L36" i="32"/>
  <c r="O23" i="28"/>
  <c r="O11" i="28" s="1"/>
  <c r="AG36" i="32"/>
  <c r="AD23" i="28"/>
  <c r="AD11" i="28" s="1"/>
  <c r="R13" i="28"/>
  <c r="R12" i="28" s="1"/>
  <c r="BB12" i="28"/>
  <c r="S12" i="28"/>
  <c r="AS23" i="28"/>
  <c r="R36" i="32"/>
  <c r="R11" i="32" s="1"/>
  <c r="I23" i="28"/>
  <c r="I11" i="28" s="1"/>
  <c r="S24" i="28"/>
  <c r="R24" i="28" s="1"/>
  <c r="D36" i="32"/>
  <c r="AJ11" i="32"/>
  <c r="AR23" i="28"/>
  <c r="AJ23" i="28"/>
  <c r="AJ11" i="28" s="1"/>
  <c r="BF11" i="28"/>
  <c r="C40" i="32"/>
  <c r="V23" i="28"/>
  <c r="V11" i="28" s="1"/>
  <c r="R28" i="28"/>
  <c r="AP13" i="28"/>
  <c r="K11" i="28"/>
  <c r="U29" i="28"/>
  <c r="AG12" i="32"/>
  <c r="E36" i="32"/>
  <c r="AC11" i="28"/>
  <c r="E23" i="28"/>
  <c r="AT11" i="28"/>
  <c r="C22" i="32"/>
  <c r="AP26" i="28"/>
  <c r="AP22" i="28"/>
  <c r="BC11" i="28"/>
  <c r="U36" i="32"/>
  <c r="AA23" i="28"/>
  <c r="AA11" i="28" s="1"/>
  <c r="V11" i="32"/>
  <c r="AB11" i="32"/>
  <c r="D12" i="32"/>
  <c r="M11" i="32"/>
  <c r="E12" i="32"/>
  <c r="AQ23" i="28"/>
  <c r="AP24" i="28"/>
  <c r="AZ12" i="28"/>
  <c r="C16" i="28"/>
  <c r="BA12" i="28"/>
  <c r="AZ23" i="28"/>
  <c r="AY24" i="28"/>
  <c r="AU11" i="28"/>
  <c r="D12" i="28"/>
  <c r="R29" i="28"/>
  <c r="S30" i="28"/>
  <c r="R30" i="28" s="1"/>
  <c r="U30" i="28"/>
  <c r="W23" i="28"/>
  <c r="W11" i="28" s="1"/>
  <c r="U26" i="28"/>
  <c r="S26" i="28"/>
  <c r="R26" i="28" s="1"/>
  <c r="C31" i="28"/>
  <c r="AQ12" i="28"/>
  <c r="C26" i="28"/>
  <c r="U28" i="28"/>
  <c r="AR11" i="28" l="1"/>
  <c r="D11" i="28"/>
  <c r="L11" i="32"/>
  <c r="U11" i="32"/>
  <c r="BB11" i="28"/>
  <c r="AY12" i="28"/>
  <c r="AG11" i="32"/>
  <c r="T23" i="28"/>
  <c r="T11" i="28" s="1"/>
  <c r="C12" i="32"/>
  <c r="BE11" i="28"/>
  <c r="BA11" i="28"/>
  <c r="AV11" i="28"/>
  <c r="E11" i="32"/>
  <c r="C36" i="32"/>
  <c r="AY23" i="28"/>
  <c r="AS11" i="28"/>
  <c r="E11" i="28"/>
  <c r="C23" i="28"/>
  <c r="C12" i="28"/>
  <c r="D11" i="32"/>
  <c r="AQ11" i="28"/>
  <c r="AP12" i="28"/>
  <c r="AZ11" i="28"/>
  <c r="AP23" i="28"/>
  <c r="R23" i="28"/>
  <c r="R11" i="28" s="1"/>
  <c r="U23" i="28"/>
  <c r="U11" i="28" s="1"/>
  <c r="S23" i="28"/>
  <c r="S11" i="28" s="1"/>
  <c r="C11" i="28" l="1"/>
  <c r="C11" i="32"/>
  <c r="AY11" i="28"/>
  <c r="AP11" i="28"/>
  <c r="A2" i="31"/>
  <c r="A2" i="32" s="1"/>
  <c r="A2" i="40" s="1"/>
  <c r="R15" i="31"/>
  <c r="N15" i="31"/>
  <c r="Q15" i="31" s="1"/>
  <c r="M15" i="31"/>
  <c r="P15" i="31" s="1"/>
  <c r="O15" i="31" s="1"/>
  <c r="I15" i="31"/>
  <c r="F15" i="31"/>
  <c r="C15" i="31"/>
  <c r="R14" i="31"/>
  <c r="N14" i="31"/>
  <c r="Q14" i="31" s="1"/>
  <c r="M14" i="31"/>
  <c r="P14" i="31" s="1"/>
  <c r="I14" i="31"/>
  <c r="F14" i="31"/>
  <c r="C14" i="31"/>
  <c r="R13" i="31"/>
  <c r="N13" i="31"/>
  <c r="Q13" i="31" s="1"/>
  <c r="M13" i="31"/>
  <c r="P13" i="31" s="1"/>
  <c r="I13" i="31"/>
  <c r="F13" i="31"/>
  <c r="C13" i="31"/>
  <c r="R12" i="31"/>
  <c r="N12" i="31"/>
  <c r="Q12" i="31" s="1"/>
  <c r="M12" i="31"/>
  <c r="P12" i="31" s="1"/>
  <c r="I12" i="31"/>
  <c r="F12" i="31"/>
  <c r="C12" i="31"/>
  <c r="R11" i="31"/>
  <c r="N11" i="31"/>
  <c r="Q11" i="31" s="1"/>
  <c r="M11" i="31"/>
  <c r="P11" i="31" s="1"/>
  <c r="I11" i="31"/>
  <c r="F11" i="31"/>
  <c r="C11" i="31"/>
  <c r="R10" i="31"/>
  <c r="N10" i="31"/>
  <c r="Q10" i="31" s="1"/>
  <c r="M10" i="31"/>
  <c r="P10" i="31" s="1"/>
  <c r="I10" i="31"/>
  <c r="F10" i="31"/>
  <c r="C10" i="31"/>
  <c r="R9" i="31"/>
  <c r="N9" i="31"/>
  <c r="M9" i="31"/>
  <c r="I9" i="31"/>
  <c r="F9" i="31"/>
  <c r="C9" i="31"/>
  <c r="R8" i="31"/>
  <c r="N8" i="31"/>
  <c r="M8" i="31"/>
  <c r="I8" i="31"/>
  <c r="F8" i="31"/>
  <c r="C8" i="31"/>
  <c r="T7" i="31"/>
  <c r="S7" i="31"/>
  <c r="K7" i="31"/>
  <c r="K6" i="31" s="1"/>
  <c r="J7" i="31"/>
  <c r="J6" i="31" s="1"/>
  <c r="H7" i="31"/>
  <c r="H6" i="31" s="1"/>
  <c r="G7" i="31"/>
  <c r="G6" i="31" s="1"/>
  <c r="E7" i="31"/>
  <c r="D7" i="31"/>
  <c r="U18" i="30"/>
  <c r="X18" i="30" s="1"/>
  <c r="T18" i="30"/>
  <c r="W18" i="30" s="1"/>
  <c r="V18" i="30" s="1"/>
  <c r="P18" i="30"/>
  <c r="S18" i="30" s="1"/>
  <c r="AB18" i="30" s="1"/>
  <c r="U17" i="30"/>
  <c r="X17" i="30" s="1"/>
  <c r="T17" i="30"/>
  <c r="W17" i="30" s="1"/>
  <c r="P17" i="30"/>
  <c r="S17" i="30" s="1"/>
  <c r="AB17" i="30" s="1"/>
  <c r="AA16" i="30"/>
  <c r="Z16" i="30"/>
  <c r="Z15" i="30" s="1"/>
  <c r="Y16" i="30"/>
  <c r="R16" i="30"/>
  <c r="U16" i="30" s="1"/>
  <c r="Q16" i="30"/>
  <c r="O16" i="30"/>
  <c r="O15" i="30" s="1"/>
  <c r="N16" i="30"/>
  <c r="N15" i="30" s="1"/>
  <c r="M16" i="30"/>
  <c r="M15" i="30" s="1"/>
  <c r="L16" i="30"/>
  <c r="L15" i="30" s="1"/>
  <c r="K16" i="30"/>
  <c r="J16" i="30"/>
  <c r="J15" i="30" s="1"/>
  <c r="AA15" i="30"/>
  <c r="K15" i="30"/>
  <c r="U14" i="30"/>
  <c r="T14" i="30"/>
  <c r="M14" i="30"/>
  <c r="M12" i="30" s="1"/>
  <c r="L14" i="30"/>
  <c r="L12" i="30" s="1"/>
  <c r="K14" i="30"/>
  <c r="K12" i="30" s="1"/>
  <c r="I14" i="30"/>
  <c r="H14" i="30"/>
  <c r="AA12" i="30"/>
  <c r="Z12" i="30"/>
  <c r="Y12" i="30"/>
  <c r="R12" i="30"/>
  <c r="Q12" i="30"/>
  <c r="P12" i="30"/>
  <c r="O12" i="30"/>
  <c r="N12" i="30"/>
  <c r="R11" i="30"/>
  <c r="Q11" i="30"/>
  <c r="O11" i="30"/>
  <c r="N11" i="30"/>
  <c r="M11" i="30" s="1"/>
  <c r="M9" i="30" s="1"/>
  <c r="M8" i="30" s="1"/>
  <c r="M7" i="30" s="1"/>
  <c r="J11" i="30"/>
  <c r="J9" i="30" s="1"/>
  <c r="AA9" i="30"/>
  <c r="AA8" i="30" s="1"/>
  <c r="AA7" i="30" s="1"/>
  <c r="Z9" i="30"/>
  <c r="Y9" i="30"/>
  <c r="R9" i="30"/>
  <c r="R8" i="30" s="1"/>
  <c r="R7" i="30" s="1"/>
  <c r="O9" i="30"/>
  <c r="O8" i="30" s="1"/>
  <c r="O7" i="30" s="1"/>
  <c r="L9" i="30"/>
  <c r="K9" i="30"/>
  <c r="C16" i="41"/>
  <c r="E15" i="41"/>
  <c r="E14" i="41"/>
  <c r="E13" i="41"/>
  <c r="E12" i="41"/>
  <c r="E11" i="41"/>
  <c r="E10" i="41"/>
  <c r="E9" i="41"/>
  <c r="E8" i="41"/>
  <c r="E7" i="41"/>
  <c r="E6" i="41"/>
  <c r="E5" i="41"/>
  <c r="Y8" i="30" l="1"/>
  <c r="M6" i="30"/>
  <c r="X16" i="30"/>
  <c r="X15" i="30" s="1"/>
  <c r="U12" i="30"/>
  <c r="G14" i="30"/>
  <c r="R6" i="31"/>
  <c r="O13" i="31"/>
  <c r="Z8" i="30"/>
  <c r="Z7" i="30" s="1"/>
  <c r="Z6" i="30" s="1"/>
  <c r="U11" i="30"/>
  <c r="X11" i="30" s="1"/>
  <c r="X9" i="30" s="1"/>
  <c r="T12" i="30"/>
  <c r="AA6" i="30"/>
  <c r="P11" i="30"/>
  <c r="S11" i="30" s="1"/>
  <c r="AB11" i="30" s="1"/>
  <c r="L9" i="31"/>
  <c r="O10" i="31"/>
  <c r="P16" i="30"/>
  <c r="S16" i="30" s="1"/>
  <c r="AB16" i="30" s="1"/>
  <c r="E16" i="41"/>
  <c r="O11" i="31"/>
  <c r="Q8" i="31"/>
  <c r="N6" i="31"/>
  <c r="C6" i="31"/>
  <c r="P8" i="31"/>
  <c r="M6" i="31"/>
  <c r="L15" i="31"/>
  <c r="V15" i="31" s="1"/>
  <c r="N7" i="31"/>
  <c r="L12" i="31"/>
  <c r="V12" i="31" s="1"/>
  <c r="O12" i="31"/>
  <c r="R7" i="31"/>
  <c r="L10" i="31"/>
  <c r="V10" i="31" s="1"/>
  <c r="L8" i="31"/>
  <c r="I7" i="31"/>
  <c r="I6" i="31" s="1"/>
  <c r="L14" i="31"/>
  <c r="V14" i="31" s="1"/>
  <c r="C7" i="31"/>
  <c r="M7" i="31"/>
  <c r="L13" i="31"/>
  <c r="V13" i="31" s="1"/>
  <c r="L11" i="31"/>
  <c r="V11" i="31" s="1"/>
  <c r="O14" i="31"/>
  <c r="V9" i="31"/>
  <c r="F7" i="31"/>
  <c r="F6" i="31" s="1"/>
  <c r="Q9" i="31"/>
  <c r="P9" i="31"/>
  <c r="U9" i="30"/>
  <c r="K8" i="30"/>
  <c r="K7" i="30" s="1"/>
  <c r="K6" i="30" s="1"/>
  <c r="T11" i="30"/>
  <c r="W11" i="30" s="1"/>
  <c r="V11" i="30" s="1"/>
  <c r="V9" i="30" s="1"/>
  <c r="L8" i="30"/>
  <c r="L7" i="30" s="1"/>
  <c r="L6" i="30" s="1"/>
  <c r="W14" i="30"/>
  <c r="W12" i="30" s="1"/>
  <c r="R15" i="30"/>
  <c r="U15" i="30" s="1"/>
  <c r="N9" i="30"/>
  <c r="N8" i="30" s="1"/>
  <c r="N7" i="30" s="1"/>
  <c r="N6" i="30" s="1"/>
  <c r="S12" i="30"/>
  <c r="T16" i="30"/>
  <c r="U8" i="30"/>
  <c r="X14" i="30"/>
  <c r="X12" i="30" s="1"/>
  <c r="V14" i="30"/>
  <c r="V12" i="30" s="1"/>
  <c r="W16" i="30"/>
  <c r="W15" i="30" s="1"/>
  <c r="V17" i="30"/>
  <c r="V16" i="30" s="1"/>
  <c r="V15" i="30" s="1"/>
  <c r="O6" i="30"/>
  <c r="P9" i="30"/>
  <c r="U7" i="30"/>
  <c r="Y7" i="30"/>
  <c r="Q15" i="30"/>
  <c r="T15" i="30" s="1"/>
  <c r="Y15" i="30"/>
  <c r="S14" i="30"/>
  <c r="Q9" i="30"/>
  <c r="J14" i="30"/>
  <c r="J12" i="30" s="1"/>
  <c r="J8" i="30" s="1"/>
  <c r="J7" i="30" s="1"/>
  <c r="J6" i="30" s="1"/>
  <c r="P6" i="31" l="1"/>
  <c r="P15" i="30"/>
  <c r="S15" i="30" s="1"/>
  <c r="Q6" i="31"/>
  <c r="W9" i="30"/>
  <c r="X8" i="30"/>
  <c r="X7" i="30" s="1"/>
  <c r="X6" i="30" s="1"/>
  <c r="L6" i="31"/>
  <c r="V6" i="31" s="1"/>
  <c r="O8" i="31"/>
  <c r="Q7" i="31"/>
  <c r="V8" i="31"/>
  <c r="O9" i="31"/>
  <c r="P7" i="31"/>
  <c r="L7" i="31"/>
  <c r="V7" i="31" s="1"/>
  <c r="R6" i="30"/>
  <c r="U6" i="30" s="1"/>
  <c r="AB15" i="30"/>
  <c r="V8" i="30"/>
  <c r="V7" i="30" s="1"/>
  <c r="V6" i="30" s="1"/>
  <c r="W8" i="30"/>
  <c r="W7" i="30" s="1"/>
  <c r="W6" i="30" s="1"/>
  <c r="AB14" i="30"/>
  <c r="P8" i="30"/>
  <c r="S9" i="30"/>
  <c r="AB9" i="30" s="1"/>
  <c r="T9" i="30"/>
  <c r="Q8" i="30"/>
  <c r="Y6" i="30"/>
  <c r="AB12" i="30"/>
  <c r="W2" i="27"/>
  <c r="BO45" i="27"/>
  <c r="BN45" i="27"/>
  <c r="BM45" i="27"/>
  <c r="BL45" i="27"/>
  <c r="BK45" i="27"/>
  <c r="BJ45" i="27"/>
  <c r="BI45" i="27"/>
  <c r="BH45" i="27"/>
  <c r="BG45" i="27"/>
  <c r="BF45" i="27"/>
  <c r="BO44" i="27"/>
  <c r="BN44" i="27"/>
  <c r="BM44" i="27"/>
  <c r="BL44" i="27"/>
  <c r="BK44" i="27"/>
  <c r="BJ44" i="27"/>
  <c r="BI44" i="27"/>
  <c r="BH44" i="27"/>
  <c r="BG44" i="27"/>
  <c r="BF44" i="27"/>
  <c r="BO43" i="27"/>
  <c r="BN43" i="27"/>
  <c r="BM43" i="27"/>
  <c r="BL43" i="27"/>
  <c r="BK43" i="27"/>
  <c r="BJ43" i="27"/>
  <c r="BI43" i="27"/>
  <c r="BH43" i="27"/>
  <c r="BG43" i="27"/>
  <c r="BF43" i="27"/>
  <c r="BO42" i="27"/>
  <c r="BN42" i="27"/>
  <c r="BM42" i="27"/>
  <c r="BL42" i="27"/>
  <c r="BK42" i="27"/>
  <c r="BJ42" i="27"/>
  <c r="BI42" i="27"/>
  <c r="BH42" i="27"/>
  <c r="BG42" i="27"/>
  <c r="BF42" i="27"/>
  <c r="BO41" i="27"/>
  <c r="BN41" i="27"/>
  <c r="BM41" i="27"/>
  <c r="BL41" i="27"/>
  <c r="BK41" i="27"/>
  <c r="BJ41" i="27"/>
  <c r="BI41" i="27"/>
  <c r="BH41" i="27"/>
  <c r="BG41" i="27"/>
  <c r="BF41" i="27"/>
  <c r="BO40" i="27"/>
  <c r="BN40" i="27"/>
  <c r="BM40" i="27"/>
  <c r="BL40" i="27"/>
  <c r="BK40" i="27"/>
  <c r="BJ40" i="27"/>
  <c r="BI40" i="27"/>
  <c r="BH40" i="27"/>
  <c r="BG40" i="27"/>
  <c r="BF40" i="27"/>
  <c r="BO39" i="27"/>
  <c r="BN39" i="27"/>
  <c r="BM39" i="27"/>
  <c r="BL39" i="27"/>
  <c r="BK39" i="27"/>
  <c r="BJ39" i="27"/>
  <c r="BI39" i="27"/>
  <c r="BH39" i="27"/>
  <c r="BG39" i="27"/>
  <c r="BF39" i="27"/>
  <c r="BO38" i="27"/>
  <c r="BN38" i="27"/>
  <c r="BM38" i="27"/>
  <c r="BL38" i="27"/>
  <c r="BK38" i="27"/>
  <c r="BJ38" i="27"/>
  <c r="BI38" i="27"/>
  <c r="BH38" i="27"/>
  <c r="BG38" i="27"/>
  <c r="BF38" i="27"/>
  <c r="BQ38" i="27"/>
  <c r="BR36" i="27"/>
  <c r="BQ36" i="27"/>
  <c r="BO36" i="27"/>
  <c r="BN36" i="27"/>
  <c r="BM36" i="27"/>
  <c r="BK36" i="27"/>
  <c r="BJ36" i="27"/>
  <c r="BI36" i="27"/>
  <c r="BH36" i="27"/>
  <c r="BG36" i="27"/>
  <c r="BF36" i="27"/>
  <c r="BL36" i="27"/>
  <c r="BR35" i="27"/>
  <c r="BO35" i="27"/>
  <c r="BN35" i="27"/>
  <c r="BM35" i="27"/>
  <c r="BL35" i="27"/>
  <c r="BK35" i="27"/>
  <c r="BJ35" i="27"/>
  <c r="BI35" i="27"/>
  <c r="BH35" i="27"/>
  <c r="BG35" i="27"/>
  <c r="BF35" i="27"/>
  <c r="BQ35" i="27"/>
  <c r="BR34" i="27"/>
  <c r="BO34" i="27"/>
  <c r="BN34" i="27"/>
  <c r="BM34" i="27"/>
  <c r="BL34" i="27"/>
  <c r="BK34" i="27"/>
  <c r="BJ34" i="27"/>
  <c r="BI34" i="27"/>
  <c r="BH34" i="27"/>
  <c r="BG34" i="27"/>
  <c r="BF34" i="27"/>
  <c r="BR33" i="27"/>
  <c r="BO33" i="27"/>
  <c r="BN33" i="27"/>
  <c r="BK33" i="27"/>
  <c r="BJ33" i="27"/>
  <c r="BI33" i="27"/>
  <c r="BH33" i="27"/>
  <c r="BG33" i="27"/>
  <c r="BF33" i="27"/>
  <c r="BL33" i="27"/>
  <c r="BR32" i="27"/>
  <c r="BO32" i="27"/>
  <c r="BN32" i="27"/>
  <c r="BK32" i="27"/>
  <c r="BJ32" i="27"/>
  <c r="BI32" i="27"/>
  <c r="BH32" i="27"/>
  <c r="BG32" i="27"/>
  <c r="BF32" i="27"/>
  <c r="BQ32" i="27"/>
  <c r="BL32" i="27"/>
  <c r="BR31" i="27"/>
  <c r="BO31" i="27"/>
  <c r="BN31" i="27"/>
  <c r="BI31" i="27"/>
  <c r="BH31" i="27"/>
  <c r="BG31" i="27"/>
  <c r="BF31" i="27"/>
  <c r="BM31" i="27"/>
  <c r="BL31" i="27"/>
  <c r="BJ31" i="27"/>
  <c r="BR30" i="27"/>
  <c r="BO30" i="27"/>
  <c r="BN30" i="27"/>
  <c r="BK30" i="27"/>
  <c r="BJ30" i="27"/>
  <c r="BI30" i="27"/>
  <c r="BH30" i="27"/>
  <c r="BG30" i="27"/>
  <c r="BF30" i="27"/>
  <c r="BM30" i="27"/>
  <c r="BL30" i="27"/>
  <c r="BR29" i="27"/>
  <c r="BO29" i="27"/>
  <c r="BN29" i="27"/>
  <c r="BK29" i="27"/>
  <c r="BJ29" i="27"/>
  <c r="BI29" i="27"/>
  <c r="BH29" i="27"/>
  <c r="BG29" i="27"/>
  <c r="BF29" i="27"/>
  <c r="BM29" i="27"/>
  <c r="BR28" i="27"/>
  <c r="BO28" i="27"/>
  <c r="BN28" i="27"/>
  <c r="BK28" i="27"/>
  <c r="BJ28" i="27"/>
  <c r="BI28" i="27"/>
  <c r="BH28" i="27"/>
  <c r="BG28" i="27"/>
  <c r="BF28" i="27"/>
  <c r="BM28" i="27"/>
  <c r="BR27" i="27"/>
  <c r="BO27" i="27"/>
  <c r="BN27" i="27"/>
  <c r="BK27" i="27"/>
  <c r="BJ27" i="27"/>
  <c r="BI27" i="27"/>
  <c r="BH27" i="27"/>
  <c r="BG27" i="27"/>
  <c r="BF27" i="27"/>
  <c r="BM27" i="27"/>
  <c r="BL27" i="27"/>
  <c r="BR26" i="27"/>
  <c r="BO26" i="27"/>
  <c r="BN26" i="27"/>
  <c r="BK26" i="27"/>
  <c r="BJ26" i="27"/>
  <c r="BI26" i="27"/>
  <c r="BH26" i="27"/>
  <c r="BG26" i="27"/>
  <c r="BF26" i="27"/>
  <c r="BQ26" i="27"/>
  <c r="BR25" i="27"/>
  <c r="BO25" i="27"/>
  <c r="BN25" i="27"/>
  <c r="BK25" i="27"/>
  <c r="BJ25" i="27"/>
  <c r="BI25" i="27"/>
  <c r="BH25" i="27"/>
  <c r="BG25" i="27"/>
  <c r="BF25" i="27"/>
  <c r="BM25" i="27"/>
  <c r="BR24" i="27"/>
  <c r="BO24" i="27"/>
  <c r="BN24" i="27"/>
  <c r="BK24" i="27"/>
  <c r="BJ24" i="27"/>
  <c r="BI24" i="27"/>
  <c r="BH24" i="27"/>
  <c r="BG24" i="27"/>
  <c r="BF24" i="27"/>
  <c r="BQ24" i="27"/>
  <c r="BL24" i="27"/>
  <c r="BR23" i="27"/>
  <c r="BO23" i="27"/>
  <c r="BN23" i="27"/>
  <c r="BK23" i="27"/>
  <c r="BJ23" i="27"/>
  <c r="BI23" i="27"/>
  <c r="BH23" i="27"/>
  <c r="BG23" i="27"/>
  <c r="BF23" i="27"/>
  <c r="BM23" i="27"/>
  <c r="BR22" i="27"/>
  <c r="BO22" i="27"/>
  <c r="BN22" i="27"/>
  <c r="BK22" i="27"/>
  <c r="BJ22" i="27"/>
  <c r="BI22" i="27"/>
  <c r="BH22" i="27"/>
  <c r="BG22" i="27"/>
  <c r="BF22" i="27"/>
  <c r="BM22" i="27"/>
  <c r="BL22" i="27"/>
  <c r="BR21" i="27"/>
  <c r="BO21" i="27"/>
  <c r="BN21" i="27"/>
  <c r="BK21" i="27"/>
  <c r="BJ21" i="27"/>
  <c r="BI21" i="27"/>
  <c r="BH21" i="27"/>
  <c r="BG21" i="27"/>
  <c r="BF21" i="27"/>
  <c r="BL21" i="27"/>
  <c r="BK20" i="27"/>
  <c r="BJ20" i="27"/>
  <c r="BI20" i="27"/>
  <c r="BH20" i="27"/>
  <c r="BG20" i="27"/>
  <c r="BF20" i="27"/>
  <c r="BQ20" i="27"/>
  <c r="BL20" i="27"/>
  <c r="BO20" i="27"/>
  <c r="BR19" i="27"/>
  <c r="BO19" i="27"/>
  <c r="BN19" i="27"/>
  <c r="BK19" i="27"/>
  <c r="BJ19" i="27"/>
  <c r="BG19" i="27"/>
  <c r="BF19" i="27"/>
  <c r="BM19" i="27"/>
  <c r="BI19" i="27"/>
  <c r="BR18" i="27"/>
  <c r="BO18" i="27"/>
  <c r="BN18" i="27"/>
  <c r="BI18" i="27"/>
  <c r="BH18" i="27"/>
  <c r="BG18" i="27"/>
  <c r="BF18" i="27"/>
  <c r="BQ18" i="27"/>
  <c r="BL18" i="27"/>
  <c r="BK18" i="27"/>
  <c r="BR17" i="27"/>
  <c r="BO17" i="27"/>
  <c r="BN17" i="27"/>
  <c r="BK17" i="27"/>
  <c r="BJ17" i="27"/>
  <c r="BI17" i="27"/>
  <c r="BH17" i="27"/>
  <c r="BM17" i="27"/>
  <c r="BL17" i="27"/>
  <c r="BR16" i="27"/>
  <c r="BO16" i="27"/>
  <c r="BN16" i="27"/>
  <c r="BK16" i="27"/>
  <c r="BJ16" i="27"/>
  <c r="BI16" i="27"/>
  <c r="BH16" i="27"/>
  <c r="BG16" i="27"/>
  <c r="BF16" i="27"/>
  <c r="BM16" i="27"/>
  <c r="BL16" i="27"/>
  <c r="BR15" i="27"/>
  <c r="BO15" i="27"/>
  <c r="BN15" i="27"/>
  <c r="BK15" i="27"/>
  <c r="BJ15" i="27"/>
  <c r="BI15" i="27"/>
  <c r="BH15" i="27"/>
  <c r="BM15" i="27"/>
  <c r="BL15" i="27"/>
  <c r="BG15" i="27"/>
  <c r="BF15" i="27"/>
  <c r="BR14" i="27"/>
  <c r="BO14" i="27"/>
  <c r="BN14" i="27"/>
  <c r="BK14" i="27"/>
  <c r="BJ14" i="27"/>
  <c r="BG14" i="27"/>
  <c r="BF14" i="27"/>
  <c r="BM14" i="27"/>
  <c r="BL14" i="27"/>
  <c r="BR13" i="27"/>
  <c r="BO13" i="27"/>
  <c r="BN13" i="27"/>
  <c r="BK13" i="27"/>
  <c r="BJ13" i="27"/>
  <c r="BI13" i="27"/>
  <c r="BH13" i="27"/>
  <c r="BG13" i="27"/>
  <c r="BF13" i="27"/>
  <c r="BM13" i="27"/>
  <c r="BR12" i="27"/>
  <c r="BO12" i="27"/>
  <c r="BN12" i="27"/>
  <c r="BI12" i="27"/>
  <c r="BH12" i="27"/>
  <c r="BG12" i="27"/>
  <c r="BQ12" i="27"/>
  <c r="BL12" i="27"/>
  <c r="BJ12" i="27"/>
  <c r="BF12" i="27"/>
  <c r="BQ44" i="27" l="1"/>
  <c r="BQ34" i="27"/>
  <c r="BR44" i="27"/>
  <c r="BQ45" i="27"/>
  <c r="BQ27" i="27"/>
  <c r="BQ30" i="27"/>
  <c r="BQ41" i="27"/>
  <c r="BR11" i="27"/>
  <c r="BQ43" i="27"/>
  <c r="BQ42" i="27"/>
  <c r="BQ33" i="27"/>
  <c r="BR20" i="27"/>
  <c r="BR40" i="27"/>
  <c r="BM26" i="27"/>
  <c r="BR39" i="27"/>
  <c r="BQ15" i="27"/>
  <c r="BM20" i="27"/>
  <c r="BQ25" i="27"/>
  <c r="BQ14" i="27"/>
  <c r="BQ17" i="27"/>
  <c r="BR41" i="27"/>
  <c r="BR45" i="27"/>
  <c r="BK12" i="27"/>
  <c r="BM12" i="27"/>
  <c r="BH14" i="27"/>
  <c r="BM18" i="27"/>
  <c r="BQ19" i="27"/>
  <c r="BQ22" i="27"/>
  <c r="BQ16" i="27"/>
  <c r="BQ21" i="27"/>
  <c r="BQ31" i="27"/>
  <c r="BR38" i="27"/>
  <c r="BR43" i="27"/>
  <c r="BQ28" i="27"/>
  <c r="BQ40" i="27"/>
  <c r="O6" i="31"/>
  <c r="O7" i="31"/>
  <c r="T8" i="30"/>
  <c r="Q7" i="30"/>
  <c r="S8" i="30"/>
  <c r="AB8" i="30" s="1"/>
  <c r="P7" i="30"/>
  <c r="BH19" i="27"/>
  <c r="BN20" i="27"/>
  <c r="BQ29" i="27"/>
  <c r="BQ13" i="27"/>
  <c r="BG17" i="27"/>
  <c r="BJ18" i="27"/>
  <c r="BL25" i="27"/>
  <c r="BK31" i="27"/>
  <c r="BL19" i="27"/>
  <c r="BL23" i="27"/>
  <c r="BL28" i="27"/>
  <c r="BM32" i="27"/>
  <c r="BI14" i="27"/>
  <c r="BQ39" i="27"/>
  <c r="BR42" i="27"/>
  <c r="BF17" i="27"/>
  <c r="BQ23" i="27"/>
  <c r="BM24" i="27"/>
  <c r="BL13" i="27"/>
  <c r="BM21" i="27"/>
  <c r="BL26" i="27"/>
  <c r="BL29" i="27"/>
  <c r="BM33" i="27"/>
  <c r="BQ37" i="27" l="1"/>
  <c r="BR10" i="27"/>
  <c r="BQ10" i="27"/>
  <c r="BR37" i="27"/>
  <c r="S7" i="30"/>
  <c r="AB7" i="30" s="1"/>
  <c r="P6" i="30"/>
  <c r="S6" i="30" s="1"/>
  <c r="AB6" i="30" s="1"/>
  <c r="Q6" i="30"/>
  <c r="T6" i="30" s="1"/>
  <c r="T7" i="30"/>
  <c r="BQ11" i="27"/>
  <c r="S99" i="29" l="1"/>
  <c r="R99" i="29"/>
  <c r="N99" i="29"/>
  <c r="K99" i="29"/>
  <c r="Q99" i="29" s="1"/>
  <c r="J99" i="29"/>
  <c r="V99" i="29" s="1"/>
  <c r="I99" i="29"/>
  <c r="H99" i="29" s="1"/>
  <c r="S98" i="29"/>
  <c r="R98" i="29"/>
  <c r="N98" i="29"/>
  <c r="K98" i="29"/>
  <c r="J98" i="29"/>
  <c r="I98" i="29"/>
  <c r="U98" i="29" s="1"/>
  <c r="S97" i="29"/>
  <c r="R97" i="29"/>
  <c r="N97" i="29"/>
  <c r="K97" i="29"/>
  <c r="Q97" i="29" s="1"/>
  <c r="J97" i="29"/>
  <c r="V97" i="29" s="1"/>
  <c r="I97" i="29"/>
  <c r="S96" i="29"/>
  <c r="R96" i="29"/>
  <c r="N96" i="29"/>
  <c r="K96" i="29"/>
  <c r="J96" i="29"/>
  <c r="I96" i="29"/>
  <c r="U96" i="29" s="1"/>
  <c r="S95" i="29"/>
  <c r="R95" i="29"/>
  <c r="N95" i="29"/>
  <c r="K95" i="29"/>
  <c r="J95" i="29"/>
  <c r="I95" i="29"/>
  <c r="S94" i="29"/>
  <c r="R94" i="29"/>
  <c r="N94" i="29"/>
  <c r="N92" i="29" s="1"/>
  <c r="K94" i="29"/>
  <c r="J94" i="29"/>
  <c r="I94" i="29"/>
  <c r="S93" i="29"/>
  <c r="R93" i="29"/>
  <c r="N93" i="29"/>
  <c r="K93" i="29"/>
  <c r="Q93" i="29" s="1"/>
  <c r="J93" i="29"/>
  <c r="I93" i="29"/>
  <c r="U93" i="29" s="1"/>
  <c r="Y92" i="29"/>
  <c r="X92" i="29"/>
  <c r="W92" i="29"/>
  <c r="P92" i="29"/>
  <c r="O92" i="29"/>
  <c r="M92" i="29"/>
  <c r="L92" i="29"/>
  <c r="W91" i="29"/>
  <c r="S91" i="29"/>
  <c r="V91" i="29" s="1"/>
  <c r="R91" i="29"/>
  <c r="U91" i="29" s="1"/>
  <c r="N91" i="29"/>
  <c r="Q91" i="29" s="1"/>
  <c r="K91" i="29"/>
  <c r="H91" i="29"/>
  <c r="W90" i="29"/>
  <c r="S90" i="29"/>
  <c r="V90" i="29" s="1"/>
  <c r="R90" i="29"/>
  <c r="U90" i="29" s="1"/>
  <c r="N90" i="29"/>
  <c r="K90" i="29"/>
  <c r="H90" i="29"/>
  <c r="W89" i="29"/>
  <c r="S89" i="29"/>
  <c r="V89" i="29" s="1"/>
  <c r="R89" i="29"/>
  <c r="U89" i="29" s="1"/>
  <c r="N89" i="29"/>
  <c r="K89" i="29"/>
  <c r="H89" i="29"/>
  <c r="W88" i="29"/>
  <c r="S88" i="29"/>
  <c r="V88" i="29" s="1"/>
  <c r="R88" i="29"/>
  <c r="U88" i="29" s="1"/>
  <c r="N88" i="29"/>
  <c r="K88" i="29"/>
  <c r="H88" i="29"/>
  <c r="W87" i="29"/>
  <c r="S87" i="29"/>
  <c r="V87" i="29" s="1"/>
  <c r="R87" i="29"/>
  <c r="U87" i="29" s="1"/>
  <c r="N87" i="29"/>
  <c r="Q87" i="29" s="1"/>
  <c r="K87" i="29"/>
  <c r="H87" i="29"/>
  <c r="W86" i="29"/>
  <c r="S86" i="29"/>
  <c r="V86" i="29" s="1"/>
  <c r="R86" i="29"/>
  <c r="U86" i="29" s="1"/>
  <c r="N86" i="29"/>
  <c r="K86" i="29"/>
  <c r="H86" i="29"/>
  <c r="W85" i="29"/>
  <c r="S85" i="29"/>
  <c r="V85" i="29" s="1"/>
  <c r="R85" i="29"/>
  <c r="U85" i="29" s="1"/>
  <c r="N85" i="29"/>
  <c r="K85" i="29"/>
  <c r="H85" i="29"/>
  <c r="W84" i="29"/>
  <c r="V84" i="29"/>
  <c r="S84" i="29"/>
  <c r="R84" i="29"/>
  <c r="U84" i="29" s="1"/>
  <c r="N84" i="29"/>
  <c r="K84" i="29"/>
  <c r="Q84" i="29" s="1"/>
  <c r="H84" i="29"/>
  <c r="Y83" i="29"/>
  <c r="Y82" i="29" s="1"/>
  <c r="X83" i="29"/>
  <c r="X82" i="29" s="1"/>
  <c r="S83" i="29"/>
  <c r="S82" i="29" s="1"/>
  <c r="P83" i="29"/>
  <c r="P82" i="29" s="1"/>
  <c r="O83" i="29"/>
  <c r="M83" i="29"/>
  <c r="L83" i="29"/>
  <c r="L82" i="29" s="1"/>
  <c r="J83" i="29"/>
  <c r="J82" i="29" s="1"/>
  <c r="I83" i="29"/>
  <c r="I82" i="29" s="1"/>
  <c r="M82" i="29"/>
  <c r="W81" i="29"/>
  <c r="R81" i="29"/>
  <c r="U81" i="29" s="1"/>
  <c r="P81" i="29"/>
  <c r="S81" i="29" s="1"/>
  <c r="V81" i="29" s="1"/>
  <c r="K81" i="29"/>
  <c r="H81" i="29"/>
  <c r="W80" i="29"/>
  <c r="S80" i="29"/>
  <c r="V80" i="29" s="1"/>
  <c r="R80" i="29"/>
  <c r="U80" i="29" s="1"/>
  <c r="T80" i="29" s="1"/>
  <c r="N80" i="29"/>
  <c r="K80" i="29"/>
  <c r="H80" i="29"/>
  <c r="W79" i="29"/>
  <c r="R79" i="29"/>
  <c r="U79" i="29" s="1"/>
  <c r="P79" i="29"/>
  <c r="N79" i="29" s="1"/>
  <c r="K79" i="29"/>
  <c r="H79" i="29"/>
  <c r="W78" i="29"/>
  <c r="S78" i="29"/>
  <c r="V78" i="29" s="1"/>
  <c r="R78" i="29"/>
  <c r="U78" i="29" s="1"/>
  <c r="T78" i="29" s="1"/>
  <c r="N78" i="29"/>
  <c r="K78" i="29"/>
  <c r="H78" i="29"/>
  <c r="W77" i="29"/>
  <c r="S77" i="29"/>
  <c r="V77" i="29" s="1"/>
  <c r="R77" i="29"/>
  <c r="U77" i="29" s="1"/>
  <c r="N77" i="29"/>
  <c r="K77" i="29"/>
  <c r="H77" i="29"/>
  <c r="S76" i="29"/>
  <c r="V76" i="29" s="1"/>
  <c r="Y76" i="29" s="1"/>
  <c r="R76" i="29"/>
  <c r="U76" i="29" s="1"/>
  <c r="N76" i="29"/>
  <c r="K76" i="29"/>
  <c r="H76" i="29"/>
  <c r="S75" i="29"/>
  <c r="V75" i="29" s="1"/>
  <c r="R75" i="29"/>
  <c r="U75" i="29" s="1"/>
  <c r="N75" i="29"/>
  <c r="K75" i="29"/>
  <c r="H75" i="29"/>
  <c r="O74" i="29"/>
  <c r="O73" i="29" s="1"/>
  <c r="M74" i="29"/>
  <c r="L74" i="29"/>
  <c r="L73" i="29" s="1"/>
  <c r="J74" i="29"/>
  <c r="I74" i="29"/>
  <c r="H74" i="29" s="1"/>
  <c r="H73" i="29" s="1"/>
  <c r="M73" i="29"/>
  <c r="J73" i="29"/>
  <c r="W71" i="29"/>
  <c r="W70" i="29" s="1"/>
  <c r="S71" i="29"/>
  <c r="R71" i="29"/>
  <c r="Q71" i="29"/>
  <c r="J71" i="29"/>
  <c r="J70" i="29" s="1"/>
  <c r="I71" i="29"/>
  <c r="I70" i="29" s="1"/>
  <c r="G71" i="29"/>
  <c r="F71" i="29"/>
  <c r="E71" i="29" s="1"/>
  <c r="Y70" i="29"/>
  <c r="X70" i="29"/>
  <c r="P70" i="29"/>
  <c r="O70" i="29"/>
  <c r="N70" i="29"/>
  <c r="M70" i="29"/>
  <c r="L70" i="29"/>
  <c r="K70" i="29"/>
  <c r="W69" i="29"/>
  <c r="P69" i="29"/>
  <c r="S69" i="29" s="1"/>
  <c r="V69" i="29" s="1"/>
  <c r="V67" i="29" s="1"/>
  <c r="O69" i="29"/>
  <c r="O67" i="29" s="1"/>
  <c r="L69" i="29"/>
  <c r="K69" i="29" s="1"/>
  <c r="K67" i="29" s="1"/>
  <c r="H69" i="29"/>
  <c r="H67" i="29" s="1"/>
  <c r="Y67" i="29"/>
  <c r="X67" i="29"/>
  <c r="M67" i="29"/>
  <c r="J67" i="29"/>
  <c r="I67" i="29"/>
  <c r="S66" i="29"/>
  <c r="R66" i="29"/>
  <c r="U66" i="29" s="1"/>
  <c r="N66" i="29"/>
  <c r="Q66" i="29" s="1"/>
  <c r="K66" i="29"/>
  <c r="J66" i="29"/>
  <c r="H66" i="29" s="1"/>
  <c r="W65" i="29"/>
  <c r="S65" i="29"/>
  <c r="V65" i="29" s="1"/>
  <c r="R65" i="29"/>
  <c r="U65" i="29" s="1"/>
  <c r="N65" i="29"/>
  <c r="Q65" i="29" s="1"/>
  <c r="Z65" i="29" s="1"/>
  <c r="H65" i="29"/>
  <c r="W64" i="29"/>
  <c r="S64" i="29"/>
  <c r="V64" i="29" s="1"/>
  <c r="R64" i="29"/>
  <c r="U64" i="29" s="1"/>
  <c r="N64" i="29"/>
  <c r="Q64" i="29" s="1"/>
  <c r="H64" i="29"/>
  <c r="W63" i="29"/>
  <c r="S63" i="29"/>
  <c r="R63" i="29"/>
  <c r="U63" i="29" s="1"/>
  <c r="N63" i="29"/>
  <c r="J63" i="29"/>
  <c r="Y61" i="29"/>
  <c r="X61" i="29"/>
  <c r="P61" i="29"/>
  <c r="O61" i="29"/>
  <c r="M61" i="29"/>
  <c r="L61" i="29"/>
  <c r="K61" i="29"/>
  <c r="I61" i="29"/>
  <c r="W60" i="29"/>
  <c r="S60" i="29"/>
  <c r="R60" i="29"/>
  <c r="N60" i="29"/>
  <c r="Q60" i="29" s="1"/>
  <c r="J60" i="29"/>
  <c r="I60" i="29"/>
  <c r="G60" i="29"/>
  <c r="F60" i="29"/>
  <c r="W59" i="29"/>
  <c r="W57" i="29" s="1"/>
  <c r="S59" i="29"/>
  <c r="V59" i="29" s="1"/>
  <c r="R59" i="29"/>
  <c r="U59" i="29" s="1"/>
  <c r="N59" i="29"/>
  <c r="Y57" i="29"/>
  <c r="X57" i="29"/>
  <c r="P57" i="29"/>
  <c r="O57" i="29"/>
  <c r="M57" i="29"/>
  <c r="L57" i="29"/>
  <c r="K57" i="29"/>
  <c r="J57" i="29"/>
  <c r="W56" i="29"/>
  <c r="S56" i="29"/>
  <c r="R56" i="29"/>
  <c r="U56" i="29" s="1"/>
  <c r="Q56" i="29"/>
  <c r="J56" i="29"/>
  <c r="G56" i="29"/>
  <c r="W54" i="29"/>
  <c r="S54" i="29"/>
  <c r="V54" i="29" s="1"/>
  <c r="R54" i="29"/>
  <c r="U54" i="29" s="1"/>
  <c r="N54" i="29"/>
  <c r="Q54" i="29" s="1"/>
  <c r="E54" i="29"/>
  <c r="W53" i="29"/>
  <c r="S53" i="29"/>
  <c r="V53" i="29" s="1"/>
  <c r="R53" i="29"/>
  <c r="U53" i="29" s="1"/>
  <c r="N53" i="29"/>
  <c r="K53" i="29"/>
  <c r="P51" i="29"/>
  <c r="P43" i="29" s="1"/>
  <c r="O51" i="29"/>
  <c r="R51" i="29" s="1"/>
  <c r="U51" i="29" s="1"/>
  <c r="K51" i="29"/>
  <c r="G51" i="29"/>
  <c r="N50" i="29"/>
  <c r="M50" i="29"/>
  <c r="S50" i="29" s="1"/>
  <c r="V50" i="29" s="1"/>
  <c r="Y50" i="29" s="1"/>
  <c r="L50" i="29"/>
  <c r="R50" i="29" s="1"/>
  <c r="U50" i="29" s="1"/>
  <c r="N49" i="29"/>
  <c r="M49" i="29"/>
  <c r="S49" i="29" s="1"/>
  <c r="V49" i="29" s="1"/>
  <c r="Y49" i="29" s="1"/>
  <c r="L49" i="29"/>
  <c r="H49" i="29"/>
  <c r="H43" i="29" s="1"/>
  <c r="S48" i="29"/>
  <c r="V48" i="29" s="1"/>
  <c r="Y48" i="29" s="1"/>
  <c r="O48" i="29"/>
  <c r="R48" i="29" s="1"/>
  <c r="U48" i="29" s="1"/>
  <c r="X48" i="29" s="1"/>
  <c r="L48" i="29"/>
  <c r="K48" i="29" s="1"/>
  <c r="O47" i="29"/>
  <c r="N47" i="29" s="1"/>
  <c r="M47" i="29"/>
  <c r="S47" i="29" s="1"/>
  <c r="V47" i="29" s="1"/>
  <c r="Y47" i="29" s="1"/>
  <c r="L47" i="29"/>
  <c r="S46" i="29"/>
  <c r="V46" i="29" s="1"/>
  <c r="Y46" i="29" s="1"/>
  <c r="O46" i="29"/>
  <c r="R46" i="29" s="1"/>
  <c r="U46" i="29" s="1"/>
  <c r="K46" i="29"/>
  <c r="O45" i="29"/>
  <c r="N45" i="29" s="1"/>
  <c r="M45" i="29"/>
  <c r="L45" i="29"/>
  <c r="I43" i="29"/>
  <c r="W42" i="29"/>
  <c r="W40" i="29" s="1"/>
  <c r="S42" i="29"/>
  <c r="V42" i="29" s="1"/>
  <c r="V40" i="29" s="1"/>
  <c r="R42" i="29"/>
  <c r="U42" i="29" s="1"/>
  <c r="N42" i="29"/>
  <c r="N40" i="29" s="1"/>
  <c r="H42" i="29"/>
  <c r="H40" i="29" s="1"/>
  <c r="E42" i="29"/>
  <c r="Y40" i="29"/>
  <c r="X40" i="29"/>
  <c r="P40" i="29"/>
  <c r="O40" i="29"/>
  <c r="M40" i="29"/>
  <c r="L40" i="29"/>
  <c r="K40" i="29"/>
  <c r="Q40" i="29" s="1"/>
  <c r="J40" i="29"/>
  <c r="I40" i="29"/>
  <c r="W39" i="29"/>
  <c r="S39" i="29"/>
  <c r="V39" i="29" s="1"/>
  <c r="R39" i="29"/>
  <c r="U39" i="29" s="1"/>
  <c r="N39" i="29"/>
  <c r="Q39" i="29" s="1"/>
  <c r="W37" i="29"/>
  <c r="S37" i="29"/>
  <c r="V37" i="29" s="1"/>
  <c r="R37" i="29"/>
  <c r="U37" i="29" s="1"/>
  <c r="N37" i="29"/>
  <c r="Q37" i="29" s="1"/>
  <c r="W35" i="29"/>
  <c r="S35" i="29"/>
  <c r="V35" i="29" s="1"/>
  <c r="R35" i="29"/>
  <c r="U35" i="29" s="1"/>
  <c r="N35" i="29"/>
  <c r="Q35" i="29" s="1"/>
  <c r="Y33" i="29"/>
  <c r="X33" i="29"/>
  <c r="P33" i="29"/>
  <c r="O33" i="29"/>
  <c r="R33" i="29" s="1"/>
  <c r="M33" i="29"/>
  <c r="L33" i="29"/>
  <c r="K33" i="29"/>
  <c r="J33" i="29"/>
  <c r="I33" i="29"/>
  <c r="I32" i="29" s="1"/>
  <c r="H33" i="29"/>
  <c r="W31" i="29"/>
  <c r="S31" i="29"/>
  <c r="V31" i="29" s="1"/>
  <c r="V29" i="29" s="1"/>
  <c r="R31" i="29"/>
  <c r="Q31" i="29"/>
  <c r="J31" i="29"/>
  <c r="I31" i="29"/>
  <c r="H31" i="29" s="1"/>
  <c r="H29" i="29" s="1"/>
  <c r="Y29" i="29"/>
  <c r="X29" i="29"/>
  <c r="W29" i="29"/>
  <c r="Q29" i="29"/>
  <c r="P29" i="29"/>
  <c r="O29" i="29"/>
  <c r="N29" i="29"/>
  <c r="M29" i="29"/>
  <c r="L29" i="29"/>
  <c r="K29" i="29"/>
  <c r="J29" i="29"/>
  <c r="I29" i="29"/>
  <c r="W28" i="29"/>
  <c r="S28" i="29"/>
  <c r="V28" i="29" s="1"/>
  <c r="R28" i="29"/>
  <c r="U28" i="29" s="1"/>
  <c r="N28" i="29"/>
  <c r="Q28" i="29" s="1"/>
  <c r="H28" i="29"/>
  <c r="E28" i="29"/>
  <c r="W27" i="29"/>
  <c r="S27" i="29"/>
  <c r="V27" i="29" s="1"/>
  <c r="R27" i="29"/>
  <c r="U27" i="29" s="1"/>
  <c r="Q27" i="29"/>
  <c r="H27" i="29"/>
  <c r="E27" i="29"/>
  <c r="W26" i="29"/>
  <c r="S26" i="29"/>
  <c r="R26" i="29"/>
  <c r="Q26" i="29"/>
  <c r="J26" i="29"/>
  <c r="I26" i="29"/>
  <c r="G26" i="29"/>
  <c r="F26" i="29"/>
  <c r="Y24" i="29"/>
  <c r="W24" i="29" s="1"/>
  <c r="S24" i="29"/>
  <c r="O24" i="29"/>
  <c r="R24" i="29" s="1"/>
  <c r="U24" i="29" s="1"/>
  <c r="J24" i="29"/>
  <c r="I24" i="29"/>
  <c r="G24" i="29"/>
  <c r="F24" i="29"/>
  <c r="E24" i="29" s="1"/>
  <c r="W23" i="29"/>
  <c r="S23" i="29"/>
  <c r="O23" i="29"/>
  <c r="R23" i="29" s="1"/>
  <c r="J23" i="29"/>
  <c r="I23" i="29"/>
  <c r="G23" i="29"/>
  <c r="F23" i="29"/>
  <c r="S21" i="29"/>
  <c r="V21" i="29" s="1"/>
  <c r="Y21" i="29" s="1"/>
  <c r="R21" i="29"/>
  <c r="U21" i="29" s="1"/>
  <c r="X21" i="29" s="1"/>
  <c r="N21" i="29"/>
  <c r="Q21" i="29" s="1"/>
  <c r="H21" i="29"/>
  <c r="S20" i="29"/>
  <c r="V20" i="29" s="1"/>
  <c r="O20" i="29"/>
  <c r="H20" i="29"/>
  <c r="P18" i="29"/>
  <c r="M18" i="29"/>
  <c r="L18" i="29"/>
  <c r="K18" i="29"/>
  <c r="P17" i="29"/>
  <c r="S17" i="29" s="1"/>
  <c r="V17" i="29" s="1"/>
  <c r="Y17" i="29" s="1"/>
  <c r="W17" i="29" s="1"/>
  <c r="O17" i="29"/>
  <c r="R17" i="29" s="1"/>
  <c r="U17" i="29" s="1"/>
  <c r="T17" i="29" s="1"/>
  <c r="W15" i="29"/>
  <c r="S15" i="29"/>
  <c r="V15" i="29" s="1"/>
  <c r="R15" i="29"/>
  <c r="U15" i="29" s="1"/>
  <c r="N15" i="29"/>
  <c r="Q15" i="29" s="1"/>
  <c r="Y13" i="29"/>
  <c r="Y12" i="29" s="1"/>
  <c r="X13" i="29"/>
  <c r="M13" i="29"/>
  <c r="L13" i="29"/>
  <c r="L12" i="29" s="1"/>
  <c r="K13" i="29"/>
  <c r="K12" i="29" s="1"/>
  <c r="J13" i="29"/>
  <c r="J12" i="29" s="1"/>
  <c r="I13" i="29"/>
  <c r="X12" i="29"/>
  <c r="M12" i="29"/>
  <c r="S33" i="29" l="1"/>
  <c r="H32" i="29"/>
  <c r="V63" i="29"/>
  <c r="V61" i="29" s="1"/>
  <c r="R83" i="29"/>
  <c r="R82" i="29" s="1"/>
  <c r="Q86" i="29"/>
  <c r="H98" i="29"/>
  <c r="V13" i="29"/>
  <c r="V12" i="29" s="1"/>
  <c r="U26" i="29"/>
  <c r="T53" i="29"/>
  <c r="P67" i="29"/>
  <c r="Q70" i="29"/>
  <c r="H95" i="29"/>
  <c r="Z66" i="29"/>
  <c r="E26" i="29"/>
  <c r="K49" i="29"/>
  <c r="Q49" i="29" s="1"/>
  <c r="T49" i="29" s="1"/>
  <c r="W49" i="29" s="1"/>
  <c r="Z49" i="29" s="1"/>
  <c r="V60" i="29"/>
  <c r="V57" i="29" s="1"/>
  <c r="N61" i="29"/>
  <c r="N69" i="29"/>
  <c r="Q69" i="29" s="1"/>
  <c r="I73" i="29"/>
  <c r="Q79" i="29"/>
  <c r="Z79" i="29" s="1"/>
  <c r="Q85" i="29"/>
  <c r="Q96" i="29"/>
  <c r="R69" i="29"/>
  <c r="U69" i="29" s="1"/>
  <c r="U67" i="29" s="1"/>
  <c r="R29" i="29"/>
  <c r="S57" i="29"/>
  <c r="L67" i="29"/>
  <c r="H71" i="29"/>
  <c r="H70" i="29" s="1"/>
  <c r="Z70" i="29" s="1"/>
  <c r="L72" i="29"/>
  <c r="Z87" i="29"/>
  <c r="Z91" i="29"/>
  <c r="S92" i="29"/>
  <c r="Z56" i="29"/>
  <c r="O13" i="29"/>
  <c r="N17" i="29"/>
  <c r="N13" i="29" s="1"/>
  <c r="N12" i="29" s="1"/>
  <c r="Q12" i="29" s="1"/>
  <c r="V24" i="29"/>
  <c r="T24" i="29" s="1"/>
  <c r="E60" i="29"/>
  <c r="H63" i="29"/>
  <c r="R70" i="29"/>
  <c r="U71" i="29"/>
  <c r="U70" i="29" s="1"/>
  <c r="M72" i="29"/>
  <c r="Q78" i="29"/>
  <c r="Q80" i="29"/>
  <c r="Z80" i="29" s="1"/>
  <c r="O82" i="29"/>
  <c r="O72" i="29" s="1"/>
  <c r="Q88" i="29"/>
  <c r="Z88" i="29" s="1"/>
  <c r="T91" i="29"/>
  <c r="V93" i="29"/>
  <c r="T93" i="29" s="1"/>
  <c r="T42" i="29"/>
  <c r="T40" i="29" s="1"/>
  <c r="U40" i="29"/>
  <c r="T27" i="29"/>
  <c r="T39" i="29"/>
  <c r="T87" i="29"/>
  <c r="Z31" i="29"/>
  <c r="U31" i="29"/>
  <c r="T31" i="29" s="1"/>
  <c r="T29" i="29" s="1"/>
  <c r="Z39" i="29"/>
  <c r="O43" i="29"/>
  <c r="O32" i="29" s="1"/>
  <c r="N48" i="29"/>
  <c r="Q48" i="29" s="1"/>
  <c r="R49" i="29"/>
  <c r="U49" i="29" s="1"/>
  <c r="X49" i="29" s="1"/>
  <c r="Q63" i="29"/>
  <c r="Q61" i="29" s="1"/>
  <c r="T65" i="29"/>
  <c r="S67" i="29"/>
  <c r="S70" i="29"/>
  <c r="V71" i="29"/>
  <c r="V70" i="29" s="1"/>
  <c r="H83" i="29"/>
  <c r="H82" i="29" s="1"/>
  <c r="T86" i="29"/>
  <c r="T88" i="29"/>
  <c r="U94" i="29"/>
  <c r="V95" i="29"/>
  <c r="J18" i="29"/>
  <c r="Z37" i="29"/>
  <c r="P32" i="29"/>
  <c r="Q77" i="29"/>
  <c r="N83" i="29"/>
  <c r="N82" i="29" s="1"/>
  <c r="V94" i="29"/>
  <c r="G18" i="29"/>
  <c r="N23" i="29"/>
  <c r="Q23" i="29" s="1"/>
  <c r="H24" i="29"/>
  <c r="V26" i="29"/>
  <c r="N33" i="29"/>
  <c r="Q33" i="29" s="1"/>
  <c r="K50" i="29"/>
  <c r="Q50" i="29" s="1"/>
  <c r="S51" i="29"/>
  <c r="V51" i="29" s="1"/>
  <c r="Y51" i="29" s="1"/>
  <c r="N57" i="29"/>
  <c r="Q57" i="29" s="1"/>
  <c r="R61" i="29"/>
  <c r="K92" i="29"/>
  <c r="Q92" i="29" s="1"/>
  <c r="Q95" i="29"/>
  <c r="U99" i="29"/>
  <c r="T99" i="29" s="1"/>
  <c r="Q59" i="29"/>
  <c r="Z59" i="29" s="1"/>
  <c r="K74" i="29"/>
  <c r="K73" i="29" s="1"/>
  <c r="V33" i="29"/>
  <c r="N24" i="29"/>
  <c r="Q24" i="29" s="1"/>
  <c r="S29" i="29"/>
  <c r="R45" i="29"/>
  <c r="Q53" i="29"/>
  <c r="Z53" i="29" s="1"/>
  <c r="T54" i="29"/>
  <c r="R57" i="29"/>
  <c r="J61" i="29"/>
  <c r="V66" i="29"/>
  <c r="Q76" i="29"/>
  <c r="Q90" i="29"/>
  <c r="Z90" i="29" s="1"/>
  <c r="R92" i="29"/>
  <c r="H97" i="29"/>
  <c r="V98" i="29"/>
  <c r="T98" i="29" s="1"/>
  <c r="Q98" i="29"/>
  <c r="S18" i="29"/>
  <c r="V23" i="29"/>
  <c r="Z27" i="29"/>
  <c r="T37" i="29"/>
  <c r="H61" i="29"/>
  <c r="R67" i="29"/>
  <c r="W83" i="29"/>
  <c r="W82" i="29" s="1"/>
  <c r="Q89" i="29"/>
  <c r="Z89" i="29" s="1"/>
  <c r="T90" i="29"/>
  <c r="V96" i="29"/>
  <c r="T96" i="29" s="1"/>
  <c r="R40" i="29"/>
  <c r="Z54" i="29"/>
  <c r="Z78" i="29"/>
  <c r="Z86" i="29"/>
  <c r="U95" i="29"/>
  <c r="T95" i="29" s="1"/>
  <c r="Z15" i="29"/>
  <c r="X46" i="29"/>
  <c r="T46" i="29"/>
  <c r="W46" i="29" s="1"/>
  <c r="W13" i="29"/>
  <c r="W12" i="29" s="1"/>
  <c r="H23" i="29"/>
  <c r="I18" i="29"/>
  <c r="H26" i="29"/>
  <c r="Z26" i="29" s="1"/>
  <c r="Z28" i="29"/>
  <c r="U74" i="29"/>
  <c r="Y75" i="29"/>
  <c r="T75" i="29"/>
  <c r="U33" i="29"/>
  <c r="S40" i="29"/>
  <c r="K45" i="29"/>
  <c r="K47" i="29"/>
  <c r="Q47" i="29" s="1"/>
  <c r="V56" i="29"/>
  <c r="T56" i="29" s="1"/>
  <c r="J43" i="29"/>
  <c r="J32" i="29" s="1"/>
  <c r="T64" i="29"/>
  <c r="T77" i="29"/>
  <c r="T85" i="29"/>
  <c r="M43" i="29"/>
  <c r="M32" i="29" s="1"/>
  <c r="S45" i="29"/>
  <c r="X50" i="29"/>
  <c r="T50" i="29"/>
  <c r="W50" i="29" s="1"/>
  <c r="X51" i="29"/>
  <c r="T69" i="29"/>
  <c r="T67" i="29" s="1"/>
  <c r="R73" i="29"/>
  <c r="T84" i="29"/>
  <c r="U83" i="29"/>
  <c r="U82" i="29" s="1"/>
  <c r="V83" i="29"/>
  <c r="V82" i="29" s="1"/>
  <c r="R20" i="29"/>
  <c r="U20" i="29" s="1"/>
  <c r="N20" i="29"/>
  <c r="T21" i="29"/>
  <c r="W21" i="29" s="1"/>
  <c r="Z21" i="29" s="1"/>
  <c r="T35" i="29"/>
  <c r="T33" i="29" s="1"/>
  <c r="Q42" i="29"/>
  <c r="Z42" i="29" s="1"/>
  <c r="L43" i="29"/>
  <c r="L32" i="29" s="1"/>
  <c r="R32" i="29" s="1"/>
  <c r="I57" i="29"/>
  <c r="U60" i="29"/>
  <c r="H60" i="29"/>
  <c r="H57" i="29" s="1"/>
  <c r="U61" i="29"/>
  <c r="W61" i="29"/>
  <c r="Z64" i="29"/>
  <c r="Z69" i="29"/>
  <c r="Z77" i="29"/>
  <c r="Z85" i="29"/>
  <c r="U13" i="29"/>
  <c r="W33" i="29"/>
  <c r="T66" i="29"/>
  <c r="T76" i="29"/>
  <c r="W76" i="29" s="1"/>
  <c r="Z76" i="29" s="1"/>
  <c r="X76" i="29"/>
  <c r="X74" i="29" s="1"/>
  <c r="T81" i="29"/>
  <c r="Y20" i="29"/>
  <c r="Y18" i="29" s="1"/>
  <c r="H13" i="29"/>
  <c r="H12" i="29" s="1"/>
  <c r="I12" i="29"/>
  <c r="O18" i="29"/>
  <c r="R18" i="29" s="1"/>
  <c r="T28" i="29"/>
  <c r="Z35" i="29"/>
  <c r="U45" i="29"/>
  <c r="R47" i="29"/>
  <c r="U47" i="29" s="1"/>
  <c r="T48" i="29"/>
  <c r="W48" i="29" s="1"/>
  <c r="Z48" i="29" s="1"/>
  <c r="T15" i="29"/>
  <c r="F18" i="29"/>
  <c r="E23" i="29"/>
  <c r="E18" i="29" s="1"/>
  <c r="U23" i="29"/>
  <c r="T59" i="29"/>
  <c r="T89" i="29"/>
  <c r="S79" i="29"/>
  <c r="V79" i="29" s="1"/>
  <c r="T79" i="29" s="1"/>
  <c r="U97" i="29"/>
  <c r="T97" i="29" s="1"/>
  <c r="P74" i="29"/>
  <c r="N67" i="29"/>
  <c r="Q67" i="29" s="1"/>
  <c r="K83" i="29"/>
  <c r="K82" i="29" s="1"/>
  <c r="K72" i="29" s="1"/>
  <c r="I92" i="29"/>
  <c r="I72" i="29" s="1"/>
  <c r="N46" i="29"/>
  <c r="Q46" i="29" s="1"/>
  <c r="N51" i="29"/>
  <c r="Q51" i="29" s="1"/>
  <c r="S61" i="29"/>
  <c r="W67" i="29"/>
  <c r="R74" i="29"/>
  <c r="N81" i="29"/>
  <c r="Q81" i="29" s="1"/>
  <c r="Z81" i="29" s="1"/>
  <c r="Z84" i="29"/>
  <c r="J92" i="29"/>
  <c r="J72" i="29" s="1"/>
  <c r="H93" i="29"/>
  <c r="Q94" i="29"/>
  <c r="H96" i="29"/>
  <c r="Q75" i="29"/>
  <c r="H94" i="29"/>
  <c r="P13" i="29"/>
  <c r="V18" i="29" l="1"/>
  <c r="T26" i="29"/>
  <c r="Z63" i="29"/>
  <c r="K43" i="29"/>
  <c r="K32" i="29" s="1"/>
  <c r="K11" i="29" s="1"/>
  <c r="K10" i="29" s="1"/>
  <c r="Z24" i="29"/>
  <c r="Q17" i="29"/>
  <c r="Z17" i="29" s="1"/>
  <c r="T63" i="29"/>
  <c r="T61" i="29" s="1"/>
  <c r="T23" i="29"/>
  <c r="U29" i="29"/>
  <c r="H18" i="29"/>
  <c r="R13" i="29"/>
  <c r="O12" i="29"/>
  <c r="R12" i="29" s="1"/>
  <c r="Q13" i="29"/>
  <c r="T71" i="29"/>
  <c r="T70" i="29" s="1"/>
  <c r="Z71" i="29"/>
  <c r="T60" i="29"/>
  <c r="V92" i="29"/>
  <c r="T94" i="29"/>
  <c r="L11" i="29"/>
  <c r="L10" i="29" s="1"/>
  <c r="T51" i="29"/>
  <c r="W51" i="29" s="1"/>
  <c r="Z51" i="29" s="1"/>
  <c r="Z23" i="29"/>
  <c r="J11" i="29"/>
  <c r="J10" i="29" s="1"/>
  <c r="R72" i="29"/>
  <c r="V74" i="29"/>
  <c r="V73" i="29" s="1"/>
  <c r="H92" i="29"/>
  <c r="H72" i="29" s="1"/>
  <c r="S32" i="29"/>
  <c r="M11" i="29"/>
  <c r="M10" i="29" s="1"/>
  <c r="U18" i="29"/>
  <c r="X20" i="29"/>
  <c r="X18" i="29" s="1"/>
  <c r="T20" i="29"/>
  <c r="R43" i="29"/>
  <c r="V72" i="29"/>
  <c r="T47" i="29"/>
  <c r="W47" i="29" s="1"/>
  <c r="Z47" i="29" s="1"/>
  <c r="X47" i="29"/>
  <c r="X45" i="29"/>
  <c r="U43" i="29"/>
  <c r="X73" i="29"/>
  <c r="X72" i="29" s="1"/>
  <c r="T13" i="29"/>
  <c r="T12" i="29" s="1"/>
  <c r="U12" i="29"/>
  <c r="Z50" i="29"/>
  <c r="T92" i="29"/>
  <c r="T83" i="29"/>
  <c r="T82" i="29" s="1"/>
  <c r="U92" i="29"/>
  <c r="W75" i="29"/>
  <c r="Z75" i="29" s="1"/>
  <c r="Y74" i="29"/>
  <c r="Y73" i="29" s="1"/>
  <c r="Y72" i="29" s="1"/>
  <c r="P73" i="29"/>
  <c r="S74" i="29"/>
  <c r="S43" i="29"/>
  <c r="V45" i="29"/>
  <c r="T45" i="29" s="1"/>
  <c r="U73" i="29"/>
  <c r="N74" i="29"/>
  <c r="Z60" i="29"/>
  <c r="U32" i="29"/>
  <c r="S13" i="29"/>
  <c r="P12" i="29"/>
  <c r="Q83" i="29"/>
  <c r="Q82" i="29" s="1"/>
  <c r="U57" i="29"/>
  <c r="I11" i="29"/>
  <c r="I10" i="29" s="1"/>
  <c r="Q45" i="29"/>
  <c r="Q43" i="29" s="1"/>
  <c r="N43" i="29"/>
  <c r="N32" i="29" s="1"/>
  <c r="T57" i="29"/>
  <c r="H11" i="29"/>
  <c r="H10" i="29" s="1"/>
  <c r="N18" i="29"/>
  <c r="Q20" i="29"/>
  <c r="Z46" i="29"/>
  <c r="Q32" i="29" l="1"/>
  <c r="O11" i="29"/>
  <c r="T74" i="29"/>
  <c r="T73" i="29" s="1"/>
  <c r="T72" i="29" s="1"/>
  <c r="W74" i="29"/>
  <c r="W73" i="29" s="1"/>
  <c r="W72" i="29" s="1"/>
  <c r="X43" i="29"/>
  <c r="X32" i="29" s="1"/>
  <c r="W45" i="29"/>
  <c r="T43" i="29"/>
  <c r="T32" i="29" s="1"/>
  <c r="Q18" i="29"/>
  <c r="N11" i="29"/>
  <c r="R11" i="29"/>
  <c r="O10" i="29"/>
  <c r="R10" i="29" s="1"/>
  <c r="W18" i="29"/>
  <c r="X11" i="29"/>
  <c r="X10" i="29" s="1"/>
  <c r="S73" i="29"/>
  <c r="S72" i="29" s="1"/>
  <c r="P72" i="29"/>
  <c r="P11" i="29"/>
  <c r="S12" i="29"/>
  <c r="W20" i="29"/>
  <c r="Z20" i="29" s="1"/>
  <c r="T18" i="29"/>
  <c r="T11" i="29" s="1"/>
  <c r="U72" i="29"/>
  <c r="U11" i="29"/>
  <c r="V43" i="29"/>
  <c r="V32" i="29" s="1"/>
  <c r="V11" i="29" s="1"/>
  <c r="V10" i="29" s="1"/>
  <c r="Y45" i="29"/>
  <c r="Y43" i="29" s="1"/>
  <c r="Y32" i="29" s="1"/>
  <c r="Y11" i="29" s="1"/>
  <c r="Y10" i="29" s="1"/>
  <c r="Q74" i="29"/>
  <c r="N73" i="29"/>
  <c r="U10" i="29" l="1"/>
  <c r="T10" i="29"/>
  <c r="Q11" i="29"/>
  <c r="S11" i="29"/>
  <c r="P10" i="29"/>
  <c r="S10" i="29" s="1"/>
  <c r="N72" i="29"/>
  <c r="N10" i="29" s="1"/>
  <c r="Q10" i="29" s="1"/>
  <c r="Q73" i="29"/>
  <c r="Q72" i="29" s="1"/>
  <c r="Z45" i="29"/>
  <c r="W43" i="29"/>
  <c r="W32" i="29" s="1"/>
  <c r="W11" i="29" s="1"/>
  <c r="W10" i="29" s="1"/>
  <c r="H70" i="37" l="1"/>
  <c r="G70" i="37"/>
  <c r="H68" i="37"/>
  <c r="G68" i="37"/>
  <c r="H65" i="37"/>
  <c r="G65" i="37"/>
  <c r="H63" i="37"/>
  <c r="G63" i="37"/>
  <c r="H61" i="37"/>
  <c r="G61" i="37"/>
  <c r="H58" i="37"/>
  <c r="G58" i="37"/>
  <c r="H55" i="37"/>
  <c r="G55" i="37"/>
  <c r="H49" i="37"/>
  <c r="H48" i="37" s="1"/>
  <c r="G49" i="37"/>
  <c r="G48" i="37" s="1"/>
  <c r="H46" i="37"/>
  <c r="G46" i="37"/>
  <c r="H42" i="37"/>
  <c r="G42" i="37"/>
  <c r="H39" i="37"/>
  <c r="G39" i="37"/>
  <c r="H36" i="37"/>
  <c r="G36" i="37"/>
  <c r="H34" i="37"/>
  <c r="G34" i="37"/>
  <c r="H32" i="37"/>
  <c r="G32" i="37"/>
  <c r="H30" i="37"/>
  <c r="G30" i="37"/>
  <c r="H28" i="37"/>
  <c r="G28" i="37"/>
  <c r="H25" i="37"/>
  <c r="G25" i="37"/>
  <c r="H23" i="37"/>
  <c r="G23" i="37"/>
  <c r="H9" i="37"/>
  <c r="G9" i="37"/>
  <c r="K7" i="37"/>
  <c r="J7" i="37"/>
  <c r="E7" i="37"/>
  <c r="E6" i="37" s="1"/>
  <c r="G7" i="37" l="1"/>
  <c r="H7" i="37"/>
  <c r="H6" i="37"/>
  <c r="K6" i="37" s="1"/>
  <c r="K9" i="37" s="1"/>
  <c r="G6" i="37"/>
  <c r="A2" i="33" l="1"/>
  <c r="A2" i="35" s="1"/>
  <c r="A2" i="34" s="1"/>
  <c r="A2" i="37" s="1"/>
  <c r="E17" i="34"/>
  <c r="E13" i="34"/>
  <c r="E11" i="34"/>
  <c r="I10" i="34"/>
  <c r="I9" i="34"/>
  <c r="E9" i="34" s="1"/>
  <c r="O8" i="34"/>
  <c r="O6" i="34" s="1"/>
  <c r="N8" i="34"/>
  <c r="N6" i="34" s="1"/>
  <c r="M8" i="34"/>
  <c r="M6" i="34" s="1"/>
  <c r="L8" i="34"/>
  <c r="K8" i="34"/>
  <c r="K6" i="34" s="1"/>
  <c r="J8" i="34"/>
  <c r="J6" i="34" s="1"/>
  <c r="I8" i="34"/>
  <c r="H8" i="34"/>
  <c r="H6" i="34" s="1"/>
  <c r="G8" i="34"/>
  <c r="O7" i="34"/>
  <c r="N7" i="34"/>
  <c r="M7" i="34"/>
  <c r="L7" i="34"/>
  <c r="K7" i="34"/>
  <c r="J7" i="34"/>
  <c r="I7" i="34"/>
  <c r="H7" i="34"/>
  <c r="G7" i="34"/>
  <c r="F7" i="34"/>
  <c r="L6" i="34"/>
  <c r="E8" i="34" l="1"/>
  <c r="E7" i="34"/>
  <c r="I6" i="34"/>
  <c r="A3" i="29"/>
  <c r="A2" i="41"/>
  <c r="G6" i="34"/>
  <c r="E10" i="34"/>
  <c r="D747" i="33"/>
  <c r="D746" i="33"/>
  <c r="D745" i="33"/>
  <c r="D744" i="33"/>
  <c r="D743" i="33"/>
  <c r="D742" i="33"/>
  <c r="D741" i="33"/>
  <c r="D740" i="33"/>
  <c r="D739" i="33"/>
  <c r="D738" i="33"/>
  <c r="D737" i="33"/>
  <c r="D736" i="33"/>
  <c r="D735" i="33"/>
  <c r="D734" i="33"/>
  <c r="D733" i="33"/>
  <c r="D732" i="33"/>
  <c r="D731" i="33"/>
  <c r="D730" i="33"/>
  <c r="D729" i="33"/>
  <c r="D728" i="33"/>
  <c r="D727" i="33"/>
  <c r="D726" i="33"/>
  <c r="D725" i="33"/>
  <c r="D724" i="33"/>
  <c r="D703" i="33"/>
  <c r="D698" i="33"/>
  <c r="D693" i="33"/>
  <c r="D669" i="33"/>
  <c r="D665" i="33"/>
  <c r="D662" i="33"/>
  <c r="D659" i="33"/>
  <c r="D656" i="33"/>
  <c r="D653" i="33"/>
  <c r="D648" i="33"/>
  <c r="D647" i="33"/>
  <c r="D646" i="33"/>
  <c r="C646" i="33"/>
  <c r="D645" i="33"/>
  <c r="D633" i="33"/>
  <c r="D630" i="33"/>
  <c r="D623" i="33"/>
  <c r="D618" i="33"/>
  <c r="D605" i="33"/>
  <c r="D574" i="33"/>
  <c r="D563" i="33"/>
  <c r="D553" i="33"/>
  <c r="D550" i="33"/>
  <c r="D541" i="33" s="1"/>
  <c r="D535" i="33"/>
  <c r="D533" i="33"/>
  <c r="D527" i="33"/>
  <c r="D521" i="33"/>
  <c r="D513" i="33"/>
  <c r="D506" i="33"/>
  <c r="D499" i="33"/>
  <c r="D491" i="33"/>
  <c r="D425" i="33"/>
  <c r="D391" i="33"/>
  <c r="D352" i="33"/>
  <c r="D262" i="33"/>
  <c r="D261" i="33" s="1"/>
  <c r="D244" i="33"/>
  <c r="D146" i="33"/>
  <c r="D132" i="33"/>
  <c r="D129" i="33" s="1"/>
  <c r="D115" i="33"/>
  <c r="D102" i="33"/>
  <c r="D91" i="33"/>
  <c r="D86" i="33" s="1"/>
  <c r="D70" i="33"/>
  <c r="D60" i="33"/>
  <c r="D39" i="33"/>
  <c r="D14" i="33" s="1"/>
  <c r="F18" i="34" l="1"/>
  <c r="D643" i="33"/>
  <c r="D5" i="33"/>
  <c r="E18" i="34"/>
  <c r="E6" i="34" s="1"/>
  <c r="F6" i="34"/>
  <c r="C6" i="35" l="1"/>
  <c r="C5" i="35" l="1"/>
  <c r="E33" i="1" l="1"/>
  <c r="H33" i="1" s="1"/>
  <c r="E32" i="1"/>
  <c r="E30" i="1"/>
  <c r="H30" i="1" s="1"/>
  <c r="E29" i="1"/>
  <c r="E28" i="1" s="1"/>
  <c r="E27" i="1"/>
  <c r="H27" i="1" s="1"/>
  <c r="E26" i="1"/>
  <c r="H26" i="1" s="1"/>
  <c r="E25" i="1"/>
  <c r="H25" i="1" s="1"/>
  <c r="E24" i="1"/>
  <c r="H24" i="1" s="1"/>
  <c r="E23" i="1"/>
  <c r="H23" i="1" s="1"/>
  <c r="E21" i="1"/>
  <c r="E19" i="1"/>
  <c r="E18" i="1" s="1"/>
  <c r="H19" i="1" l="1"/>
  <c r="H18" i="1" s="1"/>
  <c r="E20" i="1"/>
  <c r="H29" i="1"/>
  <c r="H28" i="1" s="1"/>
  <c r="H32" i="1"/>
  <c r="H21" i="1"/>
  <c r="H20" i="1" s="1"/>
  <c r="E8" i="5"/>
  <c r="E17" i="1" s="1"/>
  <c r="K17" i="1" s="1"/>
  <c r="E7" i="5"/>
  <c r="G7" i="5" s="1"/>
  <c r="F14" i="1"/>
  <c r="I14" i="1" s="1"/>
  <c r="E14" i="1"/>
  <c r="K19" i="1"/>
  <c r="K18" i="1" s="1"/>
  <c r="K22" i="1"/>
  <c r="L22" i="1"/>
  <c r="J22" i="1" s="1"/>
  <c r="K23" i="1"/>
  <c r="K24" i="1"/>
  <c r="K25" i="1"/>
  <c r="K26" i="1"/>
  <c r="K27" i="1"/>
  <c r="K29" i="1"/>
  <c r="K30" i="1"/>
  <c r="K32" i="1"/>
  <c r="K33" i="1"/>
  <c r="G17" i="1"/>
  <c r="G22" i="1"/>
  <c r="D22" i="1"/>
  <c r="D14" i="1" l="1"/>
  <c r="K21" i="1"/>
  <c r="K20" i="1" s="1"/>
  <c r="G8" i="5"/>
  <c r="F17" i="1" s="1"/>
  <c r="D17" i="1" s="1"/>
  <c r="K28" i="1"/>
  <c r="H14" i="1"/>
  <c r="G14" i="1" s="1"/>
  <c r="F16" i="1"/>
  <c r="C7" i="5"/>
  <c r="L14" i="1"/>
  <c r="L17" i="1" l="1"/>
  <c r="J17" i="1" s="1"/>
  <c r="K14" i="1"/>
  <c r="J14" i="1" s="1"/>
  <c r="F15" i="1"/>
  <c r="F13" i="1" s="1"/>
  <c r="I16" i="1"/>
  <c r="L16" i="1" l="1"/>
  <c r="L15" i="1" s="1"/>
  <c r="L13" i="1" s="1"/>
  <c r="I15" i="1"/>
  <c r="I13" i="1" s="1"/>
  <c r="G6" i="25"/>
  <c r="F29" i="1" s="1"/>
  <c r="G6" i="11"/>
  <c r="F26" i="1" s="1"/>
  <c r="I29" i="1" l="1"/>
  <c r="L29" i="1" s="1"/>
  <c r="D29" i="1"/>
  <c r="I26" i="1"/>
  <c r="G26" i="1" s="1"/>
  <c r="D26" i="1"/>
  <c r="D18" i="26"/>
  <c r="E33" i="26"/>
  <c r="G33" i="26" s="1"/>
  <c r="C33" i="26" s="1"/>
  <c r="E20" i="26"/>
  <c r="D55" i="26" s="1"/>
  <c r="E21" i="26"/>
  <c r="D56" i="26" s="1"/>
  <c r="E22" i="26"/>
  <c r="G22" i="26" s="1"/>
  <c r="C22" i="26" s="1"/>
  <c r="E23" i="26"/>
  <c r="D58" i="26" s="1"/>
  <c r="E24" i="26"/>
  <c r="D59" i="26" s="1"/>
  <c r="E25" i="26"/>
  <c r="G25" i="26" s="1"/>
  <c r="E60" i="26" s="1"/>
  <c r="E26" i="26"/>
  <c r="G26" i="26" s="1"/>
  <c r="C26" i="26" s="1"/>
  <c r="E27" i="26"/>
  <c r="D62" i="26" s="1"/>
  <c r="E28" i="26"/>
  <c r="D63" i="26" s="1"/>
  <c r="E29" i="26"/>
  <c r="D64" i="26" s="1"/>
  <c r="E30" i="26"/>
  <c r="G30" i="26" s="1"/>
  <c r="C30" i="26" s="1"/>
  <c r="E31" i="26"/>
  <c r="D66" i="26" s="1"/>
  <c r="E32" i="26"/>
  <c r="D67" i="26" s="1"/>
  <c r="E34" i="26"/>
  <c r="D69" i="26" s="1"/>
  <c r="E35" i="26"/>
  <c r="D70" i="26" s="1"/>
  <c r="E36" i="26"/>
  <c r="D71" i="26" s="1"/>
  <c r="E37" i="26"/>
  <c r="D72" i="26" s="1"/>
  <c r="E38" i="26"/>
  <c r="D73" i="26" s="1"/>
  <c r="E39" i="26"/>
  <c r="D74" i="26" s="1"/>
  <c r="E40" i="26"/>
  <c r="D75" i="26" s="1"/>
  <c r="E41" i="26"/>
  <c r="D76" i="26" s="1"/>
  <c r="E42" i="26"/>
  <c r="D77" i="26" s="1"/>
  <c r="E19" i="26"/>
  <c r="D54" i="26" s="1"/>
  <c r="P10" i="26"/>
  <c r="N10" i="26"/>
  <c r="O10" i="26"/>
  <c r="Q10" i="26"/>
  <c r="R10" i="26"/>
  <c r="S10" i="26"/>
  <c r="T10" i="26"/>
  <c r="N11" i="26"/>
  <c r="O11" i="26"/>
  <c r="P11" i="26"/>
  <c r="Q11" i="26"/>
  <c r="R11" i="26"/>
  <c r="S11" i="26"/>
  <c r="T11" i="26"/>
  <c r="N12" i="26"/>
  <c r="O12" i="26"/>
  <c r="P12" i="26"/>
  <c r="Q12" i="26"/>
  <c r="R12" i="26"/>
  <c r="S12" i="26"/>
  <c r="T12" i="26"/>
  <c r="M12" i="26"/>
  <c r="M11" i="26"/>
  <c r="M10" i="26"/>
  <c r="E13" i="15"/>
  <c r="F13" i="15"/>
  <c r="G13" i="15"/>
  <c r="H13" i="15"/>
  <c r="I13" i="15"/>
  <c r="J13" i="15"/>
  <c r="K13" i="15"/>
  <c r="L13" i="15"/>
  <c r="M13" i="15"/>
  <c r="N13" i="15"/>
  <c r="D14" i="15"/>
  <c r="D13" i="15" s="1"/>
  <c r="F33" i="1" s="1"/>
  <c r="F12" i="15"/>
  <c r="F16" i="15" s="1"/>
  <c r="F15" i="15" s="1"/>
  <c r="E12" i="15"/>
  <c r="J10" i="15"/>
  <c r="H9" i="15"/>
  <c r="I9" i="15"/>
  <c r="J9" i="15"/>
  <c r="J8" i="15" s="1"/>
  <c r="K9" i="15"/>
  <c r="L9" i="15"/>
  <c r="M9" i="15"/>
  <c r="N9" i="15"/>
  <c r="H10" i="15"/>
  <c r="I10" i="15"/>
  <c r="K10" i="15"/>
  <c r="K8" i="15" s="1"/>
  <c r="L10" i="15"/>
  <c r="M10" i="15"/>
  <c r="N10" i="15"/>
  <c r="G10" i="15"/>
  <c r="G9" i="15"/>
  <c r="D7" i="15"/>
  <c r="D6" i="15"/>
  <c r="H18" i="14"/>
  <c r="I17" i="14"/>
  <c r="F10" i="14"/>
  <c r="F12" i="14" s="1"/>
  <c r="F11" i="14" s="1"/>
  <c r="E10" i="14"/>
  <c r="E12" i="14" s="1"/>
  <c r="E14" i="14" s="1"/>
  <c r="E13" i="14" s="1"/>
  <c r="D6" i="14"/>
  <c r="H8" i="14"/>
  <c r="I8" i="14"/>
  <c r="J8" i="14"/>
  <c r="K8" i="14"/>
  <c r="L8" i="14"/>
  <c r="M8" i="14"/>
  <c r="N8" i="14"/>
  <c r="G8" i="14"/>
  <c r="F18" i="13"/>
  <c r="F20" i="13" s="1"/>
  <c r="E18" i="13"/>
  <c r="E20" i="13" s="1"/>
  <c r="E19" i="13" s="1"/>
  <c r="H12" i="13"/>
  <c r="I12" i="13"/>
  <c r="J12" i="13"/>
  <c r="K12" i="13"/>
  <c r="L12" i="13"/>
  <c r="M12" i="13"/>
  <c r="N12" i="13"/>
  <c r="H13" i="13"/>
  <c r="I13" i="13"/>
  <c r="J13" i="13"/>
  <c r="K13" i="13"/>
  <c r="L13" i="13"/>
  <c r="N13" i="13"/>
  <c r="H14" i="13"/>
  <c r="I14" i="13"/>
  <c r="J14" i="13"/>
  <c r="L14" i="13"/>
  <c r="N14" i="13"/>
  <c r="H15" i="13"/>
  <c r="I15" i="13"/>
  <c r="J15" i="13"/>
  <c r="L15" i="13"/>
  <c r="N15" i="13"/>
  <c r="H16" i="13"/>
  <c r="I16" i="13"/>
  <c r="J16" i="13"/>
  <c r="K16" i="13"/>
  <c r="L16" i="13"/>
  <c r="M16" i="13"/>
  <c r="N16" i="13"/>
  <c r="G16" i="13"/>
  <c r="G15" i="13"/>
  <c r="G14" i="13"/>
  <c r="G13" i="13"/>
  <c r="G12" i="13"/>
  <c r="D10" i="13"/>
  <c r="D6" i="13"/>
  <c r="G7" i="25"/>
  <c r="E7" i="25"/>
  <c r="D7" i="12"/>
  <c r="I10" i="12"/>
  <c r="I9" i="12"/>
  <c r="H9" i="12"/>
  <c r="K9" i="12"/>
  <c r="L9" i="12"/>
  <c r="M9" i="12"/>
  <c r="G10" i="12"/>
  <c r="H10" i="12"/>
  <c r="J10" i="12"/>
  <c r="K10" i="12"/>
  <c r="L10" i="12"/>
  <c r="M10" i="12"/>
  <c r="F10" i="12"/>
  <c r="F9" i="12"/>
  <c r="E7" i="11"/>
  <c r="C6" i="11"/>
  <c r="C7" i="11" s="1"/>
  <c r="E34" i="10"/>
  <c r="E36" i="10" s="1"/>
  <c r="E38" i="10" s="1"/>
  <c r="F25" i="10"/>
  <c r="D11" i="10"/>
  <c r="D7" i="10"/>
  <c r="F26" i="10"/>
  <c r="D26" i="10" s="1"/>
  <c r="F27" i="10"/>
  <c r="D27" i="10" s="1"/>
  <c r="F28" i="10"/>
  <c r="D28" i="10" s="1"/>
  <c r="F29" i="10"/>
  <c r="D29" i="10" s="1"/>
  <c r="F30" i="10"/>
  <c r="D30" i="10" s="1"/>
  <c r="F31" i="10"/>
  <c r="D31" i="10" s="1"/>
  <c r="F32" i="10"/>
  <c r="D32" i="10" s="1"/>
  <c r="H21" i="10"/>
  <c r="I21" i="10"/>
  <c r="J21" i="10"/>
  <c r="K21" i="10"/>
  <c r="L21" i="10"/>
  <c r="M21" i="10"/>
  <c r="N21" i="10"/>
  <c r="H22" i="10"/>
  <c r="I22" i="10"/>
  <c r="J22" i="10"/>
  <c r="K22" i="10"/>
  <c r="L22" i="10"/>
  <c r="M22" i="10"/>
  <c r="N22" i="10"/>
  <c r="H23" i="10"/>
  <c r="I23" i="10"/>
  <c r="J23" i="10"/>
  <c r="K23" i="10"/>
  <c r="L23" i="10"/>
  <c r="M23" i="10"/>
  <c r="N23" i="10"/>
  <c r="G22" i="10"/>
  <c r="G23" i="10"/>
  <c r="G21" i="10"/>
  <c r="D8" i="10"/>
  <c r="D9" i="10"/>
  <c r="D12" i="10"/>
  <c r="D13" i="10"/>
  <c r="D14" i="10"/>
  <c r="D15" i="10"/>
  <c r="D16" i="10"/>
  <c r="D17" i="10"/>
  <c r="D18" i="10"/>
  <c r="F8" i="12" l="1"/>
  <c r="I8" i="12"/>
  <c r="G8" i="15"/>
  <c r="N8" i="15"/>
  <c r="D65" i="26"/>
  <c r="L26" i="1"/>
  <c r="J26" i="1" s="1"/>
  <c r="H8" i="15"/>
  <c r="I8" i="15"/>
  <c r="I18" i="14"/>
  <c r="F17" i="13"/>
  <c r="F14" i="14"/>
  <c r="F13" i="14" s="1"/>
  <c r="E33" i="10"/>
  <c r="G11" i="13"/>
  <c r="E9" i="14"/>
  <c r="D9" i="15"/>
  <c r="E22" i="13"/>
  <c r="E21" i="13" s="1"/>
  <c r="F9" i="14"/>
  <c r="F22" i="13"/>
  <c r="F21" i="13" s="1"/>
  <c r="F19" i="13"/>
  <c r="E37" i="10"/>
  <c r="J29" i="1"/>
  <c r="J11" i="13"/>
  <c r="I11" i="13"/>
  <c r="M8" i="15"/>
  <c r="D57" i="26"/>
  <c r="F24" i="10"/>
  <c r="F19" i="10" s="1"/>
  <c r="J20" i="10"/>
  <c r="J19" i="10" s="1"/>
  <c r="H11" i="13"/>
  <c r="L8" i="15"/>
  <c r="E11" i="15"/>
  <c r="E16" i="15"/>
  <c r="E35" i="10"/>
  <c r="F11" i="15"/>
  <c r="I33" i="1"/>
  <c r="G33" i="1" s="1"/>
  <c r="D33" i="1"/>
  <c r="D16" i="13"/>
  <c r="E68" i="26"/>
  <c r="D61" i="26"/>
  <c r="D68" i="26"/>
  <c r="N20" i="10"/>
  <c r="N19" i="10" s="1"/>
  <c r="D10" i="12"/>
  <c r="N11" i="13"/>
  <c r="L11" i="13"/>
  <c r="E17" i="13"/>
  <c r="E11" i="14"/>
  <c r="D60" i="26"/>
  <c r="C60" i="26" s="1"/>
  <c r="G29" i="1"/>
  <c r="E65" i="26"/>
  <c r="E61" i="26"/>
  <c r="E57" i="26"/>
  <c r="G7" i="11"/>
  <c r="P9" i="26"/>
  <c r="G41" i="26"/>
  <c r="C25" i="26"/>
  <c r="E18" i="26"/>
  <c r="C46" i="26" s="1"/>
  <c r="G40" i="26"/>
  <c r="G32" i="26"/>
  <c r="G24" i="26"/>
  <c r="G39" i="26"/>
  <c r="G31" i="26"/>
  <c r="G23" i="26"/>
  <c r="G38" i="26"/>
  <c r="G21" i="26"/>
  <c r="G37" i="26"/>
  <c r="G29" i="26"/>
  <c r="G36" i="26"/>
  <c r="G28" i="26"/>
  <c r="G20" i="26"/>
  <c r="G19" i="26"/>
  <c r="E54" i="26" s="1"/>
  <c r="G35" i="26"/>
  <c r="G27" i="26"/>
  <c r="G42" i="26"/>
  <c r="G34" i="26"/>
  <c r="Q9" i="26"/>
  <c r="O9" i="26"/>
  <c r="L10" i="26"/>
  <c r="L11" i="26"/>
  <c r="L12" i="26"/>
  <c r="T9" i="26"/>
  <c r="S9" i="26"/>
  <c r="N9" i="26"/>
  <c r="R9" i="26"/>
  <c r="M9" i="26"/>
  <c r="D10" i="15"/>
  <c r="D8" i="15" s="1"/>
  <c r="G12" i="15" s="1"/>
  <c r="D8" i="14"/>
  <c r="I10" i="14" s="1"/>
  <c r="D12" i="13"/>
  <c r="C6" i="25"/>
  <c r="C7" i="25" s="1"/>
  <c r="M8" i="12"/>
  <c r="K8" i="12"/>
  <c r="H8" i="12"/>
  <c r="L8" i="12"/>
  <c r="G20" i="10"/>
  <c r="G19" i="10" s="1"/>
  <c r="I20" i="10"/>
  <c r="I19" i="10" s="1"/>
  <c r="H20" i="10"/>
  <c r="H19" i="10" s="1"/>
  <c r="D22" i="10"/>
  <c r="M20" i="10"/>
  <c r="M19" i="10" s="1"/>
  <c r="D23" i="10"/>
  <c r="L20" i="10"/>
  <c r="L19" i="10" s="1"/>
  <c r="K20" i="10"/>
  <c r="K19" i="10" s="1"/>
  <c r="D21" i="10"/>
  <c r="D25" i="10"/>
  <c r="D24" i="10" s="1"/>
  <c r="E12" i="24"/>
  <c r="E16" i="24" s="1"/>
  <c r="E15" i="24" s="1"/>
  <c r="L10" i="24"/>
  <c r="M10" i="24"/>
  <c r="I10" i="24"/>
  <c r="H10" i="24"/>
  <c r="M9" i="24"/>
  <c r="L9" i="24"/>
  <c r="K9" i="24"/>
  <c r="J9" i="24"/>
  <c r="I9" i="24"/>
  <c r="H9" i="24"/>
  <c r="G9" i="24"/>
  <c r="G10" i="24"/>
  <c r="J10" i="24"/>
  <c r="K10" i="24"/>
  <c r="F9" i="24"/>
  <c r="F10" i="24"/>
  <c r="D7" i="24"/>
  <c r="D6" i="24"/>
  <c r="E10" i="9"/>
  <c r="E12" i="9" s="1"/>
  <c r="F8" i="9"/>
  <c r="M8" i="9"/>
  <c r="G8" i="9"/>
  <c r="H8" i="9"/>
  <c r="I8" i="9"/>
  <c r="J8" i="9"/>
  <c r="K8" i="9"/>
  <c r="L8" i="9"/>
  <c r="D6" i="9"/>
  <c r="E17" i="7"/>
  <c r="I26" i="7"/>
  <c r="J25" i="7"/>
  <c r="E15" i="7"/>
  <c r="F12" i="7"/>
  <c r="G12" i="7"/>
  <c r="H12" i="7"/>
  <c r="I12" i="7"/>
  <c r="J12" i="7"/>
  <c r="K12" i="7"/>
  <c r="L12" i="7"/>
  <c r="M12" i="7"/>
  <c r="N12" i="7"/>
  <c r="F13" i="7"/>
  <c r="G13" i="7"/>
  <c r="H13" i="7"/>
  <c r="I13" i="7"/>
  <c r="J13" i="7"/>
  <c r="K13" i="7"/>
  <c r="L13" i="7"/>
  <c r="M13" i="7"/>
  <c r="N13" i="7"/>
  <c r="F14" i="7"/>
  <c r="G14" i="7"/>
  <c r="H14" i="7"/>
  <c r="I14" i="7"/>
  <c r="J14" i="7"/>
  <c r="K14" i="7"/>
  <c r="L14" i="7"/>
  <c r="M14" i="7"/>
  <c r="N14" i="7"/>
  <c r="F15" i="7"/>
  <c r="G15" i="7"/>
  <c r="H15" i="7"/>
  <c r="I15" i="7"/>
  <c r="J15" i="7"/>
  <c r="K15" i="7"/>
  <c r="L15" i="7"/>
  <c r="M15" i="7"/>
  <c r="N15" i="7"/>
  <c r="E13" i="7"/>
  <c r="E14" i="7"/>
  <c r="E12" i="7"/>
  <c r="D8" i="7"/>
  <c r="D9" i="7"/>
  <c r="D10" i="7"/>
  <c r="D7" i="7"/>
  <c r="J8" i="24" l="1"/>
  <c r="L8" i="24"/>
  <c r="M10" i="14"/>
  <c r="M12" i="14" s="1"/>
  <c r="E11" i="24"/>
  <c r="F8" i="24"/>
  <c r="K8" i="24"/>
  <c r="K10" i="14"/>
  <c r="K9" i="14" s="1"/>
  <c r="H8" i="24"/>
  <c r="D53" i="26"/>
  <c r="I8" i="24"/>
  <c r="C68" i="26"/>
  <c r="I12" i="14"/>
  <c r="I9" i="14"/>
  <c r="G16" i="15"/>
  <c r="G15" i="15" s="1"/>
  <c r="G11" i="15"/>
  <c r="L12" i="15"/>
  <c r="E19" i="7"/>
  <c r="E18" i="7" s="1"/>
  <c r="M8" i="24"/>
  <c r="N12" i="15"/>
  <c r="L10" i="14"/>
  <c r="M12" i="15"/>
  <c r="H10" i="14"/>
  <c r="G8" i="24"/>
  <c r="J10" i="14"/>
  <c r="E16" i="7"/>
  <c r="E15" i="15"/>
  <c r="H12" i="15"/>
  <c r="I12" i="15"/>
  <c r="J26" i="7"/>
  <c r="D10" i="24"/>
  <c r="N10" i="14"/>
  <c r="G10" i="14"/>
  <c r="L33" i="1"/>
  <c r="J33" i="1" s="1"/>
  <c r="K12" i="15"/>
  <c r="J12" i="15"/>
  <c r="C41" i="26"/>
  <c r="E76" i="26"/>
  <c r="C20" i="26"/>
  <c r="E55" i="26"/>
  <c r="C28" i="26"/>
  <c r="E63" i="26"/>
  <c r="C39" i="26"/>
  <c r="E74" i="26"/>
  <c r="C36" i="26"/>
  <c r="E71" i="26"/>
  <c r="C24" i="26"/>
  <c r="E59" i="26"/>
  <c r="C34" i="26"/>
  <c r="E69" i="26"/>
  <c r="C37" i="26"/>
  <c r="E72" i="26"/>
  <c r="C57" i="26"/>
  <c r="C40" i="26"/>
  <c r="E75" i="26"/>
  <c r="C27" i="26"/>
  <c r="E62" i="26"/>
  <c r="C21" i="26"/>
  <c r="E56" i="26"/>
  <c r="C61" i="26"/>
  <c r="C29" i="26"/>
  <c r="E64" i="26"/>
  <c r="C32" i="26"/>
  <c r="E67" i="26"/>
  <c r="C42" i="26"/>
  <c r="E77" i="26"/>
  <c r="C35" i="26"/>
  <c r="E70" i="26"/>
  <c r="C38" i="26"/>
  <c r="E73" i="26"/>
  <c r="C65" i="26"/>
  <c r="C23" i="26"/>
  <c r="E58" i="26"/>
  <c r="C31" i="26"/>
  <c r="E66" i="26"/>
  <c r="C54" i="26"/>
  <c r="G18" i="26"/>
  <c r="C19" i="26"/>
  <c r="L9" i="26"/>
  <c r="D46" i="26" s="1"/>
  <c r="E46" i="26" s="1"/>
  <c r="D20" i="10"/>
  <c r="D19" i="10" s="1"/>
  <c r="E14" i="9"/>
  <c r="E13" i="9" s="1"/>
  <c r="D12" i="7"/>
  <c r="D9" i="24"/>
  <c r="D8" i="24" s="1"/>
  <c r="E9" i="9"/>
  <c r="E11" i="9"/>
  <c r="D8" i="9"/>
  <c r="D13" i="7"/>
  <c r="K11" i="7"/>
  <c r="N11" i="7"/>
  <c r="L11" i="7"/>
  <c r="E11" i="7"/>
  <c r="I11" i="7"/>
  <c r="J11" i="7"/>
  <c r="D15" i="7"/>
  <c r="H11" i="7"/>
  <c r="D14" i="7"/>
  <c r="F11" i="7"/>
  <c r="M11" i="7"/>
  <c r="G11" i="7"/>
  <c r="D6" i="6"/>
  <c r="F13" i="6"/>
  <c r="G13" i="6"/>
  <c r="H13" i="6"/>
  <c r="I13" i="6"/>
  <c r="J13" i="6"/>
  <c r="K13" i="6"/>
  <c r="L13" i="6"/>
  <c r="F14" i="6"/>
  <c r="G14" i="6"/>
  <c r="H14" i="6"/>
  <c r="I14" i="6"/>
  <c r="J14" i="6"/>
  <c r="K14" i="6"/>
  <c r="L14" i="6"/>
  <c r="F15" i="6"/>
  <c r="G15" i="6"/>
  <c r="H15" i="6"/>
  <c r="I15" i="6"/>
  <c r="J15" i="6"/>
  <c r="K15" i="6"/>
  <c r="L15" i="6"/>
  <c r="F16" i="6"/>
  <c r="G16" i="6"/>
  <c r="H16" i="6"/>
  <c r="I16" i="6"/>
  <c r="J16" i="6"/>
  <c r="K16" i="6"/>
  <c r="L16" i="6"/>
  <c r="F17" i="6"/>
  <c r="G17" i="6"/>
  <c r="H17" i="6"/>
  <c r="I17" i="6"/>
  <c r="J17" i="6"/>
  <c r="K17" i="6"/>
  <c r="L17" i="6"/>
  <c r="L18" i="6"/>
  <c r="E14" i="6"/>
  <c r="E15" i="6"/>
  <c r="E16" i="6"/>
  <c r="E17" i="6"/>
  <c r="E13" i="6"/>
  <c r="E16" i="1"/>
  <c r="E19" i="3"/>
  <c r="E15" i="3"/>
  <c r="F15" i="3"/>
  <c r="G15" i="3"/>
  <c r="H15" i="3"/>
  <c r="I15" i="3"/>
  <c r="J15" i="3"/>
  <c r="K15" i="3"/>
  <c r="L15" i="3"/>
  <c r="M15" i="3"/>
  <c r="E16" i="3"/>
  <c r="F16" i="3"/>
  <c r="G16" i="3"/>
  <c r="H16" i="3"/>
  <c r="I16" i="3"/>
  <c r="J16" i="3"/>
  <c r="K16" i="3"/>
  <c r="L16" i="3"/>
  <c r="M16" i="3"/>
  <c r="E17" i="3"/>
  <c r="F17" i="3"/>
  <c r="G17" i="3"/>
  <c r="H17" i="3"/>
  <c r="I17" i="3"/>
  <c r="J17" i="3"/>
  <c r="K17" i="3"/>
  <c r="L17" i="3"/>
  <c r="M17" i="3"/>
  <c r="E18" i="3"/>
  <c r="F18" i="3"/>
  <c r="G18" i="3"/>
  <c r="H18" i="3"/>
  <c r="I18" i="3"/>
  <c r="J18" i="3"/>
  <c r="K18" i="3"/>
  <c r="L18" i="3"/>
  <c r="M18" i="3"/>
  <c r="F19" i="3"/>
  <c r="G19" i="3"/>
  <c r="H19" i="3"/>
  <c r="I19" i="3"/>
  <c r="J19" i="3"/>
  <c r="K19" i="3"/>
  <c r="L19" i="3"/>
  <c r="M19" i="3"/>
  <c r="F14" i="3"/>
  <c r="G14" i="3"/>
  <c r="H14" i="3"/>
  <c r="I14" i="3"/>
  <c r="J14" i="3"/>
  <c r="K14" i="3"/>
  <c r="L14" i="3"/>
  <c r="M14" i="3"/>
  <c r="E14" i="3"/>
  <c r="D8" i="3"/>
  <c r="D9" i="3"/>
  <c r="D10" i="3"/>
  <c r="D11" i="3"/>
  <c r="D12" i="3"/>
  <c r="D7" i="3"/>
  <c r="A4" i="3"/>
  <c r="A4" i="5" s="1"/>
  <c r="F15" i="2"/>
  <c r="F21" i="2" s="1"/>
  <c r="G15" i="2"/>
  <c r="G21" i="2" s="1"/>
  <c r="H15" i="2"/>
  <c r="H21" i="2" s="1"/>
  <c r="I15" i="2"/>
  <c r="I18" i="2" s="1"/>
  <c r="J15" i="2"/>
  <c r="J18" i="2" s="1"/>
  <c r="K15" i="2"/>
  <c r="K21" i="2" s="1"/>
  <c r="L15" i="2"/>
  <c r="L21" i="2" s="1"/>
  <c r="F16" i="2"/>
  <c r="F22" i="2" s="1"/>
  <c r="G16" i="2"/>
  <c r="G22" i="2" s="1"/>
  <c r="H16" i="2"/>
  <c r="H22" i="2" s="1"/>
  <c r="I16" i="2"/>
  <c r="I22" i="2" s="1"/>
  <c r="J16" i="2"/>
  <c r="J19" i="2" s="1"/>
  <c r="K16" i="2"/>
  <c r="K19" i="2" s="1"/>
  <c r="L16" i="2"/>
  <c r="L22" i="2" s="1"/>
  <c r="E16" i="2"/>
  <c r="E22" i="2" s="1"/>
  <c r="E15" i="2"/>
  <c r="D13" i="2"/>
  <c r="D12" i="2"/>
  <c r="D10" i="2"/>
  <c r="D9" i="2"/>
  <c r="M9" i="14" l="1"/>
  <c r="I12" i="24"/>
  <c r="K12" i="14"/>
  <c r="D12" i="15"/>
  <c r="H18" i="2"/>
  <c r="H12" i="24"/>
  <c r="E53" i="26"/>
  <c r="L46" i="26"/>
  <c r="D85" i="26" s="1"/>
  <c r="K46" i="26"/>
  <c r="D84" i="26" s="1"/>
  <c r="J46" i="26"/>
  <c r="D83" i="26" s="1"/>
  <c r="F46" i="26"/>
  <c r="D79" i="26" s="1"/>
  <c r="G46" i="26"/>
  <c r="D80" i="26" s="1"/>
  <c r="I46" i="26"/>
  <c r="D82" i="26" s="1"/>
  <c r="K34" i="10"/>
  <c r="J34" i="10"/>
  <c r="L34" i="10"/>
  <c r="M34" i="10"/>
  <c r="N34" i="10"/>
  <c r="I34" i="10"/>
  <c r="G34" i="10"/>
  <c r="H34" i="10"/>
  <c r="F34" i="10"/>
  <c r="N16" i="15"/>
  <c r="N15" i="15" s="1"/>
  <c r="N11" i="15"/>
  <c r="L16" i="15"/>
  <c r="L15" i="15" s="1"/>
  <c r="L11" i="15"/>
  <c r="A3" i="6"/>
  <c r="A3" i="7" s="1"/>
  <c r="A3" i="8" s="1"/>
  <c r="A3" i="1"/>
  <c r="N12" i="14"/>
  <c r="N9" i="14"/>
  <c r="J12" i="14"/>
  <c r="J9" i="14"/>
  <c r="E21" i="7"/>
  <c r="E20" i="7" s="1"/>
  <c r="K11" i="14"/>
  <c r="K14" i="14"/>
  <c r="K13" i="14" s="1"/>
  <c r="G12" i="14"/>
  <c r="G9" i="14"/>
  <c r="I13" i="3"/>
  <c r="J16" i="15"/>
  <c r="J15" i="15" s="1"/>
  <c r="J11" i="15"/>
  <c r="I16" i="15"/>
  <c r="I15" i="15" s="1"/>
  <c r="I11" i="15"/>
  <c r="H12" i="14"/>
  <c r="H9" i="14"/>
  <c r="M11" i="14"/>
  <c r="M14" i="14"/>
  <c r="M13" i="14" s="1"/>
  <c r="D10" i="14"/>
  <c r="L12" i="14"/>
  <c r="L9" i="14"/>
  <c r="E15" i="1"/>
  <c r="E13" i="1" s="1"/>
  <c r="H16" i="1"/>
  <c r="F10" i="9"/>
  <c r="F12" i="9" s="1"/>
  <c r="K16" i="15"/>
  <c r="K15" i="15" s="1"/>
  <c r="K11" i="15"/>
  <c r="H16" i="15"/>
  <c r="H11" i="15"/>
  <c r="M16" i="15"/>
  <c r="M15" i="15" s="1"/>
  <c r="M11" i="15"/>
  <c r="I14" i="14"/>
  <c r="I13" i="14" s="1"/>
  <c r="I11" i="14"/>
  <c r="C70" i="26"/>
  <c r="C58" i="26"/>
  <c r="C77" i="26"/>
  <c r="C56" i="26"/>
  <c r="C72" i="26"/>
  <c r="C74" i="26"/>
  <c r="C67" i="26"/>
  <c r="C62" i="26"/>
  <c r="C69" i="26"/>
  <c r="C63" i="26"/>
  <c r="C18" i="26"/>
  <c r="C73" i="26"/>
  <c r="C64" i="26"/>
  <c r="C75" i="26"/>
  <c r="C59" i="26"/>
  <c r="C55" i="26"/>
  <c r="C76" i="26"/>
  <c r="C66" i="26"/>
  <c r="C71" i="26"/>
  <c r="C8" i="5"/>
  <c r="D16" i="1"/>
  <c r="D15" i="1" s="1"/>
  <c r="D13" i="1" s="1"/>
  <c r="H46" i="26"/>
  <c r="D81" i="26" s="1"/>
  <c r="M46" i="26"/>
  <c r="D86" i="26" s="1"/>
  <c r="I16" i="24"/>
  <c r="I15" i="24" s="1"/>
  <c r="I11" i="24"/>
  <c r="H11" i="24"/>
  <c r="H16" i="24"/>
  <c r="H15" i="24" s="1"/>
  <c r="K18" i="2"/>
  <c r="G9" i="5"/>
  <c r="D13" i="6"/>
  <c r="H20" i="2"/>
  <c r="E9" i="5"/>
  <c r="K12" i="24"/>
  <c r="L12" i="24"/>
  <c r="F12" i="24"/>
  <c r="L18" i="2"/>
  <c r="G10" i="9"/>
  <c r="G12" i="24"/>
  <c r="K10" i="9"/>
  <c r="K12" i="9" s="1"/>
  <c r="I10" i="9"/>
  <c r="I12" i="9" s="1"/>
  <c r="M10" i="9"/>
  <c r="M12" i="9" s="1"/>
  <c r="H10" i="9"/>
  <c r="H12" i="9" s="1"/>
  <c r="L10" i="9"/>
  <c r="L12" i="9" s="1"/>
  <c r="M12" i="24"/>
  <c r="A3" i="9"/>
  <c r="A3" i="10" s="1"/>
  <c r="A3" i="24"/>
  <c r="F19" i="2"/>
  <c r="M13" i="3"/>
  <c r="J10" i="9"/>
  <c r="J12" i="9" s="1"/>
  <c r="J12" i="24"/>
  <c r="E13" i="24"/>
  <c r="D11" i="7"/>
  <c r="D17" i="6"/>
  <c r="D16" i="6"/>
  <c r="L12" i="6"/>
  <c r="D15" i="6"/>
  <c r="D14" i="6"/>
  <c r="E13" i="3"/>
  <c r="F13" i="3"/>
  <c r="L13" i="3"/>
  <c r="J13" i="3"/>
  <c r="H13" i="3"/>
  <c r="G13" i="3"/>
  <c r="K13" i="3"/>
  <c r="D16" i="3"/>
  <c r="D15" i="3"/>
  <c r="D19" i="3"/>
  <c r="D18" i="3"/>
  <c r="D17" i="3"/>
  <c r="D14" i="3"/>
  <c r="D15" i="2"/>
  <c r="E18" i="2"/>
  <c r="E21" i="2"/>
  <c r="E20" i="2" s="1"/>
  <c r="F20" i="2"/>
  <c r="L20" i="2"/>
  <c r="E19" i="2"/>
  <c r="K22" i="2"/>
  <c r="K20" i="2" s="1"/>
  <c r="L19" i="2"/>
  <c r="I19" i="2"/>
  <c r="J21" i="2"/>
  <c r="G20" i="2"/>
  <c r="H19" i="2"/>
  <c r="G18" i="2"/>
  <c r="J22" i="2"/>
  <c r="I21" i="2"/>
  <c r="I20" i="2" s="1"/>
  <c r="D16" i="2"/>
  <c r="G19" i="2"/>
  <c r="F18" i="2"/>
  <c r="F9" i="9" l="1"/>
  <c r="J36" i="10"/>
  <c r="J35" i="10" s="1"/>
  <c r="J33" i="10"/>
  <c r="F14" i="9"/>
  <c r="F13" i="9" s="1"/>
  <c r="N11" i="14"/>
  <c r="N14" i="14"/>
  <c r="N13" i="14" s="1"/>
  <c r="F33" i="10"/>
  <c r="F38" i="10"/>
  <c r="D34" i="10"/>
  <c r="F36" i="10"/>
  <c r="K36" i="10"/>
  <c r="K35" i="10" s="1"/>
  <c r="K33" i="10"/>
  <c r="A3" i="11"/>
  <c r="A3" i="12" s="1"/>
  <c r="A3" i="13" s="1"/>
  <c r="A3" i="14" s="1"/>
  <c r="A3" i="25"/>
  <c r="E86" i="26"/>
  <c r="C86" i="26" s="1"/>
  <c r="H15" i="1"/>
  <c r="H13" i="1" s="1"/>
  <c r="G16" i="1"/>
  <c r="G15" i="1" s="1"/>
  <c r="G13" i="1" s="1"/>
  <c r="H14" i="14"/>
  <c r="H13" i="14" s="1"/>
  <c r="H11" i="14"/>
  <c r="G36" i="10"/>
  <c r="G35" i="10" s="1"/>
  <c r="G33" i="10"/>
  <c r="E80" i="26"/>
  <c r="C80" i="26" s="1"/>
  <c r="G14" i="14"/>
  <c r="G11" i="14"/>
  <c r="D12" i="14"/>
  <c r="D11" i="14" s="1"/>
  <c r="F32" i="1" s="1"/>
  <c r="D10" i="9"/>
  <c r="G12" i="9"/>
  <c r="G14" i="9" s="1"/>
  <c r="D22" i="2"/>
  <c r="E81" i="26"/>
  <c r="C81" i="26" s="1"/>
  <c r="I36" i="10"/>
  <c r="I35" i="10" s="1"/>
  <c r="I33" i="10"/>
  <c r="E79" i="26"/>
  <c r="C79" i="26" s="1"/>
  <c r="D78" i="26"/>
  <c r="D52" i="26" s="1"/>
  <c r="E34" i="1" s="1"/>
  <c r="D18" i="2"/>
  <c r="N33" i="10"/>
  <c r="N36" i="10"/>
  <c r="N35" i="10" s="1"/>
  <c r="E83" i="26"/>
  <c r="C83" i="26" s="1"/>
  <c r="E82" i="26"/>
  <c r="C82" i="26"/>
  <c r="K16" i="1"/>
  <c r="L14" i="14"/>
  <c r="L13" i="14" s="1"/>
  <c r="L11" i="14"/>
  <c r="M33" i="10"/>
  <c r="M36" i="10"/>
  <c r="M35" i="10" s="1"/>
  <c r="E84" i="26"/>
  <c r="C84" i="26" s="1"/>
  <c r="H36" i="10"/>
  <c r="H35" i="10" s="1"/>
  <c r="H33" i="10"/>
  <c r="C53" i="26"/>
  <c r="H15" i="15"/>
  <c r="D16" i="15"/>
  <c r="D15" i="15" s="1"/>
  <c r="J14" i="14"/>
  <c r="J13" i="14" s="1"/>
  <c r="J11" i="14"/>
  <c r="L33" i="10"/>
  <c r="L36" i="10"/>
  <c r="L35" i="10" s="1"/>
  <c r="E85" i="26"/>
  <c r="C85" i="26" s="1"/>
  <c r="C9" i="5"/>
  <c r="H9" i="9"/>
  <c r="H14" i="9"/>
  <c r="H13" i="9" s="1"/>
  <c r="J9" i="9"/>
  <c r="M9" i="9"/>
  <c r="K16" i="24"/>
  <c r="K15" i="24" s="1"/>
  <c r="K11" i="24"/>
  <c r="I9" i="9"/>
  <c r="K9" i="9"/>
  <c r="K11" i="9"/>
  <c r="G16" i="24"/>
  <c r="G15" i="24" s="1"/>
  <c r="G11" i="24"/>
  <c r="G11" i="9"/>
  <c r="G9" i="9"/>
  <c r="J16" i="24"/>
  <c r="J15" i="24" s="1"/>
  <c r="J11" i="24"/>
  <c r="M16" i="24"/>
  <c r="M15" i="24" s="1"/>
  <c r="M11" i="24"/>
  <c r="F11" i="9"/>
  <c r="L16" i="24"/>
  <c r="L15" i="24" s="1"/>
  <c r="L11" i="24"/>
  <c r="D19" i="2"/>
  <c r="J17" i="7"/>
  <c r="J19" i="7" s="1"/>
  <c r="L17" i="7"/>
  <c r="L19" i="7" s="1"/>
  <c r="M17" i="7"/>
  <c r="M19" i="7" s="1"/>
  <c r="N17" i="7"/>
  <c r="N19" i="7" s="1"/>
  <c r="I17" i="7"/>
  <c r="I19" i="7" s="1"/>
  <c r="H17" i="7"/>
  <c r="H19" i="7" s="1"/>
  <c r="F17" i="7"/>
  <c r="F19" i="7" s="1"/>
  <c r="G17" i="7"/>
  <c r="G19" i="7" s="1"/>
  <c r="K17" i="7"/>
  <c r="K19" i="7" s="1"/>
  <c r="L9" i="9"/>
  <c r="L11" i="9"/>
  <c r="F16" i="24"/>
  <c r="F11" i="24"/>
  <c r="D12" i="24"/>
  <c r="H13" i="24"/>
  <c r="I13" i="24"/>
  <c r="J13" i="24"/>
  <c r="K13" i="24"/>
  <c r="L13" i="24"/>
  <c r="G13" i="24"/>
  <c r="M13" i="24"/>
  <c r="D13" i="3"/>
  <c r="D21" i="2"/>
  <c r="J20" i="2"/>
  <c r="H38" i="10" l="1"/>
  <c r="H37" i="10" s="1"/>
  <c r="G38" i="10"/>
  <c r="G37" i="10" s="1"/>
  <c r="E78" i="26"/>
  <c r="E52" i="26" s="1"/>
  <c r="F34" i="1" s="1"/>
  <c r="I34" i="1" s="1"/>
  <c r="L34" i="1" s="1"/>
  <c r="C78" i="26"/>
  <c r="C52" i="26" s="1"/>
  <c r="F37" i="10"/>
  <c r="H34" i="1"/>
  <c r="K34" i="1" s="1"/>
  <c r="E31" i="1"/>
  <c r="D34" i="1"/>
  <c r="I38" i="10"/>
  <c r="I37" i="10" s="1"/>
  <c r="I32" i="1"/>
  <c r="D32" i="1"/>
  <c r="F31" i="1"/>
  <c r="M38" i="10"/>
  <c r="M37" i="10" s="1"/>
  <c r="D20" i="2"/>
  <c r="E24" i="2" s="1"/>
  <c r="E27" i="2" s="1"/>
  <c r="N38" i="10"/>
  <c r="N37" i="10" s="1"/>
  <c r="G13" i="14"/>
  <c r="D14" i="14"/>
  <c r="D13" i="14" s="1"/>
  <c r="K38" i="10"/>
  <c r="K37" i="10" s="1"/>
  <c r="J38" i="10"/>
  <c r="J37" i="10" s="1"/>
  <c r="F35" i="10"/>
  <c r="D36" i="10"/>
  <c r="D35" i="10" s="1"/>
  <c r="F25" i="1" s="1"/>
  <c r="A3" i="15"/>
  <c r="A3" i="26"/>
  <c r="L38" i="10"/>
  <c r="L37" i="10" s="1"/>
  <c r="J16" i="1"/>
  <c r="J15" i="1" s="1"/>
  <c r="J13" i="1" s="1"/>
  <c r="K15" i="1"/>
  <c r="K13" i="1" s="1"/>
  <c r="L14" i="9"/>
  <c r="L13" i="9" s="1"/>
  <c r="M18" i="7"/>
  <c r="M16" i="7"/>
  <c r="M21" i="7"/>
  <c r="M20" i="7" s="1"/>
  <c r="J16" i="7"/>
  <c r="K14" i="9"/>
  <c r="K13" i="9" s="1"/>
  <c r="J14" i="9"/>
  <c r="J13" i="9" s="1"/>
  <c r="J11" i="9"/>
  <c r="M14" i="9"/>
  <c r="M13" i="9" s="1"/>
  <c r="M11" i="9"/>
  <c r="G16" i="7"/>
  <c r="G18" i="7"/>
  <c r="G21" i="7"/>
  <c r="G20" i="7" s="1"/>
  <c r="L16" i="7"/>
  <c r="F16" i="7"/>
  <c r="F21" i="7"/>
  <c r="D17" i="7"/>
  <c r="G13" i="9"/>
  <c r="I14" i="9"/>
  <c r="I13" i="9" s="1"/>
  <c r="I11" i="9"/>
  <c r="H16" i="7"/>
  <c r="H11" i="9"/>
  <c r="N16" i="7"/>
  <c r="K18" i="7"/>
  <c r="K16" i="7"/>
  <c r="K21" i="7"/>
  <c r="K20" i="7" s="1"/>
  <c r="F15" i="24"/>
  <c r="D16" i="24"/>
  <c r="D15" i="24" s="1"/>
  <c r="I16" i="7"/>
  <c r="I18" i="7"/>
  <c r="D12" i="9"/>
  <c r="D11" i="9" s="1"/>
  <c r="F23" i="1" s="1"/>
  <c r="F13" i="24"/>
  <c r="D14" i="24"/>
  <c r="D13" i="24" s="1"/>
  <c r="F24" i="1" s="1"/>
  <c r="M22" i="3"/>
  <c r="I21" i="3"/>
  <c r="L22" i="3"/>
  <c r="J21" i="3"/>
  <c r="K22" i="3"/>
  <c r="K21" i="3"/>
  <c r="J22" i="3"/>
  <c r="L21" i="3"/>
  <c r="I22" i="3"/>
  <c r="M21" i="3"/>
  <c r="M25" i="3" s="1"/>
  <c r="M24" i="3" s="1"/>
  <c r="E21" i="3"/>
  <c r="H22" i="3"/>
  <c r="F21" i="3"/>
  <c r="G22" i="3"/>
  <c r="G21" i="3"/>
  <c r="F22" i="3"/>
  <c r="H21" i="3"/>
  <c r="I24" i="2" l="1"/>
  <c r="F24" i="2"/>
  <c r="J24" i="2"/>
  <c r="G25" i="2"/>
  <c r="G28" i="2" s="1"/>
  <c r="G31" i="2" s="1"/>
  <c r="I25" i="1"/>
  <c r="G25" i="1" s="1"/>
  <c r="D25" i="1"/>
  <c r="L25" i="1"/>
  <c r="J25" i="1" s="1"/>
  <c r="D31" i="1"/>
  <c r="F25" i="2"/>
  <c r="K31" i="1"/>
  <c r="J34" i="1"/>
  <c r="H24" i="2"/>
  <c r="H27" i="2" s="1"/>
  <c r="H26" i="2" s="1"/>
  <c r="I25" i="2"/>
  <c r="E25" i="2"/>
  <c r="E28" i="2" s="1"/>
  <c r="E31" i="2" s="1"/>
  <c r="E30" i="2"/>
  <c r="H31" i="1"/>
  <c r="G34" i="1"/>
  <c r="J25" i="2"/>
  <c r="G24" i="2"/>
  <c r="G27" i="2" s="1"/>
  <c r="G30" i="2" s="1"/>
  <c r="D38" i="10"/>
  <c r="D37" i="10" s="1"/>
  <c r="K24" i="2"/>
  <c r="L24" i="2"/>
  <c r="L25" i="2"/>
  <c r="K25" i="2"/>
  <c r="H25" i="2"/>
  <c r="I24" i="1"/>
  <c r="G24" i="1" s="1"/>
  <c r="D24" i="1"/>
  <c r="L32" i="1"/>
  <c r="G32" i="1"/>
  <c r="I31" i="1"/>
  <c r="I23" i="1"/>
  <c r="G23" i="1" s="1"/>
  <c r="D23" i="1"/>
  <c r="I28" i="2"/>
  <c r="I31" i="2"/>
  <c r="E20" i="3"/>
  <c r="E25" i="3"/>
  <c r="L21" i="7"/>
  <c r="L20" i="7" s="1"/>
  <c r="L18" i="7"/>
  <c r="H20" i="3"/>
  <c r="H25" i="3"/>
  <c r="H24" i="3" s="1"/>
  <c r="H21" i="7"/>
  <c r="H20" i="7" s="1"/>
  <c r="H18" i="7"/>
  <c r="J20" i="3"/>
  <c r="J25" i="3"/>
  <c r="J24" i="3" s="1"/>
  <c r="J21" i="7"/>
  <c r="J20" i="7" s="1"/>
  <c r="J18" i="7"/>
  <c r="H28" i="2"/>
  <c r="H31" i="2" s="1"/>
  <c r="L20" i="3"/>
  <c r="L25" i="3"/>
  <c r="L24" i="3" s="1"/>
  <c r="L27" i="2"/>
  <c r="L30" i="2" s="1"/>
  <c r="D14" i="9"/>
  <c r="D13" i="9" s="1"/>
  <c r="I27" i="2"/>
  <c r="I26" i="2" s="1"/>
  <c r="F27" i="2"/>
  <c r="F30" i="2" s="1"/>
  <c r="G20" i="3"/>
  <c r="G25" i="3"/>
  <c r="G24" i="3" s="1"/>
  <c r="F20" i="7"/>
  <c r="J27" i="2"/>
  <c r="K20" i="3"/>
  <c r="K25" i="3"/>
  <c r="K24" i="3" s="1"/>
  <c r="F28" i="2"/>
  <c r="F31" i="2" s="1"/>
  <c r="I20" i="3"/>
  <c r="I25" i="3"/>
  <c r="I24" i="3" s="1"/>
  <c r="L28" i="2"/>
  <c r="L31" i="2" s="1"/>
  <c r="K27" i="2"/>
  <c r="K30" i="2" s="1"/>
  <c r="F20" i="3"/>
  <c r="F25" i="3"/>
  <c r="F24" i="3" s="1"/>
  <c r="I21" i="7"/>
  <c r="I20" i="7" s="1"/>
  <c r="N21" i="7"/>
  <c r="N20" i="7" s="1"/>
  <c r="N18" i="7"/>
  <c r="F18" i="7"/>
  <c r="D19" i="7"/>
  <c r="D18" i="7" s="1"/>
  <c r="F21" i="1" s="1"/>
  <c r="D21" i="3"/>
  <c r="M20" i="3"/>
  <c r="D23" i="3"/>
  <c r="E22" i="3"/>
  <c r="D24" i="2" l="1"/>
  <c r="E11" i="1" s="1"/>
  <c r="E29" i="2"/>
  <c r="H30" i="2"/>
  <c r="H29" i="2" s="1"/>
  <c r="D25" i="2"/>
  <c r="E12" i="1" s="1"/>
  <c r="E10" i="1" s="1"/>
  <c r="E9" i="1" s="1"/>
  <c r="K28" i="2"/>
  <c r="K31" i="2" s="1"/>
  <c r="K29" i="2" s="1"/>
  <c r="G29" i="2"/>
  <c r="G31" i="1"/>
  <c r="K26" i="2"/>
  <c r="J32" i="1"/>
  <c r="J31" i="1" s="1"/>
  <c r="L31" i="1"/>
  <c r="H11" i="1"/>
  <c r="K11" i="1" s="1"/>
  <c r="J28" i="2"/>
  <c r="J31" i="2" s="1"/>
  <c r="D31" i="2" s="1"/>
  <c r="L24" i="1"/>
  <c r="J24" i="1" s="1"/>
  <c r="L23" i="1"/>
  <c r="J23" i="1" s="1"/>
  <c r="F20" i="1"/>
  <c r="I21" i="1"/>
  <c r="L21" i="1" s="1"/>
  <c r="D21" i="1"/>
  <c r="D20" i="1" s="1"/>
  <c r="F29" i="2"/>
  <c r="L29" i="2"/>
  <c r="J30" i="2"/>
  <c r="L26" i="2"/>
  <c r="G26" i="2"/>
  <c r="I30" i="2"/>
  <c r="I29" i="2" s="1"/>
  <c r="F26" i="2"/>
  <c r="D27" i="2"/>
  <c r="F11" i="1" s="1"/>
  <c r="E24" i="3"/>
  <c r="D25" i="3"/>
  <c r="D24" i="3" s="1"/>
  <c r="E26" i="2"/>
  <c r="D21" i="7"/>
  <c r="D20" i="7" s="1"/>
  <c r="D9" i="8"/>
  <c r="J8" i="8"/>
  <c r="F8" i="8"/>
  <c r="M9" i="13"/>
  <c r="M15" i="13" s="1"/>
  <c r="K9" i="13"/>
  <c r="M8" i="13"/>
  <c r="M14" i="13" s="1"/>
  <c r="K8" i="13"/>
  <c r="M7" i="13"/>
  <c r="J6" i="12"/>
  <c r="J9" i="12" s="1"/>
  <c r="J8" i="12" s="1"/>
  <c r="G6" i="12"/>
  <c r="M8" i="8"/>
  <c r="L8" i="8"/>
  <c r="K8" i="8"/>
  <c r="I8" i="8"/>
  <c r="H8" i="8"/>
  <c r="G8" i="8"/>
  <c r="D6" i="8"/>
  <c r="K11" i="6"/>
  <c r="K18" i="6" s="1"/>
  <c r="K12" i="6" s="1"/>
  <c r="J11" i="6"/>
  <c r="J18" i="6" s="1"/>
  <c r="J12" i="6" s="1"/>
  <c r="I11" i="6"/>
  <c r="I18" i="6" s="1"/>
  <c r="I12" i="6" s="1"/>
  <c r="H11" i="6"/>
  <c r="H18" i="6" s="1"/>
  <c r="H12" i="6" s="1"/>
  <c r="G11" i="6"/>
  <c r="G18" i="6" s="1"/>
  <c r="G12" i="6" s="1"/>
  <c r="F11" i="6"/>
  <c r="F18" i="6" s="1"/>
  <c r="F12" i="6" s="1"/>
  <c r="E11" i="6"/>
  <c r="E18" i="6" s="1"/>
  <c r="D10" i="6"/>
  <c r="D9" i="6"/>
  <c r="D8" i="6"/>
  <c r="D7" i="6"/>
  <c r="H12" i="1" l="1"/>
  <c r="K12" i="1" s="1"/>
  <c r="J26" i="2"/>
  <c r="D28" i="2"/>
  <c r="F12" i="1" s="1"/>
  <c r="I12" i="1" s="1"/>
  <c r="L12" i="1" s="1"/>
  <c r="J12" i="1"/>
  <c r="J29" i="2"/>
  <c r="K10" i="1"/>
  <c r="K9" i="1" s="1"/>
  <c r="D6" i="12"/>
  <c r="G9" i="12"/>
  <c r="I11" i="1"/>
  <c r="H10" i="1"/>
  <c r="H9" i="1" s="1"/>
  <c r="D11" i="1"/>
  <c r="D8" i="8"/>
  <c r="L20" i="1"/>
  <c r="J21" i="1"/>
  <c r="J20" i="1" s="1"/>
  <c r="I20" i="1"/>
  <c r="G21" i="1"/>
  <c r="G20" i="1" s="1"/>
  <c r="K14" i="13"/>
  <c r="D8" i="13"/>
  <c r="D9" i="13"/>
  <c r="K15" i="13"/>
  <c r="D15" i="13" s="1"/>
  <c r="M13" i="13"/>
  <c r="D7" i="13"/>
  <c r="D11" i="6"/>
  <c r="D30" i="2"/>
  <c r="D29" i="2" s="1"/>
  <c r="D18" i="6"/>
  <c r="D12" i="6" s="1"/>
  <c r="E12" i="6"/>
  <c r="I23" i="2"/>
  <c r="H23" i="2"/>
  <c r="F23" i="2"/>
  <c r="L23" i="2"/>
  <c r="D26" i="2" l="1"/>
  <c r="G12" i="1"/>
  <c r="D12" i="1"/>
  <c r="D10" i="1" s="1"/>
  <c r="F10" i="1"/>
  <c r="L11" i="1"/>
  <c r="I10" i="1"/>
  <c r="G8" i="12"/>
  <c r="D9" i="12"/>
  <c r="D8" i="12" s="1"/>
  <c r="G11" i="1"/>
  <c r="G10" i="1" s="1"/>
  <c r="D14" i="13"/>
  <c r="K11" i="13"/>
  <c r="D13" i="13"/>
  <c r="M11" i="13"/>
  <c r="H20" i="6"/>
  <c r="L20" i="6"/>
  <c r="E20" i="6"/>
  <c r="J20" i="6"/>
  <c r="I20" i="6"/>
  <c r="F20" i="6"/>
  <c r="G20" i="6"/>
  <c r="K20" i="6"/>
  <c r="J23" i="2"/>
  <c r="E23" i="2"/>
  <c r="G23" i="2"/>
  <c r="K23" i="2"/>
  <c r="L10" i="1" l="1"/>
  <c r="J11" i="1"/>
  <c r="J10" i="1" s="1"/>
  <c r="D11" i="13"/>
  <c r="H19" i="6"/>
  <c r="H22" i="6"/>
  <c r="H21" i="6" s="1"/>
  <c r="K19" i="6"/>
  <c r="K22" i="6"/>
  <c r="K21" i="6" s="1"/>
  <c r="G19" i="6"/>
  <c r="G22" i="6"/>
  <c r="G21" i="6" s="1"/>
  <c r="F19" i="6"/>
  <c r="F22" i="6"/>
  <c r="F21" i="6" s="1"/>
  <c r="I19" i="6"/>
  <c r="I22" i="6"/>
  <c r="I21" i="6" s="1"/>
  <c r="J19" i="6"/>
  <c r="J22" i="6"/>
  <c r="J21" i="6" s="1"/>
  <c r="E22" i="6"/>
  <c r="L19" i="6"/>
  <c r="L22" i="6"/>
  <c r="L21" i="6" s="1"/>
  <c r="E19" i="6"/>
  <c r="D20" i="6"/>
  <c r="N18" i="13" l="1"/>
  <c r="G18" i="13"/>
  <c r="J18" i="13"/>
  <c r="H18" i="13"/>
  <c r="I18" i="13"/>
  <c r="M18" i="13"/>
  <c r="L18" i="13"/>
  <c r="K18" i="13"/>
  <c r="E21" i="6"/>
  <c r="D22" i="6"/>
  <c r="D21" i="6" s="1"/>
  <c r="F19" i="1" s="1"/>
  <c r="J24" i="6"/>
  <c r="J23" i="6" s="1"/>
  <c r="F24" i="6"/>
  <c r="F23" i="6" s="1"/>
  <c r="K24" i="6"/>
  <c r="K23" i="6" s="1"/>
  <c r="E24" i="6"/>
  <c r="G24" i="6"/>
  <c r="G23" i="6" s="1"/>
  <c r="I24" i="6"/>
  <c r="I23" i="6" s="1"/>
  <c r="H24" i="6"/>
  <c r="H23" i="6" s="1"/>
  <c r="L24" i="6"/>
  <c r="L23" i="6" s="1"/>
  <c r="M20" i="13" l="1"/>
  <c r="M19" i="13" s="1"/>
  <c r="M17" i="13"/>
  <c r="L20" i="13"/>
  <c r="L19" i="13" s="1"/>
  <c r="L17" i="13"/>
  <c r="I20" i="13"/>
  <c r="I19" i="13" s="1"/>
  <c r="I17" i="13"/>
  <c r="H20" i="13"/>
  <c r="H19" i="13" s="1"/>
  <c r="H17" i="13"/>
  <c r="K20" i="13"/>
  <c r="K19" i="13" s="1"/>
  <c r="K17" i="13"/>
  <c r="F18" i="1"/>
  <c r="I19" i="1"/>
  <c r="L19" i="1" s="1"/>
  <c r="D19" i="1"/>
  <c r="D18" i="1" s="1"/>
  <c r="J20" i="13"/>
  <c r="J19" i="13" s="1"/>
  <c r="J17" i="13"/>
  <c r="G17" i="13"/>
  <c r="G20" i="13"/>
  <c r="G22" i="13" s="1"/>
  <c r="D18" i="13"/>
  <c r="N17" i="13"/>
  <c r="N20" i="13"/>
  <c r="N19" i="13" s="1"/>
  <c r="E23" i="6"/>
  <c r="D24" i="6"/>
  <c r="D23" i="6" s="1"/>
  <c r="K22" i="13" l="1"/>
  <c r="K21" i="13" s="1"/>
  <c r="J22" i="13"/>
  <c r="J21" i="13" s="1"/>
  <c r="L22" i="13"/>
  <c r="L21" i="13" s="1"/>
  <c r="G21" i="13"/>
  <c r="N22" i="13"/>
  <c r="N21" i="13" s="1"/>
  <c r="L18" i="1"/>
  <c r="J19" i="1"/>
  <c r="J18" i="1" s="1"/>
  <c r="H22" i="13"/>
  <c r="H21" i="13" s="1"/>
  <c r="I22" i="13"/>
  <c r="I21" i="13" s="1"/>
  <c r="M22" i="13"/>
  <c r="M21" i="13" s="1"/>
  <c r="G19" i="13"/>
  <c r="D20" i="13"/>
  <c r="D19" i="13" s="1"/>
  <c r="F30" i="1" s="1"/>
  <c r="I18" i="1"/>
  <c r="G19" i="1"/>
  <c r="G18" i="1" s="1"/>
  <c r="E12" i="12"/>
  <c r="I30" i="1" l="1"/>
  <c r="L30" i="1"/>
  <c r="D30" i="1"/>
  <c r="D28" i="1" s="1"/>
  <c r="F28" i="1"/>
  <c r="D22" i="13"/>
  <c r="D21" i="13" s="1"/>
  <c r="E14" i="12"/>
  <c r="E11" i="12"/>
  <c r="K12" i="12" s="1"/>
  <c r="J12" i="12" l="1"/>
  <c r="L12" i="12"/>
  <c r="L11" i="12" s="1"/>
  <c r="M12" i="12"/>
  <c r="M14" i="12" s="1"/>
  <c r="M13" i="12" s="1"/>
  <c r="J30" i="1"/>
  <c r="J28" i="1" s="1"/>
  <c r="L28" i="1"/>
  <c r="G30" i="1"/>
  <c r="G28" i="1" s="1"/>
  <c r="I28" i="1"/>
  <c r="L14" i="12"/>
  <c r="L13" i="12" s="1"/>
  <c r="J11" i="12"/>
  <c r="J14" i="12"/>
  <c r="J13" i="12" s="1"/>
  <c r="H12" i="12"/>
  <c r="I12" i="12"/>
  <c r="F12" i="12"/>
  <c r="G12" i="12"/>
  <c r="E13" i="12"/>
  <c r="E16" i="12"/>
  <c r="L16" i="12" l="1"/>
  <c r="L15" i="12" s="1"/>
  <c r="M11" i="12"/>
  <c r="M16" i="12"/>
  <c r="M15" i="12" s="1"/>
  <c r="H11" i="12"/>
  <c r="H14" i="12"/>
  <c r="H13" i="12" s="1"/>
  <c r="J16" i="12"/>
  <c r="J15" i="12" s="1"/>
  <c r="G14" i="12"/>
  <c r="G13" i="12" s="1"/>
  <c r="G11" i="12"/>
  <c r="K14" i="12"/>
  <c r="K13" i="12" s="1"/>
  <c r="K11" i="12"/>
  <c r="I11" i="12"/>
  <c r="I14" i="12"/>
  <c r="I13" i="12" s="1"/>
  <c r="E15" i="12"/>
  <c r="F14" i="12"/>
  <c r="F16" i="12" s="1"/>
  <c r="F15" i="12" s="1"/>
  <c r="F11" i="12"/>
  <c r="D12" i="12"/>
  <c r="K16" i="12" l="1"/>
  <c r="K15" i="12" s="1"/>
  <c r="I16" i="12"/>
  <c r="I15" i="12" s="1"/>
  <c r="H16" i="12"/>
  <c r="H15" i="12" s="1"/>
  <c r="G16" i="12"/>
  <c r="F13" i="12"/>
  <c r="D14" i="12"/>
  <c r="D13" i="12" s="1"/>
  <c r="F27" i="1" s="1"/>
  <c r="I27" i="1" l="1"/>
  <c r="D27" i="1"/>
  <c r="D9" i="1" s="1"/>
  <c r="L27" i="1"/>
  <c r="F9" i="1"/>
  <c r="G15" i="12"/>
  <c r="D16" i="12"/>
  <c r="D15" i="12" s="1"/>
  <c r="J27" i="1" l="1"/>
  <c r="J9" i="1" s="1"/>
  <c r="L9" i="1"/>
  <c r="G27" i="1"/>
  <c r="G9" i="1" s="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stc</author>
  </authors>
  <commentList>
    <comment ref="D692" authorId="0" shapeId="0" xr:uid="{00000000-0006-0000-0200-000001000000}">
      <text>
        <r>
          <rPr>
            <b/>
            <sz val="11"/>
            <color indexed="81"/>
            <rFont val="Tahoma"/>
            <family val="2"/>
          </rPr>
          <t>stc:</t>
        </r>
        <r>
          <rPr>
            <sz val="11"/>
            <color indexed="81"/>
            <rFont val="Tahoma"/>
            <family val="2"/>
          </rPr>
          <t xml:space="preserve">
CV 677/NHCS-KHTH ngày 14/7/2023 đề nghị DT năm 2024: 6000 trđ</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D7" authorId="0" shapeId="0" xr:uid="{00000000-0006-0000-0E00-000001000000}">
      <text>
        <r>
          <rPr>
            <sz val="9"/>
            <color indexed="81"/>
            <rFont val="Tahoma"/>
            <family val="2"/>
          </rPr>
          <t xml:space="preserve">Đã trừ diện tích rừng đặc dụng. Vì DT rừng đac dung năm 2023 thực hiện theo chương trình PTLNBV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hongngoc_pc</author>
  </authors>
  <commentList>
    <comment ref="M21" authorId="0" shapeId="0" xr:uid="{00000000-0006-0000-1D00-000001000000}">
      <text>
        <r>
          <rPr>
            <b/>
            <sz val="9"/>
            <color indexed="81"/>
            <rFont val="Tahoma"/>
            <family val="2"/>
          </rPr>
          <t>hongngoc_pc:</t>
        </r>
        <r>
          <rPr>
            <sz val="9"/>
            <color indexed="81"/>
            <rFont val="Tahoma"/>
            <family val="2"/>
          </rPr>
          <t xml:space="preserve">
cộng tròn số</t>
        </r>
      </text>
    </comment>
    <comment ref="P28" authorId="0" shapeId="0" xr:uid="{00000000-0006-0000-1D00-000002000000}">
      <text>
        <r>
          <rPr>
            <b/>
            <sz val="9"/>
            <color indexed="81"/>
            <rFont val="Tahoma"/>
            <family val="2"/>
          </rPr>
          <t>hongngoc_pc:</t>
        </r>
        <r>
          <rPr>
            <sz val="9"/>
            <color indexed="81"/>
            <rFont val="Tahoma"/>
            <family val="2"/>
          </rPr>
          <t xml:space="preserve">
cộng tròn số</t>
        </r>
      </text>
    </comment>
    <comment ref="S31" authorId="0" shapeId="0" xr:uid="{00000000-0006-0000-1D00-000003000000}">
      <text>
        <r>
          <rPr>
            <b/>
            <sz val="9"/>
            <color indexed="81"/>
            <rFont val="Tahoma"/>
            <family val="2"/>
          </rPr>
          <t>hongngoc_pc:</t>
        </r>
        <r>
          <rPr>
            <sz val="9"/>
            <color indexed="81"/>
            <rFont val="Tahoma"/>
            <family val="2"/>
          </rPr>
          <t xml:space="preserve">
cộng tròn số
</t>
        </r>
      </text>
    </comment>
  </commentList>
</comments>
</file>

<file path=xl/sharedStrings.xml><?xml version="1.0" encoding="utf-8"?>
<sst xmlns="http://schemas.openxmlformats.org/spreadsheetml/2006/main" count="2710" uniqueCount="1393">
  <si>
    <t>Đơn vị tính: Triệu đồng</t>
  </si>
  <si>
    <t>STT</t>
  </si>
  <si>
    <t>Dự án/ Tiểu dự án</t>
  </si>
  <si>
    <t>Ghi chú</t>
  </si>
  <si>
    <t>A</t>
  </si>
  <si>
    <t>B</t>
  </si>
  <si>
    <t>TỔNG SỐ</t>
  </si>
  <si>
    <t>Dự án 1: Giải quyết tình trạng thiếu đất ở, nhà ở, đất sản xuất, nước sinh hoạt</t>
  </si>
  <si>
    <t>-</t>
  </si>
  <si>
    <t>Nội dung số 03: Hỗ trợ chuyển đổi nghề</t>
  </si>
  <si>
    <t xml:space="preserve"> -</t>
  </si>
  <si>
    <t>Nội dung số 04: Hỗ trợ nước sinh hoạt phân tán</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</si>
  <si>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</si>
  <si>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</si>
  <si>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</si>
  <si>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 xml:space="preserve"> Hỗ trợ phát triển trồng vùng dược liệu quý</t>
  </si>
  <si>
    <t>Dự án 4: Đầu tư cơ sở hạ tầng thiết yếu, phục vụ sản xuất, đời sống trong vùng đồng bào dân tộc thiểu số và miền núi và các đơn vị sự nghiệp công lập của lĩnh vực dân tộc</t>
  </si>
  <si>
    <t>Tiểu dự án 1: Đầu tư cơ sở hạ tầng thiết yếu, phục vụ sản xuất, đời sống trong vùng đồng bào dân tộc thiểu số và miền núi</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</si>
  <si>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</si>
  <si>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</si>
  <si>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</si>
  <si>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Tiểu dự án 4: Đào tạo nâng cao năng lực cho cộng đồng và cán bộ triển khai Chương trình ở các cấp</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</si>
  <si>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</si>
  <si>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</si>
  <si>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</si>
  <si>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</si>
  <si>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</si>
  <si>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</si>
  <si>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</si>
  <si>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2021-2030</t>
  </si>
  <si>
    <t>Tiểu dự án 3: Kiểm tra, giám sát, đánh giá, đào tạo, tập huấn tổ chức thực hiện Chương trình</t>
  </si>
  <si>
    <t>II</t>
  </si>
  <si>
    <t>+</t>
  </si>
  <si>
    <t>Tổng số</t>
  </si>
  <si>
    <t>TỔNG</t>
  </si>
  <si>
    <t>Nội dung</t>
  </si>
  <si>
    <t>Đơn vị</t>
  </si>
  <si>
    <t>Tổng</t>
  </si>
  <si>
    <t>Huyện Chợ Mới</t>
  </si>
  <si>
    <t>Huyện Chợ Đồn</t>
  </si>
  <si>
    <t>Huyện Ngân Sơn</t>
  </si>
  <si>
    <t>Huyện Bạch Thông</t>
  </si>
  <si>
    <t>Huyện Na Rì</t>
  </si>
  <si>
    <t>Huyện Pác Nặm</t>
  </si>
  <si>
    <t>Huyện Ba Bể</t>
  </si>
  <si>
    <t>Thành phố Bắc Kạn</t>
  </si>
  <si>
    <t>I</t>
  </si>
  <si>
    <t>Tiêu chí</t>
  </si>
  <si>
    <t>Nhu cầu số hộ được hỗ trợ chuyển đổi nghề</t>
  </si>
  <si>
    <t>Hộ</t>
  </si>
  <si>
    <t xml:space="preserve">Nhu cầu số hộ được hỗ trợ nước sinh hoạt phân tán </t>
  </si>
  <si>
    <t xml:space="preserve"> Số điểm</t>
  </si>
  <si>
    <t>Điểm số hộ được hỗ trợ chuyển đổi nghề</t>
  </si>
  <si>
    <t xml:space="preserve">Điểm số hộ được hỗ trợ nước sinh hoạt phân tán </t>
  </si>
  <si>
    <t>III</t>
  </si>
  <si>
    <t>Triệu đồng</t>
  </si>
  <si>
    <t>IV</t>
  </si>
  <si>
    <t>V</t>
  </si>
  <si>
    <t>DỰ ÁN 1: Giải quyết tình trạng thiếu đất ở, nhà ở, đất sản xuất, nước sinh hoạt</t>
  </si>
  <si>
    <t>NỘI DUNG: Hỗ trợ chuyển đổi nghề, hỗ trợ nước sinh hoạt phân tán</t>
  </si>
  <si>
    <t>TIỂU DỰ ÁN 1: Phát triển kinh tế nông, lâm nghiệp bền vững gắn với bảo vệ rừng và nâng cao thu nhập cho người dân</t>
  </si>
  <si>
    <t>DỰ ÁN 3: Phát triển sản xuất nông, lâm nghiệp bền vững, phát huy tiềm năng, thế mạnh của các vùng miền để sản xuất hàng hóa theo chuỗi giá trị</t>
  </si>
  <si>
    <t>Mỗi ha được hỗ trợ bảo vệ rừng quy hoạch rừng phòng hộ và rừng sản xuất là rừng tự nhiên đã giao cho cộng đồng, hộ gia đình</t>
  </si>
  <si>
    <t>Mỗi ha rừng được hỗ trợ khoanh nuôi tái sinh có trồng rừng bổ sung</t>
  </si>
  <si>
    <t>Mỗi ha rừng được hỗ trợ trồng rừng sản xuất, khai thác kinh tế dưới tán rừng và phát triển lâm sản ngoài gỗ</t>
  </si>
  <si>
    <t>Mỗi ha rừng được hỗ trợ trồng rừng phòng hộ</t>
  </si>
  <si>
    <t xml:space="preserve">Mỗi tấn gạo trợ cấp trồng rừng cho hộ nghèo tham gia trồng rừng sản xuất, phát triển lâm sản ngoài gỗ, rừng phòng hộ </t>
  </si>
  <si>
    <t>TỔNG CỘNG</t>
  </si>
  <si>
    <t>TIỂU DỰ ÁN 2: Hỗ trợ phát triển sản xuất theo chuỗi giá trị, vùng trồng dược liệu quý, thúc đẩy khởi sự kinh doanh, khởi nghiệp và thu hút đầu tư vùng đồng bào dân tộc thiểu số và miền núi</t>
  </si>
  <si>
    <t>Mỗi xã ĐBKK (xã khu vực III)</t>
  </si>
  <si>
    <t>Xã</t>
  </si>
  <si>
    <r>
      <t xml:space="preserve">Xã ATK thuộc khu vực II, I </t>
    </r>
    <r>
      <rPr>
        <i/>
        <sz val="14"/>
        <color indexed="8"/>
        <rFont val="Times New Roman"/>
        <family val="1"/>
      </rPr>
      <t>(xã chưa được cấp có thẩm quyền công nhận đạt chuẩn NTM, hoàn thành mục tiêu Chương trình 135)</t>
    </r>
  </si>
  <si>
    <r>
      <t>Mỗi thôn ĐBKK không thuộc xã</t>
    </r>
    <r>
      <rPr>
        <b/>
        <sz val="14"/>
        <color indexed="8"/>
        <rFont val="Times New Roman"/>
        <family val="1"/>
      </rPr>
      <t xml:space="preserve"> </t>
    </r>
    <r>
      <rPr>
        <sz val="14"/>
        <color indexed="8"/>
        <rFont val="Times New Roman"/>
        <family val="1"/>
      </rPr>
      <t>khu vực III (Số</t>
    </r>
    <r>
      <rPr>
        <b/>
        <sz val="14"/>
        <color indexed="8"/>
        <rFont val="Times New Roman"/>
        <family val="1"/>
      </rPr>
      <t xml:space="preserve"> </t>
    </r>
    <r>
      <rPr>
        <i/>
        <sz val="14"/>
        <color indexed="8"/>
        <rFont val="Times New Roman"/>
        <family val="1"/>
      </rPr>
      <t>thôn ĐBKK được tính điểm phân bổ vốn không quá 04 thôn/xã ngoài khu vực III)</t>
    </r>
  </si>
  <si>
    <t>Thôn</t>
  </si>
  <si>
    <t>Hỗ trợ trang thiết bị cho mỗi trạm y tế cải tạo</t>
  </si>
  <si>
    <t>Trạm</t>
  </si>
  <si>
    <t>Xã ĐBKK đồng thời là xã ATK</t>
  </si>
  <si>
    <t>Tổng tỷ lệ hộ nghèo của xã ĐBKK</t>
  </si>
  <si>
    <t>%</t>
  </si>
  <si>
    <t>Số điểm</t>
  </si>
  <si>
    <t xml:space="preserve">Sở Giáo dục và Đào tạo </t>
  </si>
  <si>
    <t>Số người học xóa mù chữ</t>
  </si>
  <si>
    <t>Người</t>
  </si>
  <si>
    <t>Số lớp học xóa mù chữ</t>
  </si>
  <si>
    <t>Lớp</t>
  </si>
  <si>
    <t>Bộ</t>
  </si>
  <si>
    <t>Trường</t>
  </si>
  <si>
    <t>DỰ ÁN 5: Phát triển giáo dục đào tạo nâng cao chất lượng nguồn nhân lực
TIỂU DỰ ÁN 1: Đổi mới hoạt động, củng cố phát triển các trường phổ thông dân tộc nội trú (PTDTNT), trường phổ thông dân tộc bán trú (PTDTBT), trường Phổ thông có học sinh bán trú (trường phổ thông có HSBT) và xóa mù chữ cho người dân vùng đồng bào DTTS</t>
  </si>
  <si>
    <t>Mỗi đơn vị (trường) mua sắm trang thiết bị</t>
  </si>
  <si>
    <t>Sở Nội vụ</t>
  </si>
  <si>
    <t>Số xã vùng đồng bào dân tộc thiểu số</t>
  </si>
  <si>
    <t>DỰ ÁN 5: Phát triển giáo dục đào tạo nâng cao chất lượng nguồn nhân lực
TIỂU DỰ ÁN 2: Bồi dưỡng kiến thức dân tộc; đào tạo dự bị đại học, đại học và sau đại học đáp ứng nhu cầu nhân lực cho vùng đồng bào DTTS</t>
  </si>
  <si>
    <t>Sở Lao động, Thương binh và Xã hội</t>
  </si>
  <si>
    <t>Số học viên được đào tạo nghề</t>
  </si>
  <si>
    <t>Học viên</t>
  </si>
  <si>
    <t>DỰ ÁN 5: Phát triển giáo dục đào tạo nâng cao chất lượng nguồn nhân lực
TIỂU DỰ ÁN 3: Phát triển giáo dục nghề nghiệp và giải quyết việc làm cho người lao động vùng dân tộc thiểu số và miền núi</t>
  </si>
  <si>
    <t>Dự kiến kinh phí ngân sách trung ương năm 2023 hỗ trợ theo điểm</t>
  </si>
  <si>
    <t>Nội dung tiêu chí tính điểm cho địa phương</t>
  </si>
  <si>
    <t>Số nghệ nhân nhân dân, nghệ nhân ưu tú người dân tộc thiểu số trong việc lưu truyền, phổ biến hình thức sinh hoạt văn hóa truyền thống và đào tạo, bồi dưỡng những người kế cận</t>
  </si>
  <si>
    <t>Nghệ nhân</t>
  </si>
  <si>
    <t xml:space="preserve">Số hoạt động thi đấu thể thao truyền thống các dân tộc thiểu số </t>
  </si>
  <si>
    <t>Hoạt động</t>
  </si>
  <si>
    <t>Số nhà văn hoá tại các thôn vùng đồng bào dân tộc thiểu số cần hỗ trợ trang thiết bị</t>
  </si>
  <si>
    <t>Nhà</t>
  </si>
  <si>
    <t>Nội dung tiêu chí tính điểm cho tỉnh</t>
  </si>
  <si>
    <t>Số lớp tập huấn, truyền dạy, câu lạc bộ (mỗi lớp tập huấn; mỗi câu lạc bộ sinh hoạt văn hoá dân gian…)</t>
  </si>
  <si>
    <t>Số đội văn nghệ truyền thống</t>
  </si>
  <si>
    <t>Đội</t>
  </si>
  <si>
    <t>Tổ chức Ngày hội, Giao lưu, Liên hoan về các loại hình văn hóa, nghệ thuật truyền thống của đồng bào dân tộc thiểu số</t>
  </si>
  <si>
    <t>Cuộc</t>
  </si>
  <si>
    <t>Số xã vùng đồng bào dân tộc thiểu số và miền núi xây dựng tủ sách cộng đồng</t>
  </si>
  <si>
    <t>Tổ chức bảo tồn các loại hình văn hoá phi vật thể (mỗi lễ hội; mỗi mô hình văn hoá truyền thống; mỗi dự án nghiên cứu, phục dựng, bảo tồn; mỗi làng văn hóa truyền thống; mỗi chương trình tuyên truyền, quảng bá văn hoá truyền thống văn hoá các dân tộc thiểu số…)</t>
  </si>
  <si>
    <t>Tổ chức</t>
  </si>
  <si>
    <t>Xây dựng nội dung, xuất bản mỗi ấn phẩm xuất bản sách, đĩa, đĩa phim tư liệu về văn hoá truyền thống đồng bào dân tộc thiểu số</t>
  </si>
  <si>
    <t>Số di tích quốc gia đặc biệt, di tích quốc gia có giá trị tiêu biểu của các dân tộc thiểu số cần hỗ trợ chống xuống cấp</t>
  </si>
  <si>
    <t>Di tích</t>
  </si>
  <si>
    <t>DỰ ÁN 6: Bảo tồn, phát huy giá trị văn hóa truyền thống tốt đẹp của các dân tộc thiểu số gắn với phát triển du lịch</t>
  </si>
  <si>
    <t>Sở Y tế</t>
  </si>
  <si>
    <t>Mỗi xã khu vực III</t>
  </si>
  <si>
    <t>Mỗi xã khu vực II</t>
  </si>
  <si>
    <t>Mỗi xã khu vực I</t>
  </si>
  <si>
    <t>Hội liên hiệp phụ nữ tỉnh</t>
  </si>
  <si>
    <t>Mỗi xã ĐBKK (xã khu vực III); Xã ATK thuộc khu vực II, I (xã chưa được cấp có thẩm quyền công nhận đạt chuẩn NTM, hoàn thành mục tiêu Chương trình 135)</t>
  </si>
  <si>
    <r>
      <t>Mỗi thôn ĐBKK không thuộc xã</t>
    </r>
    <r>
      <rPr>
        <b/>
        <sz val="12"/>
        <rFont val="Times New Roman"/>
        <family val="1"/>
      </rPr>
      <t xml:space="preserve"> </t>
    </r>
    <r>
      <rPr>
        <sz val="12"/>
        <rFont val="Times New Roman"/>
        <family val="1"/>
      </rPr>
      <t>khu vực III (Số</t>
    </r>
    <r>
      <rPr>
        <b/>
        <sz val="12"/>
        <rFont val="Times New Roman"/>
        <family val="1"/>
      </rPr>
      <t xml:space="preserve"> </t>
    </r>
    <r>
      <rPr>
        <i/>
        <sz val="12"/>
        <rFont val="Times New Roman"/>
        <family val="1"/>
      </rPr>
      <t>thôn ĐBKK được tính điểm phân bổ vốn không quá 04 thôn/xã ngoài khu vực III)</t>
    </r>
  </si>
  <si>
    <t>Tỷ lệ tảo hôn + Tỷ lệ hôn nhân cận huyết thống</t>
  </si>
  <si>
    <t>Số mô hình được thực hiện nhằm giảm thiểu tảo hôn và hôn nhân cận huyết</t>
  </si>
  <si>
    <t>Mô hình</t>
  </si>
  <si>
    <t>DỰ ÁN 9: Đầu tư phát triển nhóm dân tộc thiểu số rất ít người và nhóm dân tộc còn nhiều khó khăn
Tiểu Dự án 2: Giảm thiểu tình trạng tảo hôn và hôn nhân cận huyết thống trong vùng đồng bào dân tộc thiểu số và miền núi</t>
  </si>
  <si>
    <t>Điểm</t>
  </si>
  <si>
    <t>Ban Dân tộc</t>
  </si>
  <si>
    <t>Ban Dân tộc tỉnh</t>
  </si>
  <si>
    <t>Sở Tư pháp</t>
  </si>
  <si>
    <t>DỰ ÁN 10: Truyền thông, tuyên truyền, vận động trong vùng đồng bào dân tộc thiểu số và miền núi. Kiểm tra, giám sát đánh giá việc tổ chức thực hiện Chương trình
TIỂU DỰ ÁN 1: Biểu dương, tôn vinh điển hình tiên tiến, phát huy vai trò của người có uy tín; phổ biến, giáo dục pháp luật và tuyên truyền, vận động đồng bào;
truyền thông phục vụ tổ chức triển khai thực hiện Đề án Tổng thể và Chương trình mục tiêu quốc gia</t>
  </si>
  <si>
    <t>Mỗi xã ĐBKK thuộc vùng đồng bào dân tộc thiểu số</t>
  </si>
  <si>
    <t>DỰ ÁN 10: Truyền thông, tuyên truyền, vận động trong vùng đồng bào dân tộc thiểu số và miền núi. Kiểm tra, giám sát đánh giá việc tổ chức thực hiện Chương trình
TIỂU DỰ ÁN 2: Ứng dụng công nghệ thông tin hỗ trợ phát triển kinh tế - xã hội và đảm bảo an ninh trật tự vùng đồng bào dân tộc thiểu số và miền núi</t>
  </si>
  <si>
    <t>Liên minh HTX</t>
  </si>
  <si>
    <r>
      <t>Mỗi thôn ĐBKK không thuộc xã</t>
    </r>
    <r>
      <rPr>
        <b/>
        <sz val="12"/>
        <rFont val="Times New Roman"/>
        <family val="2"/>
      </rPr>
      <t xml:space="preserve"> </t>
    </r>
    <r>
      <rPr>
        <sz val="12"/>
        <rFont val="Times New Roman"/>
        <family val="2"/>
      </rPr>
      <t>khu vực III (Số</t>
    </r>
    <r>
      <rPr>
        <b/>
        <sz val="12"/>
        <rFont val="Times New Roman"/>
        <family val="2"/>
      </rPr>
      <t xml:space="preserve"> </t>
    </r>
    <r>
      <rPr>
        <i/>
        <sz val="12"/>
        <rFont val="Times New Roman"/>
        <family val="2"/>
      </rPr>
      <t>thôn ĐBKK được tính điểm phân bổ vốn không quá 04 thôn/xã ngoài khu vực III)</t>
    </r>
  </si>
  <si>
    <t>DỰ ÁN 10: Truyền thông, tuyên truyền, vận động trong vùng đồng bào dân tộc thiểu số và miền núi. Kiểm tra, giám sát đánh giá việc tổ chức thực hiện Chương trình
TIỂU DỰ ÁN 3: Kiểm tra, giám sát, đánh giá, đào tạo, tập huấn tổ chức thực hiện Chương trình</t>
  </si>
  <si>
    <t>Tiểu dự án 3: Phát triển giáo dục nghề nghiệp và giải quyết việc làm cho người lao động vùng dân tộc thiểu số và miền núi</t>
  </si>
  <si>
    <t>Nhu cầu số hộ giai đoạn 2021-2025</t>
  </si>
  <si>
    <t xml:space="preserve">Số hộ đã được phân bổ năm 2022 tại Quyết định số 1397/QĐ-UBND ngày 28/7/2022 của UBND tỉnh </t>
  </si>
  <si>
    <t>Số hộ còn lại chưa được phân bổ</t>
  </si>
  <si>
    <t>Tại Tiểu Dự án 2, có 02 nội dung:
+ Nội dung 1: Bồi dưỡng kiến thức dân tộc
+ Nội dung 2: Đào tạo dự bị đại học, đại học và sau đại học.
Theo dự thảo điều chỉnh, bổ sung Nghị quyết 02/2022/NQ-HĐND, giao cho Sở Giáo dục và Đào tạo 100% để thực hiện nội dung đào tạo đại học, sau đại học. Tuy nhiên chưa có căn cứ để giao cho sở Giáo dục và Đao tạo 100% nội dung 2 là theo số liệu rà soát hay theo hình thức nào.</t>
  </si>
  <si>
    <t>Sở Xây dựng</t>
  </si>
  <si>
    <t>Sở Giao thông vận tải</t>
  </si>
  <si>
    <r>
      <t>(</t>
    </r>
    <r>
      <rPr>
        <i/>
        <sz val="12"/>
        <rFont val="Times New Roman"/>
        <family val="1"/>
      </rPr>
      <t>Kèm theo Tờ trình số:          /TTr-UBND ngày          tháng 11 năm 2022 của UBND tỉnh</t>
    </r>
    <r>
      <rPr>
        <sz val="12"/>
        <rFont val="Times New Roman"/>
        <family val="1"/>
      </rPr>
      <t>)</t>
    </r>
  </si>
  <si>
    <t>Biểu 03</t>
  </si>
  <si>
    <t>Số hộ phân bổ năm 2023</t>
  </si>
  <si>
    <t>Kinh phí NSTW năm 2023 (Sự nghiệp kinh tế)</t>
  </si>
  <si>
    <t>Kinh phí đối ứng NSĐP năm 2023 (5%) (Sự nghiệp kinh tế)</t>
  </si>
  <si>
    <t>Tổng vốn phân bổ năm 2023 (III+IV)</t>
  </si>
  <si>
    <t>Kinh phí hỗ trợ chuyển đổi nghề</t>
  </si>
  <si>
    <t>Kinh phí hỗ trợ nước sinh hoạt phân tán</t>
  </si>
  <si>
    <t>Mỗi ha rừng được hỗ trợ khoán bảo vệ rừng đối với rừng đặc dụng, rừng phòng hộ và diện tích rừng tự nhiên do Công ty TNHH MTV Lâm nghiệp Bắc Kạn và UBND cấp xã trực tiếp quản lý</t>
  </si>
  <si>
    <t>Ha</t>
  </si>
  <si>
    <t>Tấn</t>
  </si>
  <si>
    <t>Công ty Lâm nghiệp Bắc Kạn</t>
  </si>
  <si>
    <t>Tiểu dự án 1: Phát triển kinh tế nông, lâm nghiệp gắn với bảo vệ rừng và nâng cao thu nhập cho người dân</t>
  </si>
  <si>
    <t>Kinh phí đối ứng NSĐP năm 2023 (không quy định)</t>
  </si>
  <si>
    <t>Biểu 04</t>
  </si>
  <si>
    <t>Vốn NSTW</t>
  </si>
  <si>
    <t>Vốn NSĐP đối ứng</t>
  </si>
  <si>
    <t>Tỷ lệ phân bổ (%)</t>
  </si>
  <si>
    <t>Số tiền (triệu đồng)</t>
  </si>
  <si>
    <t xml:space="preserve"> - Nguồn Trung ương phân bổ cho tiểu dự án 2 năm 2023 số tiền 67.431 triệu đồng, trong đó:
 + Hỗ trợ phát triển trồng vùng dược liệu quý, hỗ trợ phát triển sản xuất theo chuối giá trị, hỗ trợ phát triển sản xuất cộng đồng, khởi sự kinh doanh, thu hút đầu tư do Sở Nông nghiệp và Phát triển nông thôn thực hiện: 7.687 triệu đồng (11,4% x 67.431 trđ), đề xuất tỷ lệ phân bổ bằng tỷ lệ phân bổ của năm 2022.
 + Phát triển theo chuỗi giá trị, hỗ trợ phát triển cộng đồng, thúc đẩy khởi sự kinh doanh, khởi nghiệp và thu hút đầu tư vùng ĐBSTTS và MN: 59.744 triệu đồng. Nội dung này do UBND các huyện, thành phố thực hiện. Theo Nghị quyết số 02/2022/NQ-HĐND thì nội dung này sẽ phân bổ vốn theo dự án được cấp có thẩm quyền phê duyệt. Do đó, phần vốn của nội dung này sẽ phân bổ cho các địa phương sau khi có quyết định phê duyệt dự án của cấp có thẩm quyền.</t>
  </si>
  <si>
    <t>Biểu 05</t>
  </si>
  <si>
    <t>DỰ ÁN 4: Đầu tư cơ sở hạ tầng thiết yếu, phục vụ sản xuất, đời sống trong vùng đồng bào DTTS&amp;MN và các đơn vị sự nghiệp công của lĩnh vực dân tộc  
TIỂU DỰ ÁN 1: Đầu tư cơ sở hạ tầng thiết yếu, phục vụ sản xuất, đời sống trong vùng đồng bào DTTS&amp;MN</t>
  </si>
  <si>
    <t>Biểu 06</t>
  </si>
  <si>
    <t>Mỗi bộ tài liệu, sách giáo khoa, văn phòng phân phát cho người học</t>
  </si>
  <si>
    <t>Kinh phí NSTW năm 2023 (Sự nghiệp giáo dục, đào tạo và dạy nghề)</t>
  </si>
  <si>
    <t>Tiểu dự án 1</t>
  </si>
  <si>
    <t>Sở Giáo dục Đào tạo (Trường PTDT nội trú tỉnh)</t>
  </si>
  <si>
    <t>Biểu 07</t>
  </si>
  <si>
    <t>Biểu 08</t>
  </si>
  <si>
    <t>Tiểu dự án 3</t>
  </si>
  <si>
    <t>Biểu 09</t>
  </si>
  <si>
    <t>DỰ ÁN 5: Phát triển giáo dục đào tạo nâng cao chất lượng nguồn nhân lực
TIỂU DỰ ÁN 4: Đào tạo nâng cao năng lực cho cộng đồng và cán bộ triển khai Chương trình ở các cấp</t>
  </si>
  <si>
    <t>Mỗi xã ĐBKK (xã khu vực III), xã ATK thuộc khu vực II, I (xã chưa được cấp có thẩm quyền công nhận đạt chuẩn NTM, hoàn thành mục tiêu Chương trình 135)</t>
  </si>
  <si>
    <t>Mỗi thôn ĐBKK không thuộc xã khu vực III (số thôn ĐBKK được tính điểm phân bổ vốn không quá 4 thôn/xã ngoài khu vực III)</t>
  </si>
  <si>
    <t>Tiểu dự án 4</t>
  </si>
  <si>
    <t>Kinh phí đối ứng NSĐP năm 2023 (Không quy định)</t>
  </si>
  <si>
    <t>Biểu 10</t>
  </si>
  <si>
    <t>Sở Văn hóa, Thể thao và Du lịch</t>
  </si>
  <si>
    <t>Kinh phí NSTW năm 2023 (Sự nghiệp văn hóa thể thao)</t>
  </si>
  <si>
    <t>Dự án 6</t>
  </si>
  <si>
    <t>Tổ chức bảo tồn các loại hình văn hoá phi vật thể (mỗi lễ hội; mỗi mô hình văn hoá truyền thống; mỗi dự án nghiên cứu, phục dựng, bảo tồn; mỗi làng văn hóa truyền thống; mỗi chương trình tuyên truyền, quảng bá văn hoá truyền thống văn hoá các dân tộc thiểu số)</t>
  </si>
  <si>
    <t>Khảo sát, kiểm kê, sưu tầm, tư liệu hoá di sản văn hóa truyền thống của đồng bào dân tộc thiểu số cho vùng đồng bào DTTSMN</t>
  </si>
  <si>
    <t>Sở Văn hóa, Thể thao và Du lịch (theo định mức)</t>
  </si>
  <si>
    <t>Sở Văn hóa, Thể thao và Du lịch (Theo tiêu chí)</t>
  </si>
  <si>
    <t>Biểu 11</t>
  </si>
  <si>
    <t>DỰ ÁN 7: Chăm sóc sức khỏe nhân dân, nâng cao thể trạng, tầm vóc người dân tộc thiểu số; 
phòng chống suy dinh dưỡng trẻ em</t>
  </si>
  <si>
    <t>Phân bổ cho Sở Y tế (Sự nghiệp y tế)</t>
  </si>
  <si>
    <t>Biểu 12</t>
  </si>
  <si>
    <t>DỰ ÁN 8: Thực hiện bình đẳng giới và giải quyết những vấn đề cấp thiết đối với phụ nữ và trẻ em</t>
  </si>
  <si>
    <t>Dự án 8</t>
  </si>
  <si>
    <t>Kinh phí NSTW năm 2023 (Sự nghiệp bảo đảm xã hội)</t>
  </si>
  <si>
    <t>Biểu 13</t>
  </si>
  <si>
    <t>DỰ ÁN 9: Đầu tư phát triển nhóm dân tộc thiểu số rất ít người và nhóm dân tộc còn nhiều khó khăn
Tiểu Dự án 1: Đầu tư phát triển kinh tế - xã hội các dân tộc còn gặp nhiều khó khăn</t>
  </si>
  <si>
    <t>Số tiền 
(triệu đồng)</t>
  </si>
  <si>
    <t>Phân bổ vốn ủy thác cho Chi nhánh Ngân hàng Chính sách xã hội tỉnh (Sự nghiệp kinh tế)</t>
  </si>
  <si>
    <t>Biểu 14</t>
  </si>
  <si>
    <t>Tiểu dự án 2</t>
  </si>
  <si>
    <t>Biểu 15</t>
  </si>
  <si>
    <t>Biểu 16</t>
  </si>
  <si>
    <t>Sở Thông tin Truyền thông</t>
  </si>
  <si>
    <t>Số điểm theo Nghị quyết số 02/2022/NQ-HĐND</t>
  </si>
  <si>
    <t>Số lượng</t>
  </si>
  <si>
    <t>Số điểm (Xk,i = Điểm tương ứng từng tiêu chí x số lượng tiêu chí tại mỗi huyện)</t>
  </si>
  <si>
    <t>Chợ Mới</t>
  </si>
  <si>
    <t>Chợ Đồn</t>
  </si>
  <si>
    <t>Ngân Sơn</t>
  </si>
  <si>
    <t>Bạch Thông</t>
  </si>
  <si>
    <t>Na Rì</t>
  </si>
  <si>
    <t>Pác Nặm</t>
  </si>
  <si>
    <t>Ba Bể</t>
  </si>
  <si>
    <t xml:space="preserve">Thành phố </t>
  </si>
  <si>
    <t xml:space="preserve">TỔNG ĐIỂM </t>
  </si>
  <si>
    <t>II. Tính số vốn NSTW phân bổ cho từng địa phương, đơn vị tương ứng với từng tiểu dự án (Triệu đồng)</t>
  </si>
  <si>
    <t>NSTW</t>
  </si>
  <si>
    <t>Sở Thông tin và Truyền thông</t>
  </si>
  <si>
    <t>Sở Nông nghiệp và Phát triển Nông thôn</t>
  </si>
  <si>
    <t>Sở Giáo dục và Đào tạo</t>
  </si>
  <si>
    <t>Bộ Chỉ huy Quân sự tỉnh</t>
  </si>
  <si>
    <t>Sở Tài chính</t>
  </si>
  <si>
    <t>Ủy ban Mặt trận tổ quốc Việt Nam tỉnh</t>
  </si>
  <si>
    <t>Sở Kế hoạch và Đầu tư</t>
  </si>
  <si>
    <t>Sở Công thương</t>
  </si>
  <si>
    <t>Ngân hàng nhà nước Việt Nam</t>
  </si>
  <si>
    <t>Ngân hàng Chính sách xã hội tỉnh</t>
  </si>
  <si>
    <t>Công an tỉnh</t>
  </si>
  <si>
    <t>Liên minh Hợp tác xã</t>
  </si>
  <si>
    <t>Hội Nông dân tỉnh</t>
  </si>
  <si>
    <r>
      <t>2. Phân bổ cho các địa phương (</t>
    </r>
    <r>
      <rPr>
        <b/>
        <i/>
        <sz val="13"/>
        <rFont val="Times New Roman"/>
        <family val="1"/>
      </rPr>
      <t>phân bổ trên số còn lại sau khi đã phân bổ cho cơ quan, đơn vị cấp tỉnh</t>
    </r>
    <r>
      <rPr>
        <b/>
        <sz val="13"/>
        <rFont val="Times New Roman"/>
        <family val="1"/>
      </rPr>
      <t>)</t>
    </r>
  </si>
  <si>
    <t>Dự án/Tiểu dự án</t>
  </si>
  <si>
    <t>Tổng vốn còn lại sau khi phân bổ cho các cơ quan, đơn vị cấp tỉnh</t>
  </si>
  <si>
    <t xml:space="preserve">Tổng điểm </t>
  </si>
  <si>
    <t xml:space="preserve">Vốn định mức cho 1 điểm phân bổ </t>
  </si>
  <si>
    <t>Vốn phân bổ cho từng đơn vị, địa phương (Qi x Xk,i)</t>
  </si>
  <si>
    <t>Đơn vị/Huyện, Thành phố</t>
  </si>
  <si>
    <t>Sự nghiệp kinh tế</t>
  </si>
  <si>
    <t>Trong đó</t>
  </si>
  <si>
    <t>Cấp tỉnh</t>
  </si>
  <si>
    <t>Các huyện, thành phố</t>
  </si>
  <si>
    <t>Biểu 17</t>
  </si>
  <si>
    <t>I. Tính tổng điểm và số điểm tương ứng của tiểu dự án</t>
  </si>
  <si>
    <t>1. Vốn phân bổ cho các cơ quan cấp tỉnh</t>
  </si>
  <si>
    <t>Tỷ lệ (%)</t>
  </si>
  <si>
    <t>Số tiền</t>
  </si>
  <si>
    <t>Ban Dân vận Tỉnh ủy</t>
  </si>
  <si>
    <t>Sở Tài nguyên Môi trường</t>
  </si>
  <si>
    <t>III. Số vốn phân bổ từ nguồn Trung ương và vốn đối ứng NSĐP cho từng đơn vị, địa phương để thực hiện dự án 10</t>
  </si>
  <si>
    <t>Tổng vốn phân bổ năm 2023 cho dự án 10 từ nguồn sự nghiệp kinh tế</t>
  </si>
  <si>
    <t>Lĩnh vực chi ngân sách nhà nước</t>
  </si>
  <si>
    <t>Tổng dự toán giao năm 2023</t>
  </si>
  <si>
    <t>Vốn đối ứng NSĐP</t>
  </si>
  <si>
    <t>Số kinh phí phân bổ lần này</t>
  </si>
  <si>
    <t>Số kinh phí chưa phân bổ</t>
  </si>
  <si>
    <t>4=5+6</t>
  </si>
  <si>
    <t>7=8+9</t>
  </si>
  <si>
    <t>10=11+12=4-7</t>
  </si>
  <si>
    <t>11=5-8</t>
  </si>
  <si>
    <t>12=6-9</t>
  </si>
  <si>
    <t>BIỂU TỔNG HỢP KINH PHÍ SỰ NGHIỆP THỰC HIỆN CHƯƠNG TRÌNH MỤC TIÊU QUỐC GIA PHÁT TRIỂN KINH TẾ - XÃ HỘI VÙNG ĐỒNG BÀO DÂN TỘC THIỂU SỐ VÀ MIỀN NÚI NĂM 2023
TỔNG HỢP THEO DỰ ÁN, TIỂU DỰ ÁN, NỘI DUNG</t>
  </si>
  <si>
    <t>Biểu 01</t>
  </si>
  <si>
    <t>Kinh phí đối ứng NSĐP năm 2023 (5%) (Sự nghiệp văn hóa thể thao)</t>
  </si>
  <si>
    <t>Kinh phí đối ứng NSĐP năm 2023 (5%) (Sự nghiệp bảo đảm xã hội)</t>
  </si>
  <si>
    <t>Hỗ trợ phát triển sản xuất theo chuỗi giá trị, thúc đẩy khởi sự kinh doanh, khởi nghiệp và thu hút đầu tư vùng ĐBDTTS và MN</t>
  </si>
  <si>
    <t>Tiểu dự án 2: Ứng dụng công nghệ thông tin hỗ trợ phát triển kinh tế - xã hội và đảm bảo an ninh trật tự vùng ĐBDTTS và MN</t>
  </si>
  <si>
    <t>Sự nghiệp giáo dục, đào tạo và dạy nghề</t>
  </si>
  <si>
    <t>Sự nghiệp Văn hóa Thông tin</t>
  </si>
  <si>
    <t>Sự nghiệp y tế</t>
  </si>
  <si>
    <t>Sự nghiệp đảm bảo xã hội</t>
  </si>
  <si>
    <t>Đơn vị,/địa phương</t>
  </si>
  <si>
    <t>Dự án 1</t>
  </si>
  <si>
    <t>Dự án 3</t>
  </si>
  <si>
    <t>Dự án 4</t>
  </si>
  <si>
    <t>Dự án 5</t>
  </si>
  <si>
    <t>Dự án 7</t>
  </si>
  <si>
    <t>Dự án 9</t>
  </si>
  <si>
    <t>Dự án 10</t>
  </si>
  <si>
    <t>Tổng dự án 1</t>
  </si>
  <si>
    <t>Tổng dự án 3</t>
  </si>
  <si>
    <t>Tổng dự án 5</t>
  </si>
  <si>
    <t>Tổng dự án 8</t>
  </si>
  <si>
    <t>Tổng dự án 10</t>
  </si>
  <si>
    <t>Sự nghiệp văn hóa thông tin</t>
  </si>
  <si>
    <t>Tổng dự án 4</t>
  </si>
  <si>
    <t>Tổng cộng</t>
  </si>
  <si>
    <t>Tổng dự án 6</t>
  </si>
  <si>
    <t>Tổng dự án 7</t>
  </si>
  <si>
    <t>Tổng dự án 9</t>
  </si>
  <si>
    <t>NSĐP đối ứng</t>
  </si>
  <si>
    <t>SNGD</t>
  </si>
  <si>
    <t>SNYT</t>
  </si>
  <si>
    <t>SNVH</t>
  </si>
  <si>
    <t>SNKT</t>
  </si>
  <si>
    <t>ĐBXH</t>
  </si>
  <si>
    <t>TW</t>
  </si>
  <si>
    <t>ĐP</t>
  </si>
  <si>
    <t>Chi tiết theo Biểu 03</t>
  </si>
  <si>
    <t>Chi tiết theo Biểu 04</t>
  </si>
  <si>
    <t>Chi tiết theo Biểu 05</t>
  </si>
  <si>
    <t>Chi tiết theo Biểu 06</t>
  </si>
  <si>
    <t>Chi tiết theo Biểu 07</t>
  </si>
  <si>
    <t>Chi tiết theo Biểu 08</t>
  </si>
  <si>
    <t>Chi tiết theo Biểu 09</t>
  </si>
  <si>
    <t>Chi tiết theo Biểu 10</t>
  </si>
  <si>
    <t>Chi tiết theo Biểu 11</t>
  </si>
  <si>
    <t>Chi tiết theo Biểu 12</t>
  </si>
  <si>
    <t>Chi tiết theo Biểu 13</t>
  </si>
  <si>
    <t>Chi tiết theo Biểu 14</t>
  </si>
  <si>
    <t>Chi tiết theo Biểu 15</t>
  </si>
  <si>
    <t>Chi tiết theo Biểu 16</t>
  </si>
  <si>
    <t>Chi tiết theo Biểu 17</t>
  </si>
  <si>
    <t>Lý do chưa phân bổ theo thuyết minh gửi kèm</t>
  </si>
  <si>
    <t>Công ty TNHH MTV Lâm nghiệp Bắc Kạn</t>
  </si>
  <si>
    <t>Phân bổ cho các địa phương (Sự nghiệp kinh tế)</t>
  </si>
  <si>
    <t>Phân bổ theo tỷ lệ cho Sở Nông nghiệp và Phát triển Nông thôn (Sự nghiệp kinh tế)</t>
  </si>
  <si>
    <t>Kinh phí đối ứng NSĐP năm 2023 (5,73%) (Sự nghiệp văn hóa thể thao)</t>
  </si>
  <si>
    <t>Đối ứng NSĐP (5,73%)</t>
  </si>
  <si>
    <t>Kinh phí đối ứng NSĐP năm 2023 (7,5%) (Sự nghiệp giáo dục, đào tạo và dạy nghề)</t>
  </si>
  <si>
    <t>Đơn vị: Triệu đồng</t>
  </si>
  <si>
    <t>Tổng vốn Chương trình</t>
  </si>
  <si>
    <t>Chi tiết từng dự án thành phần</t>
  </si>
  <si>
    <t>Dự án 1: Hỗ trợ đầu tư phát triển hạ tầng kinh tế xã hội các huyện nghèo</t>
  </si>
  <si>
    <t>Dự án 2: Đa dạng hóa sinh kế, phát triển mô hình giảm nghèo</t>
  </si>
  <si>
    <t>Dự án 3: Hỗ trợ phát triển sản xuất, cải thiện dinh dưỡng</t>
  </si>
  <si>
    <t xml:space="preserve">Dự án 4: Phát triển giáo dục nghề nghiệp, việc làm bền vững </t>
  </si>
  <si>
    <t>Dự án 5: Hỗ trợ nhà ở cho hộ nghèo, hộ cận nghèo trên địa bàn huyện nghèo</t>
  </si>
  <si>
    <t>Dự án 6: Truyền thông và giảm nghèo về thông tin</t>
  </si>
  <si>
    <t>Dự án 7: Nâng cao năng lực và giám sát, đánh giá Chương trình</t>
  </si>
  <si>
    <t>Tiểu dự án 1: Hỗ trợ phát triển sản xuất trong lĩnh vực nông nghiệp</t>
  </si>
  <si>
    <t xml:space="preserve"> Tiểu dự án 2: Cải thiện dinh dưỡng</t>
  </si>
  <si>
    <t>Tổng cộng dự án 4</t>
  </si>
  <si>
    <t>Tiểu dự án 1: Phát triển giáo dục nghề nghiệp vùng nghèo, vùng khó khăn</t>
  </si>
  <si>
    <t>Tiểu dự án 2: Hỗ trợ người lao động đi làm việc ở nước ngoài theo hợp đồng</t>
  </si>
  <si>
    <t>Tiểu dự án 3: Hỗ trợ việc làm bền vững</t>
  </si>
  <si>
    <t>Tổng cộng dự án 6</t>
  </si>
  <si>
    <t>Tiểu dự án 1: Giảm nghèo về thông tin</t>
  </si>
  <si>
    <t>Tiểu dự án 2: Truyền thông về giảm nghèo đa chiều</t>
  </si>
  <si>
    <t>Tổng cộng dự án 7</t>
  </si>
  <si>
    <t>Tiểu dự án 1: Nâng cao năng lực thực hiện Chương trình</t>
  </si>
  <si>
    <t>Tiểu dự án 2: Giám sát, đánh giá</t>
  </si>
  <si>
    <t>Nội dung sự nghiệp</t>
  </si>
  <si>
    <t>Trong đó:</t>
  </si>
  <si>
    <t>Phân bổ tối đa 20% tổng số vốn sự nghiệp của tiểu dự án cho các Sở, ban, ngành cấp tỉnh</t>
  </si>
  <si>
    <t>Hỗ trợ một số cơ sở giáo dục nghề nghiệp công lập trên địa bàn tỉnh</t>
  </si>
  <si>
    <t>Hỗ trợ đào tạo nghề cho người lao động thuộc hộ nghèo, hộ cận nghèo, hộ mới thoát nghèo; người có thu nhập thấp</t>
  </si>
  <si>
    <t>Lĩnh vực chi: Sự nghiệp kinh tế</t>
  </si>
  <si>
    <t>Lĩnh vực chi: Sự nghiệp y tế</t>
  </si>
  <si>
    <t>Lĩnh vực: Sự nghiệp giáo dục - đào tạo và dạy nghề</t>
  </si>
  <si>
    <t>Lĩnh vực: Sự nghiệp văn hóa - thông tin</t>
  </si>
  <si>
    <t xml:space="preserve">Tổng </t>
  </si>
  <si>
    <t>NSĐP</t>
  </si>
  <si>
    <t>I. Cấp tỉnh</t>
  </si>
  <si>
    <t>Sở Lao động- Thương binh và xã hội</t>
  </si>
  <si>
    <t xml:space="preserve">Sở Thông tin và Truyền thông </t>
  </si>
  <si>
    <t>Sở Nông nghiệp và phát triển nông thôn</t>
  </si>
  <si>
    <t>Ủy ban Mặt trận tổ quốc Việt Nam</t>
  </si>
  <si>
    <t>Trường Cao đẳng Bắc Kạn</t>
  </si>
  <si>
    <t>Báo Bắc Kạn</t>
  </si>
  <si>
    <t>Đài phát thanh và truyền hình</t>
  </si>
  <si>
    <t>II. Cấp huyện</t>
  </si>
  <si>
    <t>TT</t>
  </si>
  <si>
    <t>Tên dự án, công trình</t>
  </si>
  <si>
    <t>Dự kiến thời gian thực hiện</t>
  </si>
  <si>
    <t>Kế hoạch vốn giai đoạn 2021-2025</t>
  </si>
  <si>
    <t>Chủ đầu tư/Đơn vị thực hiện</t>
  </si>
  <si>
    <t>Nguồn vốn tỉnh đối ứng</t>
  </si>
  <si>
    <t>TỈNH ĐIỀU HÀNH</t>
  </si>
  <si>
    <t>DỰ ÁN 1 - GIẢI QUYẾT TÌNH TRẠNG THIẾU ĐẤT Ở, NHÀ Ở, ĐẤT SẢN XUẤT, NƯỚC SINH HOẠT</t>
  </si>
  <si>
    <t>Nội dung 4: Hỗ trợ nước sinh hoạt</t>
  </si>
  <si>
    <t>Dự án Cấp nước sinh hoạt tập trung vùng đồng bào dân tộc thiểu số và miền núi tỉnh Bắc Kạn năm 2022</t>
  </si>
  <si>
    <t>Ban QLDA ĐTXD CT NN&amp;PTNT</t>
  </si>
  <si>
    <t>Dự án Cấp nước sinh hoạt tập trung vùng đồng bào dân tộc thiểu số và miền núi tỉnh Bắc Kạn năm 2023 - 2025</t>
  </si>
  <si>
    <t>2023-2025</t>
  </si>
  <si>
    <t>DỰ ÁN 2 - QUY HOẠCH, SẮP XẾP, BỐ TRÍ, ỔN ĐỊNH DÂN CƯ Ở NHỮNG NƠI CẦN THIẾT</t>
  </si>
  <si>
    <t>2054/QĐ-UBND ngày 24/10/2022</t>
  </si>
  <si>
    <t xml:space="preserve"> Dự án: Bố trí, sắp xếp ổn định dân cư vùng đặc biệt khó khăn thôn Nà Hỏi, xã Phúc Lộc, huyện Ba Bể, tỉnh Bắc Kạn.</t>
  </si>
  <si>
    <t>Dự án Bố trí, ổn định dân cư tại chỗ các thôn thuộc xã Thượng Quan, huyện Ngân Sơn, tỉnh Bắc Kạn.</t>
  </si>
  <si>
    <t>2084/QĐ-UBND ngày 27/10/2022</t>
  </si>
  <si>
    <t>DỰ ÁN 3 - PHÁT TRIỂN SẢN XUẤT NÔNG, LÂM NGHIỆP BỀN VỮNG, PHÁT HUY TIỀM NĂNG THẾ MẠNH CÁC VÙNG MIỀN ĐỂ SẢN XUẤT HÀNG HÓA THEO CHUỖI GIÁ TRỊ</t>
  </si>
  <si>
    <t>Dự án phát triển dược liệu trên địa bàn tỉnh Bắc Kạn</t>
  </si>
  <si>
    <t>Sở Nông nghiệp và Phát triển nông thôn</t>
  </si>
  <si>
    <t xml:space="preserve"> DỰ ÁN 4 - ĐẦU TƯ CƠ SỞ HẠ TẦNG THIẾT YẾU, PHỤC VỤ SẢN XUẤT, ĐỜI SỐNG VÙNG ĐỒNG BÀO DTTS&amp;MN </t>
  </si>
  <si>
    <t>IV.1</t>
  </si>
  <si>
    <t>Nội dung số 02: Đầu tư xây dựng, cải tạo nâng cấp mạng lưới chợ vùng đồng bào dân tộc thiểu số và miền núi</t>
  </si>
  <si>
    <t xml:space="preserve">Đầu tư xây dựng cải tạo, nâng cấp mạng lưới chợ vùng đồng bào dân tộc thiểu số và miền núi năm 2022, chương trình MTQG phát triển KT – XH vùng đồng bào DTTS&amp;MN năm 2022 </t>
  </si>
  <si>
    <t>Ban QLDA ĐTXD tỉnh</t>
  </si>
  <si>
    <t xml:space="preserve">Đầu tư xây dựng cải tạo, nâng cấp mạng lưới chợ vùng đồng bào dân tộc thiểu số và miền núi chương trình MTQG phát triển KT – XH vùng đồng bào DTTS&amp;MN năm 2023-2025 </t>
  </si>
  <si>
    <t>Đầu tư xây dựng cải tạo, nâng cấp mạng lưới chợ vùng đồng bào dân tộc thiểu số và miền núi chương trình MTQG phát triển KT – XH vùng đồng bào DTTS&amp;MN năm 2024-2025</t>
  </si>
  <si>
    <t>IV.2</t>
  </si>
  <si>
    <t>Nội dung 3: Đầu tư xây dựng, nâng cấp, cải tạo, sửa chữa, bảo dưỡng, mua sắm trang thiết bị cho các trạm y tế xã bảo đảm đạt chuẩn</t>
  </si>
  <si>
    <t>Dự án đầu tư xây dựng, nâng cấp, cải tạo, sửa chữa, bảo dưỡng, mua sắm trang thiết bị cho các trạm y tế xã đảm bảo đạt chuẩn</t>
  </si>
  <si>
    <t>IV.3</t>
  </si>
  <si>
    <t>Nội dung 4: Đầu tư cứng hóa đường đến trung tâm xã chưa được cứng hóa; ưu tiên đầu tư đối với các xã chưa có đường từ trung tâm huyện đến trung tâm xã, đường liên xã (từ trung tâm xã đến trung tâm xã)</t>
  </si>
  <si>
    <t>Đường Nông Hạ - Khe Thỉ: ĐH.75</t>
  </si>
  <si>
    <t>2022-2024</t>
  </si>
  <si>
    <t>1873/QĐ-UBND ngày 06/10/2022</t>
  </si>
  <si>
    <t>Ban QLDA ĐTXD CTGT</t>
  </si>
  <si>
    <t>Đường Yên Cư - Cao Kỳ</t>
  </si>
  <si>
    <t>Đường liên xã Cao Sơn - Mỹ Thanh, huyện Bạch Thông</t>
  </si>
  <si>
    <t>1863/QĐ-UBND ngày 04/10/2022</t>
  </si>
  <si>
    <t>Đường liên xã Quang thuận huyện Bạch Thông - xã Mai Lạp Chợ Mới</t>
  </si>
  <si>
    <t>Đường Bình Trung-Trung Minh (Tuyên Quang)</t>
  </si>
  <si>
    <t>1845/QĐ-UBND ngày 30/9/2022 (CV 6502/UBND-GTCNXD ngày 3/10/2022)</t>
  </si>
  <si>
    <t>Cải tạo, nâng cấp đường Quang Phong - Đổng Xá</t>
  </si>
  <si>
    <t>2005/QĐ-UBND ngày 19/10/2022</t>
  </si>
  <si>
    <t>UBND huyện Na Rì</t>
  </si>
  <si>
    <t xml:space="preserve">Đường từ trung tâm xã Cốc Đán, huyện Ngân Sơn đến xã Thành Công, huyện Nguyên Bình  </t>
  </si>
  <si>
    <t>1758/QĐ-UBND ngày 19/9/2022</t>
  </si>
  <si>
    <t>Đường liên thôn Phiêng Giản (xã Phúc Lộc) - Lủng Pjầu (Yến Dương)</t>
  </si>
  <si>
    <t>Đường Nghiên Loan - Cổ Linh</t>
  </si>
  <si>
    <t>1619/QĐ-UBND ngày 26/8/2022</t>
  </si>
  <si>
    <t>DỰ ÁN 5: PHÁT TRIỂN GIÁO DỤC ĐÀO TẠO NÂNG CAO CHẤT LƯỢNG NGUỒN NHÂN LỰC</t>
  </si>
  <si>
    <t>Đổi mới hoạt động, củng cố phát triển các trường phổ thông dân tộc nội trú, trường phổ thông dân tộc bán trú, trường phổ thông có học sinh ở bán trú và xóa mù chữ cho người dân vùng đồng bào dân tộc thiểu số, Chương trình MTQG phát triển KT – XH vùng đồng bào DTTS&amp;MN năm 2022</t>
  </si>
  <si>
    <t>2034/QĐ-UBND ngày 21/10/2022</t>
  </si>
  <si>
    <t>Đổi mới hoạt động, củng cố phát triển các trường phổ thông dân tộc nội trú, trường phổ thông dân tộc bán trú, trường phổ thông có học sinh ở bán trú và xóa mù chữ cho người dân vùng đồng bào dân tộc thiểu số, Chương trình MTQG phát triển KT – XH vùng đồng bào DTTS&amp;MN năm 2023-2025</t>
  </si>
  <si>
    <t>VI</t>
  </si>
  <si>
    <t>DỰ ÁN 6: BẢO TỒN, PHÁT HUY GIÁ TRỊ VĂN HÓA TRUYỀN THỐNG TỐT ĐẸP CỦA CÁC DÂN TỘC THIỂU SỐ GẮN VỚI PHÁT TRIỂN DU LỊCH</t>
  </si>
  <si>
    <t>Hỗ trợ đầu tư xây dựng điểm đến du lịch tiêu biểu vùng đồng bào dân tộc thiểu số và miền núi</t>
  </si>
  <si>
    <t>Hỗ trợ đầu tư bảo tồn làng, bản, văn hóa truyền thống tiêu biểu của các dân tộc thiểu số</t>
  </si>
  <si>
    <t>Hỗ trợ tu bổ, tôn tạo di tích quốc gia đặc biệt, di tích quốc gia có giá trị tiêu biểu của các dân tộc thiểu số:</t>
  </si>
  <si>
    <t>Hỗ trợ đầu tư xây dựng thiết chế văn hóa, thể thao tại các thôn đồng bào dân tộc thiểu số và miền núi</t>
  </si>
  <si>
    <t>2022-2025</t>
  </si>
  <si>
    <t>VII</t>
  </si>
  <si>
    <t>DỰ ÁN 7: CHĂM SÓC SỨC KHỎE NHÂN DÂN, NÂNG CAO THỂ TRẠNG, TẦM VÓC NGƯỜI DÂN TỘC THIỂU SỐ; PHÒNG CHỐNG SUY DINH DƯỠNG TRẺ EM</t>
  </si>
  <si>
    <t>2035/QĐ-UBND ngày 21/10/2022</t>
  </si>
  <si>
    <t>VIII</t>
  </si>
  <si>
    <t>DỰ ÁN 10: TRUYỀN THÔNG, TUYÊN TRUYỀN, VẬN ĐỘNG TRONG VÙNG ĐỒNG BÀO DÂN TỘC THIỂU SỐ, KIỂM TRA GIÁM SÁT ĐÁNH GIÁ VIỆC TỔ CHỨC THỰC HIỆN CHƯƠNG TRÌNH</t>
  </si>
  <si>
    <t>Dự án ứng dụng công nghệ thông tin hỗ trợ phát triển kinh tế xã hội và đảm bảo an ninh trật tự vùng đồng bào dân tộc thiểu số và miền núi tỉnh Bắc Kạn</t>
  </si>
  <si>
    <t>PHÂN CẤP HUYỆN ĐIỀU HÀNH</t>
  </si>
  <si>
    <t>Nội dung 1, 2, 3: Hỗ trợ đất ở, nhà ở, đất sản xuất - phân cấp huyện điều hành</t>
  </si>
  <si>
    <t>UBND Huyện Chợ Mới</t>
  </si>
  <si>
    <t>DA 1 - CTDTTS</t>
  </si>
  <si>
    <t>UBND huyện Chợ Đồn</t>
  </si>
  <si>
    <t>UBND huyện Ngân Sơn</t>
  </si>
  <si>
    <t>UBND huyện Bạch Thông</t>
  </si>
  <si>
    <t>UBND huyện Pác Nặm</t>
  </si>
  <si>
    <t>UBND huyện Ba Bể</t>
  </si>
  <si>
    <t>Nội dung số 01: Đầu tư cơ sở hạ tầng thiết yếu cùng đồng bào dân tộc thiểu số và miền núi; ưu tiên đối với các xã ĐBKK, thôn ĐBKK</t>
  </si>
  <si>
    <t>DA 4 - CTDTTS</t>
  </si>
  <si>
    <t>UBND thành phố Bắc Kạn</t>
  </si>
  <si>
    <t>Tên công trình/đơn vị</t>
  </si>
  <si>
    <t>I.1</t>
  </si>
  <si>
    <t>Tiểu dự án 1: Phát triển giáo dục nghề nghiệp vùng nghèo, vùng khó khăn - tỉnh điều hành</t>
  </si>
  <si>
    <t>I.2</t>
  </si>
  <si>
    <t>Dự án 1: Hỗ trợ đầu tư phát triển hạ tầng kinh tế - xã hội các huyện nghèo</t>
  </si>
  <si>
    <t>TỔNG CỘNG 
(Nội dung thành phần số 2)</t>
  </si>
  <si>
    <t>ĐVT: Triệu đồng</t>
  </si>
  <si>
    <t>CHI TIẾT THEO CÁC NỘI DUNG ĐẶC THÙ</t>
  </si>
  <si>
    <t>I- NÂNG CAO HIỆU QUẢ QUẢN LÝ VÀ THỰC HIỆN XÂY DỰNG NÔNG THÔN MỚI THEO QUY HOẠCH</t>
  </si>
  <si>
    <t>XI - DUY TU, BẢO DƯỠNG, VẬN HÀNH CÁC CÔNG TRÌNH SAU ĐẦU TƯ TRÊN ĐỊA BÀN XÃ</t>
  </si>
  <si>
    <t>Sở Công Thương</t>
  </si>
  <si>
    <t>Tỉnh đoàn</t>
  </si>
  <si>
    <t>Cấp huyện</t>
  </si>
  <si>
    <t>Đơn vị tính: triệu đồng</t>
  </si>
  <si>
    <t>Số ghi chú</t>
  </si>
  <si>
    <t>Nội dung nhiệm vụ</t>
  </si>
  <si>
    <t>Kinh phí</t>
  </si>
  <si>
    <t>Văn phòng Đoàn Đại biểu quốc hội và Hội Đồng nhân dân tỉnh</t>
  </si>
  <si>
    <t>Văn phòng Ủy ban nhân dân tỉnh</t>
  </si>
  <si>
    <t xml:space="preserve">Bảo dưỡng điều hòa, cảnh quan và đèn điện chiếu sáng khu sân nhà khách </t>
  </si>
  <si>
    <t>Nhiệm vụ về cải cách hành chính</t>
  </si>
  <si>
    <t>Nhiệm vụ về công tác tôn giáo</t>
  </si>
  <si>
    <t>Nhiệm vụ về công tác đào tạo, bồi dưỡng</t>
  </si>
  <si>
    <t>Hoạt động của Ban chỉ đạo phát triển kinh tế tập thể tỉnh</t>
  </si>
  <si>
    <t>Trích từ các khoản thu hồi qua công tác thanh tra</t>
  </si>
  <si>
    <t>Phần mềm hệ thống thông tin tài chính chi trả các chính sách đảm bảo an sinh xã hội tỉnh Bắc Kạn</t>
  </si>
  <si>
    <t>Trang phục thanh tra</t>
  </si>
  <si>
    <t>Sửa chữa xe ô tô</t>
  </si>
  <si>
    <t>Công tác phổ biến giáo dục pháp luật hoạt động của Hội đồng phổ biến giáo dục pháp luật</t>
  </si>
  <si>
    <t>Sở Văn hóa Thể thao và Du lịch</t>
  </si>
  <si>
    <t>Sở Lao động Thương binh và Xã hội</t>
  </si>
  <si>
    <t>Công tác người có công</t>
  </si>
  <si>
    <t xml:space="preserve">Công tác lao động việc làm </t>
  </si>
  <si>
    <t>Công tác dạy nghề</t>
  </si>
  <si>
    <t>Công tác bảo trợ xã hội và giảm nghèo</t>
  </si>
  <si>
    <t>Công tác bình đẳng giới vì sự tiến bộ của phụ nữ</t>
  </si>
  <si>
    <t>Công tác bảo vệ chăm sóc trẻ em</t>
  </si>
  <si>
    <t>Công tác phòng chống tệ nạn xã hội</t>
  </si>
  <si>
    <t>Công tác thanh tra ngành, trang phục thanh tra, kinh phí tiếp công dân</t>
  </si>
  <si>
    <t>Tổ chức tư vấn, giới thiệu việc làm; Thu thập, tổng hợp, lưu trữ thông tin thị trường lao động</t>
  </si>
  <si>
    <t>Công tác điều dưỡng người có công</t>
  </si>
  <si>
    <t>Nuôi dưỡng đối tượng bảo trợ xã hội</t>
  </si>
  <si>
    <t>Sở Khoa học và Công nghệ</t>
  </si>
  <si>
    <t>Thực hiện Đề án tăng cường, đổi mới hoạt động đo lường hỗ trợ doanh nghiệp Việt Nam nâng cao năng lực cạnh tranh và hội nhập quốc tế</t>
  </si>
  <si>
    <t>Kinh phí phục vụ công tác thanh tra sở</t>
  </si>
  <si>
    <t>Kinh phí sửa chữa nhà làm việc 2 tầng</t>
  </si>
  <si>
    <t>Công tác quản lý khoa học công nghệ chuyên ngành</t>
  </si>
  <si>
    <t>Công tác quản lý tiêu chuẩn đo lường chất lượng</t>
  </si>
  <si>
    <t>Nhiệm vụ khác của Trung tâm Ứng dụng KH-CN và Tiêu chuẩn đo lường chất lượng</t>
  </si>
  <si>
    <t>Các đề tài, dự án chuyển tiếp và đề tài dự án mới</t>
  </si>
  <si>
    <t>Nguồn Trung ương bổ sung có mục tiêu thực hiện đề tài, dự án khoa học công nghệ</t>
  </si>
  <si>
    <t>Sở Tài nguyên và Môi trường</t>
  </si>
  <si>
    <t>Kinh phí phục vụ công tác thu lệ phí cấp phép hoạt động khai thác khoáng sản</t>
  </si>
  <si>
    <t>Công tác thanh tra pháp chế</t>
  </si>
  <si>
    <t>Một số nhiệm vụ khác</t>
  </si>
  <si>
    <t>Số hóa tài liệu về tài nguyên và môi trường phục vụ công tác lưu trữ và quản lý nhà nước</t>
  </si>
  <si>
    <t>Lập khoanh định khu vực cấm, tạm thời cấm hoạt động khoáng sản trên địa bàn tỉnh Bắc Kạn</t>
  </si>
  <si>
    <t>Đấu giá quyền khai thác khoáng sản</t>
  </si>
  <si>
    <t>Xây dựng cơ sở dữ liệu đất đai huyện Ba Bể và Pác Nặm</t>
  </si>
  <si>
    <t>Dự án khắc phục ô nhiễm môi trường do tồn lưu hóa chất bảo vệ thực vật tại Chi nhánh Vật tư nông nghiệp Chợ Mới, huyện Chợ Mới, tỉnh Bắc Kạn</t>
  </si>
  <si>
    <t>Kiểm tra, kiểm soát ô nhiễm môi trường; kiểm tra vận hành thử nghiệm công trình xử lý chất thải; kiểm tra, xác nhận công trình bảo vệ môi trường; xác nhận đăng ký kế hoạch bảo vệ môi trường</t>
  </si>
  <si>
    <t>Dự án khắc phục ô nhiễm môi trường do tồn lưu hóa chất bảo vệ thực vật tại kho thuốc bảo vệ thực vật tại Khu 2, xã Vân Tùng, huyện Ngân Sơn, tỉnh Bắc Kạn</t>
  </si>
  <si>
    <t>Mua sắm trang phục thanh tra và kinh phí tiếp dân</t>
  </si>
  <si>
    <t>Kinh phí cho y tế thôn bản</t>
  </si>
  <si>
    <t>Hoạt động kiểm tra giám sát của ngành</t>
  </si>
  <si>
    <t>Chi điều tra sự hài lòng của người bệnh</t>
  </si>
  <si>
    <t>Kinh phí hiệu chuẩn thiết bị theo tiêu chuẩn ISO/IEC-17025 (lần/năm)</t>
  </si>
  <si>
    <t>Kinh phí mua hóa chất, dung môi, để thực hiện xét nghiệm (dự kiến 500 mẫu)</t>
  </si>
  <si>
    <t>Kinh phí mua mẫu để kiểm tra (dự kiến 500 mẫu)</t>
  </si>
  <si>
    <t>Bảo dưỡng hệ thống xử lý chất thải khí</t>
  </si>
  <si>
    <t>Xuất bản tạp chí y dược học+ truyền thông tuyến xã, bản tin y tế</t>
  </si>
  <si>
    <t xml:space="preserve">Kinh phí sửa chưa xe ô tô </t>
  </si>
  <si>
    <t>Kinh phí duy trì phần mềm hồ sơ sức khoẻ toàn dân (108 xã phường thị trấn, 8 huyện thành phố, 01 BVĐK, 01 CDC, 01 SYT</t>
  </si>
  <si>
    <t>Hỗ trợ kinh phí vacxin dại cho người nghèo</t>
  </si>
  <si>
    <t>Hỗ trợ xăng xe cho Trung tâm Pháp y trong công tác khám nghiệm tử thi do chi hoạt động không đảm bảo đủ</t>
  </si>
  <si>
    <t>Kế hoạch đảm bảo kinh phí cho các hoạt động phòng chống HIV/AIDS</t>
  </si>
  <si>
    <t>Đối ứng các dự án</t>
  </si>
  <si>
    <t>Duy trì các Chương trình theo Chương trình mục tiêu y tế dân số giai đoạn 2016-2020</t>
  </si>
  <si>
    <t>Kinh phí hỗ trợ chính sách cho phụ nữ nghèo, dân tộc thiểu số sinh con đúng chế độ</t>
  </si>
  <si>
    <t>Sửa chữa lớn xe ô tô</t>
  </si>
  <si>
    <t>Chương trình Giáo dục lý tưởng cách mạng, đạo đức, lối sống, khơi dậy khát vọng cống hiến cho Thanh, Thiếu niên và Nhi đồng.</t>
  </si>
  <si>
    <t>Công tác thông tin đối ngoại</t>
  </si>
  <si>
    <t>Thông tin cơ sở, thông tin điện tử</t>
  </si>
  <si>
    <t>Hoạt động công nghệ thông tin</t>
  </si>
  <si>
    <t xml:space="preserve">Hoạt động bưu chính viễn thông </t>
  </si>
  <si>
    <t xml:space="preserve">Nhiệm vụ khác của Trung tâm Công nghệ thông tin </t>
  </si>
  <si>
    <t>Thanh tra tỉnh</t>
  </si>
  <si>
    <t>Đài Phát thanh - Truyền hình</t>
  </si>
  <si>
    <t>Mua sắm dịch vụ truyền dẫn phát và phát sóng quảng bá kênh Truyền hình Bắc Kạn trên vệ tinh VINASAT-1 chất lượng hình ảnh HD</t>
  </si>
  <si>
    <t>Mua sắm dịch vụ truyền dẫn phát sóng quảng bá kênh Truyền hình Bắc Kạn chất lượng HD trên hạ tầng truyền hình số mặt đất tiêu chuẩn DVB-T2 của Đài Truyền hình Việt Nam (nội tỉnh)</t>
  </si>
  <si>
    <t>Kinh phí thực hiện nhiệm vụ chuyên môn của ngành (Quỹ nhuận bút, thù lao)</t>
  </si>
  <si>
    <t>Kinh phí sửa chữa, bảo dưỡng nhà trạm phát sóng cấp IV, cột anten tự đứng cao 100m</t>
  </si>
  <si>
    <t>Ban quản lý Vườn quốc gia Ba Bể</t>
  </si>
  <si>
    <t>Trang phục kiểm lâm và công cụ hỗ trợ</t>
  </si>
  <si>
    <t>Ngăn chặn tình trạng chặt phá rừng trái phép, phòng cháy chữa cháy rừng</t>
  </si>
  <si>
    <t>Thực hiện các nhiệm vụ khác</t>
  </si>
  <si>
    <t>Kinh phí chi trợ cấp xã hội theo Quyết định số 1121/1997/QĐ-TTg ngày 23/12/1997 của Thủ tướng Chính phủ</t>
  </si>
  <si>
    <t>Kinh phí chi hỗ trợ sinh hoạt phí cho sinh viên sư phạm theo Nghị định số 116/2020/NĐ-CP ngày 25/9/2020 của Chính phủ</t>
  </si>
  <si>
    <t>Ban Quản lý các Khu công nghiệp tỉnh</t>
  </si>
  <si>
    <t>Ban An toàn giao thông</t>
  </si>
  <si>
    <t>Các hoạt động đảm bảo an toàn giao thông và sửa chữa, thay thế, cắm bổ sung biển tuyên truyền an toàn giao thông trên các tuyến Quốc lộ và đường tỉnh</t>
  </si>
  <si>
    <t xml:space="preserve">Văn phòng điều phối nông thôn mới </t>
  </si>
  <si>
    <t>Văn phòng Tỉnh ủy</t>
  </si>
  <si>
    <t>Trường Chính trị</t>
  </si>
  <si>
    <t>Hội Liên hiệp Phụ nữ tỉnh</t>
  </si>
  <si>
    <t>Thực hiện Đề án 939 "Hỗ trợ phụ nữ khởi nghiệp giai đoạn 2017 - 2025"</t>
  </si>
  <si>
    <t>Ủy ban Mặt trận Tổ quốc tỉnh</t>
  </si>
  <si>
    <t>Thực hiện cuộc vận động "Toàn dân đoàn kết xây dựng Nông thôn mới, đô thị văn minh"</t>
  </si>
  <si>
    <t xml:space="preserve">Hỗ trợ hoạt động của Ban chỉ đạo Cuộc vận động "Người Việt nam ưu tiên dùng hàng Việt Nam" </t>
  </si>
  <si>
    <t>Duy trì cuốn bản tin công tác Mặt trận và các đoàn thể tỉnh</t>
  </si>
  <si>
    <t xml:space="preserve">Chuyên mục đại đoàn kết toàn dân tộc phát trên  Đài Phanh và Truyền hình tỉnh và Báo Bắc Kạn </t>
  </si>
  <si>
    <t xml:space="preserve">Thực hiện nhiệm vụ tiếp xúc cử tri ĐBQH và HĐND tỉnh  </t>
  </si>
  <si>
    <t xml:space="preserve">Tổ chức thăm hỏi tặng quà các điểm sinh hoạt tôn giáo và các chức sắc tôn giáo, người có uy tín trong đồng bào dân tộc, tôn giáo </t>
  </si>
  <si>
    <t>Tổ chức thực hiện Đề án “Tăng cường vận động, đoàn kết các tôn giáo ở nước ta hiện nay”</t>
  </si>
  <si>
    <t xml:space="preserve">Tổ chức các hội thảo phản biện xã hội về các dự thảo Luật, nghị quyết, đề án, kế hoạch... của Trung ương, tỉnh, sở, ngành </t>
  </si>
  <si>
    <t>Hội Cựu chiến binh tỉnh</t>
  </si>
  <si>
    <t>Hội Chữ thập đỏ</t>
  </si>
  <si>
    <t>Kinh phí khoán thực hiện các nhiệm vụ</t>
  </si>
  <si>
    <t xml:space="preserve">Kinh phí kinh phí cho công tác tuyên truyền vận động hiến máu tình nguyện </t>
  </si>
  <si>
    <t>Hội Đông y</t>
  </si>
  <si>
    <t>Liên minh các Hợp tác xã</t>
  </si>
  <si>
    <t>Hội Văn học nghệ thuật</t>
  </si>
  <si>
    <t>Hội Nhà báo</t>
  </si>
  <si>
    <t xml:space="preserve">Kinh phí khoán thực hiện các nhiệm vụ </t>
  </si>
  <si>
    <t>Xuất bản Đặc san “Người làm báo Bắc Kạn”</t>
  </si>
  <si>
    <t>Hội Luật gia</t>
  </si>
  <si>
    <t>Hội Khuyến học tỉnh</t>
  </si>
  <si>
    <t>Xuất bản Bản tin Khuyến học</t>
  </si>
  <si>
    <t>Hội Cựu thanh niên xung phong</t>
  </si>
  <si>
    <t>Hội Bảo trợ người tàn tật và trẻ em mồ côi</t>
  </si>
  <si>
    <t>Hội Nạn nhân chất độc da cam</t>
  </si>
  <si>
    <t>Kinh phí ủy thác để cho hộ nghèo và các đối tượng chính sách khác trên địa bàn tỉnh vay</t>
  </si>
  <si>
    <t>HTX Đồng Tiến</t>
  </si>
  <si>
    <t>Phụ cấp dân quân tự vệ</t>
  </si>
  <si>
    <t>Viện Kiểm sát nhân dân tỉnh</t>
  </si>
  <si>
    <t>Viễn thông Bắc Kạn</t>
  </si>
  <si>
    <t>Bưu Điện tỉnh Bắc Kạn</t>
  </si>
  <si>
    <t>Hỗ trợ kinh phí để thực hiện các nhiệm vụ chi an ninh, trật tự, an toàn xã hội</t>
  </si>
  <si>
    <t>Hỗ trợ kinh phí để thực hiện các nhiệm vụ quốc phòng, quân sự thường xuyên ổn định của tỉnh</t>
  </si>
  <si>
    <t>Đảm bảo trang phục dân quân tự vệ</t>
  </si>
  <si>
    <t>Đảm bảo công tác huấn luyện đại đội pháo binh, phòng không Dân quân tự vệ</t>
  </si>
  <si>
    <t>ĐVT</t>
  </si>
  <si>
    <t xml:space="preserve">Diện tích </t>
  </si>
  <si>
    <t xml:space="preserve">Đơn giá </t>
  </si>
  <si>
    <t>1.000đ</t>
  </si>
  <si>
    <t>Thành tiền</t>
  </si>
  <si>
    <t>Cải tạo nâng cao chất lượng đất chuyên trồng lúa nước và đất trồng lúa nước còn lại</t>
  </si>
  <si>
    <t>Phân tích chất lượng hóa, lý tính đất</t>
  </si>
  <si>
    <t>Mẫu</t>
  </si>
  <si>
    <t>Công trình</t>
  </si>
  <si>
    <t>Đơn vị tính: Triệu Đồng</t>
  </si>
  <si>
    <t>Danh mục công trình</t>
  </si>
  <si>
    <t xml:space="preserve">B </t>
  </si>
  <si>
    <t>Duy trì thuê hệ thống Quản lý chất lượng giáo dục</t>
  </si>
  <si>
    <t>Triển khai hệ thống Trung tâm điều hành thông minh (IOC) và Hệ thống thông tin báo cáo tỉnh Bắc Kạn</t>
  </si>
  <si>
    <t>Triển khai Trung tâm giám sát và điều hành an toàn thông tin mạng (SOC)</t>
  </si>
  <si>
    <t>Hoạt động của Ban chỉ đạo chuyển đổi số tỉnh</t>
  </si>
  <si>
    <t>Nhiệm vụ mới</t>
  </si>
  <si>
    <t>Hoạt động diễn tập thực chiến</t>
  </si>
  <si>
    <t>Xây dựng kho cơ sở dữ liệu về Y tế (data lake)</t>
  </si>
  <si>
    <t xml:space="preserve">Đầu tư xây dựng nền tảng tòa soạn số </t>
  </si>
  <si>
    <t>Rừng phòng hộ</t>
  </si>
  <si>
    <t xml:space="preserve">Rừng sản xuất là rừng tự nhiên </t>
  </si>
  <si>
    <t>Định mức</t>
  </si>
  <si>
    <t>Diện tích (ha)</t>
  </si>
  <si>
    <t>Định
 mức</t>
  </si>
  <si>
    <t>Diện tích  (ha)</t>
  </si>
  <si>
    <t xml:space="preserve"> </t>
  </si>
  <si>
    <t>Quỹ thi đua, khen thưởng</t>
  </si>
  <si>
    <t>Kinh phí thực hiện các hoạt động của Trung tâm khuyến công và Xúc tiến thương mại bao gồm: Chi chương trình Khuyến công và Chương trình xúc tiến thương mại</t>
  </si>
  <si>
    <t>Kinh phí thử nghiệm thành thao nội bộ và so sánh lĩnh vực: Dược, Hóa, Sinh</t>
  </si>
  <si>
    <t>Một số nhiệm vụ khác phục vụ hoạt động kiểm nghiệm</t>
  </si>
  <si>
    <t>Kinh phí đào tạo ngành y tế</t>
  </si>
  <si>
    <t>Hoạt động báo chí và xuất bản</t>
  </si>
  <si>
    <t>DỰ TOÁN CHI NSĐP NĂM 2024 TỈNH ĐIỀU HÀNH</t>
  </si>
  <si>
    <t>DỰ TOÁN CHI NGÂN SÁCH GIAO CHI TIẾT THEO NHIỆM VỤ CỦA CÁC SỞ, BAN, NGÀNH CẤP TỈNH NĂM 2024</t>
  </si>
  <si>
    <t>Kinh phí hoạt động kỳ họp Hội đồng nhân dân tỉnh</t>
  </si>
  <si>
    <t>Kinh phí hoạt động Thường trực Hội đồng nhân dân tỉnh</t>
  </si>
  <si>
    <t>Kinh phí hoạt động của các Ban Hội đồng nhân dân tỉnh</t>
  </si>
  <si>
    <t>Kinh phí hoạt động của đại biểu, tổ đại biểu Hội đồng nhân dân tỉnh</t>
  </si>
  <si>
    <t>Kinh phí hoạt động khác của Đoàn đại biểu quốc hội</t>
  </si>
  <si>
    <t>Kinh phí sửa chữa thường xuyên 5 xe ô tô</t>
  </si>
  <si>
    <t>Kinh phí mua xe ô tô  (xe 2 cầu)</t>
  </si>
  <si>
    <t>Tổ chức các cuộc họp trong tỉnh với các đơn vị, địa phương</t>
  </si>
  <si>
    <t>Tổ chức họp giao ban với các đơn vị, địa phương</t>
  </si>
  <si>
    <t>Xử lý công việc trên cơ sở hồ sơ tài liệu của cơ quan chủ đề án giải quyết công việc do văn phòng UBND tỉnh trình: chương trình, kế hoạch công tác và tình hình thực tế tại địa phương</t>
  </si>
  <si>
    <t>Họp làm việc với lãnh đạo các cơ quan chuyên môn, UBND huyện và các cơ quan liên quan để giải quyết công việc thường xuyên</t>
  </si>
  <si>
    <t>Hoạt động kiểm tra, làm việc trực tiếp của Lãnh đạo UBND tỉnh tại các địa phương, cơ sở (Chủ tịch, các Phó chủ tịch UBND tỉnh)</t>
  </si>
  <si>
    <t>Giữ mối quan hệ thường xuyên với Chính phủ, Thủ tướng Chính phủ, các cơ quan có liên quan của Trung ương, các đoàn đến thăm và làm việc với tỉnh</t>
  </si>
  <si>
    <t>Phối hợp chặt chẽ với Thường trực HĐND tỉnh trong việc chuẩn bị chương trình, nội dung làm việc của kỳ họp HĐND, các báo cáo, đề án trình HĐND</t>
  </si>
  <si>
    <t>Dự kiến các cuộc họp do Chính phủ, Bộ, Ngành triệu tập, mời dự</t>
  </si>
  <si>
    <t>Xăng xe phục vụ Lãnh đạo UBND tỉnh thường xuyên đi kiểm tra, đôn đốc và tham dự các cuộc họp của UBND, các cuộc họp sơ kết, tổng kết của các sở ngành, các cơ quan đoàn thể, các huyện, thành phố</t>
  </si>
  <si>
    <t>Thăm hỏi động viên các gia đình chính sách, gia đình đặc biệt khó khăn trong các đợt công tác ở địa phương, nhất là vùng sâu, vùng xa, vùng đặc biệt khó khăn</t>
  </si>
  <si>
    <t>Sửa chữa thường xuyên xe ô tô theo định kỳ</t>
  </si>
  <si>
    <t>Trực cơ quan theo quy định của Chính phủ</t>
  </si>
  <si>
    <t>Đảm bảo hoạt động của Lãnh đạo UBND tỉnh (tiền điện, tiền nước cơ quan)</t>
  </si>
  <si>
    <t xml:space="preserve">Sửa chữa điều hòa, nhà cửa, máy phô tô, máy tính, máy in, đường điện, cấp thoát nước </t>
  </si>
  <si>
    <t xml:space="preserve">Chi phí bảo hiểm, phí đường bộ, phí kiểm định xe ô tô  </t>
  </si>
  <si>
    <t>Thuê mướn chăm sóc cây cảnh, cắt tỉa cây cổ thụ</t>
  </si>
  <si>
    <t>Sửa chữa lớn xe ô tô theo định kỳ</t>
  </si>
  <si>
    <t>Hoạt động của Ban tiếp Công dân tỉnh</t>
  </si>
  <si>
    <t xml:space="preserve">Hoạt động bộ phận kiểm soát thủ tục hành chính tỉnh </t>
  </si>
  <si>
    <t xml:space="preserve">Hoạt động Trung tâm phục vụ hành chính công </t>
  </si>
  <si>
    <t>Chi phí phục vụ công tác văn thư lưu trữ</t>
  </si>
  <si>
    <t xml:space="preserve">Phục vụ Hội trường tỉnh Bắc Kạn </t>
  </si>
  <si>
    <t>Lắp rèm nhựa cho các phòng làm việc lãnh đạo phòng và chuyên viên</t>
  </si>
  <si>
    <t xml:space="preserve">In ấn phát hành công báo </t>
  </si>
  <si>
    <t>Hoạt động cổng thông tin điện tử tỉnh Bắc Kạn</t>
  </si>
  <si>
    <t>Nhiệm vụ quản lý nhà nước về công tác thanh niên</t>
  </si>
  <si>
    <t>Mua sắm trang phục  thanh tra ngành</t>
  </si>
  <si>
    <t>Nhiệm vụ thăm hỏi, thăm viếng cán bộ tỉnh</t>
  </si>
  <si>
    <t>Dự án  hoàn thiện, hiện đại hóa hồ sơ, bản đồ địa giới hành chính và xây dựng cơ sở dữ liệu về địa giới hành chính của 16 đơn vị hành chính cấp xã sau khi sáp nhập vào Dự án hoàn thiện, hiện đại hóa hồ sơ, bản đồ địa giới hành chính tỉnh Bắc Kạn (trả nợ)</t>
  </si>
  <si>
    <t>Hội nghị tổng kết công tác thi đua khen thưởng năm 2023 của Cụm thi đua Sở Nội vụ 7 tỉnh Trung du và miền núi phía Bắc</t>
  </si>
  <si>
    <t>Hội nghị tổng kết Cụm thi đua các tỉnh Trung du và Miền núi phía Bắc tại tỉnh Bắc Kạn</t>
  </si>
  <si>
    <t>Kinh phí tuyển dụng công chức tỉnh Bắc Kạn</t>
  </si>
  <si>
    <t>Chi cho hoạt động kiểm soát thủ tục hành chính</t>
  </si>
  <si>
    <t>Nhiệm vụ chỉnh lý, bảo quản tài liệu lưu trữ tại Trung tâm Lưu trữ lịch sử</t>
  </si>
  <si>
    <t>Kinh phí sửa chữa lớn xe ô tô biển kiểm soát 97A-003.05</t>
  </si>
  <si>
    <t>Kinh phí sửa chữa mái trụ sở Trung tâm Lưu trữ lịch sử tỉnh Bắc Kạn</t>
  </si>
  <si>
    <t xml:space="preserve">Thuê nền tảng dùng chung ngành Nội vụ </t>
  </si>
  <si>
    <t>Số hóa tài liệu lưu trữ  tại Trung tâm Lưu trữ lịch sử tỉnh Bắc Kạn</t>
  </si>
  <si>
    <t>Mua sắm trang phục Thanh tra Sở</t>
  </si>
  <si>
    <t>Hội nghị tập huấn Luật đấu thầu năm 2023</t>
  </si>
  <si>
    <t>Hoạt động xúc tiến đầu tư (Văn phòng Sở thực hiện)</t>
  </si>
  <si>
    <t xml:space="preserve">Hoạt động của Tổ điều phối cấp tỉnh vùng Trung du và miền núi phí Bắc </t>
  </si>
  <si>
    <t>Hỗ trợ doanh nghiệp vừa và nhỏ (nguồn NSTW)</t>
  </si>
  <si>
    <t>Thực hiện ấn phẩm, video Bắc Kạn, tiềm năng, lợi thế và cơ hội hợp tác cùng phát triển</t>
  </si>
  <si>
    <t>Thực hiện các nhiệm vụ, chương trình xúc tiến đầu tư năm 2023 (bao gồm cả Duy trì hoạt động trang wed xuctiendautu của tỉnh)</t>
  </si>
  <si>
    <t xml:space="preserve">Thực hiện đề án nghiên cứu nâng cao chỉ số các dịch vụ hỗ trợ doanh nghiệp trên địa bàn tỉnh Bắc Kạn từ góc độ PCI </t>
  </si>
  <si>
    <t>Hệ thống quản lý vốn đầu tư xây dựng cơ bản</t>
  </si>
  <si>
    <t>Xây dựng hệ số điều chỉnh giá đất</t>
  </si>
  <si>
    <t>Khảo sát xây dựng bảng giá tính thuế tài nguyên</t>
  </si>
  <si>
    <t>Tập huấn nghiệp vụ chuyên môn ngành tài chính</t>
  </si>
  <si>
    <t>Hoạt động của Hội đồng thẩm định phương án giá đất cụ thể của tỉnh</t>
  </si>
  <si>
    <t>Xác định tăng hệ số điều chỉnh giá đất làm cơ sở xác định giá khởi điểm đấu giá quyền sử dụng đất</t>
  </si>
  <si>
    <t>Kiểm tra, sắp xếp xử lý nhà đất trên địa bàn tỉnh</t>
  </si>
  <si>
    <t>Thuê thẩm định giá mua sắm tài sản, hàng hóa, dịch vụ và chi phí cho Hội đồng định giá tài sản cấp tỉnh</t>
  </si>
  <si>
    <t>Chi phí cho Hội đồng định giá tài sản trong tố tụng hình sự (Không bao gồm chi phí thuê tư vấn thẩm định giá)</t>
  </si>
  <si>
    <t>Kiểm tra, kiểm soát giá cả thị trường</t>
  </si>
  <si>
    <t>Công tác xây dựng dự toán, quyết toán ngân sách, tổng hợp các chính sách an sinh xã hội, khóa sổ cuối năm</t>
  </si>
  <si>
    <t>Các nhiệm vụ do tỉnh ủy quyền</t>
  </si>
  <si>
    <t>Tổ chức thực hiện nhiệm vụ của Hội đồng xác định giá trị còn lại của tài sản gắn liền với đất đã thu hồi của Công ty Cổ phần SAHABAK tại huyện Chợ Mới, tỉnh Bắc Kạn</t>
  </si>
  <si>
    <t>Công tác quản lý xử lý vi phạm hành chính và theo dõi thi hành pháp luật</t>
  </si>
  <si>
    <t>Công tác thẩm định văn bản quy phạm pháp luật</t>
  </si>
  <si>
    <t>Công tác kiểm tra, rà soát văn bản quy phạm pháp luật và công tác pháp chế</t>
  </si>
  <si>
    <t>Công tác hành chính tư pháp và bổ trợ tư pháp (bao gồm cả kinh phí: hỗ trợ hoạt động luật sư và thuê phần mềm công chứng)</t>
  </si>
  <si>
    <t>Mua sắm trang phục thanh tra</t>
  </si>
  <si>
    <t>Thực hiện số hóa kết quả giải quyết thủ tục hành chính còn hiệu lực thuộc thẩm quyền giải quyết của Sở Tư pháp năm 2024</t>
  </si>
  <si>
    <t>Mua biểu mẫu hộ tịch cho các xã</t>
  </si>
  <si>
    <t>Sửa chữa lớn xe ô tô (02 xe ô tô)</t>
  </si>
  <si>
    <t>Kinh phí nhiệm vụ Trung tâm Trợ giúp pháp lý nhà nước</t>
  </si>
  <si>
    <t>Thuê trụ sở các Phòng Công chứng II, III</t>
  </si>
  <si>
    <t>Hệ thống hóa văn bản quy phạm pháp luật kỳ 2019 - 2023 (Nhiệm vụ phát sinh 05 năm 01 lần)</t>
  </si>
  <si>
    <t>Triển khai thực hiện Đề án “Tổ chức truyền thông chính sách có tác động lớn đến xã hội trong quá trình xây dựng văn bản quy phạm pháp luật giai đoạn 2022-2027” trên địa bàn tỉnh Bắc Kạn</t>
  </si>
  <si>
    <t>Triển khai thực hiện Đề án “Tăng cường năng lực tiếp cận pháp luật của người dân” trên địa bàn tỉnh Bắc Kạn</t>
  </si>
  <si>
    <t>Kinh phí thực hiện nhiệm vụ thu lệ phí</t>
  </si>
  <si>
    <t>Hoạt động thanh tra, kiểm tra trọng tải xe lưu động</t>
  </si>
  <si>
    <t>Nâng cấp, bảo trì thiết bị cấp, đổi giấy phép lái xe</t>
  </si>
  <si>
    <t>Tổ chức lập hồ sơ xác định các điểm đấu nối vào quốc lộ trên địa bàn tỉnh Bắc Kạn</t>
  </si>
  <si>
    <t>Mua máy photocopy</t>
  </si>
  <si>
    <t>Mua cân xách tay kiểm tra tải trọng xe ô tô</t>
  </si>
  <si>
    <t>Công tác quản lý, bảo trì các tuyến đường tỉnh</t>
  </si>
  <si>
    <t>Công tác quản lý, bảo trì tuyến đường thủy nội địa địa phương (bao gồm bổ sung biển báo, cột thủy chí, phao tiêu tuyến)</t>
  </si>
  <si>
    <t>Công tác quản lý, bảo trì các tuyến đường tỉnh -Nguồn Trung ương bổ sung có mục tiêu</t>
  </si>
  <si>
    <t>Nhiệm vụ bảo đảm trật tự an toàn xã hội</t>
  </si>
  <si>
    <t>Sửa chữa lớn xe 01 ô tô</t>
  </si>
  <si>
    <t>Đối ứng giải phóng mặt bằng cho các công trình sửa chữa trên các tuyến quốc lộ do Sở Giao thông vận tải quản lý</t>
  </si>
  <si>
    <t>Chi phí hoạt động của Ban chỉ đạo cấp nước an toàn</t>
  </si>
  <si>
    <t>Chi phí kiểm tra giá liên ngành</t>
  </si>
  <si>
    <t>Kinh phí thẩm định dự án đầu tư xây dựng, thiết kế cơ sở</t>
  </si>
  <si>
    <t>Sát hạch cấp CCHN và kinh phí thực hiện cấp chứng chỉ</t>
  </si>
  <si>
    <t>Kinh phí đảm bảo hoạt động công tác thanh tra xử phạt vi phạm hành chính</t>
  </si>
  <si>
    <t>Kinh phí sửa chữa lớn xe ô tô</t>
  </si>
  <si>
    <t>Chi phí xây dựng chỉ số giá  2024</t>
  </si>
  <si>
    <t>Quản lý và sử dụng hệ thống thông tin về nhà ở và thị trường bất động sản</t>
  </si>
  <si>
    <t>Chi phí xây dựng đơn giá nhân công, giá ca máy và thiết bị thi công xây dựng xây dựng công trình</t>
  </si>
  <si>
    <t>Chương trình phát triển đô thị tỉnh Bắc Kạn</t>
  </si>
  <si>
    <t>Lớp tập huấn nghiệp vụ chuyên môn năm 2024</t>
  </si>
  <si>
    <t>Quản lý, giám sát quy hoạch, xây dựng và phát triển đô thị tỉnh Bắc Kạn (bao gồm thuê phần mềm nền tảng phục vụ hoạt động ứng dụng CNTT quản lý, phân tích dữ liệu giám sát vệ tinh, đồng bộ CSDL quy hoạch lên cổng thông tin điện tử và phần mềm một cửa)</t>
  </si>
  <si>
    <t>Hoàn thiện, cập nhật cơ sở dữ liệu công bố thông tin quy hoạch đồng bộ với cổng thông tin điện tử của Sở Xây dựng</t>
  </si>
  <si>
    <t>Đào tạo, khảo sát chuẩn bị triển khai hệ thống thông tin và cơ sở dữ liệu Thông tin công trình theo mô hình (Building Information Modeling - BIM) tỉnh Bắc Kạn.</t>
  </si>
  <si>
    <t>Duy trì các trang thông tin điện tử Sở Công Thương (website và cung cấp dịch vụ công trực tuyến mức độ 3,4)</t>
  </si>
  <si>
    <t>Tổ chức Đoàn nghiên cứu, học tập kinh nghiệm và xúc tiến thương mại, hợp tác đầu tư”  ở nước ngoài</t>
  </si>
  <si>
    <t>Nhiệm vụ Thanh tra, kiểm tra liên ngành</t>
  </si>
  <si>
    <t>Tổ chức Chương trình hưởng ứng chiến dịch "Giờ trái đất"</t>
  </si>
  <si>
    <t xml:space="preserve">Hoạt động của Ban chỉ đạo bảo vệ an toàn công trình lưới điện cao áp QĐ số 893/QĐ- UBND ngày 30/5/2018 </t>
  </si>
  <si>
    <t>Tuyên truyền chương trình sử dụng năng lượng tiết kiệm và hiệu quả năm 2024 (Tuyên truyền về sử dụng năng lương tiết kiệm và hiệu quả; Tổ chức Hội nghị tuyên truyền, phổ biến về biện pháp sử dụng NLTK&amp;HQ trên địa bàn tỉnh Bắc Kạn và kết hợp hướng dân tiêu chí số 4 và số 7 nông thôn mới (14 hội nghị)</t>
  </si>
  <si>
    <t>Tổ chức các hoạt động triển khai tuần kễ thương hiệu Quốc gia chào mừng ngày thương hiệu Việt Nam (20/4)</t>
  </si>
  <si>
    <t>Nhân rộng mô hình chợ đảm bảo an toàn thực phẩm (3 chợ/năm) (Hỗ trợ  cho các hộ kinh doanh thực phẩm tại chợ thí điểm an toàn thực phẩm về tủ, giá, kệ biển hiệu và Hội nghị phổ biến Kiến thức ATTP)</t>
  </si>
  <si>
    <t>Hỗ trợ nâng cao năng lực cho các thương nhân sản xuất kinh doanh và các thương nhân xuất khẩu tham gia các sàn thương mại điện tử ủy tín (lĩnh vực Thương mại điện tử)</t>
  </si>
  <si>
    <t>Phát triển thương mại miền núi, vùng sâu, vùng xa giai đoạn 2021 - 2025</t>
  </si>
  <si>
    <t>Tổ chức hoạt động bảo vệ quyền lợi người tiêu dùng</t>
  </si>
  <si>
    <t>Tổ chức tập huấn về hội nhập kinh tế quốc tế  (Hội nghị tập huấn kiến thức về hội nhập kinh tế;Mở chuyên mục "Hội nhập kinh tế quốc tế" trên Đài PT - TH tỉnh hoặc Báo Bắc Kạn)</t>
  </si>
  <si>
    <t>Tổ chức các hoạt động giảm thiểu túi nilon khó phân hủy</t>
  </si>
  <si>
    <t>Tập huấn công tác đảm bảo an toàn trong hoạt động vật liệu nổ công nghiệp và tiền chất thuốc nổ trên địa bàn tỉnh</t>
  </si>
  <si>
    <t>Nâng cao năng lực về ứng dụng công nghệ thông tin và chuyển đổi số trong hoạt động xúc tiến thương mại</t>
  </si>
  <si>
    <t>Hỗ trợ doanh nghiệp, hợp tác xã trong chuyển đổi số</t>
  </si>
  <si>
    <t>May trang phục thanh tra</t>
  </si>
  <si>
    <t>Kiểm tra liên ngành theo Quyết định của UBND tỉnh</t>
  </si>
  <si>
    <t>Hoạt động của Ban chỉ đạo phát triển văn hóa thể thao du lịch tỉnh</t>
  </si>
  <si>
    <t>Tập huấn nghiệp vụ quản lý nhà nước về văn hóa</t>
  </si>
  <si>
    <t xml:space="preserve">Tổ chức hoạt động truyền thông nhân Ngày Quốc tế hạnh phúc (20/3) </t>
  </si>
  <si>
    <t>Tổ chức hoạt động truyền thông nhân Ngày Gia đình Việt Nam (28/6)</t>
  </si>
  <si>
    <t>Tổ chức các hoạt động nhân Ngày Thế giới xóa bỏ bạo lực đối với phụ nữ và trẻ em gái (25/11) và tháng hành động quốc gia về bình đẳng giới và phòng, chống bạo lực trên cơ sở giới.</t>
  </si>
  <si>
    <t>Nhân rộng mô hình phòng, chống bạo lực gia đình (Triển khai 02 mô hình/02 huyện)</t>
  </si>
  <si>
    <t>Tổ chức Hội nghị tuyên truyền về công tác gia đình và phòng, chống bạo lực gia đình.</t>
  </si>
  <si>
    <t>Triển khai thực hiện Bộ tiêu chí ứng xử trong gia đình</t>
  </si>
  <si>
    <t xml:space="preserve">Tổ chức triển lãm ảnh mừng Đảng, mừng Xuân, Hội xuân của các địa phương và các hoạt động khác </t>
  </si>
  <si>
    <t>Xây dựng đội văn nghệ tuyên truyền cơ sở</t>
  </si>
  <si>
    <t>Tuyên truyền lưu động tại cơ sở</t>
  </si>
  <si>
    <t>Hướng dẫn nghiệp vụ chuyên môn văn hóa cơ sở</t>
  </si>
  <si>
    <t xml:space="preserve">Tổ chức hoạt động Ngày văn hóa các dân tộc Việt Nam (19/4) </t>
  </si>
  <si>
    <t>Tham gia hội thi, hội diễn và các hoạt động văn hóa cấp khu vực, toàn quốc</t>
  </si>
  <si>
    <t>Tổ chức Hội diễn nghệ thuật quần chúng tỉnh Bắc Kạn</t>
  </si>
  <si>
    <t>Biên tập, dàn dựng chương trình tuyên truyền mới</t>
  </si>
  <si>
    <t>Hoạt động phát hành phim và chiếu bóng</t>
  </si>
  <si>
    <t>Biểu diễn nghệ thuật phục vụ dân dân</t>
  </si>
  <si>
    <t>Xây dựng chương trình nghệ thuật mới</t>
  </si>
  <si>
    <t>Chương trình nghệ thuật Chào xuân mới</t>
  </si>
  <si>
    <t xml:space="preserve">Tổ chức tập huấn chuyên môn cho diễn viên ca múa nhạc </t>
  </si>
  <si>
    <t>Xây dựng chương trình nghệ thuật tham gia liên hoan ca, múa, nhạc toàn quốc</t>
  </si>
  <si>
    <t>Tổ chức hoạt động kỷ niệm 80 năm ngày thành lập Quân đội nhân dân Việt Nam và 35 năm Ngày hội Quốc phòng toàn dân</t>
  </si>
  <si>
    <t>Bổ sung báo, tạp chí (đặt mua báo, tạp chí mới dưới dạng tài liệu in (theo ngày, quý) của Trung ương và địa phương nhằm phục vụ cho bạn đọc những thông tin chính xác, mang tính thời sự vào kho tài nguyên thông tin của Thư viện)</t>
  </si>
  <si>
    <t>Triển lãm Báo Xuân</t>
  </si>
  <si>
    <t>Bổ sung sách thư viện</t>
  </si>
  <si>
    <t>Sưu tầm, số hoá tài liệu các dân tộc thiểu số tỉnh Bắc Kạn</t>
  </si>
  <si>
    <t>Tổ chức hoạt động Ngày sách và Văn hóa đọc Việt Nam</t>
  </si>
  <si>
    <t>Tổ chức Cuộc thi Đại sứ Văn hóa đọc</t>
  </si>
  <si>
    <t xml:space="preserve">Tổ chức hoạt động thư viện lưu động và luân chuyển tài nguyên thông tin </t>
  </si>
  <si>
    <t xml:space="preserve">Tham gia Liên hoan, hội thi cấp liên hiệp khu vực và toàn quốc </t>
  </si>
  <si>
    <t>Chi phục chế, bảo quản tài liệu</t>
  </si>
  <si>
    <t xml:space="preserve"> Thực hiện lưu trữ các số báo xuất bản của năm trước để phục vụ nhu cầu khai thác thông tin cho bạn đọc</t>
  </si>
  <si>
    <t>Duy trì thực hiện Dự án “Nâng cao khả năng sử dụng máy tính và truy cập Internet công cộng" tại Thư viện tỉnh Bắc Kạn (40 bộ máy tính)</t>
  </si>
  <si>
    <t>Mua phụ phí nghiệp vụ phục vụ việc xử lý sách thư viện</t>
  </si>
  <si>
    <t>Tổ chức Liên hoan thiếu nhi kể chuyện theo sách</t>
  </si>
  <si>
    <t>Hồi cố tài liệu (bổ sung, hoàn thiện những tài liệu bị hư hỏng, bị mất, bị thiếu không còn đáp ứng được chuẩn nghiệp vụ nhưng vẫn còn giá trị để bổ sung và nguồn tài nguyên thư viện của đơn vị)</t>
  </si>
  <si>
    <t>Xây dựng Không gian đọc sách cho thiếu nhi theo hướng mở, hiện đại, thân thiện tại Thư viện tỉnh Bắc Kạn</t>
  </si>
  <si>
    <t>Xây dựng pa nô tuyên truyền về vị trí, vai trò, tầm quan trọng của phát triển văn hóa đọc (thuộc Đề án phát triển văn hóa đọc trong cộng đồng giai đoạn 2021-2025, định hướng đến năm 2030 trên địa bàn tỉnh Bắc Kạn)</t>
  </si>
  <si>
    <t xml:space="preserve">Triển khai thực hiện Kế hoạch triển khai Chỉ thị thị số 20/CT-TTg ngày 01 tháng 11 năm 2022 của Thủ tướng Chính phủ về đẩy mạnh đổi mới hoạt động của thư viện trong xây dựng phát triển kỹ năng đọc, tiếp cận và xử lý thông tin cho thiếu nhi trên địa bàn tỉnh Bắc Kạn: Tuyên truyền trên Báo Bắc Kạn, Đài Phát thanh và Truyền hình tỉnh về phát triển kỹ năng đọc sách cho thiếu nhi </t>
  </si>
  <si>
    <t>Điều tra thám sát khảo cổ học</t>
  </si>
  <si>
    <t>Lập hồ sơ khoa học xếp hạng di tích cấp tỉnh</t>
  </si>
  <si>
    <t>Xây dựng bia các di tích cấp tỉnh được xếp hạng năm 2023 và Di tích quốc gia đặc biệt Hồ Ba Bể</t>
  </si>
  <si>
    <t>Sưu tầm hiện vật qua các thời kỳ lịch sử hiện nay người dân đang lưu giữ</t>
  </si>
  <si>
    <t>Phục chế, mua vật tư hóa chất bảo quản hiện vật</t>
  </si>
  <si>
    <t>Tổ chức trưng bày, triển lãm kỷ niệm Ngày Quốc tế Bảo tàng (18/5) và ngày sinh Chủ tịch Hồ Chí Minh (19/5)</t>
  </si>
  <si>
    <t xml:space="preserve">Tổ chức nói chuyện chuyên đề và trưng bày, triển lãm ảnh về văn hóa các dân tộc Việt Nam </t>
  </si>
  <si>
    <t>Mua, đóng tủ trưng bày hiện vật tại Bảo tàng tỉnh</t>
  </si>
  <si>
    <t>Bồi dưỡng chuyên môn nghiệp vụ cho cán bộ văn hóa làm công tác bảo tồn di sản văn hóa</t>
  </si>
  <si>
    <t xml:space="preserve">Thực hiện Đề án “Bảo tồn, phát huy trang phục truyền thống các dân tộc thiểu số Việt Nam trong giai đoạn hiện nay” trên địa bàn tỉnh Bắc Kạn giai đoạn 2020 - 2030: Năm 2024 tổ chức tập huấn về phương pháp bảo tồn, phát huy và kỹ năng truyền dạy bảo tồn trang phục truyền thống các dân tộc thiểu số </t>
  </si>
  <si>
    <t>Lập hồ sơ khoa học Di tích lịch sử Nà Tu để trình Thủ tướng Chính phủ xếp hạng di tích quốc gia đặc biệt</t>
  </si>
  <si>
    <t xml:space="preserve">Thực hiện Đề án truyền thông về phát triển phong trào "Toàn dân đoàn kết xây dựng đời sống văn hóa" trên địa bàn tỉnh Bắc Kạn: Tổ chức Hội nghị tuyên truyền, tập huấn phong trào "Toàn dân đoàn kết xây dựng đời sống văn hóa" và hương ước, quy ước  tại cơ sở </t>
  </si>
  <si>
    <t xml:space="preserve">Biên soạn tờ rơi, tờ gấp tuyên truyền về tiêu chuẩn, bảng chấm điểm công nhận các danh hiệu "Gia đình văn hóa", "Khu dân cư văn hóa" và các danh hiệu văn hóa theo hướng dẫn mới cho các hộ gia đình trên địa bàn toàn tỉnh; tài liệu tuyên truyền phong trào gửi các địa phương cơ sở </t>
  </si>
  <si>
    <t xml:space="preserve">Xây dựng pano tuyên truyền phong trào "Toàn dân đoàn kết xây dựng đời sống văn hóa" và thực hiện hương ước, quy ước tại địa phương </t>
  </si>
  <si>
    <t>Phối hợp với Đài PTTH tỉnh, Báo Bắc Kạn tuyên truyền, thực hiện các chuyên trang, chuyên mục, tin, bài về phong trào phát trên sóng truyền hình tỉnh và Báo Bắc Kạn</t>
  </si>
  <si>
    <t>Triển khai Kế hoạch thực hiện Đề án "Chương trình hoạt động văn hóa, nghệ thuật phục vụ vùng sâu vùng xa, biên giới, hải đảo,vùng dân tộc thiểu số giai đoạn 2021 - 2030" trên địa bàn tỉnh Bắc Kạn:</t>
  </si>
  <si>
    <t xml:space="preserve">Triển khai xây dựng cột căng treo băng-rôn tuyên truyền thuộc Quy hoạch tuyên truyền quảng cáo ngoài trời trên địa bàn tỉnh Bắc Kạn đến năm 2020 và định hướng đến năm 2030 </t>
  </si>
  <si>
    <t xml:space="preserve">Tuyển chọn và đào tạo vận động viên thể thao </t>
  </si>
  <si>
    <t xml:space="preserve">Tham gia giải thể thao toàn quốc </t>
  </si>
  <si>
    <t>Tổ chức giải thể thao trong tỉnh</t>
  </si>
  <si>
    <t>Xây dựng phong trào phát triển thể dục thể thao cơ sở</t>
  </si>
  <si>
    <t>Xây dựng và phát triển mô hình câu lạc bộ thể thao dân tộc</t>
  </si>
  <si>
    <t>Khen thưởng thể dục thể thao thành tích cao tại các giải thi đấu thể thao khu vực, toàn quốc</t>
  </si>
  <si>
    <t>Khen thưởng phong trào thể dục thể thao tỉnh Bắc Kạn</t>
  </si>
  <si>
    <t>Tổ chức Lễ phát động toàn dân tập luyện môn bơi phòng, chống đuối nước</t>
  </si>
  <si>
    <t>Tổ chức Tháng hoạt động thể dục, thể thao cho mọi người và Ngày chạy Olympic vì sức khỏe toàn dân</t>
  </si>
  <si>
    <t>Tham gia Giải vô địch Kéo co toàn quốc</t>
  </si>
  <si>
    <t>Tham gia Giải bóng chuyền hơi trung, cao tuổi toàn quốc</t>
  </si>
  <si>
    <t>Tổ chức lớp tập huấn nghiệp vụ phát triển các môn thể thao dân tộc cho cán bộ, công tác viên, hướng dẫn viên thể thao cơ sở</t>
  </si>
  <si>
    <t>Giải thể thao chào mừng Tháng hoạt động thể thao cho mọi người</t>
  </si>
  <si>
    <t>Giải  Đua xe tỉnh Bắc Kạn mở rộng</t>
  </si>
  <si>
    <t xml:space="preserve">Giải vô địch Marathon tỉnh Bắc Kạn </t>
  </si>
  <si>
    <t>Giải đua Ba Be Adventure Race</t>
  </si>
  <si>
    <t>Tham gia Giải vô địch trẻ và thiếu niên Kéo co quốc gia</t>
  </si>
  <si>
    <t>Tham gia Vòng bảng Giải bóng đá nhi đồng toàn quốc</t>
  </si>
  <si>
    <t>Tham gia Giải Khiêu vũ thể thao quốc gia</t>
  </si>
  <si>
    <t xml:space="preserve">Đăng cai tổ chức Giải vô địch trẻ và thiếu niên Đẩy gậy quốc gia       </t>
  </si>
  <si>
    <t xml:space="preserve">Đăng cai tổ chức Giải trẻ và thiếu niên Kéo co quốc gia        </t>
  </si>
  <si>
    <t xml:space="preserve">Đăng cai tổ chức Giải Bóng chuyền U23 quốc gia  </t>
  </si>
  <si>
    <t xml:space="preserve">Tổ chức thường niên chương trình Famtrip “Du lịch Bắc Kạn” </t>
  </si>
  <si>
    <t xml:space="preserve">Tham gia các Chương trình xúc tiến du lịch </t>
  </si>
  <si>
    <t>Chỉnh sửa, xuất bản tập gấp bản đồ du lịch Bắc Kạn, Cẩm nang du lịch Bắc Kạn</t>
  </si>
  <si>
    <t>Xây dựng Clip tuyên truyền, quảng bá về du lịch Bắc Kạn.</t>
  </si>
  <si>
    <t>Tổ chức khảo sát, cập nhật thông tin, hình ảnh, dữ liệu mới về du lịch Bắc Kạn</t>
  </si>
  <si>
    <t>Tổ chức nghiên cứu, thâm nhập thị trường khách du lịch</t>
  </si>
  <si>
    <t xml:space="preserve">Tổ chức các hoạt động tập huấn, tổ chức, cá nhân kinh doanh dịch vụ du lịch, người lao động trong ngành du lịch </t>
  </si>
  <si>
    <t>Tổ chức hội nghị điểm đến du lịch Bắc Kạn tại Đà Nẵng</t>
  </si>
  <si>
    <t>Tham gia chương trình liên kết phát triển du lịch các tỉnh Đông Bắc và Thành phố Hồ Chí Minh</t>
  </si>
  <si>
    <t xml:space="preserve">Quản lý, duy trì hoạt động và viết tin bài tuyên truyền, quảng bá trên cổng thông tin du lịch thông minh tỉnh Bắc Kạn "dulich.backan.gov.vn" </t>
  </si>
  <si>
    <t>Tổ chức “Tuần Văn hóa - Du lịch Bắc Kạn” (bao gồm Ngày hội múa Bát người Tày tỉnh Bắc Kạn lần thứ nhất năm 2024)</t>
  </si>
  <si>
    <t>Đăng cai tổ chức Chương trình du lịch “Qua những miền di sản Việt Bắc” lần thứ XV Bắc Kạn năm 2024"</t>
  </si>
  <si>
    <t>Sáng tác ca khúc mới về Bắc Kạn</t>
  </si>
  <si>
    <t>Tổ chức Cuộc thi "Ảnh đẹp du lịch Bắc Kạn" lần thứ nhất</t>
  </si>
  <si>
    <t>Kinh phí mua xe ô tô cho Đoàn nghệ thuật dân tộc</t>
  </si>
  <si>
    <t>Đào tạo nghề cho lao động xuất ngũ</t>
  </si>
  <si>
    <t>Cai nghiện ma túy cho các đối tượng tự nguyện và bắt buộc</t>
  </si>
  <si>
    <t>Đồng phục cho viên chức và người lao động Cở sở Cai nghiện ma túy</t>
  </si>
  <si>
    <t xml:space="preserve">Kinh phí nuôi con nuôi </t>
  </si>
  <si>
    <t xml:space="preserve">Xây dựng CSDL ngành Lao động Thương binh Xã hội giai đoạn 1 </t>
  </si>
  <si>
    <t>Kiểm tra, đối chiếu khối lượng công việc của đề tài, dự án để phục vụ quyết toán và Chi tổ thẩm định nội dung, kinh phí các đề tài, dự án Khoa học và Công nghệ</t>
  </si>
  <si>
    <t>Kinh phí tổ chức hội thảo ngày 18/5</t>
  </si>
  <si>
    <t>Kinh phí nhiệm vụ bảo vệ cải tạo đất trồng lúa</t>
  </si>
  <si>
    <t>Họp hội đồng KHCN; Họp tiểu ban của HĐ xác định nhiệm vụ khoa học và công nghệ; Họp hội đồng chuyên ngành duyệt dự án mới; Họp hội đồng nghiệm thu; Kiểm tra tiến độ, Hội thảo; Đánh giá giữa kỳ các đề tài dự án; Quản lý KHCN cấp huyện; Hoạt động giám sát của Hội đồng KHCN tỉnh đối với các nhiệm nhiệm vụ KHCN;  thông báo tuyển chọn nhiệm vụ năm 2023; Tập huấn công tác quản lý nhà nước về KHCN.</t>
  </si>
  <si>
    <t>Kinh phí sơ kết, tổng kết, hỗ trợ công tác kiểm tra chỉ đạo sản xuất của ngành</t>
  </si>
  <si>
    <t>Mua sắm Trang thiết bị hội trường của Chi cục Phát triển nông thôn</t>
  </si>
  <si>
    <t>Chỉnh lý tài liệu từ năm 1997-2017 (20 năm)</t>
  </si>
  <si>
    <t>Hoạt động thanh tra ngành năm 2024</t>
  </si>
  <si>
    <t>Chương trình Bảo vệ nguồn lợi Thủy sản năm 2024</t>
  </si>
  <si>
    <t>Hoạt động của Ban chỉ đạo thực hiện Nghị quyết, Đề án tỉnh Bắc Kạn, giai đoạn 2021-2025</t>
  </si>
  <si>
    <t>Hướng dẫn thực hiện thông tin thống kê, triển khai bộ tiêu chí giám sát cơ cấu lại ngành nông nghiệp năm 2024</t>
  </si>
  <si>
    <t>Thực hiện thẩm định giá thuộc thẩm quyền của Sở Nông nghiệp và PTNT</t>
  </si>
  <si>
    <t>Thực hiện quy hoạch 3 loại rừng</t>
  </si>
  <si>
    <t>Thực hiện nhiệm vụ Phòng chống thiên tai - tìm kiếm cứu nạn tỉnh năm 2024</t>
  </si>
  <si>
    <t>Tập huấn nâng cao năng lực cho lực lượng xung kích phòng, chống thiên tai</t>
  </si>
  <si>
    <t>Cung cấp tài liệu khí tượng thủy văn phục vụ công tác phòng chống thiên tai - tìm kiếm cứu nạn năm 2024</t>
  </si>
  <si>
    <t xml:space="preserve">Hoạt động của Hội đồng đánh giá an toàn đập </t>
  </si>
  <si>
    <t>Truyền thông về công tác phòng chống thiên tai</t>
  </si>
  <si>
    <t>Trang thiết bị cho lực lượng xung kích cấp xã</t>
  </si>
  <si>
    <t>Kiểm tra cơ sơ sản xuất, kinh doanh nông lâm thủy sản dịp tết nguyên đán Giáp Thìn và lễ hội xuân năm 2024</t>
  </si>
  <si>
    <t>Kiểm tra liên ngành triển khai "Tháng hành động vì chất lượng ATTP" năm 2024</t>
  </si>
  <si>
    <t xml:space="preserve">Giám sát chất lượng sản phẩm nông lâm thủy sản năm 2024  </t>
  </si>
  <si>
    <t>Dự phòng kiểm tra đột xuất an toàn thực phẩm trên địa bàn tỉnh</t>
  </si>
  <si>
    <t>Dự phòng kiểm tra, xác minh đột xuất sâu bệnh hại trên cây trồng</t>
  </si>
  <si>
    <t>Kiểm tra, giám sát chất lượng vật tư nông nghiệp phục vụ sản xuất (tổng 2 vụ/năm)</t>
  </si>
  <si>
    <t>Tập huấn kỹ thuật sản xuất hữu cơ cho một số cây trồng chính</t>
  </si>
  <si>
    <t>Tuyên truyền, hướng dẫn về quản lý chất lượng, an toàn thực phẩm năm 2024</t>
  </si>
  <si>
    <t>Tham gia chương trình hội nghị, hội thảo thực hiện Chương trình phối hợp "Đảm bảo an toàn thực phẩm nâng cao chất lượng nông lâm thủy sản"</t>
  </si>
  <si>
    <t>Hỗ trợ xúc tiến thương mại, quảng bá sản phẩm nông lâm thủy sản do ngành nông nghiệp và PTNT quản lý</t>
  </si>
  <si>
    <t>Hướng dẫn thu gom, xử lý phụ phẩm cây trồng làm phân bón hữu cơ, giảm nhẹ phát thải khí nhà kính</t>
  </si>
  <si>
    <t>Mô hình sản xuất, cải tạo hồng không hạt theo hướng hữu cơ bền vững trên đất dốc (năm thứ 1)</t>
  </si>
  <si>
    <t xml:space="preserve">Thực hiện mua sắm trang thiết bị phục vụ công tác đặc thù lĩnh vực trồng trọt, bảo vệ thực vật </t>
  </si>
  <si>
    <t>Bồi dưỡng nâng cao nghiệp vụ điều tra, dự tính, dự báo sinh vật gây hại</t>
  </si>
  <si>
    <t xml:space="preserve">Chương trình bảo vệ vật nuôi </t>
  </si>
  <si>
    <t>Chương trình phòng bệnh lở mồm long móng</t>
  </si>
  <si>
    <t xml:space="preserve">Chương trình phòng dịch Cúm gia cầm </t>
  </si>
  <si>
    <t>Chương trình phòng bệnh dịch tả lợn châu phi</t>
  </si>
  <si>
    <t>Chương trình phòng bệnh động vật thủy sản</t>
  </si>
  <si>
    <t xml:space="preserve">Kinh phí xử lý vi phạm hành chính </t>
  </si>
  <si>
    <t xml:space="preserve">Kinh phí hỗ trợ Trạm chốt Kiểm dịch Quảng Chu và Khu cách ly động vật </t>
  </si>
  <si>
    <t>Kinh phí hỗ trợ cấp Kiểm dịch vận chuyển động vật</t>
  </si>
  <si>
    <t>Kiểm tra, hướng dẫn phát triển ngành nghề nông thôn  trên địa bàn tỉnh và kiểm tra đánh giá 02 làng nghề được công nhận năm 2023 theo kế hoạch số 588/KH-UBND ngày 16/9/2022</t>
  </si>
  <si>
    <t>Kiểm tra, hướng dẫn, đánh giá các dự án liên kết trong sản xuất và tiêu thụ sản phẩm nông nghiệp do các doanh nghiệp, hợp tác xã và UBND các xã phường, thị trấn làm chủ trì liên kết</t>
  </si>
  <si>
    <t>Kiểm tra, giám sát, hướng dẫn thực hiện Kinh tế tập thể (Hợp tác xã, tổ hợp tác, trang trại)</t>
  </si>
  <si>
    <t>Thẩm định, tổ chức Hội nghị công nhận làng nghề</t>
  </si>
  <si>
    <t>Kiểm tra, giám sát, thực hiện Chương trình bố trí dân cư</t>
  </si>
  <si>
    <t>In ấn biểu mẫu xử phạt vi phạm hành chính trong lĩnh vực lâm nghiệp (In ấn chỉ)</t>
  </si>
  <si>
    <t>Hội nghị tập huấn nâng cao năng lực nghiệp vụ thực hiện nhiệm vụ thiết lập hồ sơ xử lý vi phạm hành chính</t>
  </si>
  <si>
    <t>Mua trang phục ngành kiểm lâm</t>
  </si>
  <si>
    <t>In ấn tờ gấp tuyên truyền trong lĩnh vực lâm nghiệp</t>
  </si>
  <si>
    <t>Tập huấn nghiệp vụ cho kiểm lâm</t>
  </si>
  <si>
    <t>Đi thẩm định nội dung trình phê duyệt chủ trương chuyển mục đích sử dụng rừng sang mục đích khác trên địa bàn tỉnh Bắc Kạn</t>
  </si>
  <si>
    <t>Tuyên truyền quản lý bảo vệ rừng</t>
  </si>
  <si>
    <t>Diễn tập phòng cháy chữa cháy rừng (01 cuộc)</t>
  </si>
  <si>
    <t xml:space="preserve">Cập nhật theo dõi diễn biến rừng </t>
  </si>
  <si>
    <t>Sửa chữa, lắp đặt biển quản lý bảo vệ rừng</t>
  </si>
  <si>
    <t>Bồi dưỡng cho lực lượng tham gia chữa cháy rừng</t>
  </si>
  <si>
    <t>Chi cho người trực cháy và người được huy động trực cháy</t>
  </si>
  <si>
    <t>Kinh phí thực hiện nhiệm vụ Xây dựng cấp dự báo cháy rừng, bảng tra cấp dự báo cháy rừng trên địa bàn tỉnh Bắc Kạn</t>
  </si>
  <si>
    <t>Tập huấn công tác bảo tồn thiên nhiên, đa dạng sinh học</t>
  </si>
  <si>
    <t>Chi phí thuê nhà của Chốt kiểm soát lâm sản trên Quốc lộ 3 mới Thái Nguyên - Bắc Kạn</t>
  </si>
  <si>
    <t>Chi đảm bảo hoạt động xử phạt vi phạm hành chính và xử lý tài sản trong lĩnh vực quản lý bảo vệ rừng</t>
  </si>
  <si>
    <t xml:space="preserve">Chi thực hiện nhiệm vụ: Quản lý bảo vệ rừng đặc dụng </t>
  </si>
  <si>
    <t>Kinh phí các hạng mục theo phân kỳ năm 2024 phương án quản lý rừng bền vững Khu dự trữ thiên nhiên Kim Hỷ giai đoạn 2021-2030</t>
  </si>
  <si>
    <t>Kinh phí các hạng mục theo phân kỳ năm 2024 phương án quản lý rừng bền vững Khu bảo tồn loài - sinh cảnh Nam Xuân Lạc</t>
  </si>
  <si>
    <t>Mô hình luân canh lạc - Ngô ngọt theo hướng sản xuất hàng hóa gắn với liên kết tiêu thụ sản phẩm</t>
  </si>
  <si>
    <t>Mô hình thâm canh cây mơ trong thời kỳ kinh doanh gắn với liên kết tiêu thụ sản phẩm</t>
  </si>
  <si>
    <t>Mô hình chăn nuôi thâm canh, vỗ béo bò thịt (giống bò lai) gắn với liên kết tiêu thụ sản phẩm</t>
  </si>
  <si>
    <t>Mô hình ứng dụng tiến bộ kỹ thuật nuôi cá nước lạnh (cá tầm, cá hồi) trên địa bàn tỉnh Bắc Kạn</t>
  </si>
  <si>
    <t>Mô hình nuôi cá lồng thương phẩm (cá nheo mỹ), nâng cao giá trị cho người nuôi thủy sản</t>
  </si>
  <si>
    <t>Mô hình liên kết sản xuất và tiêu thụ sản phẩm cây dược liệu (cây khôi nhung tía)</t>
  </si>
  <si>
    <t>Xây dựng chương trình khoa giáo về chuỗi giá trị sản xuất nông lâm nghiệp từ khâu sản xuất đến khâu tiêu thụ</t>
  </si>
  <si>
    <t>Thu thập số liệu Bộ chỉ số theo dõi đánh giá nước sạch nông thôn năm 2024</t>
  </si>
  <si>
    <t>Tập huấn hướng dẫn công tác quản lý vận hành, sửa chữa công trình cấp nước tập trung nông thôn</t>
  </si>
  <si>
    <t>Kiểm tra đánh giá các đơn vị cấp nước thực hiện quản lý vận hành và cấp nước an toàn cấp nước nông thôn</t>
  </si>
  <si>
    <t>Điều tra, đánh giá nguồn lợi thủy sản tại các thủy vực trên địa bàn tỉnh Bắc Kạn</t>
  </si>
  <si>
    <t>Xây dựng mô hình và quy trình, hướng dẫn kỹ thuật thu gom, xử lý chất thải từ nấu rượu và chăn nuôi làm nguyên liệu đầu vào cho sản xuất nông nghiệp (thức ăn,  phân bón hữu cơ) gắn với xây dựng nông thôn mới tại xã Bằng Phúc, Phương Viên huyện Chợ Đồn, tỉnh Bắc Kạn.</t>
  </si>
  <si>
    <t>Hỗ trợ mua sắm trang thiết bị phòng họp</t>
  </si>
  <si>
    <t>Duy trì hoạt động hệ thống cơ sở dữ liệu môi trường</t>
  </si>
  <si>
    <t>Duy trì trang website và vận hành hệ thống máy chủ</t>
  </si>
  <si>
    <t>Bảo trì kho lưu trữ</t>
  </si>
  <si>
    <t>Xử lý tiếp biên dữ liệu không gian nền bản đồ tỷ lệ 1/1000 và 1/10000 của cơ sở dữ liệu đất đai huyện Ngân Sơn, tỉnh Bắc Kạn</t>
  </si>
  <si>
    <t>Thuê tư vấn định giá đất cụ thể</t>
  </si>
  <si>
    <t>Xây dựng bảng giá đất hàng năm</t>
  </si>
  <si>
    <t>Mua sắm giá, tủ chuyên dùng bảo quản tài liệu lưu trữ và hộp đựng tài liệu trong kho lưu trữ</t>
  </si>
  <si>
    <t>Mua sắm trang thiết bị, máy móc phục vụ công tác chuyên môn</t>
  </si>
  <si>
    <t>Triển khai thi hành Luật Đất đai (sửa đổi) theo Kế hoạch có hiệu lực từ 01/7/2024</t>
  </si>
  <si>
    <t>Lập Thiết kế kỹ thuật dự toán: Xây dựng cơ sở dữ liệu nền địa lý và bản đồ địa hình ở tỷ lệ 1:2000, 1:5000 các khu vực trung tâm của tỉnh Bắc Kạn</t>
  </si>
  <si>
    <t>Lập đề cương  dự toán nhiệm vụ: Xây dựng hệ thống giám sát hoạt động khai thác, sử dụng tài nguyên nước trên địa bàn tỉnh Bắc Kạn</t>
  </si>
  <si>
    <t>Lập đề cương dự toán nhiệm vụ: Lấy, đãi rửa, phân loại và phân tích mẫu trọng sa thiên tại các khu vực cát sỏi trên địa bàn tỉnh Bắc Kạn phục vụ công tác quản lý</t>
  </si>
  <si>
    <t>Kiểm kê đánh giá tài nguyên nước trên địa bàn tỉnh</t>
  </si>
  <si>
    <t>Tuyên truyền nâng cao nhận thức cộng đồng về bảo tồn đa dạng sinh học trên địa bàn tỉnh Bắc Kạn</t>
  </si>
  <si>
    <t xml:space="preserve">Tổ chức các hoạt động hưởng ứng Ngày môi trường thế giới 05/6 </t>
  </si>
  <si>
    <t xml:space="preserve">Hỗ trợ kinh phí cho chương trình phối hợp tuyên truyền bảo vệ môi trường </t>
  </si>
  <si>
    <t>Quan trắc môi trường tỉnh Bắc Kạn năm 2024</t>
  </si>
  <si>
    <t>Báo cáo công tác bảo vệ môi trường  tỉnh Bắc Kạn hàng năm</t>
  </si>
  <si>
    <t>Kinh phí thực hiện Kiểm kê đất đai cấp tỉnh năm 2024</t>
  </si>
  <si>
    <t>Đánh giá tác động của biến đổi khí hậu</t>
  </si>
  <si>
    <t>Dự án Đầu tư xây dựng trạm quan trắc môi trường tự động không khí trên địa bàn thành phố Bắc Kạn</t>
  </si>
  <si>
    <t>Xây dựng cơ sở dữ liệu đất đai huyện Bạch Thông và huyện Chợ Mới tỉnh Bắc Kạn</t>
  </si>
  <si>
    <t>Chuyển đổi hệ thống thông tin và cơ sở dữ liệu của Sở Tài nguyên và Môi trường sang Ttrung tâm tích hợp dữ liệu tỉnh</t>
  </si>
  <si>
    <t>Cập nhật dữ liệu, chỉnh lý giấy chứng nhận quyền sử dụng đất cho người dân do thay đổi thông tin về giấy chứng minh nhân dân trên địa bàn tỉnh Bắc Kạn</t>
  </si>
  <si>
    <t>Kinh phí thực hiện kiểm tra, giám sát (ngoại kiểm) về chất lượng nước sạch tại các cơ sở cung cấp nước tập trung và các công trình cấp nước nông thôn theo Quy chuẩn địa phương</t>
  </si>
  <si>
    <t>Mua tủ đựng mẫu bệnh phẩm của Trung tâm pháp y</t>
  </si>
  <si>
    <t>Kinh phí mua máy đo huyết áp cơ và tai nghe tim phổi một dây cho nhân viên y tế thôn bản</t>
  </si>
  <si>
    <t>Kinh phí hoạt động chỉ đạo tuyến</t>
  </si>
  <si>
    <t>Lò đốt rác thải của Trung tâm Y tế huyện Chợ Đồn</t>
  </si>
  <si>
    <t>Triển khai Hồ sơ bệnh án điện tử tại Bệnh viện đa khoa tỉnh Bắc Kạn</t>
  </si>
  <si>
    <t>Triển khai Hồ sơ Bệnh án điện tử tại Trung tâm Y tế huyện Bạch Thông</t>
  </si>
  <si>
    <t>Thực hiện chuyên môn bậc học mầm non (tập huấn các chương trình nâng cao chất lượng dạy học trong cơ sở giáo dục mầm mon; Hội thi "nhân viên nuôi dưỡng giỏi" cấp tỉnh năm học 2023-2024; giao lưu "Bé kể chuyện hay" cấp tỉnh cho trẻ em 5-6 tuổi;...)</t>
  </si>
  <si>
    <t>Thực hiện chuyên môn bậc học tiểu học (Hội nghị chuyên đề lớp 4; tập huấn các chương trình giáo dục tiểu học, tăng cường tiếng việt cho trẻ em trước khi vào lớp 1; Hội thi cán bộ quản lý giỏi tiểu học cấp tỉnh năm học 2023-2024;...)</t>
  </si>
  <si>
    <t>Thực hiện chuyên môn bậc học trung học cơ sở (tập huấn tài liệu bồi dưỡng học sinh giỏi cấp trung học cơ sở; hội thi nhân viên thư viện giỏi năm học 2023-2024; hội thi giáo viên chủ nhiệm giỏi cấp trung học cơ sở tỉnh Bắc Kạn;...)</t>
  </si>
  <si>
    <t>Thực hiện chuyên môn bậc học trung học phổ thông-giáo dục thường xuyên  (Hội nghị tập huấn, biên soạn tài liệu bồi dưỡng học sinh giỏi lớp khối trung học phổ thông; tập huấn giáo viên một số môn học: giáo dục quốc phòng - an ninh, giáo dục thể chất; tập huấn giải toán trên máy tính cầm tay cho giáo viên trường trung học phổ thông; Tổ chức cuộc thi giải toán trên máy tính cầm tay cho học sinh;...)</t>
  </si>
  <si>
    <t>Thực hiện chuyên môn thực hiện quản lý chất lượng giáo dục (Thi học sinh giỏi quốc gia lớp 12; thi học sinh giỏi bậc trung học cơ sở cấp tỉnh; Hội nghị tuyển sinh các trường phổ thông dân tộc nội trú; thi tuyển sinh vào lớp 10 khối trung học phổ thông; Thi lập đội tuyển học sinh giỏi quốc gia lớp 12 khối trung học phổ thông năm học 2024-2025; Tổ chức đánh giá ngoài và công nhận trường chuẩn quốc gia các trường Mầm non, Tiểu học, THCS và THPT và tập huấn Kiểm định chất lượng giáo dục;...)</t>
  </si>
  <si>
    <t>Thực hiện nhiệm vụ tổ chức đào tạo (Tập huấn năng lực, kỹ năng tư vấn học đường-chuyên đề; nâng cao nhận thức về bình đẳng giới, vì sự tiến bộ của phụ nữ; Tập huấn, bồi dưỡng giáo viên và cán bộ quản lý;...)</t>
  </si>
  <si>
    <t>Tổ chức thi tốt nghiệp Trung học phổ thông năm 2024</t>
  </si>
  <si>
    <t>Hỗ trợ chuyên môn trường THPT Chuyên (ôn luyện đội tuyển và tổ chức thi chọn học sinh giỏi cấp quốc gia; tham gia trại hè Hùng vương; tham gia các cuộc thi khác cấp khu vực và quốc gia)</t>
  </si>
  <si>
    <t>Hỗ trợ tiền điện nước cho Trung tâm giáo dục trẻ em khuyết tật</t>
  </si>
  <si>
    <t>Thực hiện nâng trình độ chuẩn được đào tạo của giáo viên mầm non, tiểu học, trung học cơ sở theo Nghị định số 71/2020/NĐ-CP ngày 30/6/2020 của Chính phủ quy định lộ trình thực hiện nâng trình độ chuẩn được đào tạo của giáo viên mầm non, tiểu học, trung học cơ sở</t>
  </si>
  <si>
    <t>Bồi dưỡng thường xuyên giáo viên, cán bộ quản lý cơ sở giáo dục để cập nhật kiến thức thường xuyên theo Thông tư số 19/2019/TT-BGDĐT ngày 12/11/2019 của Bộ Giáo dục và Đào tạo ban hành quy chế bồi dưỡng thường xuyên giáo viên, cán bộ quản lý cơ sở giáo dục mầm non, cơ sở giáo dục phổ thông và giáo viên trung tâm giáo dục thường xuyên.</t>
  </si>
  <si>
    <t>Các nhiệm vụ về công tác học sinh sinh viên (Công tác phổ biến giáo dục pháp luật; y tế, giáo dục giới tính; sức khoẻ sinh sản vị thành niên)</t>
  </si>
  <si>
    <t>Thực hiện công tác Y tế học đường, giáo dục giới tính, sức khỏe học đường, tầm vóc Việt; Sức khỏe tâm thần cho trẻ em học sinh; Phòng chống thiên tai, giáo dục môi trường).</t>
  </si>
  <si>
    <t>Thực hiện Đề án đổi mới chương trình, sách giáo khoa giáo dục phổ thông.</t>
  </si>
  <si>
    <t>Thực hiện Đề án “Tăng cường chuẩn bị tiếng Việt cho trẻ em mầm non và học sinh tiểu học vùng dân tộc thiểu số giai đoạn 2016-2020, định hướng đến 2025”-Bồi dưỡng tiếng dân tộc thiểu số</t>
  </si>
  <si>
    <t xml:space="preserve">Thực hiện Đề án dạy và học ngoại ngữ trong hệ thống giáo dục quốc dân năm 2024 trên địa bàn tỉnh Bắc Kạn </t>
  </si>
  <si>
    <t>Thực hiện Đề án "Xây dựng xã hội học tập giai đoạn 2021-2030"</t>
  </si>
  <si>
    <t>Đề án tăng cường cơ sở vật chất (Mua thiết bị dạy học thực hiện chương trình giáo dục phổ thông năm 2018 cho các trường trực thuộc Sở Giáo dục và Đào tạo)</t>
  </si>
  <si>
    <t>Bồi dưỡng nghiệp vụ tư vấn tâm lý học đường trong trường phổ thông.</t>
  </si>
  <si>
    <t>Điều tra đo lường sự hài lòng của người dân đối với dịch vụ giáo dục công</t>
  </si>
  <si>
    <t>Hỗ trợ chào mừng 20/11 và kỷ niệm các ngày Lễ lớn</t>
  </si>
  <si>
    <t>Tổ chức các Hội nghị lớn của ngành giáo dục (Sơ kết, tổng kết năm học, giao ban toàn ngành, Hội nghị của Bộ Giáo dục và Đào tạo tổ chức tại tỉnh, truyền thông về giáo dục và đào tạo, công tác bảo vệ bí mật nhà nước)</t>
  </si>
  <si>
    <t>Hội khỏe phù đổng cấp tỉnh lần thứ X năm 2024</t>
  </si>
  <si>
    <t>Hội khỏe phù đổng cấp khu vực I và toàn quốc năm 2024</t>
  </si>
  <si>
    <t>Mua sắm sách giáo khoa phục vụ học sinh, giáo viên và hỗ trợ tổ chức lễ kỷ niệm 20 thành lập Trung tâm giáo dục trẻ em khuyết tật</t>
  </si>
  <si>
    <t>Đào tạo, bồi dưỡng giáo viên theo Nghị quyết số 16/2022/HĐND ngày 18/10/2022 của HĐND tỉnh quy định một số nội dung và mức chi hỗ trợ đào tạo, bồi dưỡng giáo viên để đáp ứng thực hiện Chương trình giáo dục phổ thông 2018 trên địa bàn tỉnh Bắc Kạn</t>
  </si>
  <si>
    <t>Mua sắm trang thiết bị văn phòng Sở Giáo dục và Đào tạo do chuyển trụ sở làm việc mới sau sửa chữa, mua sắm, bổ sung thay thế thiết bị văn phòng đã hết khấu hao thường niên</t>
  </si>
  <si>
    <t>Thực hiện nhiệm vụ Thanh tra (thanh tra kiểm tra, giám sát các cuộc thi trong khối giáo dục; xác minh, giải quyết đơn thư khiếu nại; mua sắm trang phục thanh tra; …)</t>
  </si>
  <si>
    <t>Thực hiện công tác phòng cháy chữa cháy và cứu hộ cứu nạn (Tổ chức các lớp tập huấn toàn ngành, mua trang thiết bị phòng cháy chữa cháy và cứu hộ cứu nạn)</t>
  </si>
  <si>
    <t>Tuyển dụng viên chức ngành giáo dục và đào tạo</t>
  </si>
  <si>
    <t>Thực hiện chính sách hỗ trợ học sinh và trường phổ thông ở xã, thôn đặc biệt khó khăn theo Nghị định số 116/2016/NĐ-CP ngày 16/7/2016 của Chính phủ</t>
  </si>
  <si>
    <t xml:space="preserve">Chế độ cho học sinh dân tộc nội trú theo Thông tư liên tịch số 109/2009/TTLT-BTC-BGDĐT ngày 29/5/2009 của Bộ Tài chính - Bộ Giáo dục và Đào tạo hướng dẫn một số chế độ tài chính đối với học sinh các trường phổ thông dân tộc nội trú và các trường dự bị đại học dân tộc </t>
  </si>
  <si>
    <t xml:space="preserve"> Thực hiện chính sách miễn, giảm học phí, hỗ trợ chi phí học tập theo Nghị định số 81/2021/NĐ-CP ngày 27/8/2021 của Chính phủ quy định về cơ chế thu, quản lý học phí đối với cơ sở giáo dục thuộc hệ thống giáo dục quốc dân và chính sách miễn, giảm học phí, hỗ trợ chi phí học tập; giá dịch vụ trong lĩnh vực giáo dục, đào tạo.</t>
  </si>
  <si>
    <t>Khoán kinh phí sửa chữa, bảo dưỡng cơ sở vật chất, bổ sung mua sắm sửa chữa  thiết bị của các đơn vị sự nghiệp trực thuộc Sở Giáo dục và Đào tạo.</t>
  </si>
  <si>
    <t>Thực hiện chính sách giáo dục đối với người khuyết tật theo Thông tư liên tịch số 42/2013/TTLT-BGDĐT-BLĐTBXH-BTC ngày 31/12/2013 của Bộ trưởng Bộ Giáo dục và Đào tạo, Bộ trưởng Bộ Lao động - Thương binh và Xã hội, Bộ trưởng Bộ Tài chính ban hành Thông tư liên tịch quy định chính sách về giáo dục đối với người khuyết tật</t>
  </si>
  <si>
    <t>Chế độ cho giáo viên dạy học sinh khuyết tật học hòa nhập theo Nghị định số 28/2012/NĐ-CP của Chính phủ quy định chi tiết và hướng dẫn thi hành một số điều của Luật người khuyết tật</t>
  </si>
  <si>
    <t>Học bổng học sinh trường Chuyên theo Nghị quyết số 05/2014/NQ-HĐND ngày 29/4/2014 của HĐND tỉnh Bắc Kạn về việc quy định mức học bổng khuyến khích học tập cho học sinh giỏi trường Trung học phổ thông Chuyên Bắc Kạn; mức khen, thưởng cho học sinh đạt giải quốc gia, quốc tế, khu vực quốc tế và giáo viên có học sinh đạt giải quốc gia, quốc tế, khu vực quốc tế trên địa bàn tỉnh Bắc Kạn</t>
  </si>
  <si>
    <t>Hỗ trợ học sinh bán trú trên địa bàn tỉnh theo Nghị quyết số 54/2016/NQ-HĐND ngày 06/11/2016 của HĐND tỉnh Bắc Kạn về việc quy định cụ thể thực hiện một số nội dung Nghị định số 116/2016/NĐ-CP ngày 18/7/2016 của Chính phủ và một số chính sách hỗ trợ của địa phương đối với các trường phổ thông có học sinh bán trú trên địa bàn tỉnh</t>
  </si>
  <si>
    <t>Kinh phí tham quan học tập của nhà giáo, cán bộ quản lý giáo dục đang công tác tại các trường chuyên biệt đóng trên địa bàn có điều kiện kinh tế - xã hội đặc biệt khó khăn theo Nghị định số 61/2006/NĐ-CP ngày 20/6/2006 của Chính phủ</t>
  </si>
  <si>
    <t>Kinh phí vận chuyển gạo cho các trường học theo Nghị định số 116/2016/NĐ-CP ngày 18/7/2016 của Chính phủ quy định chính sách hỗ trợ học sinh và trường phổ thông ở xã, thôn đặc biệt khó khăn.</t>
  </si>
  <si>
    <t>Thực hiện chính sách ưu tiên tuyển sinh và hỗ trợ học tập đối với trẻ mẫu giáo, học sinh dân tộc thiểu số rất ít người theo Nghị định số 57/2017/NĐ-CP ngày 09/5/2017 của Chính phủ</t>
  </si>
  <si>
    <t>Chính sách hỗ trợ sinh hoạt phí và học phí cho sinh viên sư phạm theo nghị định số 116/2020/NĐ-CP ngày 25/9/2020 của Chính phủ</t>
  </si>
  <si>
    <t>Triển khai nền tảng hệ sinh thái giáo dục thông minh (Giai đoạn 1)</t>
  </si>
  <si>
    <t xml:space="preserve">Hoạt động thanh tra, hoạt động thanh tra liên ngành, trang phục thanh tra </t>
  </si>
  <si>
    <t>Triển khai mạng diện rộng (WAN) trên nền tảng mạng truyền số liệu chuyên dùng tỉnh</t>
  </si>
  <si>
    <t>Xây dựng Kho dữ liệu dùng chung của tỉnh</t>
  </si>
  <si>
    <t>Thuê phần mềm Quản lý văn bản và điều hành tỉnh Bắc Kạn</t>
  </si>
  <si>
    <t>Hợp nhất Cổng dịch vụ công với Hệ thống thông tin một cửa điện tử của tỉnh để tạo lập Hệ thống thông tin giải quyết thủ tục hành chính</t>
  </si>
  <si>
    <t>Kế hoạch thuê dịch vụ CNTT phần mềm QLTT cán bộ, công chức, viên chức và lao động HĐ theo Nghị định số 68/2000/NĐ-CP ngày 17/11/2000 của Chính phủ</t>
  </si>
  <si>
    <t>Triển khai hệ thống Wifi công cộng trên địa bàn tỉnh</t>
  </si>
  <si>
    <t>Thuê dịch vụ công nghệ thông tin (CNTT) đối với hệ thống điều khiển Hội nghị truyền hình trực tuyến tại điểm cầu cấp tỉnh thuộc dự án Nâng cấp, mở rộng hệ thống HNTHTT đang sử dụng hiện nay đến cấp xã</t>
  </si>
  <si>
    <t>Hệ thống điều khiển trung tâm hội nghị truyền hình trực tuyến tỉnh (MCU)</t>
  </si>
  <si>
    <t>Nâng cấp, mở rộng Cơ sở dữ liệu phần mềm quản lý thông tin cán bộ, công chức, viên chức và hợp đồng lao động theo Nghị định số 68/2000/NĐ-CP ngày 17/11/2000 của Chính phủ.</t>
  </si>
  <si>
    <t>Dịch vụ thu thập, phân tích và quản trị đảm bảo an toàn thông tin</t>
  </si>
  <si>
    <t>Thuê  kiểm tra, đánh giá định kỳ ATTT; giám sát an toàn hệ thống thông tin cho các hệ thống thông tin của tỉnh Bắc Kạn</t>
  </si>
  <si>
    <t>Mua sắm thiết bị đầu cuối cho các Sở/Ngành kết nối hệ thống Hội nghị truyền hình trực tuyến tỉnh</t>
  </si>
  <si>
    <t>Triển khai ứng dụng Công dân số Bắc Kạn</t>
  </si>
  <si>
    <t xml:space="preserve">Thu hồi phát hiện sai phạm qua thanh tra </t>
  </si>
  <si>
    <t>Chi khen thưởng cho cá nhân, tập thể công tác trong ngành thanh tra</t>
  </si>
  <si>
    <t xml:space="preserve">Xác minh tài sản thu nhập </t>
  </si>
  <si>
    <t>Bồi dưỡng nghiệp vụ tiếp công dân, xử lý đơn thư, giải quyết khiếu nại tố cáo</t>
  </si>
  <si>
    <t>Bồi dưỡng nghiệp vụ thanh tra: Hướng dẫn thực hiện các Nghị định thông tư quy định thực hiện Luật Thanh tra</t>
  </si>
  <si>
    <t>Hoạt động của Ban chỉ đạo phòng chống tham nhũng</t>
  </si>
  <si>
    <t>Hỗ trợ tiền điện, vận hành trạm biến áp</t>
  </si>
  <si>
    <t>Tổ chức các hoạt động kỷ niệm 80 năm ngày thành lập quân đội nhân dân Việt Nam và 35 năm ngày hội quốc phòng toàn dân của lực lượng vũ trang tỉnh Bắc Kạn</t>
  </si>
  <si>
    <t>Dự toán kinh phí chi học bổng chính sách nội trú Quyết định số 53/2015/QĐ-TTg ngày 20/10/2015 của Thủ tướng Chính phủ</t>
  </si>
  <si>
    <t>Dự toán chính sách hỗ trợ học sinh, sinh viên theo Nghị quyết số 02/2019/NQ-HĐND ngày 17/4/2019 của Hội đồng nhân dân tỉnh Bắc Kạn</t>
  </si>
  <si>
    <t>Kinh phí cấp bù học phí cho người học thuộc diện miễn, giảm học phí theo Nghị định số 81/2021/NĐ-CP ngày 27/8/2021 của Chính phủ</t>
  </si>
  <si>
    <t>Lớp Bồi dưỡng tiếng anh giao tiếp theo Kế hoạch số 206-KH/TU ngày 03/11/2023 của Tỉnh ủy đào tạo, bồi dưỡng, tập huấn cán bộ, công chức, viên chức năm 2024</t>
  </si>
  <si>
    <t>Dự án Dạy nghề tại tỉnh Bắc Kạn giai đoạn II (VIE/034) (ghi thu, ghi chi vốn viện trợ không hoàn lại của Chính phủ Luxembourg tài trợ)</t>
  </si>
  <si>
    <t>Tuyên truyền, kiểm tra, thanh tra, tổng hợp chính sách dân tộc, thăm hỏi đồng bào dân tộc</t>
  </si>
  <si>
    <t>Tổ chức Đại hội dân tộc thiểu số lần thứ 4 năm 2024</t>
  </si>
  <si>
    <t>Nâng cấp Trang thông tin điện tử Ban Dân tộc</t>
  </si>
  <si>
    <t>Các hoạt động liên quan đến xúc tiến đầu tư</t>
  </si>
  <si>
    <t>Duy trì  Trang thông tin điện tử xúc tiến đầu tư (Chi trả nhuận bút, thù lao)</t>
  </si>
  <si>
    <t>Chỉnh lý, lưu trữ tài liệu hồ sơ (Hỗ trợ chi mua vật tư, văn phòng phẩm)</t>
  </si>
  <si>
    <t>Kinh phí mua xe ô tô (xe 2 cầu)</t>
  </si>
  <si>
    <t>Công trình sửa chữa Trạm xử lý nước thải, quan trắc môi trường Khu công nghiệp Thanh Bình</t>
  </si>
  <si>
    <t>Kiểm tra, giám sát thực hiện quy chế quản lý sản phẩm OCOP (Phối hợp với các đơn vị liên quan)</t>
  </si>
  <si>
    <t>Đi kiểm tra thực tế cơ sở sản xuất của chủ thể có tiềm năng đạt 3 sao</t>
  </si>
  <si>
    <t>Tham gia hoạt động xúc tiến thương mại (Tham gia hội chợ triển lãm, các hoạt động  quảng bá sản phẩm OCOP ( bao gồm kinh phí thuê gian hàng; thuê xe vận chuyển, trang trí gian hàng, công tác phí, tiền ngủ...)</t>
  </si>
  <si>
    <t>Kiểm nghiệm sản phẩm tham gia chương trình OCOP</t>
  </si>
  <si>
    <t>Chi phí thực hiện nhiệm vụ của Văn phòng điều phối</t>
  </si>
  <si>
    <t>Kinh phí thực hiện nhiệm vụ của Văn phòng Tỉnh ủy</t>
  </si>
  <si>
    <t>Kinh phí thực hiện nhiệm vụ của Đảng ủy các cơ quan tỉnh</t>
  </si>
  <si>
    <t>Kinh phí thực hiện nhiệm vụ của Ban Bảo vệ, chăm sóc sức khỏe cán bộ tỉnh</t>
  </si>
  <si>
    <t>Tổ chức các hoạt động kỷ niệm 80 năm Ngày thành lập Quân đội nhân dân Việt Nam; 35 năm ngày hội quốc phòng toàn dân</t>
  </si>
  <si>
    <t>Đầu tư thiết bị phục vụ phòng họp không giấy tại trụ sở Tỉnh ủy</t>
  </si>
  <si>
    <t>Lớp Trung cấp lý luận chính trị K.77, hệ không tập trung, khóa 2023-2024</t>
  </si>
  <si>
    <t xml:space="preserve">Xuất bản bản tin “Thông tin lý luận và thực tiến Trường Chính trị tỉnh Bắc Kạn” </t>
  </si>
  <si>
    <t>Nghiên cứu đề tài khoa học cơ sở (cấp trường)</t>
  </si>
  <si>
    <t xml:space="preserve">Hội thảo khoa học cấp tỉnh </t>
  </si>
  <si>
    <t>Hoạt động website của Trường Chính trị tỉnh để phục vụ công tác đào tạo, bồi dưỡng cán bộ trong tỉnh</t>
  </si>
  <si>
    <t>Thực hiện biên soạn sách chuyên khảo</t>
  </si>
  <si>
    <t>Hỗ trợ tiền điện, nước phục vụ hội trường, giảng đường, lớp học, nhà ký túc xá</t>
  </si>
  <si>
    <t>Mua sắm trang thiết bị phục vụ công tác đào tạo, bồi dưỡng cán bộ, công chức, viên chức của tỉnh</t>
  </si>
  <si>
    <t>Kinh phí thực hiện các lớp đào tạo, bồi dưỡng theo Kế hoạch số 206-KH/TU ngày 03/11/2023 của Tỉnh ủy Bắc Kạn</t>
  </si>
  <si>
    <t>Hoạt động đền ơn đáp nghĩa, uống nước nhớ nguồn, tri ân các anh hùng liệt sĩ 27/7</t>
  </si>
  <si>
    <t>Tổ chức Chương trình thiếu nhi Bắc Kạn lan tỏa phong trào "Kế hoạch nhỏ-Ý nghĩa lớn" nhân kỷ niệm 65 năm phong trào Kế hoạch nhỏ</t>
  </si>
  <si>
    <t>Giáo dục lý tưởng cách mạng, đạo đức, lối sống và khơi dậy khát vọng cống hiến cho thanh niên, thiếu niên, nhi đồng</t>
  </si>
  <si>
    <t xml:space="preserve">Diễn đàn Nâng cao công tác phát triển đảng trong học sinh, sinh viên khối các trường THPT, Cao đẳng </t>
  </si>
  <si>
    <t>Hỗ trợ đăng cai trại huấn luyện Kim Đồng cấp 1 khu vực phía Bắc năm 2024</t>
  </si>
  <si>
    <t>Hoạt động Khu Di tích lịch sử TNXP Nà Tu (Năm 2024 chuyển mục Lễ dâng hương các ngày Lễ lớn, Tết Nguyên đán - phục vụ lãnh đạo tỉnh vào hoạt động Khu di tích)</t>
  </si>
  <si>
    <t>Hỗ trợ hoạt động của Trung tâm thanh thiếu nhi: Tổ chức Đêm hội Trung thu cho thiếu nhi vùng sâu vùng xa</t>
  </si>
  <si>
    <t>Duy trì hoạt động đường dây nóng và góc tư vấn phòng chống bạo lực gia đình (Thông báo số 62/TB-BTV ngày 10/11/2016; Quyết định số 20/QĐ-BTV ngày 23/5/2017 về việc thành lập mạng lưới phòng chống bạo lực giới.</t>
  </si>
  <si>
    <t>Thực hiện Đề án 1893/QĐ-TTg ngày 31/8/2018 của Thủ tướng Chính phủ về bồi dưỡng cán bộ, công chức Hội LHPN các cấp và Chi hội trưởng phụ nữ giai đoạn 2019 - 2025. (Nguồn TW)</t>
  </si>
  <si>
    <t>Tổ chức chấm, lựa chọn bài tham dự Hội thi "Ứng dụng công nghệ thông tin trong tổ chức sinh hoạt Hội" do Hội LHPN Việt Nam chủ trì tổ chức</t>
  </si>
  <si>
    <t>Tổ chức 03 Hội nghị cụm thi đua 7 tỉnh Trung du và miền núi phía Bắc tại Bắc Kạn</t>
  </si>
  <si>
    <t>Sửa chữa lớn xe ô tô BKS 97A-00035</t>
  </si>
  <si>
    <t>Kinh phí hỗ trợ hoạt động của Ban vận động Quỹ "Vì người nghèo" tỉnh</t>
  </si>
  <si>
    <t>Kinh phí Ban Cứu trợ tỉnh</t>
  </si>
  <si>
    <t xml:space="preserve">Chủ trì phối hợp với các đoàn thể giám sát tổ chức 2 cuộc giám sát </t>
  </si>
  <si>
    <t>Kinh phí Tổ chức Hội nghị tổng kết giao ban Cụm thi đua 7 tỉnh trung du và miền núi phía Bắc tại Bắc Kạn</t>
  </si>
  <si>
    <t>Kinh phí thực hiện Đề án số 01 "Nâng cao chất lượng hiệu quả, hoạt động của Ủy ban MTTQ Việt Nam các cấp và Ban công tác Mặt trận ở khu dân cư tỉnh Bắc Kạn</t>
  </si>
  <si>
    <t>Tổ chức 01 cuộc giám sát theo Quyết định số 217-QĐ/TW ngày 12/12/2013 của Bộ Chính trị năm 2024</t>
  </si>
  <si>
    <t>Hội nghị đối thoại trực tuyến của Chủ tịch UBND tỉnh với nông dân</t>
  </si>
  <si>
    <t>Hội nghị trực tuyến đối thoại giữa Thủ tướng Chính phủ với nông dân  năm 2024 điểm cầu tại tỉnh (hỗ trợ đại biểu không hưởng lương từ ngân sách dự hội nghị)</t>
  </si>
  <si>
    <t>Tổ chức hội nghị đánh giá 05 năm thực hiện 03 Nghị quyết của BCH TW Hội (khóa VII) về xây dựng Hội Nông dân trong sạch, vững mạnh.</t>
  </si>
  <si>
    <t>Hoạt động của Ban chỉ đạo thực hiện Đề án 61 năm 2024</t>
  </si>
  <si>
    <t>Tổ chức Hội thi tuyên truyền viên giỏi năm 2024</t>
  </si>
  <si>
    <t>Tập huấn nghiệp vụ công tác Hội cho cán bộ Hội nông dân cơ sở nhiệm kỳ 2023 - 2028</t>
  </si>
  <si>
    <t xml:space="preserve">Hội nghị biểu dương nông dân sản xuất, kinh doanh giỏi tỉnh Bắc Kạn lần thứ X, giai đoạn 2021 - 2024 </t>
  </si>
  <si>
    <t xml:space="preserve">Kinh phí đối ứng từ Ngân sách nhà nước của tỉnh Bắc Kạn tiếp tục tham gia thực hiện Chương trình Hỗ trợ rừng và trang trại (FFF) của gia đoạn II của tổ chức Nông Lương Liên hiệp Quốc (FAO) tại Việt Nam trên địa bàn tỉnh năm 2024 </t>
  </si>
  <si>
    <t>Sửa chữa lớn xe ô tô biển kiểm soát 97A - 00006</t>
  </si>
  <si>
    <t>Tổ chức Đại hội thi đua yêu nước "Cựu chiến binh gương mẫu" tỉnh Bắc Kạn lần thứ VII, giai đoạn 2019-2024</t>
  </si>
  <si>
    <t>Tổ chức hội diễn "tiếng hát Cựu chiến binh" cấp tỉnh</t>
  </si>
  <si>
    <t>Hỗ trợ tổ chức Hội nghị giao ban 6 tháng đầu năm Công tác Hội và Phong trào Chữ thập đỏ Cụm thi đua số 4 tại Hồ Ba Bể huyện Ba Bể</t>
  </si>
  <si>
    <t>Kinh phí tham gia Hội trại thanh thiếu niên, tình nguyện viên Chữ thập đỏ toàn quốc lần thứ VI</t>
  </si>
  <si>
    <t>Xuất bản Bản tin nhân đạo</t>
  </si>
  <si>
    <t xml:space="preserve">Chuyên mục Truyền hình nhân đạo </t>
  </si>
  <si>
    <t xml:space="preserve">Hỗ trợ tổ chức Hội nghị giao ban cụm I các tỉnh miền núi phía bắc tại tỉnh Bắc Kạn (Thái Nguyên, Tuyên Quang, Hà Giang, Cao Bằng, Bắc Kạn). </t>
  </si>
  <si>
    <t>Tổ chức hội nghị gặp mặt các Hợp tác xã hàng năm</t>
  </si>
  <si>
    <t>Họp Ban chấp hành, Ban thường vụ (02 lần/ năm)</t>
  </si>
  <si>
    <t>Tổ chức diễn đàn nhân ngày HTX Việt Nam(11/4)</t>
  </si>
  <si>
    <t>Hướng dẫn tư vấn trực tiếp Hợp tác xã ( HTX), LHHTX, THT thành lập mới</t>
  </si>
  <si>
    <t>Củng cố hoạt động, giải thể HTX</t>
  </si>
  <si>
    <t>Khảo sát đánh giá tình hình hoạt động của các HTX hàng năm</t>
  </si>
  <si>
    <t>Tổ chức các lớp tuyên truyền kiến thức về HTX theo Luật HTX năm 2023 và các văn bản về tuyên truyền Nghị quyết số 20-NQ/TW ngày 16/6/2022 của Ban Chấp hành Trung ương Đảng khóa XIII về tiếp tục đổi mới, phát triển và nâng cao hiệu quả kinh tế tập thể trong giai đoạn mới; Nghị quyết số 09/NQ-CP ngày 02/02/2023 của Chính phủ ban hành Chương trình hành động của Chính phủ thực hiện Nghị quyết số 20-NQ/TW...</t>
  </si>
  <si>
    <t>Hỗ trợ xúc tiến thương mại (03 đợt/năm)</t>
  </si>
  <si>
    <t>Hỗ trợ nguồn nhân lực; Kiểm tra nguồn nhân lực (02 đợt/năm)</t>
  </si>
  <si>
    <t>Xuất bản Tạp chí Văn nghệ Ba Bể in và Tạp chí văn nghệ Ba Bể online</t>
  </si>
  <si>
    <t>Tổng kết, trao giải báo chí Bắc Kạn lần thứ X (Hai năm tổ chức một lần)</t>
  </si>
  <si>
    <t xml:space="preserve">Tổ chức Đại hội Đại biểu Hội Luật gia tỉnh Bắc Kạn lần thứ V, nhiệm kỳ 2024-2029 vào tháng 8 năm 2024 </t>
  </si>
  <si>
    <t>Hỗ trợ tổ chức Hội nghị giao ban Cụm thi đua Hội Cựu TNXP 6 tỉnh Việt Bắc</t>
  </si>
  <si>
    <t>Tiếp tục tổ chức đưa nạn nhân chất độc da cam đi nuôi dưỡng, xông hơi giải độc và phục hồi chức năng tại Trung tâm Bảo trợ xã hội thuộc Hội Nạn nhân chất độc da cam/dioxin Việt Nam.</t>
  </si>
  <si>
    <t xml:space="preserve">Kinh phí tổ chức cuộc thi Sáng tạo thanh thiếu niên, nhi đồng tỉnh Bắc Kạn </t>
  </si>
  <si>
    <t>Tổ chức lễ tôn vinh danh hiệu "Trí thức tiêu biểu về khoa học và công nghệ"  "Điển hình lao động sáng tạo" "Tài năng trẻ về Khoa học và công nghệ" tỉnh Bắc K ạn lần thứ 2 năm 2024</t>
  </si>
  <si>
    <t>Hỗ trợ kinh phí tổ chức các hoạt động kỷ niệm 80 năm ngày thành lập quân đội nhân dân Việt Nam và 35 năm ngày hội quốc phòng toàn dân của lực lượng vũ trang tỉnh Bắc Kạn</t>
  </si>
  <si>
    <t>Hỗ trợ kinh phí tổ chức đại hội thi đua quyết thắng lực lượng vũ trang tỉnh Bắc Kạn giai đoạn 2019 - 2024</t>
  </si>
  <si>
    <t>Hỗ trợ kinh phí bảo đảm cho Hội thao quốc phòng lực lượng dân quân tự vệ</t>
  </si>
  <si>
    <t>Đảm bảo công tác xây dựng, huấn luyện lực lượng dự bị động viên</t>
  </si>
  <si>
    <t>Kinh phí hoạt động của Tiểu Ban an toàn, an ninh mạng tỉnh Bắc Kạn</t>
  </si>
  <si>
    <t>Kinh phí thực hiện nhiệm vụ an ninh, chính trị đặc thù</t>
  </si>
  <si>
    <t>Kinh phí thực hiện Đề án xây dựng Công an phường điển hình, kiểu mẫu về an ninh, trật tự và văn minh đô thị năm 2024</t>
  </si>
  <si>
    <t>Mua sắm máy tính, máy in, máy scan phục vụ triển khai Đề án 06</t>
  </si>
  <si>
    <t>Chi nhành Ngân hàng chính sách xã hội tỉnh Bắc Kạn</t>
  </si>
  <si>
    <t>Kinh phí mua thẻ BHYT cho các đối tượng chính sách</t>
  </si>
  <si>
    <t>Chính sách hỗ trợ người đóng bảo hiểm xã hội tự nguyện</t>
  </si>
  <si>
    <t>Kinh phí hoạt động cho Đoàn Hội thẩm nhân dân hai cấp tỉnh Bắc Kạn</t>
  </si>
  <si>
    <t>Kinh phí xét xử, xét xử lưu động, xét xử phiên tòa trực tuyến</t>
  </si>
  <si>
    <t>Phụ cấp dân quân tự vệ: 18 triệu đồng</t>
  </si>
  <si>
    <t>Hỗ trợ kinh phí tổ chức Lễ phát động Tháng công nhân</t>
  </si>
  <si>
    <t>Tổ chức Hội nghị đối thoại của Chủ tịch UBND tỉnh với công nhân, viên chức, lao động trên địa bàn tỉnh</t>
  </si>
  <si>
    <t>Tổ chức Hội thi cán bộ công đoàn giỏi cấp tỉnh lần thứ hai năm 2024</t>
  </si>
  <si>
    <t>Tổ chức giám sát việc chấp hành các quy định của pháp luật về lao động tại doanh nghiệp trên địa bàn tỉnh.</t>
  </si>
  <si>
    <t>Phụ cấp cấp ủy: 13 triệu đồng</t>
  </si>
  <si>
    <t>Kinh phí tổ chức thực hiện xây dựng "Cơ quan đạt chuẩn văn hóa", "Đơn vị đạt chuẩn văn hóa", "Doanh nhiệp đạt chuẩn văn hóa" trên địa bàn tỉnh Bắc Kạn</t>
  </si>
  <si>
    <t>Cục Thi hành án dân sự</t>
  </si>
  <si>
    <t>Kinh phí Ban Chỉ đạo thi hành án dân sự</t>
  </si>
  <si>
    <t>Hỗ trợ công tác thi hành án dân sự</t>
  </si>
  <si>
    <t>Cục quản lý thị trường</t>
  </si>
  <si>
    <t>Kinh phí hoạt động của BCĐ 389 tỉnh</t>
  </si>
  <si>
    <t>Kinh phí hoạt động của Đoàn kiểm tra liên ngành khoán ản của tỉnh</t>
  </si>
  <si>
    <t>Kinh phí thực hiện Chương trình phát triển lâm nghiệp bền vững</t>
  </si>
  <si>
    <t>Hỗ trợ đóng bảo hiểm theo Quyết định số 42/2012/QĐ-TTG ngày 08/10/2012 của Thủ tướng Chính phủ</t>
  </si>
  <si>
    <t>Kinh phi xây dựng phương án quản lý rừng bền vững Công ty TNHH MTV Lâm nghiệp Bắc Kạn giai đoạn 2021-2030 (70% dự toán phê duyệt)</t>
  </si>
  <si>
    <t>Công ty TNHH MTV Quản lý khai thác công trình thủy lợi Bắc Kạn</t>
  </si>
  <si>
    <t>Kinh phí quản lý, vận hành, bảo trì công trình thủy lợi Hồ chứa nước Nặm cắt, tỉnh Bắc Kạn</t>
  </si>
  <si>
    <t>HTX Phja Làng</t>
  </si>
  <si>
    <t>HTX Đại Hà</t>
  </si>
  <si>
    <t>HTX công nghệ cao BK FOODS</t>
  </si>
  <si>
    <t xml:space="preserve">HTX nông nghiệp xanh GREEN TECH </t>
  </si>
  <si>
    <t>HTX Phương Giang</t>
  </si>
  <si>
    <t>HTX Hà Anh</t>
  </si>
  <si>
    <t>HTX DVNLN &amp; XD Hoa Sơn</t>
  </si>
  <si>
    <t>HTX Hợp Giang</t>
  </si>
  <si>
    <t>HTX Nhung Lũy</t>
  </si>
  <si>
    <t>HTX nông nghiệp Phiêng Chì</t>
  </si>
  <si>
    <t>HTX Yến Dương</t>
  </si>
  <si>
    <t>HTX Phúc Ba</t>
  </si>
  <si>
    <t>HTX Hoàng Huynh</t>
  </si>
  <si>
    <t>Hợp tác xã An Thịnh</t>
  </si>
  <si>
    <t>HTX Giả Ve</t>
  </si>
  <si>
    <t>HTX Hải Vân</t>
  </si>
  <si>
    <t>HTX Gia Hưng</t>
  </si>
  <si>
    <t>HTX Hoàng Gia</t>
  </si>
  <si>
    <t>HTX Bánh gio</t>
  </si>
  <si>
    <t>HTX Tân Thành</t>
  </si>
  <si>
    <t>HTX Minh Anh</t>
  </si>
  <si>
    <t>HTX Mộc Lan Rừng</t>
  </si>
  <si>
    <t>HTX Nước sạch và Vệ sinh MT Ngân Sơn</t>
  </si>
  <si>
    <t>Kinh phí mua xe ô tô 16 chỗ</t>
  </si>
  <si>
    <t>Sở Nông nghiệp và PTNT</t>
  </si>
  <si>
    <t>Sở Khoa học và CN</t>
  </si>
  <si>
    <t>1.Thành phố</t>
  </si>
  <si>
    <t>2.Bạch Thông</t>
  </si>
  <si>
    <t>3.Ngân Sơn</t>
  </si>
  <si>
    <t>4.Ba Bể</t>
  </si>
  <si>
    <t>5.Pác Nặm</t>
  </si>
  <si>
    <t>6.Chợ Đồn</t>
  </si>
  <si>
    <t>7.Na Rì</t>
  </si>
  <si>
    <t>8.Chợ Mới</t>
  </si>
  <si>
    <t>Áp dụng giống mới, ứng dụng công nghệ mới trong sản xuất</t>
  </si>
  <si>
    <t>Khai hoang, phục hóa đất chưa sử dụng thành đất chuyên trồng lúa nước hoặc đất trồng lúa nước còn lại</t>
  </si>
  <si>
    <t xml:space="preserve">Đầu tư duy tu bảo dưỡng các công trình thủy lợi </t>
  </si>
  <si>
    <t>PHÂN BỔ KINH PHÍ THỰC HIỆN CHÍNH SÁCH QUẢN LÝ SỬ DỤNG ĐẤT TRỒNG LÚA THEO NGHỊ ĐỊNH SỐ 35/2015/NĐ-CP 
CỦA CHÍNH PHỦ TRONG NĂM 2024</t>
  </si>
  <si>
    <t>Đơn vị tính: đồng</t>
  </si>
  <si>
    <t>Tên nhiệm vụ</t>
  </si>
  <si>
    <t>Số kinh phí phân bổ năm 2023</t>
  </si>
  <si>
    <t xml:space="preserve">Hình thức thực hiện </t>
  </si>
  <si>
    <t xml:space="preserve">Tổng nhu cầu kinh phí </t>
  </si>
  <si>
    <t>Số kinh phí đề xuất năm 2024</t>
  </si>
  <si>
    <t>Nhiệm vụ chuyển tiếp, nhiệm vụ triển khai thường xuyên</t>
  </si>
  <si>
    <t>Đối với nhiệm vụ đã được duyệt đề cương và dự toán ghi theo dự toán được duyệt</t>
  </si>
  <si>
    <t>Đối với nhiệm vụ đã được duyệt đề cương và dự toán ghi lộ trình bố trí kinh phí</t>
  </si>
  <si>
    <t>Thuê</t>
  </si>
  <si>
    <t>UBND tỉnh đã phê duyệt KH thuê</t>
  </si>
  <si>
    <t>Đầu tư</t>
  </si>
  <si>
    <t>Duy trì</t>
  </si>
  <si>
    <t>Duy trì 6 tháng cho đến ghi nhiệm vụ Hệ thống điều khiển trung tâm hội nghị truyền hình trực tuyến tỉnh (MCU) hoàn thành và đưa vào sử dụng</t>
  </si>
  <si>
    <t>Thường xuyên</t>
  </si>
  <si>
    <t>Đã ghi trong dự toán</t>
  </si>
  <si>
    <t>Đào tạo, tuyên truyền nâng cao nhận thức phổ cập kỹ năng và phát triển nguồn nhân lực chuyển đổi số theo Đề án đào tạo nguồn nhân lực</t>
  </si>
  <si>
    <t>Tổ chức các hoạt động hưởng ứng ngày chuyển đổi số quốc gia và tổ chức lễ phát động ngày chuyển đổi số tỉnh Bắc Kạn</t>
  </si>
  <si>
    <t>Đã ký hợp đồng năm 2023, tiếp tục thực hiện nội dung đã phê duyệt</t>
  </si>
  <si>
    <t>Sở Lao động-Thương binh và Xã hội</t>
  </si>
  <si>
    <t>Đang trình UBND tỉnh phê duyệt</t>
  </si>
  <si>
    <t>Văn phòng Tỉnh ủy (Báo Bắc Kạn)</t>
  </si>
  <si>
    <t>Cổng thông tin du lịch thông minh tỉnh Bắc Kạn</t>
  </si>
  <si>
    <t>Xây dựng cơ sở dữ liệu phục vụ phát triển du lịch.</t>
  </si>
  <si>
    <t>Thuê + đầu tư thiết bị</t>
  </si>
  <si>
    <t xml:space="preserve">Đào tạo phục vụ triển khai thực hiện các nhiệm vụ của Đề án 06 </t>
  </si>
  <si>
    <t>Sở Công Thương Bắc Kạn</t>
  </si>
  <si>
    <t>KINH PHÍ THỰC HIỆN NHIỆM VỤ CHUYỂN ĐỔI SỐ NĂM 2024</t>
  </si>
  <si>
    <t>Quyết định đầu tư dự án (nếu có)</t>
  </si>
  <si>
    <t>Luỹ kế phân bổ đến năm 2023</t>
  </si>
  <si>
    <t>Kế hoạch vốn giai đoạn 2024-2025 còn lại</t>
  </si>
  <si>
    <t>Kế hoạch năm 2024</t>
  </si>
  <si>
    <t>Số Quyết định, ngày tháng ban hành</t>
  </si>
  <si>
    <t>TMĐT được phê duyệt hoặc dự kiến</t>
  </si>
  <si>
    <t>KH vốn Đã phân bổ năm 2022</t>
  </si>
  <si>
    <t>KH vốn đã phân bổ năm 2023</t>
  </si>
  <si>
    <t>Luỹ kế phân bổ đến hết năm 2024</t>
  </si>
  <si>
    <t>Nguồn vốn ngân sách Trung ương</t>
  </si>
  <si>
    <t>Đối ứng ngân sách địa phương (cấp tỉnh)</t>
  </si>
  <si>
    <t xml:space="preserve"> Ngân sách TW</t>
  </si>
  <si>
    <t>Dự án chuyển tiếp,  dự kiến hoàn thành năm 2024</t>
  </si>
  <si>
    <t>1394/QĐ-UBND ngày 27/7/2022; 6587/UBND-NNTNMT ngày 04/10/2022 (nhóm B)</t>
  </si>
  <si>
    <t>HT2024</t>
  </si>
  <si>
    <t>Dự án chuyển tiếp, hoàn thành sau năm 2024</t>
  </si>
  <si>
    <t>2586/QĐ-UBND ngày 29/12/2022 (nhóm C)</t>
  </si>
  <si>
    <t>CT 2024</t>
  </si>
  <si>
    <t>Dự án bố trí ổn định tập trung dân cư tại chỗ xã Công Bằng, huyện Pác Nặm, tỉnh Bắc Kạn</t>
  </si>
  <si>
    <t>HT 2024</t>
  </si>
  <si>
    <t>Dự án bố trí ổn định dân cư tại chỗ thôn Nà Nguộc và thôn Khau Lồm, xã Cao Kỳ, huyện Chợ Mới</t>
  </si>
  <si>
    <t>Dự án bố trí ổn định dân cư tại chỗ các thôn thuộc xã Bình Trung, huyện Chợ Đồn</t>
  </si>
  <si>
    <t>Dự án khởi công mới năm 2024</t>
  </si>
  <si>
    <t>Dự án bố trí ổn định dân cư tại chỗ thôn Đông Đăm, xã Hà Hiệu, huyện Ba Bể, tỉnh Bắc Kạn</t>
  </si>
  <si>
    <t>KCM</t>
  </si>
  <si>
    <t>635/QĐ-UBND ngày 12/4/2023 nhóm c</t>
  </si>
  <si>
    <t xml:space="preserve">Bố trí, ổn định dân cư tại chỗ các thôn thuộc xã Đôn Phong, huyện Bạch Thông, tỉnh Bắc Kạn </t>
  </si>
  <si>
    <t>DỰ án chưa giao kế hoạch vốn do không kịp phê duyệt dự án</t>
  </si>
  <si>
    <t>1962/QĐ-UBND ngày 13/10/2022</t>
  </si>
  <si>
    <t>870/QĐ-UBND ngày 22/5/2023</t>
  </si>
  <si>
    <t>2214QĐ-UBND ngày 14/11/2022</t>
  </si>
  <si>
    <t>1066/QĐ-UBND ngày 16/6/2023</t>
  </si>
  <si>
    <t>967/QĐ-UBND ngày 05/6/2023</t>
  </si>
  <si>
    <t>Dự án chuẩn bị đầu tư</t>
  </si>
  <si>
    <t>Đường Quảng Bạch - Bản Thi</t>
  </si>
  <si>
    <t>2024-2025</t>
  </si>
  <si>
    <t>CBĐT</t>
  </si>
  <si>
    <t>Trung tâm y tế huyện Ngân Sơn huyện Ngân Sơn, tỉnh Bắc Kạn</t>
  </si>
  <si>
    <t>PHƯƠNG ÁN PHÂN BỔ KẾ HOẠCH VỐN ĐẦU TƯ PHÁT TRIỂN THỰC HIỆN CHƯƠNG TRÌNH MỤC TIÊU QUỐC GIA PHÁT TRIỂN KINH TẾ XÃ HỘI 
VÙNG ĐỒNG BÀO DÂN TỘC THIỂU SỐ VÀ MIỀN NÚI NĂM 2024</t>
  </si>
  <si>
    <t>BẢNG PHÂN BỔ CHI TIẾT NGUỒN VỐN CHO CÁC ĐƠN VỊ, ĐỊA PHƯƠNG THỰC HIỆN CHƯƠNG TRÌNH MỤC TIÊU QUỐC GIA PHÁT TRIỂN KINH TẾ -  XÃ HỘI VÙNG ĐỒNG BÀO DÂN TỘC THIỂU SỐ VÀ MIỀN NÚI NĂM 2024</t>
  </si>
  <si>
    <t>Tổng dự toán phân bổ cho các đơn vị/địa phương năm 2024</t>
  </si>
  <si>
    <t>Sự  nghiệp giáo dục đào tạo và dạy nghề</t>
  </si>
  <si>
    <t>Sự nghiệp bảo đảm xã hội</t>
  </si>
  <si>
    <t>Nội dung 3</t>
  </si>
  <si>
    <t>Nội dung 4</t>
  </si>
  <si>
    <t>Tên cơ quan, đơn vị</t>
  </si>
  <si>
    <t>Đơn giá (triệu đồng)</t>
  </si>
  <si>
    <t>Thành tiền (Triệu đồng)</t>
  </si>
  <si>
    <t>Xe 2 cầu</t>
  </si>
  <si>
    <t>Văn phòng UBND Tỉnh</t>
  </si>
  <si>
    <t>Văn phòng Đoàn ĐBQH và HĐND Tỉnh</t>
  </si>
  <si>
    <t>Ban Quản lý các khu công nghiệp</t>
  </si>
  <si>
    <t>Đoàn nghệ thuật dân tộc - Sở Văn hóa</t>
  </si>
  <si>
    <t>PHƯƠNG ÁN PHÂN BỔ KẾ HOẠCH VỐN ĐẦU TƯ PHÁT TRIỂN THỰC HIỆN CHƯƠNG TRÌNH MỤC TIÊU QUỐC GIA GIẢM NGHÈO BỀN VỮNG NĂM 2024</t>
  </si>
  <si>
    <t>Địa điểm thực hiện</t>
  </si>
  <si>
    <t>Quy mô đầu tư được phê duyệt hoặc dự kiến</t>
  </si>
  <si>
    <t xml:space="preserve">Kế hoạch vốn giai đoạn 2021-2025 </t>
  </si>
  <si>
    <t>Luỹ kế phân bổ đến 2023</t>
  </si>
  <si>
    <t>Kế hoạch vốn 2024</t>
  </si>
  <si>
    <t>Đầu tư xây dựng cơ sở vật chất và các công trình phụ trợ phục vụ đào tạo nhân lực chất lượng cao giai đoạn 2021 - 2025 và định hướng đến năm 2030 tại trường Cao đẳng Bắc Kạn</t>
  </si>
  <si>
    <t>Đầu tư xây dựng tại khu A (Nhà hiệu bộ, giảng đường - khối phục vụ học tập); đầu tư xây dựng mới khu đào tạo lái xe; Đầu tư xây dựng tại khu B (nhà đa năng, ký túc xá); Các hạng mục phụ trợ; ầu tư lắp đặt đồng bộ hệ thống phòng cháy chữa cháy; Cải tạo sửa chữa trạm biến áp; Đầu tư mua sắm một số trang thiết bị phục vụ công tác quản lý, đào tạo cho nhà trường</t>
  </si>
  <si>
    <t>2036/QĐ-UBND ngày 21/10/2022</t>
  </si>
  <si>
    <t>Dự án khởi công mới</t>
  </si>
  <si>
    <t>Dự án hỗ trợ đầu tư cơ sở hạ tầng, trang thiết bị công nghệ thông tin để hiện đại hóa hệ thống thông tin thị trường lao động, hình thành sàn giao dịch việc làm trực tuyến và xây dựng các cơ sở dữ liệu</t>
  </si>
  <si>
    <t>Tỉnh Bắc Kạn</t>
  </si>
  <si>
    <t>Nâng cấp cơ sở hạ tầng, trang thiết bị công nghệ thông tin (bao gồm cả phần cứng và phần mềm) để hiện đại hóa hệ thống thông tin thị trường lao động</t>
  </si>
  <si>
    <t>Dự kiến kế hoạch vốn năm 2024</t>
  </si>
  <si>
    <t>Luỹ kế phân bổ vốn đến năm 2024</t>
  </si>
  <si>
    <t xml:space="preserve"> PHÂN BỔ VỐN SỰ NGHIỆP THUỘC CHƯƠNG TRÌNH MTQG GIẢM NGHÈO BỀN VỮNG NĂM 2024</t>
  </si>
  <si>
    <t>PHÂN BỔ VỐN SỰ NGHIỆP THUỘC CHƯƠNG TRÌNH MỤC TIÊU QUỐC GIA XÂY DỰNG NÔNG THÔN MỚI NĂM 2024</t>
  </si>
  <si>
    <t>II- PHÁT TRIỂN HẠ TẦNG KINH TẾ - XÃ HỘI, CƠ BẢN ĐỒNG BỘ, HIỆN ĐẠI, ĐẢM BẢO KẾT NỐI NÔNG THÔN – ĐÔ THỊ VÀ KẾT NỐI CÁC VÙNG MIỀN</t>
  </si>
  <si>
    <t>III- TIẾP TỤC THỰC HIỆN CÓ HIỆU QUẢ CƠ CẤU LẠI NGÀNH NÔNG NGHIỆP, PHÁT TRIỂN KINH TẾ NÔNG THÔN</t>
  </si>
  <si>
    <t>IV - NÂNG CAO CHẤT LƯỢNG GIÁO DỤC, Y TẾ VÀ CHĂM SÓC SỨC KHỎE CỦA NGƯỜI DÂN NÔNG THÔN</t>
  </si>
  <si>
    <t>V- NÂNG CAO CHẤT LƯỢNG ĐỜI SỐNG VĂN HÓA NÔNG THÔN; BẢO TỒN VÀ PHÁT HUY CÁC GIÁ TRỊ VĂN HÓA TRUYỀN THỐNG GẮN VỚI PHÁT TRIỂN DU LỊCH NÔNG THÔN</t>
  </si>
  <si>
    <t>VI- NÂNG CAO CHẤT LƯỢNG MÔI TRƯỜNG; XÂY DỰNG CẢNH QUAN NÔNG THÔN SÁNG – XANH – SẠCH – ĐẸP, AN TOÀN; GIỮ GÌN VÀ KHÔI PHỤC CẢNH QUAN TRUYỀN THỐNG NÔNG THÔN</t>
  </si>
  <si>
    <t>VIII - NÂNG CAO CHẤT LƯỢNG, PHÁT HUY VAI TRÒ CỦA MẶT TRẬN TỔ QUỐC VIỆT NAM VÀ CÁC TỔ CHỨC CHÍNH TRỊ - XÃ HỘI TRONG XÂY DỰNG NÔNG THÔN MỚI</t>
  </si>
  <si>
    <t>IX - GIỮ VỮNG QUỐC PHÒNG, AN NINH VÀ TRẬT TỰ XÃ HỘI NÔNG THÔN</t>
  </si>
  <si>
    <t>X - TĂNG CƯỜNG CÔNG TÁC GIÁM SÁT, ĐÁNH GIÁ THỰC HIỆN CHƯƠNG TRÌNH; NÂNG CAO NĂNG LỰC, TRUYỀN THÔNG XÂY DỰNG NÔNG THÔN MỚI; THỰC HIỆN PHONG TRÀO THI ĐUA CẢ NƯỚC CHUNG SỨC XÂY DỰNG NÔNG THÔN MỚI</t>
  </si>
  <si>
    <t>Sở Văn hóa Thể thao và du lịch</t>
  </si>
  <si>
    <t>Bộ Chỉ huy quân sự tỉnh</t>
  </si>
  <si>
    <t>Cục Thống kê</t>
  </si>
  <si>
    <t xml:space="preserve">Văn phòng điều phối nông thôn mới tỉnh </t>
  </si>
  <si>
    <t>VII - NÂNG CAO CHẤT LƯỢNG DỊCH VỤ HÀNH CHÍNH CÔNG, HOẠT ĐỘNG CỦA CHÍNH QUYỀN CƠ SỞ; THÚC ĐẨY CHUYỂN ĐỔI SỐ TRONG NÔNG THÔN MỚI, ỨNG DỤNG CÔNG NGHỆ THÔNG TIN, CÔNG NGHỆ SỐ, TĂNG CƯỜNG KHẢ NĂNG TIẾP CẬN PHÁP LUẬT</t>
  </si>
  <si>
    <t>Đơn vị, dịa phương</t>
  </si>
  <si>
    <t>Xe ô tô 16 chỗ</t>
  </si>
  <si>
    <t xml:space="preserve">Xe tải chuyên dùng (Hyundai 75S, tải trọng 3.5 tấn, thùng kín, bừng nâng) </t>
  </si>
  <si>
    <t>KINH PHÍ MUA XE Ô TÔ NĂM 2024</t>
  </si>
  <si>
    <t>PHƯƠNG ÁN KẾ HOẠCH VỐN ĐẦU TƯ PHÁT TRIỂN THỰC HIỆN CHƯƠNG TRÌNH MTQG XÂY DỰNG NÔNG THÔN MỚI NĂM 2024</t>
  </si>
  <si>
    <t>HTX Nông nghiệp sạch Tân Sơn</t>
  </si>
  <si>
    <t xml:space="preserve">Tổng cộng </t>
  </si>
  <si>
    <t>Khoán bảo vệ rừng</t>
  </si>
  <si>
    <t>Hỗ trợ bảo vệ rừng sản xuất là rừng tự nhiên</t>
  </si>
  <si>
    <t>Trồng cây phân tán</t>
  </si>
  <si>
    <t>Tổng chi phí khoán bảo vệ (300.000 đồng/ha/năm)</t>
  </si>
  <si>
    <t>Chi phí quản lý (7% chi phí khoán BV)</t>
  </si>
  <si>
    <t>Tổng chi phí bảo vệ (300.000 đồng/ha/năm)</t>
  </si>
  <si>
    <t>Chi phí quản lý (7% chi phí BV)</t>
  </si>
  <si>
    <t>Tổng chi phí (5 triệu đồng/ha)</t>
  </si>
  <si>
    <t>CP lập HS khoán bảo vệ (50.000 đồng/ha)</t>
  </si>
  <si>
    <t>CP nhân công khoán bảo vệ</t>
  </si>
  <si>
    <t>4=2*3</t>
  </si>
  <si>
    <t>5=0,05*3</t>
  </si>
  <si>
    <t>6=4-5</t>
  </si>
  <si>
    <t>7=7%*4</t>
  </si>
  <si>
    <t>9=2*8</t>
  </si>
  <si>
    <t>10=0,05*9</t>
  </si>
  <si>
    <t>11=9-10</t>
  </si>
  <si>
    <t>12=7%*9</t>
  </si>
  <si>
    <t>14=13*2</t>
  </si>
  <si>
    <t>15=7%*14</t>
  </si>
  <si>
    <t>17=2*16</t>
  </si>
  <si>
    <t>Công ty TNHH MTV lâm nghiệp Bắc Kạn</t>
  </si>
  <si>
    <t>Chi tiết</t>
  </si>
  <si>
    <t>DIỆN TÍCH THIẾT KẾ MỚI 2024</t>
  </si>
  <si>
    <t>Thời gian thực hiện từ 01/4/2024 - 31/12/2024 (09 tháng)</t>
  </si>
  <si>
    <t>Thời gian thực hiện từ 01/3/2024 - 31/12/2024 (10 tháng)</t>
  </si>
  <si>
    <t>DIỆN TÍCH CHUYỂN TIẾP</t>
  </si>
  <si>
    <t>TRỒNG CÂY PHÂN TÁN NĂM 2024</t>
  </si>
  <si>
    <t>Ghi chú: Nguồn kinh phí trung ương cấp bổ sung có mục tiêu thực hiện Chương trình phát triển lâm nghiệp là 10.597 triệu đồng, kinh phí đã phân bổ chi tiết là 10.392 triệu đồng, kinh phí còn lại chưa phân bổ là 205 triệu đồng</t>
  </si>
  <si>
    <t>Kinh phí đào tạo, tập huấn, nâng cao năng lực đội ngũ quản lý khai thác công trình thùy lợi theo đề án Nâng cao năng lực quản lý và đảm bảo an toàn, hiệu quả các công trình thủy lợi trên địa bàn tỉnh giai đoạn 2022 - 2025 và định hướng đến năm 2030</t>
  </si>
  <si>
    <t>Kinh phí lập hồ sơ đề nghị cấp giấy phép khai thác, sử dụng nước mặt (đề án Nâng cao năng lực quản lý và đảm bảo an toàn, hiệu quả các công trình thủy lợi trên địa bàn tỉnh giai đoạn 2022 - 2025 và định hướng đến năm 2030)</t>
  </si>
  <si>
    <t>Bảo hiểm xã hội tỉnh</t>
  </si>
  <si>
    <t>Tòa án nhân dân tỉnh</t>
  </si>
  <si>
    <t>Công ty Điện lực</t>
  </si>
  <si>
    <t>Liên Đoàn lao động tỉnh</t>
  </si>
  <si>
    <t>BIỂU PHÂN BỔ KINH PHÍ QUẢN LÝ, BẢO TRÌ ĐƯỜNG BỘ ĐỊA PHƯƠNG NĂM 2024</t>
  </si>
  <si>
    <t>Kinh phí phân bổ năm 2024</t>
  </si>
  <si>
    <t xml:space="preserve">Đặt hàng, cung cấp sản phẩm dịch vụ công ích thủy lợi 2024 đối với Công ty TNHH MTV quản lý khai thác công trình thủy lợi </t>
  </si>
  <si>
    <t>Sửa chữa hư hỏng cục bộ nền, mặt đường và hệ thống thoát nước đoạn Km0+00 - Km8+00; Km25+00 - Km27+00 và cải tạo đường cong đoạn Km0+300 - Km0+400; Km0+800 - Km0+900 ĐT.253B</t>
  </si>
  <si>
    <t>Sửa chữa hư hỏng cục bộ nền, mặt đường và hệ thống thoát nước đoạn Km3+00 - Km4+00; Km5+800 - Km6+500; Km7+900 - Km9+900; Km11+600 - Km12+00; Km13+00 - Km14+100; Km14+200 - Km14+600; Km16+00 - Km16+300; Km16+800 - Km17+100; Km18+400 - km19+00 ĐT.254B</t>
  </si>
  <si>
    <t>Sửa chữa hư hỏng cục bộ nền, mặt đường và hệ thống thoát nước đoạn Km12+00 - Km15+00; Km23+00 - KIm23+500; Km38+00 - Km42+00 và cải tạo đường cong đoạn Km3+150 - Km3+900 ĐT.256</t>
  </si>
  <si>
    <t>Sửa chữa hư hỏng cục bộ nền, mặt đường và hệ thống thoát nước đoạn Km39+450 - Km40+00; Km41+100 - Km42+00; Km42+550 - Km43+300; Km44+700 - Km45+250; Km51+400 - Km52+00; Km53+00 - Km54+400; Km57+450 - Km57+550; Km60+00 - Km61+200; Km61+800 - Km62+00; Km63+00 - Km63+350 và cải tạo đường cong đoạn Km46+650 - Km46+900 ĐT.258B</t>
  </si>
  <si>
    <t xml:space="preserve">Sửa chữa hư hỏng cục bộ nền, mặt đường và hệ thống thoát nước đoạn Km50+00-Km58+500 và Km60+00- Km63+100 ĐT.256 </t>
  </si>
  <si>
    <t>Kinh phí thực hiện nhiệm vụ của Ban Dân vận Tỉnh ủy (đã bao gồm nhiệm vụ do Ban Thường vụ Tỉnh ủy giao)</t>
  </si>
  <si>
    <t>Kinh phí thực hiện nhiệm vụ của Ban Nội chính Tỉnh ủy (đã bao gồm nhiệm vụ do Ban Thường vụ Tỉnh ủy giao)</t>
  </si>
  <si>
    <t>Kinh phí thực hiện nhiệm vụ của Ủy ban kiểm tra Tỉnh ủy  (đã bao gồm nhiệm vụ do Ban Thường vụ Tỉnh ủy giao)</t>
  </si>
  <si>
    <t>Kinh phí thực hiện nhiệm vụ của Ban Tổ chức Tỉnh ủy  (đã bao gồm nhiệm vụ do Ban Thường vụ Tỉnh ủy giao)</t>
  </si>
  <si>
    <t>Kinh phí thực hiện nhiệm vụ của Ban Tuyên giáo Tỉnh ủy  (đã bao gồm nhiệm vụ do Ban Thường vụ Tỉnh ủy giao)</t>
  </si>
  <si>
    <t>Kinh phí thực hiện nhiệm vụ do Ban Thường vụ Tỉnh ủy giao</t>
  </si>
  <si>
    <t>4. Kinh phí thực hiện cải cách tiền lương: 64.820 triệu đồng.</t>
  </si>
  <si>
    <r>
      <t xml:space="preserve">         </t>
    </r>
    <r>
      <rPr>
        <b/>
        <sz val="14"/>
        <color theme="1"/>
        <rFont val="Times New Roman"/>
        <family val="1"/>
      </rPr>
      <t>1 Chi đầu tư xây dựng cơ bản:</t>
    </r>
    <r>
      <rPr>
        <sz val="14"/>
        <color theme="1"/>
        <rFont val="Times New Roman"/>
        <family val="1"/>
      </rPr>
      <t xml:space="preserve"> nguồn vốn vay lại chính phủ năm 2024: 14.334 triệu đồng.</t>
    </r>
  </si>
  <si>
    <r>
      <t xml:space="preserve">         </t>
    </r>
    <r>
      <rPr>
        <b/>
        <sz val="14"/>
        <color theme="1"/>
        <rFont val="Times New Roman"/>
        <family val="1"/>
      </rPr>
      <t xml:space="preserve"> 3. Chi sự nghiệp giáo dục - đào tạo và dạy nghề:</t>
    </r>
    <r>
      <rPr>
        <sz val="14"/>
        <color theme="1"/>
        <rFont val="Times New Roman"/>
        <family val="1"/>
      </rPr>
      <t xml:space="preserve"> Các phát sinh khác thuộc lĩnh vực giáo dục - đào tạo và dạy nghề do ngân sách cấp tỉnh đảm nhiệm: 44.280 triệu đồng.</t>
    </r>
  </si>
  <si>
    <t>Kinh phí Hội đồng tư vấn</t>
  </si>
  <si>
    <t>Kinh phí sửa xe ô tô 97A -2999</t>
  </si>
  <si>
    <t>Tuyên truyền, vận động hội viên, nông dân sản xuất, kinh doanh nông sản thực phẩm chất lượng, an toàn vì sức khỏe cộng đồng, phát triển bền vững năm 2024 (thực hiện theo Kế hoạch số 795/KH-UBND ngày 24/12/2021 của UBND tỉnh)</t>
  </si>
  <si>
    <t>(Kèm theo Nghị quyết số          /NQ-HĐND ngày        tháng 12 năm 2023 của HĐND tỉnh Bắc Kạn)</t>
  </si>
  <si>
    <t>Kinh phí thực hiện Nghị định số 35/2015/NĐ-CP ngày 13/4/2015 của Chính phủ</t>
  </si>
  <si>
    <t>Đăng ký đất đai cấp giấy chứng nhận quyền sử dụng đất, quyền sở hữ nhà ở và tài sản khác gắn liền với đất cho hộ gia đình, cá nhân trên địa bàn tỉnh</t>
  </si>
  <si>
    <t>Lập kế hoạch sử dụng đất kỳ đầu (2021-2025) tỉnh Bắc Kạn</t>
  </si>
  <si>
    <t>Điều tra đánh giá hiện trạng khai thác, sử dụng tài nguyên nước mặt và xác định dòng chảy tối thiểu trên sông, suối và hạ lưu các hồ chứa, đập dâng trên địa bàn tỉnh Bắc Kạn</t>
  </si>
  <si>
    <t>Bảo trì, chống mối mọt và côn trùng kho lưu trữ tại các chi nhánh Văn phòng đăng ký đất đai các huyện, thành phố</t>
  </si>
  <si>
    <t>Kinh phí dụng cụ, vật tư tiêu hao; linh kiện phụ tùng máy móc trang thiết bị</t>
  </si>
  <si>
    <t>Sửa chữa và bảo dưỡng thiết bị y tế, tài sản khác (hỗ trợ để sửa chữa bảo dưỡng tuyến huyện xã dự phòng)</t>
  </si>
  <si>
    <t>Kinh phí đấu thầu thuốc, vật tư, hóa chất, trang thiết bị, thẩm định giá toàn ngành</t>
  </si>
  <si>
    <t>Kinh phí Phòng chống cháy nổ, bảo hiểm phòng chống cháy nổ</t>
  </si>
  <si>
    <t>Kinh phi thực hiện cải cách hành chính</t>
  </si>
  <si>
    <t xml:space="preserve">Tiền thưởng cho học sinh theo Nghị quyết số 05/2014/NQ-HĐND ngày 29/4/2014 của HĐND tỉnh </t>
  </si>
  <si>
    <t>Kế hoạch thuê dịch vụ CNTT phần mềm QLTT cán bộ, công chức, viên chức và lao động Hợp đồng theo Nghị định số 68/2000/NĐ-CP ngày 17/11/2000 của Chính phủ</t>
  </si>
  <si>
    <t>Thuê  kiểm tra, đánh giá định kỳ an toàn thông tin; giám sát an toàn hệ thống thông tin cho các hệ thống thông tin của tỉnh Bắc Kạn</t>
  </si>
  <si>
    <t>Thuê dịch vụ công nghệ thông tin (CNTT) đối với hệ thống điều khiển Hội nghị truyền hình trực tuyến tại điểm cầu cấp tỉnh thuộc dự án nâng cấp, mở rộng hệ thống hội nghị truyền hình trực tuyến đang sử dụng hiện nay đến cấp xã</t>
  </si>
  <si>
    <t>Kinh phí trang phục ngành thanh tra theo Thông tư liên tịch số 73/2015/TTLT-BTC-TTCP ngày 12/5/2015 của Bộ Tài chính và Thanh tra Chính phủ</t>
  </si>
  <si>
    <t>Kinh phí xây dựng Phương án QLBVR Vườn Quốc gia Ba Bể giai đoạn 2021-2030</t>
  </si>
  <si>
    <t xml:space="preserve">Giao quản lý theo Quyết định số 77/QĐ-UBND ngày 20/01/2015; Quyết định số 776/QĐ-UBND ngày 15/05/2018 của UBND tỉnh Bắc Kạn; </t>
  </si>
  <si>
    <t>Kinh phí giao khoán QLBVR đặc dụng; Hỗ trợ các thôn vùng lõi, vùng đệm theo Quyết định số 24/QĐ-TTg ngày 01/6/2012 của Thủ tướng Chính phủ</t>
  </si>
  <si>
    <t>Chính sách đối với người có uy tín trong đồng bào Dân tộc thiểu số</t>
  </si>
  <si>
    <t>Đề án "Hỗ trợ hoạt động Bình đẳng giới vùng dân tộc thiểu số" theo Quyết định số 1898/QĐ-TTg ngày 28/11/2017 của Thủ tướng Chính phủ</t>
  </si>
  <si>
    <t>Tổ chức Đại hội Đại biểu Hội Liên hiệp thanh niên Việt Nam tỉnh Bắc Kạn lần thứ VI, nhiệm kỳ 2024- 2029</t>
  </si>
  <si>
    <t xml:space="preserve">Tham gia các hoạt động do Trung ương Đoàn tổ chức </t>
  </si>
  <si>
    <t>Duy trì chuyên mục "Phụ nữ và cuộc sống" phóng sự gương tập thể, cá nhân điển hình thực hiện tốt phong trào thi đua của Hội phát sóng hàng tháng trên Đài Phát thanh và Truyền hình tỉnh; Xây dựng trang báo nhân dịp kỷ niệm 8/3; 20/10 đăng trên báo Bắc Kạn.</t>
  </si>
  <si>
    <t>Nâng cấp Trang thông tin điện tử Ủy ban Mặt trận tổ quốc Việt Nam tỉnh</t>
  </si>
  <si>
    <t>Kinh phí Tổ chức Đại hội Đại biểu Mặt trận tổ quốc tỉnh Bắc Kạn khóa VII, nhiệm kỳ 2024 - 2029</t>
  </si>
  <si>
    <t>Kinh phí sinh hoạt phí các vị Ủy viên Ủy ban Mặt trận tổ quốc cấp tỉnh khóa VI, nhiệm kỳ 2019 - 2024 không hưởng lương từ ngân sách</t>
  </si>
  <si>
    <t>Kinh phí đón tiếp, thăm hỏi, chúc mừng theo Nghị quyết số 39/2014/NQ-HĐND ngày 19/12/2014 của HĐND tỉnh</t>
  </si>
  <si>
    <t>Phối hợp tuyên truyền trên Báo Bắc Kạn và Đài Phát thanh và Truyền hình tỉnh</t>
  </si>
  <si>
    <t xml:space="preserve">Xây dựng chuyên mục: "Xứng danh Bộ đội Cụ Hồ" trên sóng truyền hình tỉnh </t>
  </si>
  <si>
    <t>Tổ chức Hội nghị tọa đàm gặp mặt các Cựu chiến binh tiêu biểu kỷ niệm 70 chiến thắng Điện Biên Phủ tại tỉnh</t>
  </si>
  <si>
    <t>Hỗ trợ sáng tạo tác phẩm Văn học nghệ thuật</t>
  </si>
  <si>
    <t>Hỗ trợ sáng tạo tác phẩm báo chí chất lượng cao</t>
  </si>
  <si>
    <t>Nhiệm vụ Hội Người mù theo Quyết định số 1827/QĐ-UBND ngày 09/10/2023 của UBND tỉnh. Kinh phí ổn định hàng năm của Hội Người mù chuyển sang Hội Bảo trợ năm 2024 để thực hiện nhiệm vụ</t>
  </si>
  <si>
    <t>Tổ chức Đại hội cấp tỉnh nhiệm kỳ 2024-2029.</t>
  </si>
  <si>
    <t>Ban đại diện Hội Người cao tuổi</t>
  </si>
  <si>
    <t xml:space="preserve">Hỗ trợ tổng kết 5 năm (2019-2024) phong trào Hội người cao tham gia xây dựng hệ thống chính trị ở cơ sở: </t>
  </si>
  <si>
    <t>Liên hiệp các Hội Khoa học và Kỹ thuật</t>
  </si>
  <si>
    <t>Hội liên hiệp Phụ nữ tỉnh</t>
  </si>
  <si>
    <t>Chi nhánh Ngân hàng nhà nước Việt Nam</t>
  </si>
  <si>
    <t>Chi nhánh Ngân hàng Chính sách xã hội tỉnh</t>
  </si>
  <si>
    <t>Tỉnh đoàn Băcs Kạn</t>
  </si>
  <si>
    <t>5. Dự phòng ngân sách: 92.530 triệu đồng.</t>
  </si>
  <si>
    <t>Kinh phí tham gia các Ban Chỉ đạo (42 Ban Chỉ đạo)</t>
  </si>
  <si>
    <t>Kinh phí chi khen thưởng theo quy định của Trung ương</t>
  </si>
  <si>
    <t xml:space="preserve">BIỂU PHÂN BỔ KINH PHÍ THỰC HIỆN CHƯƠNG TRÌNH PHÁT TRIỂN LÂM NGHIỆP BỀN VỮNG NĂM 2024 </t>
  </si>
  <si>
    <t>1=4+7+9+12+14+15+17</t>
  </si>
  <si>
    <r>
      <t xml:space="preserve">         </t>
    </r>
    <r>
      <rPr>
        <b/>
        <sz val="14"/>
        <color theme="1"/>
        <rFont val="Times New Roman"/>
        <family val="1"/>
      </rPr>
      <t xml:space="preserve"> 6. Nguồn bổ sung có mục tiêu từ ngân sách trung ương để thực hiện các chương trình, dự án, nhiệm vụ: </t>
    </r>
    <r>
      <rPr>
        <sz val="14"/>
        <color theme="1"/>
        <rFont val="Times New Roman"/>
        <family val="1"/>
      </rPr>
      <t>Kinh phí thực hiện Chương trình phát triển lâm nghiệp bền vững: 205 triệu đồng.</t>
    </r>
  </si>
  <si>
    <r>
      <t xml:space="preserve">         </t>
    </r>
    <r>
      <rPr>
        <b/>
        <sz val="14"/>
        <color theme="1"/>
        <rFont val="Times New Roman"/>
        <family val="1"/>
      </rPr>
      <t xml:space="preserve">- </t>
    </r>
    <r>
      <rPr>
        <sz val="14"/>
        <color theme="1"/>
        <rFont val="Times New Roman"/>
        <family val="1"/>
      </rPr>
      <t>Kinh phí thực hiện các chính sách hỗ trợ thí điểm phát triển điểm du lịch cộng đồng trên địa bàn tỉnh Bắc Kạn: 2.000 triệu đồng.</t>
    </r>
  </si>
  <si>
    <t xml:space="preserve">         Chi theo nội dung quy định tại khoản 2, Điều 10 của Luật ngân sách nhà nước năm 2015.</t>
  </si>
  <si>
    <t>Cổng thông tin du lịch thông minh tỉnh Bắc Kạn và xây dựng cơ sở dữ liệu phục vụ phát triển du lịch</t>
  </si>
  <si>
    <r>
      <t xml:space="preserve">         </t>
    </r>
    <r>
      <rPr>
        <b/>
        <sz val="14"/>
        <color theme="1"/>
        <rFont val="Times New Roman"/>
        <family val="1"/>
      </rPr>
      <t xml:space="preserve">- </t>
    </r>
    <r>
      <rPr>
        <sz val="14"/>
        <color theme="1"/>
        <rFont val="Times New Roman"/>
        <family val="1"/>
      </rPr>
      <t>Kinh phí thực hiện các nhiệm vụ chuyển đổi số mới năm 2024: 21.469 triệu đồng</t>
    </r>
  </si>
  <si>
    <r>
      <t xml:space="preserve">         </t>
    </r>
    <r>
      <rPr>
        <b/>
        <sz val="14"/>
        <color theme="1"/>
        <rFont val="Times New Roman"/>
        <family val="1"/>
      </rPr>
      <t>2. Chi sự nghiệp kinh tế: 23.469 triệu đồng.</t>
    </r>
  </si>
  <si>
    <t>(Kèm theo Nghị Quyết số          /NQ-HĐND  ngày    tháng 12 năm 2023 của UBND tỉnh Bắc Kạn)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</si>
</sst>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_(* \(#,##0\);_(* &quot;-&quot;_);_(@_)"/>
    <numFmt numFmtId="43" formatCode="_(* #,##0.00_);_(* \(#,##0.00\);_(* &quot;-&quot;??_);_(@_)"/>
    <numFmt numFmtId="164" formatCode="_-* #,##0\ _₫_-;\-* #,##0\ _₫_-;_-* &quot;-&quot;\ _₫_-;_-@_-"/>
    <numFmt numFmtId="165" formatCode="_-* #,##0.00\ _₫_-;\-* #,##0.00\ _₫_-;_-* &quot;-&quot;??\ _₫_-;_-@_-"/>
    <numFmt numFmtId="166" formatCode="_-* #,##0.00_-;\-* #,##0.00_-;_-* &quot;-&quot;??_-;_-@_-"/>
    <numFmt numFmtId="167" formatCode="0.0"/>
    <numFmt numFmtId="168" formatCode="#,##0.0"/>
    <numFmt numFmtId="169" formatCode="#,##0.000"/>
    <numFmt numFmtId="170" formatCode="0.000"/>
    <numFmt numFmtId="171" formatCode="_(* #,##0_);_(* \(#,##0\);_(* &quot;-&quot;??_);_(@_)"/>
    <numFmt numFmtId="172" formatCode="_-* #,##0.0\ _₫_-;\-* #,##0.0\ _₫_-;_-* &quot;-&quot;??\ _₫_-;_-@_-"/>
    <numFmt numFmtId="173" formatCode="_-* #,##0\ _₫_-;\-* #,##0\ _₫_-;_-* &quot;-&quot;??\ _₫_-;_-@_-"/>
    <numFmt numFmtId="174" formatCode="_-* #,##0.000\ _₫_-;\-* #,##0.000\ _₫_-;_-* &quot;-&quot;??\ _₫_-;_-@_-"/>
    <numFmt numFmtId="175" formatCode="0.0%"/>
    <numFmt numFmtId="176" formatCode="#,##0.00_ ;\-#,##0.00\ "/>
    <numFmt numFmtId="177" formatCode="#,##0.0_ ;\-#,##0.0\ "/>
    <numFmt numFmtId="178" formatCode="#,##0_ ;\-#,##0\ "/>
    <numFmt numFmtId="179" formatCode="_(* #,##0.0_);_(* \(#,##0.0\);_(* &quot;-&quot;??_);_(@_)"/>
    <numFmt numFmtId="180" formatCode="_(* #,##0.000_);_(* \(#,##0.000\);_(* &quot;-&quot;???_);_(@_)"/>
    <numFmt numFmtId="181" formatCode="#,###;[Red]\-#,###"/>
    <numFmt numFmtId="182" formatCode="_-* #,##0\ _€_-;\-* #,##0\ _€_-;_-* &quot;-&quot;??\ _€_-;_-@_-"/>
  </numFmts>
  <fonts count="82" x14ac:knownFonts="1">
    <font>
      <sz val="12"/>
      <color theme="1"/>
      <name val="Times New Roman"/>
      <family val="2"/>
    </font>
    <font>
      <sz val="12"/>
      <name val="Times New Roman"/>
      <family val="2"/>
    </font>
    <font>
      <b/>
      <sz val="12"/>
      <name val="Times New Roman"/>
      <family val="2"/>
    </font>
    <font>
      <i/>
      <sz val="12"/>
      <name val="Times New Roman"/>
      <family val="2"/>
    </font>
    <font>
      <b/>
      <sz val="12"/>
      <name val="Times New Roman"/>
      <family val="1"/>
    </font>
    <font>
      <sz val="11"/>
      <name val="Times New Roman"/>
      <family val="1"/>
    </font>
    <font>
      <sz val="12"/>
      <name val="Times New Roman"/>
      <family val="1"/>
    </font>
    <font>
      <i/>
      <sz val="12"/>
      <name val="Times New Roman"/>
      <family val="1"/>
    </font>
    <font>
      <sz val="14"/>
      <name val="Times New Roman"/>
      <family val="1"/>
    </font>
    <font>
      <b/>
      <sz val="14"/>
      <name val="Times New Roman"/>
      <family val="1"/>
    </font>
    <font>
      <b/>
      <i/>
      <sz val="12"/>
      <name val="Times New Roman"/>
      <family val="1"/>
    </font>
    <font>
      <b/>
      <sz val="14"/>
      <color indexed="8"/>
      <name val="Times New Roman"/>
      <family val="1"/>
    </font>
    <font>
      <sz val="14"/>
      <color indexed="8"/>
      <name val="Times New Roman"/>
      <family val="1"/>
    </font>
    <font>
      <sz val="9"/>
      <color indexed="81"/>
      <name val="Tahoma"/>
      <family val="2"/>
    </font>
    <font>
      <i/>
      <sz val="14"/>
      <color indexed="8"/>
      <name val="Times New Roman"/>
      <family val="1"/>
    </font>
    <font>
      <sz val="12"/>
      <color theme="1"/>
      <name val="Times New Roman"/>
      <family val="2"/>
    </font>
    <font>
      <sz val="11"/>
      <color theme="1"/>
      <name val="Calibri"/>
      <family val="2"/>
      <scheme val="minor"/>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sz val="12"/>
      <color rgb="FF000000"/>
      <name val="Times New Roman"/>
      <family val="1"/>
    </font>
    <font>
      <sz val="14"/>
      <color rgb="FF000000"/>
      <name val="Times New Roman"/>
      <family val="1"/>
    </font>
    <font>
      <sz val="12"/>
      <color rgb="FFFF0000"/>
      <name val="Times New Roman"/>
      <family val="1"/>
    </font>
    <font>
      <i/>
      <sz val="12"/>
      <color theme="1"/>
      <name val="Times New Roman"/>
      <family val="1"/>
    </font>
    <font>
      <b/>
      <sz val="12"/>
      <color rgb="FF000000"/>
      <name val="Times New Roman"/>
      <family val="1"/>
    </font>
    <font>
      <i/>
      <sz val="14"/>
      <color theme="1"/>
      <name val="Times New Roman"/>
      <family val="1"/>
    </font>
    <font>
      <i/>
      <sz val="14"/>
      <name val="Times New Roman"/>
      <family val="1"/>
    </font>
    <font>
      <b/>
      <sz val="13"/>
      <name val="Times New Roman"/>
      <family val="1"/>
    </font>
    <font>
      <sz val="13"/>
      <name val="Times New Roman"/>
      <family val="1"/>
    </font>
    <font>
      <i/>
      <sz val="13"/>
      <name val="Times New Roman"/>
      <family val="1"/>
    </font>
    <font>
      <b/>
      <i/>
      <sz val="13"/>
      <name val="Times New Roman"/>
      <family val="1"/>
    </font>
    <font>
      <b/>
      <sz val="15"/>
      <name val="Times New Roman"/>
      <family val="2"/>
    </font>
    <font>
      <i/>
      <sz val="15"/>
      <name val="Times New Roman"/>
      <family val="2"/>
    </font>
    <font>
      <sz val="20"/>
      <color theme="1"/>
      <name val="Times New Roman"/>
      <family val="1"/>
    </font>
    <font>
      <i/>
      <sz val="18"/>
      <color theme="1"/>
      <name val="Times New Roman"/>
      <family val="1"/>
    </font>
    <font>
      <b/>
      <sz val="10"/>
      <color theme="1"/>
      <name val="Times New Roman"/>
      <family val="1"/>
    </font>
    <font>
      <b/>
      <sz val="9"/>
      <color theme="1"/>
      <name val="Times New Roman"/>
      <family val="1"/>
    </font>
    <font>
      <b/>
      <i/>
      <sz val="10"/>
      <color theme="1"/>
      <name val="Times New Roman"/>
      <family val="1"/>
    </font>
    <font>
      <sz val="10"/>
      <color theme="1"/>
      <name val="Times New Roman"/>
      <family val="1"/>
    </font>
    <font>
      <b/>
      <sz val="10"/>
      <color theme="1"/>
      <name val="Arial Narrow"/>
      <family val="2"/>
    </font>
    <font>
      <sz val="10"/>
      <color theme="1"/>
      <name val="Arial Narrow"/>
      <family val="2"/>
    </font>
    <font>
      <sz val="12"/>
      <color theme="1"/>
      <name val="Times New Roman"/>
      <family val="2"/>
      <charset val="163"/>
    </font>
    <font>
      <i/>
      <sz val="11"/>
      <name val="Times New Roman"/>
      <family val="1"/>
    </font>
    <font>
      <sz val="11"/>
      <color indexed="8"/>
      <name val="Calibri"/>
      <family val="2"/>
    </font>
    <font>
      <b/>
      <sz val="11"/>
      <name val="Times New Roman"/>
      <family val="1"/>
    </font>
    <font>
      <sz val="10"/>
      <name val="Arial"/>
      <family val="2"/>
    </font>
    <font>
      <b/>
      <i/>
      <sz val="14"/>
      <color theme="1"/>
      <name val="Times New Roman"/>
      <family val="1"/>
    </font>
    <font>
      <sz val="11"/>
      <color indexed="8"/>
      <name val="Times New Roman"/>
      <family val="2"/>
    </font>
    <font>
      <b/>
      <sz val="12"/>
      <color theme="1"/>
      <name val="Arial Narrow"/>
      <family val="2"/>
    </font>
    <font>
      <sz val="12"/>
      <color theme="1"/>
      <name val="Arial Narrow"/>
      <family val="2"/>
    </font>
    <font>
      <sz val="12"/>
      <name val=".VnTime"/>
      <family val="2"/>
    </font>
    <font>
      <sz val="11"/>
      <name val="Times New Roman"/>
      <family val="1"/>
      <charset val="163"/>
    </font>
    <font>
      <b/>
      <sz val="12"/>
      <name val="Times New Roman"/>
      <family val="1"/>
      <charset val="163"/>
    </font>
    <font>
      <b/>
      <sz val="11"/>
      <name val="Times New Roman"/>
      <family val="1"/>
      <charset val="163"/>
    </font>
    <font>
      <sz val="11"/>
      <name val="Calibri"/>
      <family val="2"/>
      <charset val="163"/>
      <scheme val="minor"/>
    </font>
    <font>
      <b/>
      <sz val="10"/>
      <name val="Times New Roman"/>
      <family val="1"/>
    </font>
    <font>
      <u/>
      <sz val="12"/>
      <name val="Times New Roman"/>
      <family val="1"/>
    </font>
    <font>
      <b/>
      <sz val="11"/>
      <color indexed="81"/>
      <name val="Tahoma"/>
      <family val="2"/>
    </font>
    <font>
      <sz val="11"/>
      <color indexed="81"/>
      <name val="Tahoma"/>
      <family val="2"/>
    </font>
    <font>
      <sz val="11"/>
      <name val="Arial"/>
      <family val="2"/>
    </font>
    <font>
      <sz val="13"/>
      <color theme="1"/>
      <name val="Times New Roman"/>
      <family val="1"/>
    </font>
    <font>
      <sz val="11"/>
      <color theme="1"/>
      <name val="Times New Roman"/>
      <family val="1"/>
    </font>
    <font>
      <b/>
      <sz val="11"/>
      <color theme="1"/>
      <name val="Times New Roman"/>
      <family val="1"/>
    </font>
    <font>
      <b/>
      <i/>
      <sz val="11"/>
      <color theme="1"/>
      <name val="Times New Roman"/>
      <family val="1"/>
    </font>
    <font>
      <b/>
      <i/>
      <sz val="12"/>
      <color theme="1"/>
      <name val="Times New Roman"/>
      <family val="1"/>
    </font>
    <font>
      <i/>
      <sz val="11"/>
      <color theme="1"/>
      <name val="Times New Roman"/>
      <family val="1"/>
    </font>
    <font>
      <b/>
      <sz val="13"/>
      <name val="Times New Roman"/>
      <family val="2"/>
    </font>
    <font>
      <sz val="13"/>
      <color theme="1"/>
      <name val="Times New Roman"/>
      <family val="2"/>
    </font>
    <font>
      <i/>
      <sz val="13"/>
      <name val="Times New Roman"/>
      <family val="2"/>
    </font>
    <font>
      <b/>
      <sz val="14"/>
      <color theme="1"/>
      <name val="Arial Narrow"/>
      <family val="2"/>
    </font>
    <font>
      <sz val="14"/>
      <color theme="1"/>
      <name val="Arial Narrow"/>
      <family val="2"/>
    </font>
    <font>
      <i/>
      <sz val="14"/>
      <color theme="1"/>
      <name val="Arial Narrow"/>
      <family val="2"/>
    </font>
    <font>
      <sz val="10"/>
      <color rgb="FFFF0000"/>
      <name val="Arial Narrow"/>
      <family val="2"/>
    </font>
    <font>
      <b/>
      <sz val="12"/>
      <color theme="1"/>
      <name val="Times New Roman"/>
      <family val="2"/>
    </font>
    <font>
      <b/>
      <i/>
      <sz val="10"/>
      <color theme="1"/>
      <name val="Arial Narrow"/>
      <family val="2"/>
    </font>
    <font>
      <i/>
      <sz val="10"/>
      <color theme="1"/>
      <name val="Arial Narrow"/>
      <family val="2"/>
    </font>
    <font>
      <b/>
      <i/>
      <sz val="12"/>
      <color theme="1"/>
      <name val="Arial Narrow"/>
      <family val="2"/>
    </font>
    <font>
      <i/>
      <sz val="12"/>
      <color theme="1"/>
      <name val="Arial Narrow"/>
      <family val="2"/>
    </font>
    <font>
      <i/>
      <sz val="10"/>
      <name val="Times New Roman"/>
      <family val="1"/>
    </font>
    <font>
      <sz val="10"/>
      <name val="Times New Roman"/>
      <family val="1"/>
    </font>
    <font>
      <b/>
      <sz val="9"/>
      <color indexed="81"/>
      <name val="Tahoma"/>
      <family val="2"/>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0"/>
        <bgColor rgb="FFFFFFFF"/>
      </patternFill>
    </fill>
    <fill>
      <patternFill patternType="solid">
        <fgColor theme="0"/>
        <bgColor theme="0"/>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rgb="FF000000"/>
      </left>
      <right style="thin">
        <color rgb="FF000000"/>
      </right>
      <top style="hair">
        <color rgb="FF000000"/>
      </top>
      <bottom/>
      <diagonal/>
    </border>
    <border>
      <left style="thin">
        <color indexed="64"/>
      </left>
      <right style="thin">
        <color indexed="64"/>
      </right>
      <top style="hair">
        <color rgb="FF000000"/>
      </top>
      <bottom style="hair">
        <color indexed="64"/>
      </bottom>
      <diagonal/>
    </border>
    <border>
      <left style="thin">
        <color rgb="FF000000"/>
      </left>
      <right style="thin">
        <color rgb="FF000000"/>
      </right>
      <top/>
      <bottom style="hair">
        <color rgb="FF000000"/>
      </bottom>
      <diagonal/>
    </border>
    <border>
      <left style="thin">
        <color indexed="64"/>
      </left>
      <right style="thin">
        <color indexed="64"/>
      </right>
      <top style="hair">
        <color rgb="FF000000"/>
      </top>
      <bottom/>
      <diagonal/>
    </border>
  </borders>
  <cellStyleXfs count="30">
    <xf numFmtId="0" fontId="0" fillId="0" borderId="0"/>
    <xf numFmtId="0" fontId="16" fillId="0" borderId="0"/>
    <xf numFmtId="0" fontId="16" fillId="0" borderId="0"/>
    <xf numFmtId="0" fontId="16" fillId="0" borderId="0"/>
    <xf numFmtId="165" fontId="15" fillId="0" borderId="0" applyFont="0" applyFill="0" applyBorder="0" applyAlignment="0" applyProtection="0"/>
    <xf numFmtId="165" fontId="16" fillId="0" borderId="0" applyFont="0" applyFill="0" applyBorder="0" applyAlignment="0" applyProtection="0"/>
    <xf numFmtId="165"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43" fontId="44" fillId="0" borderId="0" applyFont="0" applyFill="0" applyBorder="0" applyAlignment="0" applyProtection="0"/>
    <xf numFmtId="0" fontId="16" fillId="0" borderId="0"/>
    <xf numFmtId="43" fontId="48" fillId="0" borderId="0" applyFont="0" applyFill="0" applyBorder="0" applyAlignment="0" applyProtection="0"/>
    <xf numFmtId="9" fontId="42" fillId="0" borderId="0" applyFont="0" applyFill="0" applyBorder="0" applyAlignment="0" applyProtection="0"/>
    <xf numFmtId="0" fontId="51" fillId="0" borderId="0"/>
    <xf numFmtId="0" fontId="46" fillId="0" borderId="0"/>
    <xf numFmtId="0" fontId="15" fillId="0" borderId="0"/>
    <xf numFmtId="0" fontId="16" fillId="0" borderId="0"/>
    <xf numFmtId="164" fontId="15"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166" fontId="42" fillId="0" borderId="0" applyFont="0" applyFill="0" applyBorder="0" applyAlignment="0" applyProtection="0"/>
    <xf numFmtId="0" fontId="15" fillId="0" borderId="0"/>
    <xf numFmtId="0" fontId="15" fillId="0" borderId="0"/>
    <xf numFmtId="0" fontId="15" fillId="0" borderId="0"/>
    <xf numFmtId="43" fontId="16" fillId="0" borderId="0" applyFont="0" applyFill="0" applyBorder="0" applyAlignment="0" applyProtection="0"/>
    <xf numFmtId="0" fontId="15" fillId="0" borderId="0"/>
    <xf numFmtId="0" fontId="51" fillId="0" borderId="0"/>
    <xf numFmtId="41" fontId="15" fillId="0" borderId="0" applyFont="0" applyFill="0" applyBorder="0" applyAlignment="0" applyProtection="0"/>
  </cellStyleXfs>
  <cellXfs count="1227">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1" fillId="0" borderId="1" xfId="0" applyFont="1" applyFill="1" applyBorder="1" applyAlignment="1">
      <alignment vertical="center" wrapText="1"/>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1" fillId="0" borderId="0" xfId="0" applyFont="1" applyFill="1" applyAlignment="1">
      <alignment horizontal="center" vertical="center"/>
    </xf>
    <xf numFmtId="0" fontId="17" fillId="0" borderId="0" xfId="8" applyFont="1" applyFill="1" applyAlignment="1">
      <alignment horizontal="center" vertical="center" wrapText="1"/>
    </xf>
    <xf numFmtId="0" fontId="18" fillId="0" borderId="0" xfId="8" applyFont="1" applyFill="1" applyAlignment="1">
      <alignment horizontal="center" vertical="center" wrapText="1"/>
    </xf>
    <xf numFmtId="0" fontId="4" fillId="0" borderId="0" xfId="0" applyFont="1" applyFill="1" applyBorder="1" applyAlignment="1">
      <alignment vertical="center" wrapText="1"/>
    </xf>
    <xf numFmtId="0" fontId="19" fillId="0" borderId="4" xfId="8" applyFont="1" applyFill="1" applyBorder="1" applyAlignment="1">
      <alignment horizontal="center" vertical="center" wrapText="1"/>
    </xf>
    <xf numFmtId="0" fontId="4" fillId="0" borderId="4" xfId="8" applyFont="1" applyFill="1" applyBorder="1" applyAlignment="1">
      <alignment horizontal="center" vertical="center" wrapText="1"/>
    </xf>
    <xf numFmtId="0" fontId="19" fillId="0" borderId="0" xfId="8" applyFont="1" applyFill="1" applyAlignment="1">
      <alignment horizontal="center" vertical="center" wrapText="1"/>
    </xf>
    <xf numFmtId="0" fontId="20" fillId="0" borderId="0" xfId="8" applyFont="1" applyFill="1" applyAlignment="1">
      <alignment wrapText="1"/>
    </xf>
    <xf numFmtId="0" fontId="20" fillId="0" borderId="0" xfId="8" applyFont="1" applyAlignment="1">
      <alignment wrapText="1"/>
    </xf>
    <xf numFmtId="0" fontId="6" fillId="0" borderId="0" xfId="0" applyFont="1" applyFill="1" applyAlignment="1">
      <alignment vertical="center"/>
    </xf>
    <xf numFmtId="0" fontId="20" fillId="0" borderId="0" xfId="8" applyFont="1" applyFill="1" applyAlignment="1">
      <alignment vertical="center" wrapText="1"/>
    </xf>
    <xf numFmtId="0" fontId="19" fillId="0" borderId="0" xfId="8" applyFont="1" applyFill="1" applyAlignment="1">
      <alignment vertical="center" wrapText="1"/>
    </xf>
    <xf numFmtId="0" fontId="20" fillId="0" borderId="0" xfId="8" applyFont="1" applyAlignment="1">
      <alignment vertical="center" wrapText="1"/>
    </xf>
    <xf numFmtId="0" fontId="20" fillId="0" borderId="0" xfId="8" applyFont="1" applyFill="1" applyAlignment="1">
      <alignment horizontal="center" vertical="center" wrapText="1"/>
    </xf>
    <xf numFmtId="0" fontId="6" fillId="0" borderId="0" xfId="8" applyFont="1" applyFill="1" applyAlignment="1">
      <alignment vertical="center" wrapText="1"/>
    </xf>
    <xf numFmtId="0" fontId="20" fillId="0" borderId="0" xfId="8" applyFont="1" applyFill="1" applyBorder="1" applyAlignment="1">
      <alignment vertical="center" wrapText="1"/>
    </xf>
    <xf numFmtId="4" fontId="20" fillId="0" borderId="0" xfId="8" applyNumberFormat="1" applyFont="1" applyAlignment="1">
      <alignment horizontal="center" vertical="center" wrapText="1"/>
    </xf>
    <xf numFmtId="1" fontId="4" fillId="0" borderId="0" xfId="1" applyNumberFormat="1" applyFont="1" applyFill="1" applyBorder="1" applyAlignment="1">
      <alignment vertical="center"/>
    </xf>
    <xf numFmtId="4" fontId="4" fillId="0" borderId="0" xfId="1" applyNumberFormat="1" applyFont="1" applyFill="1" applyBorder="1" applyAlignment="1">
      <alignment horizontal="center" vertical="center"/>
    </xf>
    <xf numFmtId="3" fontId="4" fillId="0" borderId="0" xfId="1" applyNumberFormat="1" applyFont="1" applyFill="1" applyBorder="1" applyAlignment="1">
      <alignment horizontal="center" vertical="center"/>
    </xf>
    <xf numFmtId="1" fontId="4" fillId="0" borderId="0" xfId="1" applyNumberFormat="1" applyFont="1" applyFill="1" applyBorder="1" applyAlignment="1">
      <alignment horizontal="center" vertical="center"/>
    </xf>
    <xf numFmtId="1" fontId="6" fillId="0" borderId="0" xfId="0" applyNumberFormat="1" applyFont="1" applyFill="1" applyAlignment="1">
      <alignment vertical="center"/>
    </xf>
    <xf numFmtId="1" fontId="4" fillId="0" borderId="0" xfId="0" applyNumberFormat="1" applyFont="1" applyFill="1" applyBorder="1" applyAlignment="1">
      <alignment horizontal="center" vertical="center" wrapText="1"/>
    </xf>
    <xf numFmtId="0" fontId="20" fillId="0" borderId="0" xfId="0" applyFont="1"/>
    <xf numFmtId="3" fontId="20" fillId="0" borderId="0" xfId="0" applyNumberFormat="1" applyFont="1"/>
    <xf numFmtId="3" fontId="6" fillId="0" borderId="0" xfId="0" applyNumberFormat="1" applyFont="1" applyFill="1" applyAlignment="1">
      <alignment vertical="center"/>
    </xf>
    <xf numFmtId="3" fontId="4" fillId="0" borderId="0" xfId="1" applyNumberFormat="1" applyFont="1" applyFill="1" applyBorder="1" applyAlignment="1">
      <alignment vertical="center"/>
    </xf>
    <xf numFmtId="3" fontId="18" fillId="0" borderId="0" xfId="8" applyNumberFormat="1" applyFont="1" applyAlignment="1">
      <alignment vertical="center" wrapText="1"/>
    </xf>
    <xf numFmtId="3" fontId="17" fillId="0" borderId="4" xfId="8" applyNumberFormat="1" applyFont="1" applyBorder="1" applyAlignment="1">
      <alignment horizontal="center" vertical="center" wrapText="1"/>
    </xf>
    <xf numFmtId="3" fontId="9" fillId="0" borderId="4" xfId="8" applyNumberFormat="1" applyFont="1" applyBorder="1" applyAlignment="1">
      <alignment horizontal="center" vertical="center" wrapText="1"/>
    </xf>
    <xf numFmtId="3" fontId="17" fillId="0" borderId="4" xfId="8" applyNumberFormat="1" applyFont="1" applyFill="1" applyBorder="1" applyAlignment="1">
      <alignment horizontal="center" vertical="center" wrapText="1"/>
    </xf>
    <xf numFmtId="3" fontId="17" fillId="0" borderId="0" xfId="8" applyNumberFormat="1" applyFont="1" applyAlignment="1">
      <alignment horizontal="center" vertical="center" wrapText="1"/>
    </xf>
    <xf numFmtId="3" fontId="17" fillId="0" borderId="0" xfId="8" applyNumberFormat="1" applyFont="1" applyAlignment="1">
      <alignment vertical="center" wrapText="1"/>
    </xf>
    <xf numFmtId="3" fontId="18" fillId="0" borderId="0" xfId="8" applyNumberFormat="1" applyFont="1" applyAlignment="1">
      <alignment horizontal="center" vertical="center" wrapText="1"/>
    </xf>
    <xf numFmtId="3" fontId="8" fillId="0" borderId="0" xfId="8" applyNumberFormat="1" applyFont="1" applyAlignment="1">
      <alignment vertical="center" wrapText="1"/>
    </xf>
    <xf numFmtId="3" fontId="18" fillId="0" borderId="0" xfId="8" applyNumberFormat="1" applyFont="1" applyFill="1" applyAlignment="1">
      <alignment vertical="center" wrapText="1"/>
    </xf>
    <xf numFmtId="168" fontId="17" fillId="0" borderId="0" xfId="8" applyNumberFormat="1" applyFont="1" applyAlignment="1">
      <alignment horizontal="center" vertical="center" wrapText="1"/>
    </xf>
    <xf numFmtId="168" fontId="18" fillId="0" borderId="0" xfId="8" applyNumberFormat="1" applyFont="1" applyAlignment="1">
      <alignment vertical="center" wrapText="1"/>
    </xf>
    <xf numFmtId="169" fontId="18" fillId="0" borderId="0" xfId="8" applyNumberFormat="1" applyFont="1" applyAlignment="1">
      <alignment vertical="center" wrapText="1"/>
    </xf>
    <xf numFmtId="0" fontId="19" fillId="0" borderId="3" xfId="8" applyFont="1" applyFill="1" applyBorder="1" applyAlignment="1">
      <alignment horizontal="center" vertical="center" wrapText="1"/>
    </xf>
    <xf numFmtId="0" fontId="19" fillId="0" borderId="5" xfId="8" applyFont="1" applyFill="1" applyBorder="1" applyAlignment="1">
      <alignment horizontal="center" vertical="center" wrapText="1"/>
    </xf>
    <xf numFmtId="0" fontId="4" fillId="0" borderId="5" xfId="8" applyFont="1" applyFill="1" applyBorder="1" applyAlignment="1">
      <alignment horizontal="center" vertical="center" wrapText="1"/>
    </xf>
    <xf numFmtId="0" fontId="20" fillId="0" borderId="6" xfId="8" applyFont="1" applyFill="1" applyBorder="1" applyAlignment="1">
      <alignment vertical="center" wrapText="1"/>
    </xf>
    <xf numFmtId="0" fontId="6" fillId="0" borderId="6" xfId="8" applyFont="1" applyFill="1" applyBorder="1" applyAlignment="1">
      <alignment vertical="center" wrapText="1"/>
    </xf>
    <xf numFmtId="0" fontId="20" fillId="0" borderId="0" xfId="8" applyFont="1" applyFill="1" applyAlignment="1">
      <alignment horizontal="center" wrapText="1"/>
    </xf>
    <xf numFmtId="0" fontId="6" fillId="0" borderId="0" xfId="8" applyFont="1" applyFill="1" applyAlignment="1">
      <alignment wrapText="1"/>
    </xf>
    <xf numFmtId="1" fontId="19" fillId="0" borderId="4" xfId="8" applyNumberFormat="1" applyFont="1" applyBorder="1" applyAlignment="1">
      <alignment horizontal="center" vertical="center" wrapText="1"/>
    </xf>
    <xf numFmtId="1" fontId="19" fillId="0" borderId="0" xfId="8" applyNumberFormat="1" applyFont="1" applyAlignment="1">
      <alignment horizontal="center" vertical="center" wrapText="1"/>
    </xf>
    <xf numFmtId="1" fontId="19" fillId="0" borderId="0" xfId="8" applyNumberFormat="1" applyFont="1" applyAlignment="1">
      <alignment horizontal="center" vertical="center"/>
    </xf>
    <xf numFmtId="1" fontId="20" fillId="0" borderId="0" xfId="8" applyNumberFormat="1" applyFont="1" applyAlignment="1">
      <alignment vertical="center"/>
    </xf>
    <xf numFmtId="1" fontId="20" fillId="0" borderId="6" xfId="8" applyNumberFormat="1" applyFont="1" applyBorder="1" applyAlignment="1">
      <alignment vertical="center" wrapText="1"/>
    </xf>
    <xf numFmtId="1" fontId="20" fillId="0" borderId="0" xfId="8" applyNumberFormat="1" applyFont="1" applyAlignment="1">
      <alignment vertical="center" wrapText="1"/>
    </xf>
    <xf numFmtId="0" fontId="20" fillId="0" borderId="0" xfId="8" applyFont="1"/>
    <xf numFmtId="1" fontId="4" fillId="0" borderId="0" xfId="0" applyNumberFormat="1" applyFont="1" applyFill="1" applyBorder="1" applyAlignment="1">
      <alignment vertical="center" wrapText="1"/>
    </xf>
    <xf numFmtId="0" fontId="4" fillId="0" borderId="0" xfId="8" applyFont="1" applyFill="1" applyAlignment="1">
      <alignment horizontal="center" vertical="center" wrapText="1"/>
    </xf>
    <xf numFmtId="0" fontId="6" fillId="0" borderId="0" xfId="8" applyFont="1" applyFill="1" applyAlignment="1">
      <alignment horizontal="center" vertical="center" wrapText="1"/>
    </xf>
    <xf numFmtId="0" fontId="4" fillId="0" borderId="0" xfId="8" applyFont="1" applyFill="1" applyAlignment="1">
      <alignment vertical="center" wrapText="1"/>
    </xf>
    <xf numFmtId="171" fontId="20" fillId="0" borderId="0" xfId="5" applyNumberFormat="1" applyFont="1" applyFill="1" applyAlignment="1">
      <alignment vertical="center" wrapText="1"/>
    </xf>
    <xf numFmtId="0" fontId="6" fillId="0" borderId="0" xfId="8" applyFont="1" applyFill="1"/>
    <xf numFmtId="0" fontId="6" fillId="0" borderId="0" xfId="8" applyFont="1"/>
    <xf numFmtId="0" fontId="4" fillId="0" borderId="4" xfId="0" applyFont="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9" fillId="0" borderId="0" xfId="0" applyFont="1" applyBorder="1" applyAlignment="1">
      <alignment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20" fillId="0" borderId="0" xfId="0" applyFont="1" applyAlignment="1">
      <alignment vertical="center" wrapText="1"/>
    </xf>
    <xf numFmtId="0" fontId="20" fillId="0" borderId="0" xfId="0" applyFont="1" applyFill="1" applyAlignment="1">
      <alignment vertical="center" wrapText="1"/>
    </xf>
    <xf numFmtId="0" fontId="19" fillId="0" borderId="0" xfId="0" applyFont="1" applyFill="1" applyAlignment="1">
      <alignment vertical="center" wrapText="1"/>
    </xf>
    <xf numFmtId="1" fontId="6" fillId="0" borderId="0" xfId="0" applyNumberFormat="1" applyFont="1" applyFill="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wrapText="1"/>
    </xf>
    <xf numFmtId="3" fontId="1" fillId="0" borderId="0" xfId="0" applyNumberFormat="1" applyFont="1" applyFill="1" applyAlignment="1">
      <alignment horizontal="center" vertical="center" wrapText="1"/>
    </xf>
    <xf numFmtId="3" fontId="1" fillId="0" borderId="0" xfId="0" applyNumberFormat="1" applyFont="1" applyFill="1" applyAlignment="1">
      <alignment vertical="center" wrapText="1"/>
    </xf>
    <xf numFmtId="3" fontId="2" fillId="0" borderId="4" xfId="0" applyNumberFormat="1" applyFont="1" applyFill="1" applyBorder="1" applyAlignment="1">
      <alignment horizontal="center" vertical="center" wrapText="1"/>
    </xf>
    <xf numFmtId="168" fontId="6" fillId="0" borderId="0" xfId="8" applyNumberFormat="1" applyFont="1" applyFill="1" applyAlignment="1">
      <alignment vertical="center" wrapText="1"/>
    </xf>
    <xf numFmtId="0" fontId="5" fillId="0" borderId="0" xfId="0" applyFont="1" applyFill="1" applyAlignment="1">
      <alignment vertical="center"/>
    </xf>
    <xf numFmtId="0" fontId="18" fillId="0" borderId="0" xfId="8" applyFont="1" applyFill="1" applyAlignment="1">
      <alignment vertical="center" wrapText="1"/>
    </xf>
    <xf numFmtId="0" fontId="17" fillId="0" borderId="0" xfId="8" applyFont="1" applyFill="1" applyAlignment="1">
      <alignment vertical="center" wrapText="1"/>
    </xf>
    <xf numFmtId="0" fontId="19" fillId="0" borderId="0" xfId="8" applyFont="1" applyAlignment="1">
      <alignment vertical="center" wrapText="1"/>
    </xf>
    <xf numFmtId="0" fontId="17" fillId="0" borderId="0" xfId="8" applyFont="1" applyAlignment="1">
      <alignment vertical="center" wrapText="1"/>
    </xf>
    <xf numFmtId="0" fontId="18" fillId="0" borderId="0" xfId="8" applyFont="1" applyAlignment="1">
      <alignment vertical="center" wrapText="1"/>
    </xf>
    <xf numFmtId="167" fontId="18" fillId="0" borderId="0" xfId="8" applyNumberFormat="1" applyFont="1" applyFill="1" applyAlignment="1">
      <alignment vertical="center" wrapText="1"/>
    </xf>
    <xf numFmtId="0" fontId="8" fillId="0" borderId="0" xfId="8" applyFont="1" applyFill="1" applyAlignment="1">
      <alignment vertical="center" wrapText="1"/>
    </xf>
    <xf numFmtId="4" fontId="8" fillId="0" borderId="0" xfId="8" applyNumberFormat="1" applyFont="1" applyFill="1" applyAlignment="1">
      <alignment vertical="center" wrapText="1"/>
    </xf>
    <xf numFmtId="0" fontId="4" fillId="0" borderId="0" xfId="0" applyFont="1" applyFill="1" applyBorder="1" applyAlignment="1">
      <alignment horizontal="center" vertical="center" wrapText="1"/>
    </xf>
    <xf numFmtId="4" fontId="18" fillId="0" borderId="0" xfId="8" applyNumberFormat="1" applyFont="1" applyFill="1" applyAlignment="1">
      <alignment vertical="center" wrapText="1"/>
    </xf>
    <xf numFmtId="0" fontId="20" fillId="3" borderId="0" xfId="8" applyFont="1" applyFill="1" applyAlignment="1">
      <alignment vertical="center" wrapText="1"/>
    </xf>
    <xf numFmtId="0" fontId="20" fillId="0" borderId="0" xfId="8" applyFont="1" applyFill="1"/>
    <xf numFmtId="0" fontId="19" fillId="0" borderId="0" xfId="8" applyFont="1" applyFill="1" applyAlignment="1">
      <alignment horizontal="center" vertical="center"/>
    </xf>
    <xf numFmtId="168" fontId="20" fillId="0" borderId="0" xfId="8" applyNumberFormat="1" applyFont="1" applyFill="1"/>
    <xf numFmtId="3" fontId="2" fillId="0" borderId="0" xfId="0" applyNumberFormat="1" applyFont="1" applyFill="1" applyAlignment="1">
      <alignment vertical="center"/>
    </xf>
    <xf numFmtId="1" fontId="4" fillId="0" borderId="0" xfId="0" applyNumberFormat="1" applyFont="1" applyFill="1" applyBorder="1" applyAlignment="1">
      <alignment horizontal="center" vertical="center" wrapText="1"/>
    </xf>
    <xf numFmtId="1" fontId="4" fillId="0" borderId="0" xfId="1" applyNumberFormat="1" applyFont="1" applyFill="1" applyBorder="1" applyAlignment="1">
      <alignment horizontal="center" vertical="center"/>
    </xf>
    <xf numFmtId="0" fontId="19" fillId="0" borderId="7" xfId="8" applyFont="1" applyFill="1" applyBorder="1" applyAlignment="1">
      <alignment horizontal="center" vertical="center" wrapText="1"/>
    </xf>
    <xf numFmtId="0" fontId="4" fillId="0" borderId="7" xfId="8" applyFont="1" applyFill="1" applyBorder="1" applyAlignment="1">
      <alignment horizontal="center" vertical="center" wrapText="1"/>
    </xf>
    <xf numFmtId="0" fontId="18" fillId="0" borderId="9" xfId="8" applyFont="1" applyFill="1" applyBorder="1" applyAlignment="1">
      <alignment horizontal="center" vertical="center" wrapText="1"/>
    </xf>
    <xf numFmtId="0" fontId="18" fillId="0" borderId="9" xfId="8" applyFont="1" applyFill="1" applyBorder="1" applyAlignment="1">
      <alignment vertical="center" wrapText="1"/>
    </xf>
    <xf numFmtId="4" fontId="8" fillId="0" borderId="9" xfId="8" applyNumberFormat="1" applyFont="1" applyFill="1" applyBorder="1" applyAlignment="1">
      <alignment vertical="center" wrapText="1"/>
    </xf>
    <xf numFmtId="0" fontId="19" fillId="0" borderId="2" xfId="8" applyFont="1" applyFill="1" applyBorder="1" applyAlignment="1">
      <alignment horizontal="center" vertical="center" wrapText="1"/>
    </xf>
    <xf numFmtId="0" fontId="4" fillId="0" borderId="2" xfId="8" applyFont="1" applyFill="1" applyBorder="1" applyAlignment="1">
      <alignment horizontal="center" vertical="center" wrapText="1"/>
    </xf>
    <xf numFmtId="0" fontId="19" fillId="0" borderId="1" xfId="8" applyFont="1" applyFill="1" applyBorder="1" applyAlignment="1">
      <alignment horizontal="center" vertical="center" wrapText="1"/>
    </xf>
    <xf numFmtId="0" fontId="4" fillId="0" borderId="1" xfId="8" applyFont="1" applyFill="1" applyBorder="1" applyAlignment="1">
      <alignment horizontal="center" vertical="center" wrapText="1"/>
    </xf>
    <xf numFmtId="0" fontId="20" fillId="0" borderId="1" xfId="8" applyFont="1" applyFill="1" applyBorder="1" applyAlignment="1">
      <alignment horizontal="center" vertical="center" wrapText="1"/>
    </xf>
    <xf numFmtId="0" fontId="20" fillId="0" borderId="1" xfId="8" applyFont="1" applyFill="1" applyBorder="1" applyAlignment="1">
      <alignment vertical="center" wrapText="1"/>
    </xf>
    <xf numFmtId="0" fontId="6" fillId="0" borderId="1" xfId="8" applyFont="1" applyFill="1" applyBorder="1" applyAlignment="1">
      <alignment horizontal="center" vertical="center" wrapText="1"/>
    </xf>
    <xf numFmtId="0" fontId="19" fillId="0" borderId="1" xfId="8" applyFont="1" applyBorder="1" applyAlignment="1">
      <alignment horizontal="center" vertical="center" wrapText="1"/>
    </xf>
    <xf numFmtId="0" fontId="19" fillId="0" borderId="1" xfId="8" applyFont="1" applyBorder="1" applyAlignment="1">
      <alignment vertical="center" wrapText="1"/>
    </xf>
    <xf numFmtId="0" fontId="20" fillId="0" borderId="1" xfId="8" applyFont="1" applyBorder="1" applyAlignment="1">
      <alignment horizontal="center" vertical="center" wrapText="1"/>
    </xf>
    <xf numFmtId="0" fontId="20" fillId="0" borderId="1" xfId="8" applyFont="1" applyBorder="1" applyAlignment="1">
      <alignment horizontal="justify" vertical="center" wrapText="1"/>
    </xf>
    <xf numFmtId="0" fontId="20" fillId="0" borderId="1" xfId="8"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8" applyFont="1" applyFill="1" applyBorder="1" applyAlignment="1">
      <alignment vertical="center" wrapText="1"/>
    </xf>
    <xf numFmtId="0" fontId="19" fillId="0" borderId="2" xfId="8" applyFont="1" applyFill="1" applyBorder="1" applyAlignment="1">
      <alignment vertical="center" wrapText="1"/>
    </xf>
    <xf numFmtId="0" fontId="20" fillId="0" borderId="12" xfId="8" applyFont="1" applyBorder="1" applyAlignment="1">
      <alignment horizontal="center" vertical="center" wrapText="1"/>
    </xf>
    <xf numFmtId="173" fontId="20" fillId="0" borderId="1" xfId="6" applyNumberFormat="1" applyFont="1" applyFill="1" applyBorder="1" applyAlignment="1">
      <alignment horizontal="center" vertical="center" wrapText="1"/>
    </xf>
    <xf numFmtId="173" fontId="6" fillId="0" borderId="1" xfId="6" applyNumberFormat="1" applyFont="1" applyFill="1" applyBorder="1" applyAlignment="1">
      <alignment horizontal="center" vertical="center" wrapText="1"/>
    </xf>
    <xf numFmtId="173" fontId="19" fillId="0" borderId="1" xfId="6" applyNumberFormat="1" applyFont="1" applyFill="1" applyBorder="1" applyAlignment="1">
      <alignment horizontal="center" vertical="center" wrapText="1"/>
    </xf>
    <xf numFmtId="173" fontId="4" fillId="0" borderId="1" xfId="6" applyNumberFormat="1" applyFont="1" applyFill="1" applyBorder="1" applyAlignment="1">
      <alignment horizontal="center" vertical="center" wrapText="1"/>
    </xf>
    <xf numFmtId="173" fontId="19" fillId="0" borderId="1" xfId="6" applyNumberFormat="1" applyFont="1" applyBorder="1" applyAlignment="1">
      <alignment horizontal="center" vertical="center" wrapText="1"/>
    </xf>
    <xf numFmtId="173" fontId="4" fillId="0" borderId="1" xfId="6" applyNumberFormat="1" applyFont="1" applyBorder="1" applyAlignment="1">
      <alignment horizontal="center" vertical="center" wrapText="1"/>
    </xf>
    <xf numFmtId="173" fontId="20" fillId="0" borderId="1" xfId="6" applyNumberFormat="1" applyFont="1" applyBorder="1" applyAlignment="1">
      <alignment horizontal="center" vertical="center" wrapText="1"/>
    </xf>
    <xf numFmtId="173" fontId="6" fillId="0" borderId="1" xfId="6" applyNumberFormat="1" applyFont="1" applyBorder="1" applyAlignment="1">
      <alignment horizontal="center" vertical="center" wrapText="1"/>
    </xf>
    <xf numFmtId="0" fontId="20" fillId="0" borderId="12" xfId="8" applyFont="1" applyBorder="1" applyAlignment="1">
      <alignment vertical="center" wrapText="1"/>
    </xf>
    <xf numFmtId="173" fontId="6" fillId="0" borderId="12" xfId="6" applyNumberFormat="1" applyFont="1" applyBorder="1" applyAlignment="1">
      <alignment horizontal="center" vertical="center" wrapText="1"/>
    </xf>
    <xf numFmtId="49" fontId="21" fillId="0" borderId="1" xfId="6" applyNumberFormat="1" applyFont="1" applyBorder="1" applyAlignment="1">
      <alignment horizontal="justify" vertical="center" wrapText="1"/>
    </xf>
    <xf numFmtId="174" fontId="21" fillId="0" borderId="1" xfId="6" applyNumberFormat="1" applyFont="1" applyBorder="1" applyAlignment="1">
      <alignment horizontal="center" vertical="center" wrapText="1"/>
    </xf>
    <xf numFmtId="0" fontId="20" fillId="3" borderId="1" xfId="8" applyFont="1" applyFill="1" applyBorder="1" applyAlignment="1">
      <alignment horizontal="center" vertical="center" wrapText="1"/>
    </xf>
    <xf numFmtId="49" fontId="21" fillId="3" borderId="1" xfId="6" applyNumberFormat="1" applyFont="1" applyFill="1" applyBorder="1" applyAlignment="1">
      <alignment horizontal="justify" vertical="center" wrapText="1"/>
    </xf>
    <xf numFmtId="173" fontId="6" fillId="3" borderId="1" xfId="6" applyNumberFormat="1" applyFont="1" applyFill="1" applyBorder="1" applyAlignment="1">
      <alignment horizontal="center" vertical="center" wrapText="1"/>
    </xf>
    <xf numFmtId="173" fontId="20" fillId="3" borderId="1" xfId="6" applyNumberFormat="1" applyFont="1" applyFill="1" applyBorder="1" applyAlignment="1">
      <alignment horizontal="center" vertical="center" wrapText="1"/>
    </xf>
    <xf numFmtId="165" fontId="21" fillId="3" borderId="1" xfId="6" applyNumberFormat="1" applyFont="1" applyFill="1" applyBorder="1" applyAlignment="1">
      <alignment horizontal="center" vertical="center" wrapText="1"/>
    </xf>
    <xf numFmtId="49" fontId="19" fillId="0" borderId="1" xfId="6" applyNumberFormat="1" applyFont="1" applyFill="1" applyBorder="1" applyAlignment="1">
      <alignment vertical="center" wrapText="1"/>
    </xf>
    <xf numFmtId="174" fontId="19" fillId="0" borderId="1" xfId="6" applyNumberFormat="1" applyFont="1" applyFill="1" applyBorder="1" applyAlignment="1">
      <alignment horizontal="center" vertical="center" wrapText="1"/>
    </xf>
    <xf numFmtId="174" fontId="21" fillId="3" borderId="1" xfId="6" applyNumberFormat="1" applyFont="1" applyFill="1" applyBorder="1" applyAlignment="1">
      <alignment horizontal="center" vertical="center" wrapText="1"/>
    </xf>
    <xf numFmtId="172" fontId="21" fillId="3" borderId="1" xfId="6" applyNumberFormat="1" applyFont="1" applyFill="1" applyBorder="1" applyAlignment="1">
      <alignment horizontal="center" vertical="center" wrapText="1"/>
    </xf>
    <xf numFmtId="173" fontId="25" fillId="0" borderId="1" xfId="6" applyNumberFormat="1" applyFont="1" applyBorder="1" applyAlignment="1">
      <alignment vertical="center" wrapText="1"/>
    </xf>
    <xf numFmtId="3" fontId="20" fillId="0" borderId="1" xfId="8" applyNumberFormat="1" applyFont="1" applyBorder="1" applyAlignment="1">
      <alignment horizontal="center" vertical="center" wrapText="1"/>
    </xf>
    <xf numFmtId="49" fontId="20" fillId="0" borderId="1" xfId="6" applyNumberFormat="1" applyFont="1" applyBorder="1" applyAlignment="1">
      <alignment vertical="center" wrapText="1"/>
    </xf>
    <xf numFmtId="3" fontId="20" fillId="0" borderId="12" xfId="8" applyNumberFormat="1" applyFont="1" applyBorder="1" applyAlignment="1">
      <alignment horizontal="center" vertical="center" wrapText="1"/>
    </xf>
    <xf numFmtId="49" fontId="20" fillId="0" borderId="12" xfId="6" applyNumberFormat="1" applyFont="1" applyBorder="1" applyAlignment="1">
      <alignment vertical="center" wrapText="1"/>
    </xf>
    <xf numFmtId="173" fontId="20" fillId="0" borderId="12" xfId="6" applyNumberFormat="1" applyFont="1" applyBorder="1" applyAlignment="1">
      <alignment horizontal="center" vertical="center" wrapText="1"/>
    </xf>
    <xf numFmtId="173" fontId="6" fillId="0" borderId="12" xfId="6"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vertical="center" wrapText="1"/>
    </xf>
    <xf numFmtId="1" fontId="6" fillId="0" borderId="2" xfId="0" applyNumberFormat="1" applyFont="1" applyFill="1" applyBorder="1" applyAlignment="1">
      <alignment vertical="center" wrapText="1"/>
    </xf>
    <xf numFmtId="1"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vertical="center" wrapText="1"/>
    </xf>
    <xf numFmtId="3" fontId="4" fillId="0" borderId="12" xfId="0" applyNumberFormat="1" applyFont="1" applyFill="1" applyBorder="1" applyAlignment="1">
      <alignment vertical="center" wrapText="1"/>
    </xf>
    <xf numFmtId="3" fontId="17" fillId="0" borderId="2" xfId="8" applyNumberFormat="1" applyFont="1" applyBorder="1" applyAlignment="1">
      <alignment horizontal="center" vertical="center" wrapText="1"/>
    </xf>
    <xf numFmtId="3" fontId="17" fillId="0" borderId="2" xfId="8" applyNumberFormat="1" applyFont="1" applyBorder="1" applyAlignment="1">
      <alignment vertical="center" wrapText="1"/>
    </xf>
    <xf numFmtId="3" fontId="9" fillId="0" borderId="2" xfId="8" applyNumberFormat="1" applyFont="1" applyBorder="1" applyAlignment="1">
      <alignment horizontal="center" vertical="center" wrapText="1"/>
    </xf>
    <xf numFmtId="3" fontId="17" fillId="0" borderId="2" xfId="8" applyNumberFormat="1" applyFont="1" applyFill="1" applyBorder="1" applyAlignment="1">
      <alignment horizontal="center" vertical="center" wrapText="1"/>
    </xf>
    <xf numFmtId="3" fontId="18" fillId="0" borderId="1" xfId="8" applyNumberFormat="1" applyFont="1" applyBorder="1" applyAlignment="1">
      <alignment horizontal="center" vertical="center" wrapText="1"/>
    </xf>
    <xf numFmtId="3" fontId="22" fillId="0" borderId="1" xfId="8" applyNumberFormat="1" applyFont="1" applyBorder="1" applyAlignment="1">
      <alignment horizontal="justify" vertical="center" wrapText="1"/>
    </xf>
    <xf numFmtId="3" fontId="22" fillId="0" borderId="1" xfId="8" applyNumberFormat="1" applyFont="1" applyBorder="1" applyAlignment="1">
      <alignment horizontal="center" vertical="center" wrapText="1"/>
    </xf>
    <xf numFmtId="3" fontId="18" fillId="2" borderId="1" xfId="8" applyNumberFormat="1" applyFont="1" applyFill="1" applyBorder="1" applyAlignment="1">
      <alignment horizontal="justify" vertical="center" wrapText="1"/>
    </xf>
    <xf numFmtId="168" fontId="18" fillId="2" borderId="1" xfId="8" applyNumberFormat="1" applyFont="1" applyFill="1" applyBorder="1" applyAlignment="1">
      <alignment horizontal="justify" vertical="center" wrapText="1"/>
    </xf>
    <xf numFmtId="168" fontId="18" fillId="0" borderId="1" xfId="8" applyNumberFormat="1" applyFont="1" applyBorder="1" applyAlignment="1">
      <alignment horizontal="center" vertical="center" wrapText="1"/>
    </xf>
    <xf numFmtId="168" fontId="17" fillId="0" borderId="1" xfId="8" applyNumberFormat="1" applyFont="1" applyBorder="1" applyAlignment="1">
      <alignment horizontal="center" vertical="center" wrapText="1"/>
    </xf>
    <xf numFmtId="168" fontId="17" fillId="0" borderId="1" xfId="8" applyNumberFormat="1" applyFont="1" applyBorder="1" applyAlignment="1">
      <alignment vertical="center" wrapText="1"/>
    </xf>
    <xf numFmtId="3" fontId="17" fillId="0" borderId="1" xfId="8" applyNumberFormat="1" applyFont="1" applyBorder="1" applyAlignment="1">
      <alignment horizontal="center" vertical="center" wrapText="1"/>
    </xf>
    <xf numFmtId="3" fontId="17" fillId="0" borderId="1" xfId="8" applyNumberFormat="1" applyFont="1" applyBorder="1" applyAlignment="1">
      <alignment horizontal="left" vertical="center" wrapText="1"/>
    </xf>
    <xf numFmtId="3" fontId="18" fillId="0" borderId="12" xfId="8" applyNumberFormat="1" applyFont="1" applyBorder="1" applyAlignment="1">
      <alignment horizontal="center" vertical="center" wrapText="1"/>
    </xf>
    <xf numFmtId="168" fontId="22" fillId="0" borderId="1" xfId="8" applyNumberFormat="1" applyFont="1" applyBorder="1" applyAlignment="1">
      <alignment horizontal="center" vertical="center" wrapText="1"/>
    </xf>
    <xf numFmtId="4" fontId="22" fillId="0" borderId="1" xfId="8" applyNumberFormat="1" applyFont="1" applyBorder="1" applyAlignment="1">
      <alignment horizontal="center" vertical="center" wrapText="1"/>
    </xf>
    <xf numFmtId="3" fontId="18" fillId="0" borderId="1" xfId="8" applyNumberFormat="1" applyFont="1" applyBorder="1" applyAlignment="1">
      <alignment vertical="center" wrapText="1"/>
    </xf>
    <xf numFmtId="3" fontId="8" fillId="0" borderId="1" xfId="8" applyNumberFormat="1" applyFont="1" applyBorder="1" applyAlignment="1">
      <alignment vertical="center" wrapText="1"/>
    </xf>
    <xf numFmtId="3" fontId="18" fillId="0" borderId="1" xfId="8" applyNumberFormat="1" applyFont="1" applyFill="1" applyBorder="1" applyAlignment="1">
      <alignment vertical="center" wrapText="1"/>
    </xf>
    <xf numFmtId="3" fontId="17" fillId="0" borderId="1" xfId="8" applyNumberFormat="1" applyFont="1" applyBorder="1" applyAlignment="1">
      <alignment vertical="center" wrapText="1"/>
    </xf>
    <xf numFmtId="3" fontId="9" fillId="0" borderId="1" xfId="8" applyNumberFormat="1"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3" fontId="18" fillId="0" borderId="1" xfId="8" applyNumberFormat="1" applyFont="1" applyBorder="1" applyAlignment="1">
      <alignment horizontal="left" vertical="center" wrapText="1"/>
    </xf>
    <xf numFmtId="3" fontId="18" fillId="0" borderId="12" xfId="8" applyNumberFormat="1" applyFont="1" applyBorder="1" applyAlignment="1">
      <alignment horizontal="left" vertical="center" wrapText="1"/>
    </xf>
    <xf numFmtId="3" fontId="18" fillId="0" borderId="12" xfId="8" applyNumberFormat="1" applyFont="1" applyBorder="1" applyAlignment="1">
      <alignment vertical="center" wrapText="1"/>
    </xf>
    <xf numFmtId="3" fontId="8" fillId="0" borderId="12" xfId="8" applyNumberFormat="1" applyFont="1" applyBorder="1" applyAlignment="1">
      <alignment vertical="center" wrapText="1"/>
    </xf>
    <xf numFmtId="10" fontId="20" fillId="0" borderId="0" xfId="9" applyNumberFormat="1" applyFont="1" applyFill="1" applyAlignment="1">
      <alignment wrapText="1"/>
    </xf>
    <xf numFmtId="49" fontId="20" fillId="0" borderId="1" xfId="8" applyNumberFormat="1" applyFont="1" applyFill="1" applyBorder="1" applyAlignment="1">
      <alignment vertical="center" wrapText="1"/>
    </xf>
    <xf numFmtId="173" fontId="20" fillId="0" borderId="1" xfId="6" applyNumberFormat="1" applyFont="1" applyFill="1" applyBorder="1" applyAlignment="1">
      <alignment vertical="center" wrapText="1"/>
    </xf>
    <xf numFmtId="173" fontId="6" fillId="0" borderId="1" xfId="6" applyNumberFormat="1" applyFont="1" applyFill="1" applyBorder="1" applyAlignment="1">
      <alignment vertical="center" wrapText="1"/>
    </xf>
    <xf numFmtId="49" fontId="21" fillId="0" borderId="1" xfId="8" applyNumberFormat="1" applyFont="1" applyFill="1" applyBorder="1" applyAlignment="1">
      <alignment vertical="center" wrapText="1"/>
    </xf>
    <xf numFmtId="173" fontId="20" fillId="0" borderId="1" xfId="6" applyNumberFormat="1" applyFont="1" applyFill="1" applyBorder="1" applyAlignment="1">
      <alignment wrapText="1"/>
    </xf>
    <xf numFmtId="49" fontId="19" fillId="0" borderId="1" xfId="8" applyNumberFormat="1" applyFont="1" applyFill="1" applyBorder="1" applyAlignment="1">
      <alignment vertical="center" wrapText="1"/>
    </xf>
    <xf numFmtId="173" fontId="19" fillId="0" borderId="1" xfId="6" applyNumberFormat="1" applyFont="1" applyFill="1" applyBorder="1" applyAlignment="1">
      <alignment vertical="center" wrapText="1"/>
    </xf>
    <xf numFmtId="0" fontId="20" fillId="0" borderId="12" xfId="8" applyFont="1" applyFill="1" applyBorder="1" applyAlignment="1">
      <alignment horizontal="center" vertical="center" wrapText="1"/>
    </xf>
    <xf numFmtId="49" fontId="20" fillId="0" borderId="12" xfId="8" applyNumberFormat="1" applyFont="1" applyFill="1" applyBorder="1" applyAlignment="1">
      <alignment vertical="center" wrapText="1"/>
    </xf>
    <xf numFmtId="173" fontId="20" fillId="0" borderId="12" xfId="6" applyNumberFormat="1" applyFont="1" applyFill="1" applyBorder="1" applyAlignment="1">
      <alignment vertical="center" wrapText="1"/>
    </xf>
    <xf numFmtId="1" fontId="19" fillId="0" borderId="2" xfId="8" applyNumberFormat="1" applyFont="1" applyBorder="1" applyAlignment="1">
      <alignment horizontal="center" vertical="center" wrapText="1"/>
    </xf>
    <xf numFmtId="1" fontId="20" fillId="0" borderId="1" xfId="8" applyNumberFormat="1" applyFont="1" applyBorder="1" applyAlignment="1">
      <alignment horizontal="center" vertical="center" wrapText="1"/>
    </xf>
    <xf numFmtId="1" fontId="21" fillId="0" borderId="1" xfId="8" applyNumberFormat="1" applyFont="1" applyBorder="1" applyAlignment="1">
      <alignment horizontal="center" vertical="center" wrapText="1"/>
    </xf>
    <xf numFmtId="1" fontId="19" fillId="0" borderId="1" xfId="8" applyNumberFormat="1" applyFont="1" applyBorder="1" applyAlignment="1">
      <alignment horizontal="center" vertical="center" wrapText="1"/>
    </xf>
    <xf numFmtId="1" fontId="19" fillId="0" borderId="1" xfId="8" applyNumberFormat="1" applyFont="1" applyBorder="1" applyAlignment="1">
      <alignment horizontal="center" vertical="center"/>
    </xf>
    <xf numFmtId="170" fontId="20" fillId="0" borderId="1" xfId="8" applyNumberFormat="1" applyFont="1" applyBorder="1" applyAlignment="1">
      <alignment horizontal="center" vertical="center"/>
    </xf>
    <xf numFmtId="1" fontId="20" fillId="0" borderId="1" xfId="8" applyNumberFormat="1" applyFont="1" applyBorder="1" applyAlignment="1">
      <alignment horizontal="center" vertical="center"/>
    </xf>
    <xf numFmtId="1" fontId="20" fillId="0" borderId="1" xfId="8" applyNumberFormat="1" applyFont="1" applyBorder="1" applyAlignment="1">
      <alignment vertical="center"/>
    </xf>
    <xf numFmtId="1" fontId="19" fillId="0" borderId="12" xfId="8" applyNumberFormat="1" applyFont="1" applyBorder="1" applyAlignment="1">
      <alignment horizontal="center" vertical="center"/>
    </xf>
    <xf numFmtId="1" fontId="19" fillId="0" borderId="12" xfId="8" applyNumberFormat="1" applyFont="1" applyBorder="1" applyAlignment="1">
      <alignment horizontal="center" vertical="center" wrapText="1"/>
    </xf>
    <xf numFmtId="3" fontId="19" fillId="0" borderId="12" xfId="8" applyNumberFormat="1" applyFont="1" applyBorder="1" applyAlignment="1">
      <alignment horizontal="center" vertical="center" wrapText="1"/>
    </xf>
    <xf numFmtId="1" fontId="20" fillId="0" borderId="12" xfId="8" applyNumberFormat="1" applyFont="1" applyBorder="1" applyAlignment="1">
      <alignment vertical="center" wrapText="1"/>
    </xf>
    <xf numFmtId="1" fontId="19" fillId="0" borderId="2" xfId="8" applyNumberFormat="1" applyFont="1" applyBorder="1" applyAlignment="1">
      <alignment vertical="center" wrapText="1"/>
    </xf>
    <xf numFmtId="1" fontId="21" fillId="0" borderId="1" xfId="8" applyNumberFormat="1" applyFont="1" applyBorder="1" applyAlignment="1">
      <alignment vertical="center" wrapText="1"/>
    </xf>
    <xf numFmtId="1" fontId="19" fillId="0" borderId="1" xfId="8" applyNumberFormat="1" applyFont="1" applyBorder="1" applyAlignment="1">
      <alignment vertical="center"/>
    </xf>
    <xf numFmtId="1" fontId="19" fillId="0" borderId="12" xfId="8" applyNumberFormat="1" applyFont="1" applyBorder="1" applyAlignment="1">
      <alignment vertical="center" wrapText="1"/>
    </xf>
    <xf numFmtId="3" fontId="20" fillId="0" borderId="1" xfId="6" applyNumberFormat="1" applyFont="1" applyBorder="1" applyAlignment="1">
      <alignment vertical="center" wrapText="1"/>
    </xf>
    <xf numFmtId="3" fontId="19" fillId="0" borderId="1" xfId="6" applyNumberFormat="1" applyFont="1" applyBorder="1" applyAlignment="1">
      <alignment vertical="center"/>
    </xf>
    <xf numFmtId="3" fontId="20" fillId="0" borderId="1" xfId="6" applyNumberFormat="1" applyFont="1" applyBorder="1" applyAlignment="1">
      <alignment vertical="center"/>
    </xf>
    <xf numFmtId="1" fontId="20" fillId="0" borderId="12" xfId="8" applyNumberFormat="1" applyFont="1" applyBorder="1" applyAlignment="1">
      <alignment horizontal="center" vertical="center" wrapText="1"/>
    </xf>
    <xf numFmtId="3" fontId="20" fillId="0" borderId="12" xfId="6" applyNumberFormat="1" applyFont="1" applyBorder="1" applyAlignment="1">
      <alignment vertical="center" wrapText="1"/>
    </xf>
    <xf numFmtId="167" fontId="20" fillId="0" borderId="1" xfId="8" applyNumberFormat="1" applyFont="1" applyBorder="1" applyAlignment="1">
      <alignment horizontal="center" vertical="center"/>
    </xf>
    <xf numFmtId="3" fontId="19" fillId="0" borderId="1" xfId="6" applyNumberFormat="1" applyFont="1" applyBorder="1" applyAlignment="1">
      <alignment vertical="center" wrapText="1"/>
    </xf>
    <xf numFmtId="1" fontId="19" fillId="0" borderId="0" xfId="8" applyNumberFormat="1" applyFont="1" applyAlignment="1">
      <alignment vertical="center"/>
    </xf>
    <xf numFmtId="173" fontId="19" fillId="0" borderId="1" xfId="6" applyNumberFormat="1" applyFont="1" applyBorder="1" applyAlignment="1">
      <alignment vertical="center" wrapText="1"/>
    </xf>
    <xf numFmtId="173" fontId="20" fillId="0" borderId="1" xfId="6" applyNumberFormat="1" applyFont="1" applyBorder="1" applyAlignment="1">
      <alignment vertical="center" wrapText="1"/>
    </xf>
    <xf numFmtId="0" fontId="4" fillId="0" borderId="2" xfId="8" applyFont="1" applyFill="1" applyBorder="1" applyAlignment="1">
      <alignment vertical="center" wrapText="1"/>
    </xf>
    <xf numFmtId="0" fontId="4" fillId="0" borderId="1" xfId="8" applyFont="1" applyFill="1" applyBorder="1" applyAlignment="1">
      <alignment vertical="center" wrapText="1"/>
    </xf>
    <xf numFmtId="0" fontId="6" fillId="0" borderId="1" xfId="8" applyFont="1" applyFill="1" applyBorder="1" applyAlignment="1">
      <alignment vertical="center" wrapText="1"/>
    </xf>
    <xf numFmtId="0" fontId="6" fillId="0" borderId="1" xfId="8" quotePrefix="1" applyFont="1" applyFill="1" applyBorder="1" applyAlignment="1">
      <alignment vertical="center" wrapText="1"/>
    </xf>
    <xf numFmtId="167" fontId="4" fillId="0" borderId="1" xfId="8" applyNumberFormat="1" applyFont="1" applyFill="1" applyBorder="1" applyAlignment="1">
      <alignment vertical="center" wrapText="1"/>
    </xf>
    <xf numFmtId="167" fontId="6" fillId="0" borderId="1" xfId="8" applyNumberFormat="1" applyFont="1" applyFill="1" applyBorder="1" applyAlignment="1">
      <alignment vertical="center" wrapText="1"/>
    </xf>
    <xf numFmtId="0" fontId="4" fillId="0" borderId="1" xfId="8" applyFont="1" applyFill="1" applyBorder="1" applyAlignment="1">
      <alignment horizontal="center" vertical="center"/>
    </xf>
    <xf numFmtId="0" fontId="6" fillId="0" borderId="1" xfId="8" applyFont="1" applyFill="1" applyBorder="1" applyAlignment="1">
      <alignment horizontal="center" vertical="center"/>
    </xf>
    <xf numFmtId="3" fontId="4" fillId="0" borderId="1" xfId="8" applyNumberFormat="1" applyFont="1" applyFill="1" applyBorder="1" applyAlignment="1">
      <alignment vertical="center" wrapText="1"/>
    </xf>
    <xf numFmtId="3" fontId="6" fillId="0" borderId="1" xfId="8" applyNumberFormat="1" applyFont="1" applyFill="1" applyBorder="1" applyAlignment="1">
      <alignment vertical="center" wrapText="1"/>
    </xf>
    <xf numFmtId="0" fontId="6" fillId="0" borderId="12" xfId="8" applyFont="1" applyFill="1" applyBorder="1" applyAlignment="1">
      <alignment horizontal="center" vertical="center"/>
    </xf>
    <xf numFmtId="0" fontId="6" fillId="0" borderId="12" xfId="8" applyFont="1" applyFill="1" applyBorder="1" applyAlignment="1">
      <alignment vertical="center" wrapText="1"/>
    </xf>
    <xf numFmtId="0" fontId="6" fillId="0" borderId="12" xfId="8" applyFont="1" applyFill="1" applyBorder="1" applyAlignment="1">
      <alignment horizontal="center" vertical="center" wrapText="1"/>
    </xf>
    <xf numFmtId="0" fontId="2" fillId="0" borderId="1" xfId="0" applyFont="1" applyFill="1" applyBorder="1" applyAlignment="1">
      <alignment horizontal="center" vertical="center"/>
    </xf>
    <xf numFmtId="1" fontId="6" fillId="0" borderId="2" xfId="0" applyNumberFormat="1" applyFont="1" applyFill="1" applyBorder="1" applyAlignment="1">
      <alignment vertical="center" wrapText="1"/>
    </xf>
    <xf numFmtId="1" fontId="6" fillId="0" borderId="1" xfId="0" applyNumberFormat="1" applyFont="1" applyFill="1" applyBorder="1" applyAlignment="1">
      <alignment vertical="center" wrapText="1"/>
    </xf>
    <xf numFmtId="3" fontId="6" fillId="0" borderId="12" xfId="8" applyNumberFormat="1" applyFont="1" applyFill="1" applyBorder="1" applyAlignment="1">
      <alignment vertical="center" wrapText="1"/>
    </xf>
    <xf numFmtId="0" fontId="19" fillId="0" borderId="0" xfId="8" applyFont="1" applyBorder="1" applyAlignment="1">
      <alignment vertical="center" wrapText="1"/>
    </xf>
    <xf numFmtId="0" fontId="24" fillId="0" borderId="0" xfId="8" applyFont="1" applyBorder="1" applyAlignment="1">
      <alignment vertical="center" wrapText="1"/>
    </xf>
    <xf numFmtId="0" fontId="6" fillId="0" borderId="0" xfId="0" applyFont="1" applyAlignment="1">
      <alignment vertical="center" wrapText="1"/>
    </xf>
    <xf numFmtId="0" fontId="23" fillId="0" borderId="0" xfId="0" applyFont="1" applyAlignment="1">
      <alignment vertical="center" wrapText="1"/>
    </xf>
    <xf numFmtId="0" fontId="19" fillId="0" borderId="0" xfId="0" applyFont="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3" fontId="4" fillId="0" borderId="1" xfId="0" applyNumberFormat="1" applyFont="1" applyBorder="1" applyAlignment="1">
      <alignment vertical="center" wrapText="1"/>
    </xf>
    <xf numFmtId="0" fontId="4" fillId="0" borderId="1" xfId="0" applyFont="1" applyBorder="1" applyAlignment="1">
      <alignment horizontal="center" vertical="center"/>
    </xf>
    <xf numFmtId="3" fontId="4" fillId="0" borderId="1" xfId="0" applyNumberFormat="1" applyFont="1" applyFill="1" applyBorder="1" applyAlignment="1">
      <alignment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vertical="center" wrapText="1"/>
    </xf>
    <xf numFmtId="0" fontId="6" fillId="0" borderId="12" xfId="0" applyFont="1" applyBorder="1" applyAlignment="1">
      <alignment horizontal="center" vertical="center" wrapText="1"/>
    </xf>
    <xf numFmtId="3" fontId="6" fillId="0" borderId="12" xfId="0" applyNumberFormat="1"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3" fontId="20" fillId="0" borderId="1" xfId="0" applyNumberFormat="1" applyFont="1" applyFill="1" applyBorder="1" applyAlignment="1">
      <alignment vertical="center" wrapText="1"/>
    </xf>
    <xf numFmtId="3" fontId="19" fillId="0" borderId="1" xfId="0" applyNumberFormat="1" applyFont="1" applyFill="1" applyBorder="1" applyAlignment="1">
      <alignment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3" fontId="19" fillId="0" borderId="1" xfId="0" applyNumberFormat="1" applyFont="1" applyBorder="1" applyAlignment="1">
      <alignment vertical="center" wrapText="1"/>
    </xf>
    <xf numFmtId="3" fontId="20" fillId="0" borderId="1" xfId="0" applyNumberFormat="1" applyFont="1" applyBorder="1" applyAlignment="1">
      <alignment vertical="center" wrapText="1"/>
    </xf>
    <xf numFmtId="0" fontId="19" fillId="0" borderId="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2" xfId="0" applyFont="1" applyFill="1" applyBorder="1" applyAlignment="1">
      <alignment vertical="center" wrapText="1"/>
    </xf>
    <xf numFmtId="3" fontId="20" fillId="0" borderId="12" xfId="0" applyNumberFormat="1" applyFont="1" applyFill="1" applyBorder="1" applyAlignment="1">
      <alignment vertical="center" wrapText="1"/>
    </xf>
    <xf numFmtId="3" fontId="20" fillId="0" borderId="12" xfId="0" applyNumberFormat="1" applyFont="1" applyBorder="1" applyAlignment="1">
      <alignment vertical="center" wrapText="1"/>
    </xf>
    <xf numFmtId="0" fontId="19" fillId="0" borderId="0" xfId="8" applyFont="1" applyFill="1"/>
    <xf numFmtId="3" fontId="20" fillId="0" borderId="0" xfId="8" applyNumberFormat="1" applyFont="1" applyFill="1"/>
    <xf numFmtId="3" fontId="19" fillId="0" borderId="2" xfId="8" applyNumberFormat="1" applyFont="1" applyFill="1" applyBorder="1" applyAlignment="1">
      <alignment horizontal="center" vertical="center" wrapText="1"/>
    </xf>
    <xf numFmtId="0" fontId="21" fillId="0" borderId="1" xfId="8" applyFont="1" applyFill="1" applyBorder="1" applyAlignment="1">
      <alignment vertical="center" wrapText="1"/>
    </xf>
    <xf numFmtId="0" fontId="21" fillId="0" borderId="1" xfId="8" applyFont="1" applyFill="1" applyBorder="1" applyAlignment="1">
      <alignment horizontal="center" vertical="center" wrapText="1"/>
    </xf>
    <xf numFmtId="3" fontId="20" fillId="0" borderId="1" xfId="8" applyNumberFormat="1" applyFont="1" applyFill="1" applyBorder="1" applyAlignment="1">
      <alignment vertical="center" wrapText="1"/>
    </xf>
    <xf numFmtId="0" fontId="19" fillId="0" borderId="1" xfId="8" applyFont="1" applyFill="1" applyBorder="1" applyAlignment="1">
      <alignment horizontal="center" vertical="center"/>
    </xf>
    <xf numFmtId="0" fontId="19" fillId="0" borderId="1" xfId="8" applyFont="1" applyFill="1" applyBorder="1" applyAlignment="1">
      <alignment vertical="center"/>
    </xf>
    <xf numFmtId="3" fontId="19" fillId="0" borderId="1" xfId="8" applyNumberFormat="1" applyFont="1" applyFill="1" applyBorder="1" applyAlignment="1">
      <alignment vertical="center"/>
    </xf>
    <xf numFmtId="0" fontId="20" fillId="0" borderId="1" xfId="8" applyFont="1" applyFill="1" applyBorder="1" applyAlignment="1">
      <alignment horizontal="center" vertical="center"/>
    </xf>
    <xf numFmtId="3" fontId="20" fillId="0" borderId="1" xfId="8" applyNumberFormat="1" applyFont="1" applyFill="1" applyBorder="1" applyAlignment="1">
      <alignment vertical="center"/>
    </xf>
    <xf numFmtId="3" fontId="19" fillId="0" borderId="1" xfId="8" applyNumberFormat="1" applyFont="1" applyFill="1" applyBorder="1" applyAlignment="1">
      <alignment vertical="center" wrapText="1"/>
    </xf>
    <xf numFmtId="0" fontId="21" fillId="0" borderId="12" xfId="8" applyFont="1" applyFill="1" applyBorder="1" applyAlignment="1">
      <alignment vertical="center" wrapText="1"/>
    </xf>
    <xf numFmtId="3" fontId="20" fillId="0" borderId="12" xfId="8" applyNumberFormat="1" applyFont="1" applyFill="1" applyBorder="1" applyAlignment="1">
      <alignment vertical="center" wrapText="1"/>
    </xf>
    <xf numFmtId="3" fontId="2" fillId="0" borderId="2" xfId="0" applyNumberFormat="1" applyFont="1" applyFill="1" applyBorder="1" applyAlignment="1">
      <alignment horizontal="center" vertical="center" wrapText="1"/>
    </xf>
    <xf numFmtId="3" fontId="2" fillId="0" borderId="2" xfId="0" applyNumberFormat="1" applyFont="1" applyFill="1" applyBorder="1" applyAlignment="1">
      <alignment vertical="center" wrapText="1"/>
    </xf>
    <xf numFmtId="3"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vertical="center" wrapText="1"/>
    </xf>
    <xf numFmtId="3"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vertical="center" wrapText="1"/>
    </xf>
    <xf numFmtId="168" fontId="1"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73" fontId="4" fillId="0" borderId="1" xfId="6" applyNumberFormat="1" applyFont="1" applyFill="1" applyBorder="1" applyAlignment="1">
      <alignment vertical="center" wrapText="1"/>
    </xf>
    <xf numFmtId="3" fontId="6" fillId="0" borderId="12"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Border="1" applyAlignment="1">
      <alignment horizontal="center" vertical="center" wrapText="1"/>
    </xf>
    <xf numFmtId="0" fontId="28" fillId="0" borderId="0" xfId="0" applyFont="1" applyFill="1" applyAlignment="1">
      <alignment vertical="center" wrapText="1"/>
    </xf>
    <xf numFmtId="0" fontId="28" fillId="0" borderId="4" xfId="0" applyFont="1" applyFill="1" applyBorder="1" applyAlignment="1">
      <alignment horizontal="center" vertical="center" wrapText="1"/>
    </xf>
    <xf numFmtId="0" fontId="28" fillId="0" borderId="0" xfId="0" applyFont="1" applyFill="1" applyAlignment="1">
      <alignment horizontal="center" vertical="center" wrapText="1"/>
    </xf>
    <xf numFmtId="0" fontId="29" fillId="0" borderId="0" xfId="0" applyFont="1" applyFill="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right"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right" vertical="center" wrapText="1"/>
    </xf>
    <xf numFmtId="0" fontId="29" fillId="0" borderId="0" xfId="0" applyFont="1" applyFill="1" applyAlignment="1">
      <alignment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29" fillId="0" borderId="1" xfId="0" applyFont="1" applyFill="1" applyBorder="1" applyAlignment="1">
      <alignment horizontal="left" vertical="center" wrapText="1"/>
    </xf>
    <xf numFmtId="1" fontId="29" fillId="0" borderId="1" xfId="0" applyNumberFormat="1" applyFont="1" applyFill="1" applyBorder="1" applyAlignment="1">
      <alignment horizontal="right" vertical="center" wrapText="1"/>
    </xf>
    <xf numFmtId="0" fontId="28" fillId="0" borderId="0" xfId="0" applyFont="1" applyFill="1" applyBorder="1" applyAlignment="1">
      <alignment horizontal="left" vertical="center" wrapText="1"/>
    </xf>
    <xf numFmtId="3" fontId="29" fillId="0" borderId="1" xfId="0" applyNumberFormat="1" applyFont="1" applyFill="1" applyBorder="1" applyAlignment="1">
      <alignment vertical="center" wrapText="1"/>
    </xf>
    <xf numFmtId="3" fontId="29" fillId="0" borderId="12" xfId="0" applyNumberFormat="1" applyFont="1" applyFill="1" applyBorder="1" applyAlignment="1">
      <alignment vertical="center" wrapText="1"/>
    </xf>
    <xf numFmtId="4" fontId="29" fillId="0" borderId="12" xfId="0" applyNumberFormat="1" applyFont="1" applyFill="1" applyBorder="1" applyAlignment="1">
      <alignment vertical="center" wrapText="1"/>
    </xf>
    <xf numFmtId="3" fontId="28" fillId="0" borderId="0" xfId="0" applyNumberFormat="1" applyFont="1" applyFill="1" applyAlignment="1">
      <alignment vertical="center" wrapText="1"/>
    </xf>
    <xf numFmtId="3" fontId="28" fillId="0" borderId="1" xfId="0" applyNumberFormat="1" applyFont="1" applyFill="1" applyBorder="1" applyAlignment="1">
      <alignment vertical="center" wrapText="1"/>
    </xf>
    <xf numFmtId="173" fontId="6" fillId="0" borderId="0" xfId="6" applyNumberFormat="1" applyFont="1" applyFill="1" applyBorder="1" applyAlignment="1">
      <alignment vertical="center"/>
    </xf>
    <xf numFmtId="173" fontId="4" fillId="0" borderId="0" xfId="6" applyNumberFormat="1" applyFont="1" applyFill="1" applyBorder="1" applyAlignment="1">
      <alignment vertical="center"/>
    </xf>
    <xf numFmtId="0" fontId="28" fillId="0" borderId="0" xfId="0" applyFont="1" applyFill="1" applyBorder="1" applyAlignment="1">
      <alignment vertical="center" wrapText="1"/>
    </xf>
    <xf numFmtId="0" fontId="6" fillId="0" borderId="1" xfId="0" applyFont="1" applyFill="1" applyBorder="1" applyAlignment="1">
      <alignment vertical="center" wrapText="1"/>
    </xf>
    <xf numFmtId="0" fontId="29" fillId="0" borderId="0" xfId="0" applyFont="1" applyFill="1" applyBorder="1" applyAlignment="1">
      <alignment vertical="center" wrapText="1"/>
    </xf>
    <xf numFmtId="0" fontId="6" fillId="0" borderId="12" xfId="0" applyFont="1" applyFill="1" applyBorder="1" applyAlignment="1">
      <alignment vertical="center" wrapText="1"/>
    </xf>
    <xf numFmtId="0" fontId="8" fillId="0" borderId="0" xfId="0" applyFont="1" applyFill="1" applyAlignment="1">
      <alignment horizontal="center" vertical="center" wrapText="1"/>
    </xf>
    <xf numFmtId="3" fontId="8" fillId="0" borderId="0" xfId="0" applyNumberFormat="1" applyFont="1" applyFill="1" applyAlignment="1">
      <alignment vertical="center" wrapText="1"/>
    </xf>
    <xf numFmtId="173" fontId="6" fillId="0" borderId="0" xfId="0" applyNumberFormat="1" applyFont="1" applyFill="1" applyAlignment="1">
      <alignment vertical="center"/>
    </xf>
    <xf numFmtId="0" fontId="9" fillId="0" borderId="0" xfId="0" applyFont="1" applyFill="1" applyAlignment="1">
      <alignment horizontal="center" vertical="center" wrapText="1"/>
    </xf>
    <xf numFmtId="173" fontId="28" fillId="0" borderId="0" xfId="6" applyNumberFormat="1" applyFont="1" applyFill="1" applyBorder="1" applyAlignment="1">
      <alignment horizontal="right" vertical="center" wrapText="1"/>
    </xf>
    <xf numFmtId="9" fontId="28" fillId="0" borderId="0" xfId="9" applyNumberFormat="1" applyFont="1" applyFill="1" applyBorder="1" applyAlignment="1">
      <alignment horizontal="right" vertical="center" wrapText="1"/>
    </xf>
    <xf numFmtId="172" fontId="28" fillId="0" borderId="0" xfId="6" applyNumberFormat="1" applyFont="1" applyFill="1" applyBorder="1" applyAlignment="1">
      <alignment horizontal="right" vertical="center" wrapText="1"/>
    </xf>
    <xf numFmtId="177" fontId="28" fillId="0" borderId="0" xfId="6" applyNumberFormat="1" applyFont="1" applyFill="1" applyBorder="1" applyAlignment="1">
      <alignment horizontal="right" vertical="center" wrapText="1"/>
    </xf>
    <xf numFmtId="9" fontId="29" fillId="0" borderId="0" xfId="0" applyNumberFormat="1" applyFont="1" applyFill="1" applyBorder="1" applyAlignment="1">
      <alignment horizontal="center" vertical="center" wrapText="1"/>
    </xf>
    <xf numFmtId="0" fontId="29" fillId="0" borderId="0" xfId="0" applyFont="1" applyFill="1" applyBorder="1" applyAlignment="1">
      <alignment horizontal="right" vertical="center" wrapText="1"/>
    </xf>
    <xf numFmtId="175" fontId="29" fillId="0" borderId="0" xfId="0" applyNumberFormat="1" applyFont="1" applyFill="1" applyBorder="1" applyAlignment="1">
      <alignment horizontal="center" vertical="center" wrapText="1"/>
    </xf>
    <xf numFmtId="176" fontId="29" fillId="0" borderId="0" xfId="0" applyNumberFormat="1" applyFont="1" applyFill="1" applyBorder="1" applyAlignment="1">
      <alignment horizontal="right" vertical="center" wrapText="1"/>
    </xf>
    <xf numFmtId="0" fontId="29" fillId="0" borderId="0" xfId="0" applyFont="1" applyFill="1" applyBorder="1" applyAlignment="1">
      <alignment horizontal="center" vertical="center" wrapText="1"/>
    </xf>
    <xf numFmtId="1" fontId="29" fillId="0" borderId="0" xfId="0" applyNumberFormat="1" applyFont="1" applyFill="1" applyBorder="1" applyAlignment="1">
      <alignment horizontal="right" vertical="center" wrapText="1"/>
    </xf>
    <xf numFmtId="178" fontId="28" fillId="0" borderId="0" xfId="6" applyNumberFormat="1" applyFont="1" applyFill="1" applyBorder="1" applyAlignment="1">
      <alignment vertical="center" wrapText="1"/>
    </xf>
    <xf numFmtId="10" fontId="28" fillId="0" borderId="0" xfId="9" applyNumberFormat="1" applyFont="1" applyFill="1" applyBorder="1" applyAlignment="1">
      <alignment horizontal="right" vertical="center" wrapText="1"/>
    </xf>
    <xf numFmtId="173" fontId="4" fillId="0" borderId="2" xfId="6" applyNumberFormat="1" applyFont="1" applyFill="1" applyBorder="1" applyAlignment="1">
      <alignment horizontal="right" vertical="center" wrapText="1"/>
    </xf>
    <xf numFmtId="9" fontId="4" fillId="0" borderId="2" xfId="9" applyNumberFormat="1" applyFont="1" applyFill="1" applyBorder="1" applyAlignment="1">
      <alignment horizontal="right" vertical="center" wrapText="1"/>
    </xf>
    <xf numFmtId="173" fontId="6" fillId="0" borderId="1" xfId="6" applyNumberFormat="1" applyFont="1" applyFill="1" applyBorder="1" applyAlignment="1">
      <alignment horizontal="right" vertical="center" wrapText="1"/>
    </xf>
    <xf numFmtId="175" fontId="29" fillId="0" borderId="1" xfId="9" applyNumberFormat="1" applyFont="1" applyFill="1" applyBorder="1" applyAlignment="1">
      <alignment horizontal="right" vertical="center" wrapText="1"/>
    </xf>
    <xf numFmtId="1" fontId="29" fillId="0" borderId="1" xfId="0" applyNumberFormat="1" applyFont="1" applyFill="1" applyBorder="1" applyAlignment="1">
      <alignment vertical="center" wrapText="1"/>
    </xf>
    <xf numFmtId="10" fontId="29" fillId="0" borderId="1" xfId="9" applyNumberFormat="1" applyFont="1" applyFill="1" applyBorder="1" applyAlignment="1">
      <alignment horizontal="right" vertical="center" wrapText="1"/>
    </xf>
    <xf numFmtId="9" fontId="29" fillId="0" borderId="1" xfId="9" applyFont="1" applyFill="1" applyBorder="1" applyAlignment="1">
      <alignment horizontal="right" vertical="center" wrapText="1"/>
    </xf>
    <xf numFmtId="0" fontId="29" fillId="0" borderId="12" xfId="0" applyFont="1" applyFill="1" applyBorder="1" applyAlignment="1">
      <alignment horizontal="left" vertical="center" wrapText="1"/>
    </xf>
    <xf numFmtId="173" fontId="6" fillId="0" borderId="12" xfId="6" applyNumberFormat="1" applyFont="1" applyFill="1" applyBorder="1" applyAlignment="1">
      <alignment horizontal="right" vertical="center" wrapText="1"/>
    </xf>
    <xf numFmtId="9" fontId="29" fillId="0" borderId="12" xfId="9" applyFont="1" applyFill="1" applyBorder="1" applyAlignment="1">
      <alignment horizontal="right" vertical="center" wrapText="1"/>
    </xf>
    <xf numFmtId="1" fontId="29" fillId="0" borderId="12" xfId="0" applyNumberFormat="1" applyFont="1" applyFill="1" applyBorder="1" applyAlignment="1">
      <alignment vertical="center" wrapText="1"/>
    </xf>
    <xf numFmtId="10" fontId="29" fillId="0" borderId="12" xfId="9" applyNumberFormat="1" applyFont="1" applyFill="1" applyBorder="1" applyAlignment="1">
      <alignment horizontal="right" vertical="center" wrapText="1"/>
    </xf>
    <xf numFmtId="1" fontId="29" fillId="0" borderId="12" xfId="0" applyNumberFormat="1" applyFont="1" applyFill="1" applyBorder="1" applyAlignment="1">
      <alignment horizontal="right" vertical="center" wrapText="1"/>
    </xf>
    <xf numFmtId="0" fontId="4" fillId="0" borderId="0" xfId="0" applyFont="1" applyFill="1" applyAlignment="1">
      <alignment vertical="center" wrapText="1"/>
    </xf>
    <xf numFmtId="0" fontId="4" fillId="0" borderId="4" xfId="0" applyFont="1" applyFill="1" applyBorder="1" applyAlignment="1">
      <alignment horizontal="center" vertical="center" wrapText="1"/>
    </xf>
    <xf numFmtId="3" fontId="28" fillId="0" borderId="0" xfId="0" applyNumberFormat="1" applyFont="1" applyFill="1" applyBorder="1" applyAlignment="1">
      <alignment vertical="center" wrapText="1"/>
    </xf>
    <xf numFmtId="3" fontId="29" fillId="0" borderId="0" xfId="0" applyNumberFormat="1" applyFont="1" applyFill="1" applyBorder="1" applyAlignment="1">
      <alignment vertical="center" wrapText="1"/>
    </xf>
    <xf numFmtId="0" fontId="4" fillId="0" borderId="1" xfId="0" applyFont="1" applyFill="1" applyBorder="1" applyAlignment="1">
      <alignment horizontal="center" vertical="center" wrapText="1"/>
    </xf>
    <xf numFmtId="9" fontId="6" fillId="0" borderId="2" xfId="9" applyFont="1" applyFill="1" applyBorder="1" applyAlignment="1">
      <alignment horizontal="right" vertical="center" wrapText="1"/>
    </xf>
    <xf numFmtId="0" fontId="9" fillId="0" borderId="0" xfId="1" applyFont="1" applyFill="1" applyBorder="1" applyAlignment="1">
      <alignment vertical="center"/>
    </xf>
    <xf numFmtId="0" fontId="9" fillId="0" borderId="0" xfId="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3" fontId="9" fillId="0" borderId="1" xfId="6" applyNumberFormat="1" applyFont="1" applyFill="1" applyBorder="1" applyAlignment="1">
      <alignment horizontal="center" vertical="center"/>
    </xf>
    <xf numFmtId="3" fontId="9" fillId="0" borderId="0" xfId="0" applyNumberFormat="1" applyFont="1" applyFill="1" applyAlignment="1">
      <alignment vertical="center"/>
    </xf>
    <xf numFmtId="0" fontId="9" fillId="0" borderId="0" xfId="0" applyFont="1" applyFill="1" applyAlignment="1">
      <alignment vertical="center"/>
    </xf>
    <xf numFmtId="0" fontId="9" fillId="0" borderId="1" xfId="0" applyFont="1" applyFill="1" applyBorder="1" applyAlignment="1">
      <alignment vertical="center" wrapText="1"/>
    </xf>
    <xf numFmtId="3" fontId="8" fillId="0" borderId="1" xfId="6"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quotePrefix="1" applyFont="1" applyFill="1" applyBorder="1" applyAlignment="1">
      <alignment horizontal="center" vertical="center"/>
    </xf>
    <xf numFmtId="0" fontId="8" fillId="0" borderId="1" xfId="0" applyFont="1" applyFill="1" applyBorder="1" applyAlignment="1">
      <alignment horizontal="left" vertical="center" wrapText="1"/>
    </xf>
    <xf numFmtId="3" fontId="8" fillId="0" borderId="0" xfId="0" applyNumberFormat="1" applyFont="1" applyFill="1" applyAlignment="1">
      <alignment horizontal="center" vertical="center"/>
    </xf>
    <xf numFmtId="175" fontId="6" fillId="0" borderId="2" xfId="9" applyNumberFormat="1" applyFont="1" applyFill="1" applyBorder="1" applyAlignment="1">
      <alignment horizontal="right" vertical="center" wrapText="1"/>
    </xf>
    <xf numFmtId="175" fontId="6" fillId="0" borderId="1" xfId="9" applyNumberFormat="1" applyFont="1" applyFill="1" applyBorder="1" applyAlignment="1">
      <alignment horizontal="right" vertical="center" wrapText="1"/>
    </xf>
    <xf numFmtId="0" fontId="27" fillId="0" borderId="1" xfId="0" applyFont="1" applyFill="1" applyBorder="1" applyAlignment="1">
      <alignment horizontal="center" vertical="center"/>
    </xf>
    <xf numFmtId="0" fontId="27" fillId="0" borderId="1" xfId="0" applyFont="1" applyFill="1" applyBorder="1" applyAlignment="1">
      <alignment vertical="center" wrapText="1"/>
    </xf>
    <xf numFmtId="3" fontId="27" fillId="0" borderId="1" xfId="6" applyNumberFormat="1" applyFont="1" applyFill="1" applyBorder="1" applyAlignment="1">
      <alignment horizontal="center" vertical="center"/>
    </xf>
    <xf numFmtId="0" fontId="27" fillId="0" borderId="0" xfId="0" applyFont="1" applyFill="1" applyAlignment="1">
      <alignment vertical="center"/>
    </xf>
    <xf numFmtId="3" fontId="8" fillId="0" borderId="1" xfId="6" applyNumberFormat="1" applyFont="1" applyFill="1" applyBorder="1" applyAlignment="1">
      <alignment horizontal="center" vertical="center" wrapText="1"/>
    </xf>
    <xf numFmtId="9" fontId="9" fillId="0" borderId="0" xfId="9" applyNumberFormat="1" applyFont="1" applyFill="1" applyAlignment="1">
      <alignment vertical="center"/>
    </xf>
    <xf numFmtId="0" fontId="8" fillId="0" borderId="12" xfId="0" applyFont="1" applyFill="1" applyBorder="1" applyAlignment="1">
      <alignment horizontal="center" vertical="center"/>
    </xf>
    <xf numFmtId="0" fontId="8" fillId="0" borderId="12" xfId="0" applyFont="1" applyFill="1" applyBorder="1" applyAlignment="1">
      <alignment vertical="center" wrapText="1"/>
    </xf>
    <xf numFmtId="3" fontId="8" fillId="0" borderId="12" xfId="6" applyNumberFormat="1" applyFont="1" applyFill="1" applyBorder="1" applyAlignment="1">
      <alignment horizontal="center" vertical="center"/>
    </xf>
    <xf numFmtId="0" fontId="1" fillId="0" borderId="0" xfId="0" applyFont="1" applyFill="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left" vertical="center"/>
    </xf>
    <xf numFmtId="3" fontId="2" fillId="0" borderId="0" xfId="0" applyNumberFormat="1" applyFont="1" applyFill="1" applyAlignment="1">
      <alignment horizontal="center" vertical="center"/>
    </xf>
    <xf numFmtId="3" fontId="1" fillId="0" borderId="0" xfId="0" applyNumberFormat="1" applyFont="1" applyFill="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3" fontId="1" fillId="0" borderId="1" xfId="6" applyNumberFormat="1" applyFont="1" applyFill="1" applyBorder="1" applyAlignment="1">
      <alignment vertical="center"/>
    </xf>
    <xf numFmtId="173" fontId="1" fillId="0" borderId="0" xfId="0" applyNumberFormat="1" applyFont="1" applyFill="1" applyAlignment="1">
      <alignment vertical="center"/>
    </xf>
    <xf numFmtId="0" fontId="1" fillId="0" borderId="12" xfId="0" applyFont="1" applyFill="1" applyBorder="1" applyAlignment="1">
      <alignment horizontal="center" vertical="center" wrapText="1"/>
    </xf>
    <xf numFmtId="0" fontId="1" fillId="0" borderId="12" xfId="0" applyFont="1" applyFill="1" applyBorder="1" applyAlignment="1">
      <alignment vertical="center" wrapText="1"/>
    </xf>
    <xf numFmtId="3" fontId="1" fillId="0" borderId="12" xfId="6" applyNumberFormat="1" applyFont="1" applyFill="1" applyBorder="1" applyAlignment="1">
      <alignment vertical="center"/>
    </xf>
    <xf numFmtId="1" fontId="1" fillId="0" borderId="0" xfId="0" applyNumberFormat="1" applyFont="1" applyFill="1" applyAlignment="1">
      <alignment vertical="center"/>
    </xf>
    <xf numFmtId="3" fontId="1" fillId="0" borderId="0" xfId="0" applyNumberFormat="1" applyFont="1" applyFill="1" applyBorder="1" applyAlignment="1">
      <alignment vertical="center"/>
    </xf>
    <xf numFmtId="173" fontId="9" fillId="0" borderId="1" xfId="6" applyNumberFormat="1" applyFont="1" applyFill="1" applyBorder="1" applyAlignment="1">
      <alignment vertical="center"/>
    </xf>
    <xf numFmtId="3" fontId="8" fillId="0" borderId="1" xfId="6" applyNumberFormat="1" applyFont="1" applyFill="1" applyBorder="1" applyAlignment="1">
      <alignment vertical="center"/>
    </xf>
    <xf numFmtId="0" fontId="9" fillId="0" borderId="1" xfId="0" applyFont="1" applyFill="1" applyBorder="1" applyAlignment="1">
      <alignment vertical="center"/>
    </xf>
    <xf numFmtId="173" fontId="8" fillId="0" borderId="1" xfId="6" applyNumberFormat="1" applyFont="1" applyFill="1" applyBorder="1" applyAlignment="1">
      <alignment vertical="center"/>
    </xf>
    <xf numFmtId="3" fontId="9" fillId="0" borderId="1" xfId="6" applyNumberFormat="1" applyFont="1" applyFill="1" applyBorder="1" applyAlignment="1">
      <alignment vertical="center"/>
    </xf>
    <xf numFmtId="3" fontId="27" fillId="0" borderId="1" xfId="6" applyNumberFormat="1" applyFont="1" applyFill="1" applyBorder="1" applyAlignment="1">
      <alignment vertical="center"/>
    </xf>
    <xf numFmtId="3" fontId="8" fillId="0" borderId="12" xfId="6" applyNumberFormat="1" applyFont="1" applyFill="1" applyBorder="1" applyAlignment="1">
      <alignment vertical="center"/>
    </xf>
    <xf numFmtId="173" fontId="27" fillId="0" borderId="1" xfId="6" applyNumberFormat="1" applyFont="1" applyFill="1" applyBorder="1" applyAlignment="1">
      <alignment vertical="center"/>
    </xf>
    <xf numFmtId="173" fontId="8" fillId="0" borderId="12" xfId="6" applyNumberFormat="1" applyFont="1" applyFill="1" applyBorder="1" applyAlignment="1">
      <alignment vertical="center"/>
    </xf>
    <xf numFmtId="10" fontId="6" fillId="0" borderId="2" xfId="9" applyNumberFormat="1" applyFont="1" applyFill="1" applyBorder="1" applyAlignment="1">
      <alignment horizontal="right" vertical="center" wrapText="1"/>
    </xf>
    <xf numFmtId="10" fontId="20" fillId="0" borderId="0" xfId="9" applyNumberFormat="1" applyFont="1" applyFill="1"/>
    <xf numFmtId="173" fontId="9" fillId="0" borderId="0" xfId="6" applyNumberFormat="1" applyFont="1" applyFill="1" applyAlignment="1">
      <alignment vertical="center"/>
    </xf>
    <xf numFmtId="0" fontId="2"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32" fillId="0" borderId="0" xfId="0" applyFont="1" applyFill="1" applyAlignment="1">
      <alignment vertical="center" wrapText="1"/>
    </xf>
    <xf numFmtId="1" fontId="33" fillId="0" borderId="0" xfId="0" applyNumberFormat="1" applyFont="1" applyFill="1" applyAlignment="1">
      <alignment vertical="center"/>
    </xf>
    <xf numFmtId="0" fontId="3" fillId="0" borderId="9" xfId="0" applyFont="1" applyFill="1" applyBorder="1" applyAlignment="1">
      <alignment vertical="center"/>
    </xf>
    <xf numFmtId="0" fontId="17" fillId="0" borderId="0" xfId="0" applyFont="1" applyAlignment="1">
      <alignment vertical="center" wrapText="1"/>
    </xf>
    <xf numFmtId="0" fontId="34" fillId="0" borderId="0" xfId="0" applyFont="1" applyAlignment="1">
      <alignment horizontal="center" vertical="center"/>
    </xf>
    <xf numFmtId="0" fontId="24" fillId="0" borderId="0" xfId="0" applyFont="1" applyAlignment="1">
      <alignment vertical="center"/>
    </xf>
    <xf numFmtId="0" fontId="18" fillId="0" borderId="0" xfId="0" applyFont="1" applyAlignment="1">
      <alignment horizontal="center" vertical="center"/>
    </xf>
    <xf numFmtId="0" fontId="35" fillId="0" borderId="0" xfId="0" applyFont="1" applyBorder="1" applyAlignment="1">
      <alignment horizontal="right" vertical="center"/>
    </xf>
    <xf numFmtId="0" fontId="36" fillId="0" borderId="0" xfId="0" applyFont="1" applyAlignment="1">
      <alignment horizontal="center" vertical="center"/>
    </xf>
    <xf numFmtId="0" fontId="38" fillId="0" borderId="0" xfId="0" applyFont="1" applyAlignment="1">
      <alignment horizontal="center" vertical="center"/>
    </xf>
    <xf numFmtId="171" fontId="40" fillId="0" borderId="4" xfId="6" applyNumberFormat="1" applyFont="1" applyBorder="1" applyAlignment="1">
      <alignment horizontal="center" vertical="center"/>
    </xf>
    <xf numFmtId="0" fontId="39" fillId="0" borderId="0" xfId="0" applyFont="1" applyAlignment="1">
      <alignment horizontal="center" vertical="center"/>
    </xf>
    <xf numFmtId="0" fontId="39" fillId="0" borderId="2" xfId="0" applyFont="1" applyBorder="1" applyAlignment="1">
      <alignment horizontal="center" vertical="center" wrapText="1"/>
    </xf>
    <xf numFmtId="0" fontId="39" fillId="0" borderId="2" xfId="0" applyFont="1" applyBorder="1" applyAlignment="1">
      <alignment horizontal="left" vertical="center" wrapText="1"/>
    </xf>
    <xf numFmtId="171" fontId="41" fillId="0" borderId="2" xfId="6" applyNumberFormat="1" applyFont="1" applyBorder="1" applyAlignment="1">
      <alignment horizontal="center" vertical="center"/>
    </xf>
    <xf numFmtId="171" fontId="41" fillId="0" borderId="2" xfId="6" applyNumberFormat="1" applyFont="1" applyBorder="1" applyAlignment="1">
      <alignment horizontal="center" vertical="center" wrapText="1"/>
    </xf>
    <xf numFmtId="0" fontId="39" fillId="0" borderId="1" xfId="0" applyFont="1" applyBorder="1" applyAlignment="1">
      <alignment horizontal="center" vertical="center"/>
    </xf>
    <xf numFmtId="0" fontId="39" fillId="0" borderId="1" xfId="0" applyFont="1" applyBorder="1" applyAlignment="1">
      <alignment horizontal="left" vertical="center" wrapText="1"/>
    </xf>
    <xf numFmtId="171" fontId="41" fillId="0" borderId="1" xfId="6" applyNumberFormat="1" applyFont="1" applyBorder="1" applyAlignment="1">
      <alignment horizontal="center" vertical="center"/>
    </xf>
    <xf numFmtId="171" fontId="41" fillId="0" borderId="1" xfId="6" applyNumberFormat="1" applyFont="1" applyBorder="1" applyAlignment="1">
      <alignment horizontal="center" vertical="center" wrapText="1"/>
    </xf>
    <xf numFmtId="0" fontId="39" fillId="0" borderId="1" xfId="0" applyFont="1" applyBorder="1" applyAlignment="1">
      <alignment horizontal="center" vertical="center" wrapText="1"/>
    </xf>
    <xf numFmtId="0" fontId="39" fillId="0" borderId="0" xfId="0" applyFont="1" applyAlignment="1">
      <alignment horizontal="center" vertical="center" wrapText="1"/>
    </xf>
    <xf numFmtId="0" fontId="39" fillId="0" borderId="12" xfId="0" applyFont="1" applyBorder="1" applyAlignment="1">
      <alignment horizontal="center" vertical="center"/>
    </xf>
    <xf numFmtId="0" fontId="39" fillId="0" borderId="12" xfId="0" applyFont="1" applyBorder="1" applyAlignment="1">
      <alignment horizontal="left" vertical="center" wrapText="1"/>
    </xf>
    <xf numFmtId="171" fontId="41" fillId="0" borderId="12" xfId="6" applyNumberFormat="1" applyFont="1" applyBorder="1" applyAlignment="1">
      <alignment horizontal="center" vertical="center"/>
    </xf>
    <xf numFmtId="171" fontId="41" fillId="0" borderId="12" xfId="6" applyNumberFormat="1" applyFont="1" applyBorder="1" applyAlignment="1">
      <alignment horizontal="center" vertical="center" wrapText="1"/>
    </xf>
    <xf numFmtId="171" fontId="40" fillId="0" borderId="4" xfId="0" applyNumberFormat="1" applyFont="1" applyBorder="1" applyAlignment="1">
      <alignment horizontal="center" vertical="center"/>
    </xf>
    <xf numFmtId="0" fontId="39" fillId="0" borderId="2" xfId="0" applyFont="1" applyBorder="1" applyAlignment="1">
      <alignment horizontal="center" vertical="center"/>
    </xf>
    <xf numFmtId="0" fontId="39" fillId="0" borderId="2" xfId="0" applyFont="1" applyBorder="1" applyAlignment="1">
      <alignment horizontal="left" vertical="center"/>
    </xf>
    <xf numFmtId="0" fontId="39" fillId="0" borderId="1" xfId="0" applyFont="1" applyBorder="1" applyAlignment="1">
      <alignment horizontal="left" vertical="center"/>
    </xf>
    <xf numFmtId="0" fontId="39" fillId="0" borderId="12" xfId="0" applyFont="1" applyBorder="1" applyAlignment="1">
      <alignment horizontal="left" vertical="center"/>
    </xf>
    <xf numFmtId="171" fontId="39" fillId="0" borderId="0" xfId="0" applyNumberFormat="1" applyFont="1" applyAlignment="1">
      <alignment horizontal="center" vertical="center"/>
    </xf>
    <xf numFmtId="3" fontId="18" fillId="0" borderId="0" xfId="0" applyNumberFormat="1" applyFont="1" applyAlignment="1">
      <alignment horizontal="center" vertical="center"/>
    </xf>
    <xf numFmtId="179" fontId="45" fillId="0" borderId="4" xfId="10"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0" fontId="0" fillId="0" borderId="0" xfId="0" applyAlignment="1">
      <alignment vertical="center"/>
    </xf>
    <xf numFmtId="9" fontId="18" fillId="0" borderId="0" xfId="13" applyFont="1" applyAlignment="1">
      <alignment horizontal="center" vertical="center"/>
    </xf>
    <xf numFmtId="0" fontId="35" fillId="0" borderId="0" xfId="0" applyFont="1" applyAlignment="1">
      <alignment horizontal="right" vertical="center"/>
    </xf>
    <xf numFmtId="0" fontId="36" fillId="0" borderId="4" xfId="0" applyFont="1" applyBorder="1" applyAlignment="1">
      <alignment vertical="center"/>
    </xf>
    <xf numFmtId="0" fontId="36" fillId="0" borderId="11" xfId="0" applyFont="1" applyBorder="1" applyAlignment="1">
      <alignment horizontal="center" vertical="center"/>
    </xf>
    <xf numFmtId="171" fontId="40" fillId="0" borderId="3" xfId="6" applyNumberFormat="1" applyFont="1" applyBorder="1" applyAlignment="1">
      <alignment horizontal="center" vertical="center"/>
    </xf>
    <xf numFmtId="0" fontId="39" fillId="0" borderId="2" xfId="0" applyFont="1" applyBorder="1" applyAlignment="1">
      <alignment horizontal="justify" vertical="center" wrapText="1"/>
    </xf>
    <xf numFmtId="0" fontId="39" fillId="0" borderId="1" xfId="0" applyFont="1" applyBorder="1" applyAlignment="1">
      <alignment horizontal="justify" vertical="center" wrapText="1"/>
    </xf>
    <xf numFmtId="0" fontId="39" fillId="0" borderId="17" xfId="0" applyFont="1" applyBorder="1" applyAlignment="1">
      <alignment horizontal="justify" vertical="center" wrapText="1"/>
    </xf>
    <xf numFmtId="171" fontId="41" fillId="0" borderId="17" xfId="6" applyNumberFormat="1" applyFont="1" applyBorder="1" applyAlignment="1">
      <alignment horizontal="center" vertical="center"/>
    </xf>
    <xf numFmtId="0" fontId="36" fillId="0" borderId="4" xfId="0" applyFont="1" applyBorder="1" applyAlignment="1">
      <alignment horizontal="justify" vertical="center" wrapText="1"/>
    </xf>
    <xf numFmtId="0" fontId="39" fillId="0" borderId="18" xfId="0" applyFont="1" applyBorder="1" applyAlignment="1">
      <alignment horizontal="center" vertical="center" wrapText="1"/>
    </xf>
    <xf numFmtId="0" fontId="39" fillId="0" borderId="18" xfId="0" applyFont="1" applyBorder="1" applyAlignment="1">
      <alignment horizontal="justify" vertical="center"/>
    </xf>
    <xf numFmtId="0" fontId="39" fillId="0" borderId="1" xfId="0" applyFont="1" applyBorder="1" applyAlignment="1">
      <alignment horizontal="justify" vertical="center"/>
    </xf>
    <xf numFmtId="171" fontId="41" fillId="0" borderId="21" xfId="6" applyNumberFormat="1" applyFont="1" applyBorder="1" applyAlignment="1">
      <alignment horizontal="center" vertical="center"/>
    </xf>
    <xf numFmtId="171" fontId="41" fillId="0" borderId="22" xfId="6" applyNumberFormat="1" applyFont="1" applyBorder="1" applyAlignment="1">
      <alignment horizontal="center" vertical="center"/>
    </xf>
    <xf numFmtId="0" fontId="39" fillId="0" borderId="0" xfId="0" applyFont="1" applyBorder="1" applyAlignment="1">
      <alignment horizontal="center" vertical="center"/>
    </xf>
    <xf numFmtId="0" fontId="39" fillId="0" borderId="12" xfId="0" applyFont="1" applyBorder="1" applyAlignment="1">
      <alignment horizontal="center" vertical="center" wrapText="1"/>
    </xf>
    <xf numFmtId="0" fontId="39" fillId="0" borderId="12" xfId="0" applyFont="1" applyBorder="1" applyAlignment="1">
      <alignment horizontal="justify" vertical="center"/>
    </xf>
    <xf numFmtId="171" fontId="41" fillId="0" borderId="20" xfId="6" applyNumberFormat="1" applyFont="1" applyBorder="1" applyAlignment="1">
      <alignment horizontal="center" vertical="center"/>
    </xf>
    <xf numFmtId="171" fontId="41" fillId="0" borderId="7" xfId="6" applyNumberFormat="1" applyFont="1" applyBorder="1" applyAlignment="1">
      <alignment horizontal="center" vertical="center"/>
    </xf>
    <xf numFmtId="0" fontId="19" fillId="0" borderId="4" xfId="0" applyFont="1" applyBorder="1" applyAlignment="1">
      <alignment horizontal="center" vertical="center" wrapText="1"/>
    </xf>
    <xf numFmtId="0" fontId="19" fillId="3" borderId="0" xfId="0" applyFont="1" applyFill="1" applyAlignment="1">
      <alignment vertical="center"/>
    </xf>
    <xf numFmtId="0" fontId="6" fillId="3" borderId="1" xfId="0" applyFont="1" applyFill="1" applyBorder="1" applyAlignment="1">
      <alignment horizontal="justify" vertical="center"/>
    </xf>
    <xf numFmtId="3" fontId="6" fillId="3" borderId="1" xfId="0" applyNumberFormat="1" applyFont="1" applyFill="1" applyBorder="1" applyAlignment="1">
      <alignment horizontal="right" vertical="center"/>
    </xf>
    <xf numFmtId="3" fontId="19" fillId="3" borderId="1" xfId="0" applyNumberFormat="1" applyFont="1" applyFill="1" applyBorder="1" applyAlignment="1">
      <alignment vertical="center"/>
    </xf>
    <xf numFmtId="3" fontId="20" fillId="3" borderId="1" xfId="0" applyNumberFormat="1" applyFont="1" applyFill="1" applyBorder="1" applyAlignment="1">
      <alignment vertical="center"/>
    </xf>
    <xf numFmtId="3" fontId="6" fillId="3" borderId="1" xfId="0" applyNumberFormat="1" applyFont="1" applyFill="1" applyBorder="1" applyAlignment="1">
      <alignment vertical="center" wrapText="1"/>
    </xf>
    <xf numFmtId="3" fontId="6" fillId="3" borderId="1" xfId="0" applyNumberFormat="1" applyFont="1" applyFill="1" applyBorder="1" applyAlignment="1">
      <alignment vertical="center"/>
    </xf>
    <xf numFmtId="0" fontId="20" fillId="3" borderId="1" xfId="0" applyFont="1" applyFill="1" applyBorder="1" applyAlignment="1">
      <alignment vertical="center" wrapText="1"/>
    </xf>
    <xf numFmtId="0" fontId="6" fillId="3" borderId="1" xfId="0" applyFont="1" applyFill="1" applyBorder="1" applyAlignment="1">
      <alignment horizontal="justify" vertical="center" wrapText="1"/>
    </xf>
    <xf numFmtId="0" fontId="19" fillId="3" borderId="1" xfId="0" applyFont="1" applyFill="1" applyBorder="1" applyAlignment="1">
      <alignment horizontal="justify" vertical="center" wrapText="1"/>
    </xf>
    <xf numFmtId="3" fontId="6" fillId="3" borderId="1" xfId="0" applyNumberFormat="1" applyFont="1" applyFill="1" applyBorder="1" applyAlignment="1">
      <alignment horizontal="justify" vertical="center" wrapText="1"/>
    </xf>
    <xf numFmtId="0" fontId="6" fillId="3" borderId="1" xfId="8" applyFont="1" applyFill="1" applyBorder="1" applyAlignment="1">
      <alignment horizontal="justify" vertical="center" wrapText="1"/>
    </xf>
    <xf numFmtId="0" fontId="20" fillId="3" borderId="0" xfId="0" applyFont="1" applyFill="1" applyAlignment="1">
      <alignment horizontal="center" vertical="center"/>
    </xf>
    <xf numFmtId="0" fontId="20" fillId="3" borderId="0" xfId="0" applyFont="1" applyFill="1" applyAlignment="1">
      <alignment horizontal="justify" vertical="center" wrapText="1"/>
    </xf>
    <xf numFmtId="3" fontId="6" fillId="3" borderId="12" xfId="0" applyNumberFormat="1" applyFont="1" applyFill="1" applyBorder="1" applyAlignment="1">
      <alignment horizontal="right" vertical="center"/>
    </xf>
    <xf numFmtId="0" fontId="52" fillId="0" borderId="0" xfId="7" applyFont="1" applyFill="1" applyBorder="1"/>
    <xf numFmtId="0" fontId="45" fillId="0" borderId="4" xfId="7" applyFont="1" applyFill="1" applyBorder="1" applyAlignment="1">
      <alignment horizontal="center" vertical="center" wrapText="1"/>
    </xf>
    <xf numFmtId="0" fontId="54" fillId="0" borderId="4" xfId="7" applyFont="1" applyFill="1" applyBorder="1" applyAlignment="1">
      <alignment horizontal="center" vertical="center" wrapText="1"/>
    </xf>
    <xf numFmtId="0" fontId="54" fillId="0" borderId="0" xfId="7" applyFont="1" applyFill="1" applyBorder="1"/>
    <xf numFmtId="0" fontId="52" fillId="0" borderId="0" xfId="7" applyFont="1" applyFill="1" applyBorder="1" applyAlignment="1">
      <alignment horizontal="center"/>
    </xf>
    <xf numFmtId="3" fontId="52" fillId="0" borderId="0" xfId="7" applyNumberFormat="1" applyFont="1" applyFill="1" applyBorder="1"/>
    <xf numFmtId="4" fontId="19" fillId="0" borderId="4" xfId="0" applyNumberFormat="1" applyFont="1" applyBorder="1" applyAlignment="1">
      <alignment horizontal="center" vertical="center" wrapText="1"/>
    </xf>
    <xf numFmtId="3" fontId="19" fillId="0" borderId="4" xfId="0" applyNumberFormat="1" applyFont="1" applyBorder="1" applyAlignment="1">
      <alignment horizontal="right"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3" fontId="20" fillId="0" borderId="1" xfId="0" applyNumberFormat="1" applyFont="1" applyBorder="1" applyAlignment="1">
      <alignment horizontal="right" vertical="center" wrapText="1"/>
    </xf>
    <xf numFmtId="3" fontId="20" fillId="0" borderId="0" xfId="0" applyNumberFormat="1" applyFont="1" applyAlignment="1">
      <alignment vertical="center" wrapText="1"/>
    </xf>
    <xf numFmtId="3" fontId="19" fillId="0" borderId="0" xfId="0" applyNumberFormat="1" applyFont="1" applyAlignment="1">
      <alignment horizontal="center" vertical="center" wrapText="1"/>
    </xf>
    <xf numFmtId="0" fontId="19" fillId="0" borderId="0" xfId="0" applyFont="1" applyAlignment="1">
      <alignment vertical="center" wrapText="1"/>
    </xf>
    <xf numFmtId="0" fontId="20" fillId="0" borderId="12" xfId="0" applyFont="1" applyBorder="1" applyAlignment="1">
      <alignment horizontal="center" vertical="center" wrapText="1"/>
    </xf>
    <xf numFmtId="4" fontId="20" fillId="0" borderId="0" xfId="0" applyNumberFormat="1" applyFont="1" applyAlignment="1">
      <alignment horizontal="center" vertical="center" wrapText="1"/>
    </xf>
    <xf numFmtId="0" fontId="26"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justify" vertical="center"/>
    </xf>
    <xf numFmtId="0" fontId="26" fillId="0" borderId="0" xfId="0" applyFont="1" applyAlignment="1">
      <alignment vertical="center"/>
    </xf>
    <xf numFmtId="3" fontId="9" fillId="3" borderId="3"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1" xfId="0" applyFont="1" applyFill="1" applyBorder="1" applyAlignment="1">
      <alignment horizontal="justify" vertical="center" wrapText="1"/>
    </xf>
    <xf numFmtId="0" fontId="19" fillId="3" borderId="1" xfId="0" applyFont="1" applyFill="1" applyBorder="1" applyAlignment="1">
      <alignment vertical="center" wrapText="1"/>
    </xf>
    <xf numFmtId="3" fontId="4" fillId="3" borderId="1" xfId="0" applyNumberFormat="1" applyFont="1" applyFill="1" applyBorder="1" applyAlignment="1">
      <alignment horizontal="justify" vertical="center" wrapText="1"/>
    </xf>
    <xf numFmtId="3" fontId="4" fillId="3" borderId="1" xfId="0" applyNumberFormat="1" applyFont="1" applyFill="1" applyBorder="1" applyAlignment="1">
      <alignment vertical="center"/>
    </xf>
    <xf numFmtId="0" fontId="19" fillId="3" borderId="1" xfId="0" applyFont="1" applyFill="1" applyBorder="1" applyAlignment="1">
      <alignment horizontal="center" vertical="center"/>
    </xf>
    <xf numFmtId="0" fontId="27" fillId="0" borderId="0" xfId="7" applyFont="1" applyFill="1" applyBorder="1" applyAlignment="1">
      <alignment horizontal="center" vertical="center" wrapText="1"/>
    </xf>
    <xf numFmtId="0" fontId="17" fillId="0" borderId="0" xfId="0" applyFont="1" applyAlignment="1">
      <alignment horizontal="center" vertical="center" wrapText="1"/>
    </xf>
    <xf numFmtId="0" fontId="36" fillId="0" borderId="4" xfId="0" applyFont="1" applyBorder="1" applyAlignment="1">
      <alignment horizontal="center" vertical="center"/>
    </xf>
    <xf numFmtId="0" fontId="36" fillId="0" borderId="4" xfId="0" applyFont="1" applyBorder="1" applyAlignment="1">
      <alignment horizontal="center" vertical="center" wrapText="1"/>
    </xf>
    <xf numFmtId="0" fontId="38"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7" fillId="3" borderId="0" xfId="0" applyFont="1" applyFill="1" applyAlignment="1">
      <alignment horizontal="center" vertical="center"/>
    </xf>
    <xf numFmtId="0" fontId="20" fillId="3" borderId="0" xfId="0" applyFont="1" applyFill="1" applyAlignment="1">
      <alignment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justify" vertical="center" wrapText="1"/>
    </xf>
    <xf numFmtId="0" fontId="4" fillId="3" borderId="2" xfId="0" applyFont="1" applyFill="1" applyBorder="1" applyAlignment="1">
      <alignment horizontal="center" vertical="center"/>
    </xf>
    <xf numFmtId="0" fontId="4" fillId="3" borderId="2" xfId="0" applyFont="1" applyFill="1" applyBorder="1" applyAlignment="1">
      <alignment vertical="center" wrapText="1"/>
    </xf>
    <xf numFmtId="0" fontId="4" fillId="3" borderId="2" xfId="0" applyFont="1" applyFill="1" applyBorder="1" applyAlignment="1">
      <alignment horizontal="justify" vertical="center" wrapText="1"/>
    </xf>
    <xf numFmtId="3" fontId="4" fillId="3" borderId="2" xfId="0" applyNumberFormat="1" applyFont="1" applyFill="1" applyBorder="1" applyAlignment="1">
      <alignment vertical="center"/>
    </xf>
    <xf numFmtId="3" fontId="20" fillId="3" borderId="0" xfId="0" applyNumberFormat="1" applyFont="1" applyFill="1" applyAlignment="1">
      <alignment vertical="center"/>
    </xf>
    <xf numFmtId="1" fontId="6" fillId="3" borderId="1" xfId="22" applyNumberFormat="1" applyFont="1" applyFill="1" applyBorder="1" applyAlignment="1">
      <alignment horizontal="justify" vertical="center" wrapText="1"/>
    </xf>
    <xf numFmtId="0" fontId="4" fillId="3" borderId="1" xfId="0" applyFont="1" applyFill="1" applyBorder="1" applyAlignment="1">
      <alignment horizontal="center" vertical="center"/>
    </xf>
    <xf numFmtId="0" fontId="4" fillId="3" borderId="1" xfId="0" applyFont="1" applyFill="1" applyBorder="1" applyAlignment="1">
      <alignment vertical="center" wrapText="1"/>
    </xf>
    <xf numFmtId="0" fontId="4" fillId="3" borderId="1" xfId="0" applyFont="1" applyFill="1" applyBorder="1" applyAlignment="1">
      <alignment horizontal="justify" vertical="center" wrapText="1"/>
    </xf>
    <xf numFmtId="0" fontId="6" fillId="5" borderId="18" xfId="0" applyFont="1" applyFill="1" applyBorder="1" applyAlignment="1">
      <alignment horizontal="justify" vertical="center" wrapText="1"/>
    </xf>
    <xf numFmtId="0" fontId="6" fillId="5" borderId="1" xfId="0" applyFont="1" applyFill="1" applyBorder="1" applyAlignment="1">
      <alignment horizontal="justify" vertical="center" wrapText="1"/>
    </xf>
    <xf numFmtId="0" fontId="6" fillId="5" borderId="17" xfId="0" applyFont="1" applyFill="1" applyBorder="1" applyAlignment="1">
      <alignment horizontal="justify" vertical="center" wrapText="1"/>
    </xf>
    <xf numFmtId="3" fontId="6" fillId="3" borderId="1" xfId="6" applyNumberFormat="1" applyFont="1" applyFill="1" applyBorder="1" applyAlignment="1">
      <alignment vertical="center"/>
    </xf>
    <xf numFmtId="0" fontId="6" fillId="3" borderId="1" xfId="0" applyFont="1" applyFill="1" applyBorder="1" applyAlignment="1">
      <alignment vertical="center"/>
    </xf>
    <xf numFmtId="0" fontId="4" fillId="3" borderId="21" xfId="0" applyFont="1" applyFill="1" applyBorder="1" applyAlignment="1">
      <alignment vertical="center" wrapText="1"/>
    </xf>
    <xf numFmtId="0" fontId="4" fillId="3" borderId="11" xfId="0" applyFont="1" applyFill="1" applyBorder="1" applyAlignment="1">
      <alignment horizontal="center" vertical="center"/>
    </xf>
    <xf numFmtId="0" fontId="6" fillId="3" borderId="17" xfId="0" applyFont="1" applyFill="1" applyBorder="1" applyAlignment="1">
      <alignment horizontal="justify" vertical="center" wrapText="1"/>
    </xf>
    <xf numFmtId="3" fontId="6" fillId="3" borderId="17" xfId="0" applyNumberFormat="1" applyFont="1" applyFill="1" applyBorder="1" applyAlignment="1">
      <alignment vertical="center" wrapText="1"/>
    </xf>
    <xf numFmtId="0" fontId="6" fillId="6" borderId="18" xfId="0" applyFont="1" applyFill="1" applyBorder="1" applyAlignment="1">
      <alignment horizontal="justify" vertical="center" wrapText="1"/>
    </xf>
    <xf numFmtId="0" fontId="6" fillId="6" borderId="1" xfId="0" applyFont="1" applyFill="1" applyBorder="1" applyAlignment="1">
      <alignment horizontal="justify" vertical="center" wrapText="1"/>
    </xf>
    <xf numFmtId="0" fontId="4" fillId="3" borderId="4" xfId="0" applyFont="1" applyFill="1" applyBorder="1" applyAlignment="1">
      <alignment horizontal="center" vertical="center"/>
    </xf>
    <xf numFmtId="0" fontId="4" fillId="3" borderId="4" xfId="0" applyFont="1" applyFill="1" applyBorder="1" applyAlignment="1">
      <alignment vertical="center" wrapText="1"/>
    </xf>
    <xf numFmtId="3" fontId="4" fillId="3" borderId="4" xfId="0" applyNumberFormat="1" applyFont="1" applyFill="1" applyBorder="1" applyAlignment="1">
      <alignment vertical="center"/>
    </xf>
    <xf numFmtId="3" fontId="6" fillId="3" borderId="18" xfId="0" applyNumberFormat="1" applyFont="1" applyFill="1" applyBorder="1" applyAlignment="1">
      <alignment horizontal="justify" vertical="center" wrapText="1"/>
    </xf>
    <xf numFmtId="3" fontId="6" fillId="3" borderId="18" xfId="0" applyNumberFormat="1" applyFont="1" applyFill="1" applyBorder="1" applyAlignment="1">
      <alignment vertical="center"/>
    </xf>
    <xf numFmtId="0" fontId="6" fillId="3" borderId="1" xfId="23" applyFont="1" applyFill="1" applyBorder="1" applyAlignment="1">
      <alignment horizontal="justify" vertical="center" wrapText="1"/>
    </xf>
    <xf numFmtId="3" fontId="6" fillId="3" borderId="1" xfId="0" quotePrefix="1" applyNumberFormat="1" applyFont="1" applyFill="1" applyBorder="1" applyAlignment="1">
      <alignment horizontal="justify" vertical="center" wrapText="1"/>
    </xf>
    <xf numFmtId="0" fontId="6" fillId="3" borderId="18" xfId="0" applyFont="1" applyFill="1" applyBorder="1" applyAlignment="1">
      <alignment horizontal="justify" vertical="center" wrapText="1"/>
    </xf>
    <xf numFmtId="0" fontId="6" fillId="3" borderId="25" xfId="0" applyFont="1" applyFill="1" applyBorder="1" applyAlignment="1">
      <alignment horizontal="justify" vertical="center" wrapText="1"/>
    </xf>
    <xf numFmtId="0" fontId="6" fillId="6" borderId="26" xfId="0" applyFont="1" applyFill="1" applyBorder="1" applyAlignment="1">
      <alignment horizontal="justify" vertical="center" wrapText="1"/>
    </xf>
    <xf numFmtId="0" fontId="6" fillId="3" borderId="26" xfId="0" applyFont="1" applyFill="1" applyBorder="1" applyAlignment="1">
      <alignment horizontal="justify" vertical="center" wrapText="1"/>
    </xf>
    <xf numFmtId="0" fontId="6" fillId="3" borderId="1" xfId="16" applyFont="1" applyFill="1" applyBorder="1" applyAlignment="1">
      <alignment horizontal="justify" vertical="center" wrapText="1"/>
    </xf>
    <xf numFmtId="0" fontId="6" fillId="3" borderId="27" xfId="0" applyFont="1" applyFill="1" applyBorder="1" applyAlignment="1">
      <alignment horizontal="justify" vertical="center" wrapText="1"/>
    </xf>
    <xf numFmtId="0" fontId="6" fillId="3" borderId="28" xfId="0" applyFont="1" applyFill="1" applyBorder="1" applyAlignment="1">
      <alignment horizontal="justify" vertical="center" wrapText="1"/>
    </xf>
    <xf numFmtId="181" fontId="6" fillId="3" borderId="1" xfId="0" applyNumberFormat="1" applyFont="1" applyFill="1" applyBorder="1" applyAlignment="1">
      <alignment horizontal="justify"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57" fillId="3" borderId="1" xfId="0" applyFont="1" applyFill="1" applyBorder="1" applyAlignment="1">
      <alignment horizontal="justify" vertical="center" wrapText="1"/>
    </xf>
    <xf numFmtId="0" fontId="6" fillId="3" borderId="1" xfId="23" applyFont="1" applyFill="1" applyBorder="1" applyAlignment="1">
      <alignment horizontal="justify" vertical="center" wrapText="1" shrinkToFit="1"/>
    </xf>
    <xf numFmtId="0" fontId="6" fillId="3" borderId="1" xfId="0" applyFont="1" applyFill="1" applyBorder="1" applyAlignment="1">
      <alignment horizontal="justify" vertical="center" wrapText="1" shrinkToFit="1"/>
    </xf>
    <xf numFmtId="0" fontId="4" fillId="3" borderId="11" xfId="0" applyFont="1" applyFill="1" applyBorder="1" applyAlignment="1">
      <alignment horizontal="center" vertical="center" wrapText="1"/>
    </xf>
    <xf numFmtId="0" fontId="6" fillId="3" borderId="12" xfId="0" applyFont="1" applyFill="1" applyBorder="1" applyAlignment="1">
      <alignment horizontal="justify" vertical="center" wrapText="1"/>
    </xf>
    <xf numFmtId="0" fontId="6" fillId="3" borderId="1" xfId="0" applyFont="1" applyFill="1" applyBorder="1" applyAlignment="1">
      <alignment vertical="center" wrapText="1"/>
    </xf>
    <xf numFmtId="0" fontId="4" fillId="3" borderId="1" xfId="0" applyFont="1" applyFill="1" applyBorder="1" applyAlignment="1">
      <alignment horizontal="center" vertical="center"/>
    </xf>
    <xf numFmtId="1" fontId="6" fillId="3" borderId="1" xfId="0" applyNumberFormat="1" applyFont="1" applyFill="1" applyBorder="1" applyAlignment="1">
      <alignment vertical="center"/>
    </xf>
    <xf numFmtId="3" fontId="6" fillId="3" borderId="12" xfId="0" applyNumberFormat="1" applyFont="1" applyFill="1" applyBorder="1" applyAlignment="1">
      <alignment vertical="center"/>
    </xf>
    <xf numFmtId="0" fontId="20" fillId="3" borderId="1" xfId="0" applyFont="1" applyFill="1" applyBorder="1" applyAlignment="1">
      <alignment horizontal="center" vertical="center"/>
    </xf>
    <xf numFmtId="0" fontId="20" fillId="3" borderId="12" xfId="0" applyFont="1" applyFill="1" applyBorder="1" applyAlignment="1">
      <alignment horizontal="justify" vertical="center" wrapText="1"/>
    </xf>
    <xf numFmtId="3" fontId="4" fillId="3" borderId="1" xfId="0" applyNumberFormat="1" applyFont="1" applyFill="1" applyBorder="1" applyAlignment="1">
      <alignment vertical="center" wrapText="1"/>
    </xf>
    <xf numFmtId="3" fontId="4" fillId="3" borderId="1" xfId="0" applyNumberFormat="1" applyFont="1" applyFill="1" applyBorder="1" applyAlignment="1">
      <alignment horizontal="left" vertical="center" wrapText="1"/>
    </xf>
    <xf numFmtId="3" fontId="6" fillId="3" borderId="1" xfId="0" applyNumberFormat="1" applyFont="1" applyFill="1" applyBorder="1" applyAlignment="1">
      <alignment horizontal="left" vertical="center" wrapText="1"/>
    </xf>
    <xf numFmtId="3" fontId="4" fillId="3" borderId="1" xfId="0" applyNumberFormat="1" applyFont="1" applyFill="1" applyBorder="1" applyAlignment="1">
      <alignment horizontal="center" vertical="center"/>
    </xf>
    <xf numFmtId="3" fontId="4" fillId="3" borderId="12" xfId="0" applyNumberFormat="1" applyFont="1" applyFill="1" applyBorder="1" applyAlignment="1">
      <alignment horizontal="center" vertical="center"/>
    </xf>
    <xf numFmtId="3" fontId="4" fillId="3" borderId="12" xfId="0" applyNumberFormat="1" applyFont="1" applyFill="1" applyBorder="1" applyAlignment="1">
      <alignment horizontal="left" vertical="center" wrapText="1"/>
    </xf>
    <xf numFmtId="3" fontId="19" fillId="3" borderId="12" xfId="0" applyNumberFormat="1" applyFont="1" applyFill="1" applyBorder="1" applyAlignment="1">
      <alignment vertical="center"/>
    </xf>
    <xf numFmtId="0" fontId="20" fillId="3" borderId="0" xfId="0" applyFont="1" applyFill="1" applyAlignment="1">
      <alignment vertical="center" wrapText="1"/>
    </xf>
    <xf numFmtId="0" fontId="20" fillId="3" borderId="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8" xfId="0" applyFont="1" applyFill="1" applyBorder="1" applyAlignment="1">
      <alignment horizontal="center" vertical="center" wrapText="1"/>
    </xf>
    <xf numFmtId="0" fontId="19" fillId="3" borderId="1" xfId="0" applyFont="1" applyFill="1" applyBorder="1" applyAlignment="1">
      <alignment horizontal="justify" vertical="center"/>
    </xf>
    <xf numFmtId="0" fontId="52" fillId="0" borderId="4" xfId="7" applyFont="1" applyFill="1" applyBorder="1" applyAlignment="1">
      <alignment horizontal="center" vertical="center" wrapText="1"/>
    </xf>
    <xf numFmtId="0" fontId="5" fillId="0" borderId="4" xfId="7" applyFont="1" applyFill="1" applyBorder="1" applyAlignment="1">
      <alignment horizontal="center" vertical="center" wrapText="1"/>
    </xf>
    <xf numFmtId="3" fontId="45" fillId="0" borderId="4" xfId="7" applyNumberFormat="1" applyFont="1" applyFill="1" applyBorder="1" applyAlignment="1">
      <alignment horizontal="right" vertical="center" wrapText="1"/>
    </xf>
    <xf numFmtId="182" fontId="54" fillId="0" borderId="0" xfId="7" applyNumberFormat="1" applyFont="1" applyFill="1" applyBorder="1" applyAlignment="1">
      <alignment vertical="center" wrapText="1"/>
    </xf>
    <xf numFmtId="0" fontId="54" fillId="0" borderId="0" xfId="7" applyFont="1" applyFill="1" applyBorder="1" applyAlignment="1">
      <alignment vertical="center" wrapText="1"/>
    </xf>
    <xf numFmtId="3" fontId="5" fillId="0" borderId="4" xfId="7" applyNumberFormat="1" applyFont="1" applyFill="1" applyBorder="1" applyAlignment="1">
      <alignment horizontal="right" vertical="center" wrapText="1"/>
    </xf>
    <xf numFmtId="3" fontId="5" fillId="0" borderId="0" xfId="7" applyNumberFormat="1" applyFont="1" applyFill="1" applyBorder="1"/>
    <xf numFmtId="0" fontId="5" fillId="0" borderId="0" xfId="7" applyFont="1" applyFill="1" applyBorder="1"/>
    <xf numFmtId="4" fontId="5" fillId="0" borderId="0" xfId="7" applyNumberFormat="1" applyFont="1" applyFill="1" applyBorder="1"/>
    <xf numFmtId="3" fontId="52" fillId="0" borderId="4" xfId="7" applyNumberFormat="1" applyFont="1" applyFill="1" applyBorder="1" applyAlignment="1">
      <alignment horizontal="right" vertical="center" wrapText="1"/>
    </xf>
    <xf numFmtId="43" fontId="54" fillId="0" borderId="0" xfId="7" applyNumberFormat="1" applyFont="1" applyFill="1" applyBorder="1"/>
    <xf numFmtId="43" fontId="5" fillId="0" borderId="0" xfId="7" applyNumberFormat="1" applyFont="1" applyFill="1" applyBorder="1"/>
    <xf numFmtId="4" fontId="5" fillId="0" borderId="4" xfId="7" applyNumberFormat="1" applyFont="1" applyFill="1" applyBorder="1" applyAlignment="1">
      <alignment horizontal="right" vertical="center" wrapText="1"/>
    </xf>
    <xf numFmtId="4" fontId="52" fillId="0" borderId="4" xfId="7" applyNumberFormat="1" applyFont="1" applyFill="1" applyBorder="1" applyAlignment="1">
      <alignment horizontal="right" vertical="center" wrapText="1"/>
    </xf>
    <xf numFmtId="43" fontId="52" fillId="0" borderId="0" xfId="7" applyNumberFormat="1" applyFont="1" applyFill="1" applyBorder="1"/>
    <xf numFmtId="3" fontId="5" fillId="0" borderId="0" xfId="7" applyNumberFormat="1" applyFont="1" applyFill="1" applyBorder="1" applyAlignment="1">
      <alignment horizontal="right" vertical="center" wrapText="1"/>
    </xf>
    <xf numFmtId="170" fontId="5" fillId="0" borderId="0" xfId="7" applyNumberFormat="1" applyFont="1" applyFill="1" applyBorder="1"/>
    <xf numFmtId="0" fontId="52" fillId="0" borderId="4" xfId="0" applyFont="1" applyFill="1" applyBorder="1" applyAlignment="1">
      <alignment horizontal="left" vertical="center" wrapText="1"/>
    </xf>
    <xf numFmtId="0" fontId="52" fillId="0" borderId="4" xfId="0" applyFont="1" applyFill="1" applyBorder="1" applyAlignment="1">
      <alignment horizontal="center" vertical="center" wrapText="1"/>
    </xf>
    <xf numFmtId="0" fontId="45" fillId="0" borderId="4" xfId="7" applyFont="1" applyFill="1" applyBorder="1" applyAlignment="1">
      <alignment horizontal="right" vertical="center" wrapText="1"/>
    </xf>
    <xf numFmtId="0" fontId="52" fillId="0" borderId="4" xfId="7" applyFont="1" applyFill="1" applyBorder="1" applyAlignment="1">
      <alignment horizontal="right" vertical="center" wrapText="1"/>
    </xf>
    <xf numFmtId="3" fontId="54" fillId="0" borderId="0" xfId="7" applyNumberFormat="1" applyFont="1" applyFill="1" applyBorder="1" applyAlignment="1">
      <alignment horizontal="right" vertical="center" wrapText="1"/>
    </xf>
    <xf numFmtId="170" fontId="54" fillId="0" borderId="0" xfId="7" applyNumberFormat="1" applyFont="1" applyFill="1" applyBorder="1"/>
    <xf numFmtId="179" fontId="52" fillId="0" borderId="4" xfId="10" applyNumberFormat="1" applyFont="1" applyFill="1" applyBorder="1" applyAlignment="1">
      <alignment horizontal="right" vertical="center" wrapText="1"/>
    </xf>
    <xf numFmtId="171" fontId="52" fillId="0" borderId="4" xfId="10" applyNumberFormat="1" applyFont="1" applyFill="1" applyBorder="1" applyAlignment="1">
      <alignment horizontal="right" vertical="center" wrapText="1"/>
    </xf>
    <xf numFmtId="0" fontId="5" fillId="0" borderId="4" xfId="0" applyFont="1" applyFill="1" applyBorder="1" applyAlignment="1">
      <alignment horizontal="left" vertical="center" wrapText="1"/>
    </xf>
    <xf numFmtId="171" fontId="5" fillId="0" borderId="4" xfId="10" applyNumberFormat="1" applyFont="1" applyFill="1" applyBorder="1" applyAlignment="1">
      <alignment horizontal="right" vertical="center" wrapText="1"/>
    </xf>
    <xf numFmtId="0" fontId="54" fillId="0" borderId="0" xfId="7" applyFont="1" applyFill="1" applyBorder="1" applyAlignment="1">
      <alignment horizontal="left" vertical="center" wrapText="1"/>
    </xf>
    <xf numFmtId="0" fontId="54" fillId="0" borderId="0" xfId="7" applyFont="1" applyFill="1" applyBorder="1" applyAlignment="1">
      <alignment horizontal="center" vertical="center" wrapText="1"/>
    </xf>
    <xf numFmtId="0" fontId="45" fillId="0" borderId="0" xfId="7" applyFont="1" applyFill="1" applyBorder="1" applyAlignment="1">
      <alignment horizontal="center" vertical="center" wrapText="1"/>
    </xf>
    <xf numFmtId="0" fontId="52" fillId="0" borderId="0" xfId="7" applyFont="1" applyFill="1" applyBorder="1" applyAlignment="1">
      <alignment vertical="center" wrapText="1"/>
    </xf>
    <xf numFmtId="182" fontId="52" fillId="0" borderId="0" xfId="7" applyNumberFormat="1" applyFont="1" applyFill="1" applyBorder="1" applyAlignment="1">
      <alignment vertical="center" wrapText="1"/>
    </xf>
    <xf numFmtId="0" fontId="45" fillId="0" borderId="0" xfId="7" applyFont="1" applyFill="1" applyBorder="1" applyAlignment="1">
      <alignment horizontal="center"/>
    </xf>
    <xf numFmtId="0" fontId="1" fillId="3" borderId="0" xfId="0" applyFont="1" applyFill="1"/>
    <xf numFmtId="0" fontId="7" fillId="3" borderId="0" xfId="0" applyFont="1" applyFill="1" applyAlignment="1">
      <alignment horizontal="right"/>
    </xf>
    <xf numFmtId="0" fontId="4" fillId="3" borderId="0" xfId="0" applyFont="1" applyFill="1" applyAlignment="1">
      <alignment horizontal="center" vertical="center"/>
    </xf>
    <xf numFmtId="3" fontId="4" fillId="3" borderId="3" xfId="0" applyNumberFormat="1" applyFont="1" applyFill="1" applyBorder="1" applyAlignment="1">
      <alignment horizontal="center" vertical="center"/>
    </xf>
    <xf numFmtId="3" fontId="4" fillId="3" borderId="3" xfId="0" applyNumberFormat="1" applyFont="1" applyFill="1" applyBorder="1" applyAlignment="1">
      <alignment horizontal="center" vertical="center" wrapText="1"/>
    </xf>
    <xf numFmtId="0" fontId="4" fillId="3" borderId="0" xfId="0" applyFont="1" applyFill="1" applyAlignment="1">
      <alignment horizontal="center"/>
    </xf>
    <xf numFmtId="173" fontId="1" fillId="3" borderId="0" xfId="6" applyNumberFormat="1" applyFont="1" applyFill="1"/>
    <xf numFmtId="3" fontId="9" fillId="3" borderId="1" xfId="0" applyNumberFormat="1" applyFont="1" applyFill="1" applyBorder="1" applyAlignment="1">
      <alignment horizontal="center" vertical="center" wrapText="1"/>
    </xf>
    <xf numFmtId="3" fontId="9" fillId="3" borderId="1" xfId="0" applyNumberFormat="1" applyFont="1" applyFill="1" applyBorder="1" applyAlignment="1">
      <alignment horizontal="right" vertical="center" wrapText="1"/>
    </xf>
    <xf numFmtId="3" fontId="8" fillId="3" borderId="1" xfId="0" applyNumberFormat="1" applyFont="1" applyFill="1" applyBorder="1" applyAlignment="1">
      <alignment horizontal="center" vertical="center" wrapText="1"/>
    </xf>
    <xf numFmtId="3" fontId="1" fillId="3" borderId="1" xfId="0" applyNumberFormat="1" applyFont="1" applyFill="1" applyBorder="1" applyAlignment="1">
      <alignment vertical="center" wrapText="1"/>
    </xf>
    <xf numFmtId="173" fontId="6" fillId="3" borderId="0" xfId="6" applyNumberFormat="1" applyFont="1" applyFill="1"/>
    <xf numFmtId="0" fontId="6" fillId="3" borderId="0" xfId="0" applyFont="1" applyFill="1"/>
    <xf numFmtId="3" fontId="4" fillId="3" borderId="1" xfId="0" applyNumberFormat="1" applyFont="1" applyFill="1" applyBorder="1" applyAlignment="1">
      <alignment wrapText="1"/>
    </xf>
    <xf numFmtId="0" fontId="4" fillId="3" borderId="0" xfId="0" applyFont="1" applyFill="1"/>
    <xf numFmtId="3" fontId="6" fillId="3" borderId="1" xfId="0" applyNumberFormat="1" applyFont="1" applyFill="1" applyBorder="1" applyAlignment="1">
      <alignment wrapText="1"/>
    </xf>
    <xf numFmtId="0" fontId="6" fillId="3" borderId="0" xfId="0" applyFont="1" applyFill="1" applyAlignment="1">
      <alignment vertical="center"/>
    </xf>
    <xf numFmtId="3" fontId="6" fillId="3" borderId="12" xfId="0" applyNumberFormat="1" applyFont="1" applyFill="1" applyBorder="1" applyAlignment="1">
      <alignment wrapText="1"/>
    </xf>
    <xf numFmtId="0" fontId="1"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vertical="center" wrapText="1"/>
    </xf>
    <xf numFmtId="3" fontId="9" fillId="3" borderId="2" xfId="0" applyNumberFormat="1" applyFont="1" applyFill="1" applyBorder="1" applyAlignment="1">
      <alignment horizontal="center" vertical="center" wrapText="1"/>
    </xf>
    <xf numFmtId="3" fontId="9" fillId="3" borderId="2" xfId="0" applyNumberFormat="1" applyFont="1" applyFill="1" applyBorder="1" applyAlignment="1">
      <alignment horizontal="right" vertical="center" wrapText="1"/>
    </xf>
    <xf numFmtId="3" fontId="1" fillId="3" borderId="2" xfId="0" applyNumberFormat="1" applyFont="1" applyFill="1" applyBorder="1" applyAlignment="1">
      <alignment vertical="center" wrapText="1"/>
    </xf>
    <xf numFmtId="3" fontId="8" fillId="3" borderId="1" xfId="0" applyNumberFormat="1" applyFont="1" applyFill="1" applyBorder="1" applyAlignment="1">
      <alignment horizontal="right" vertical="center" wrapText="1"/>
    </xf>
    <xf numFmtId="3" fontId="8" fillId="3" borderId="1" xfId="0" quotePrefix="1" applyNumberFormat="1" applyFont="1" applyFill="1" applyBorder="1" applyAlignment="1">
      <alignment horizontal="center" vertical="center" wrapText="1"/>
    </xf>
    <xf numFmtId="3" fontId="29" fillId="3" borderId="1" xfId="0" applyNumberFormat="1" applyFont="1" applyFill="1" applyBorder="1" applyAlignment="1">
      <alignment horizontal="justify" vertical="center" wrapText="1"/>
    </xf>
    <xf numFmtId="3" fontId="29" fillId="3" borderId="1" xfId="0" applyNumberFormat="1" applyFont="1" applyFill="1" applyBorder="1" applyAlignment="1">
      <alignment horizontal="justify" wrapText="1"/>
    </xf>
    <xf numFmtId="3" fontId="29" fillId="3" borderId="1" xfId="0" applyNumberFormat="1" applyFont="1" applyFill="1" applyBorder="1" applyAlignment="1">
      <alignment horizontal="right" vertical="center" wrapText="1"/>
    </xf>
    <xf numFmtId="3" fontId="29" fillId="3" borderId="1" xfId="0" applyNumberFormat="1" applyFont="1" applyFill="1" applyBorder="1" applyAlignment="1">
      <alignment horizontal="center" vertical="center" wrapText="1"/>
    </xf>
    <xf numFmtId="3" fontId="6" fillId="3" borderId="1" xfId="6" applyNumberFormat="1" applyFont="1" applyFill="1" applyBorder="1" applyAlignment="1">
      <alignment horizontal="right" vertical="center"/>
    </xf>
    <xf numFmtId="0" fontId="4" fillId="3" borderId="1" xfId="0" applyFont="1" applyFill="1" applyBorder="1"/>
    <xf numFmtId="0" fontId="4" fillId="3" borderId="1" xfId="0" applyFont="1" applyFill="1" applyBorder="1" applyAlignment="1">
      <alignment horizontal="center"/>
    </xf>
    <xf numFmtId="3" fontId="61" fillId="3" borderId="1" xfId="0" applyNumberFormat="1" applyFont="1" applyFill="1" applyBorder="1" applyAlignment="1">
      <alignment vertical="center"/>
    </xf>
    <xf numFmtId="3" fontId="28" fillId="3" borderId="1" xfId="0" applyNumberFormat="1" applyFont="1" applyFill="1" applyBorder="1" applyAlignment="1">
      <alignment horizontal="justify" vertical="center" wrapText="1"/>
    </xf>
    <xf numFmtId="3" fontId="1" fillId="3" borderId="1" xfId="0" applyNumberFormat="1" applyFont="1" applyFill="1" applyBorder="1" applyAlignment="1">
      <alignment vertical="center"/>
    </xf>
    <xf numFmtId="0" fontId="6" fillId="3" borderId="1" xfId="7" applyFont="1" applyFill="1" applyBorder="1" applyAlignment="1">
      <alignment horizontal="justify" vertical="center" wrapText="1"/>
    </xf>
    <xf numFmtId="0" fontId="6" fillId="3" borderId="1" xfId="0" applyFont="1" applyFill="1" applyBorder="1"/>
    <xf numFmtId="0" fontId="6" fillId="3" borderId="1" xfId="0" applyFont="1" applyFill="1" applyBorder="1" applyAlignment="1">
      <alignment horizontal="center"/>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right" vertical="center" wrapText="1"/>
    </xf>
    <xf numFmtId="0" fontId="1" fillId="3" borderId="0" xfId="0" applyFont="1" applyFill="1" applyAlignment="1">
      <alignment horizontal="justify"/>
    </xf>
    <xf numFmtId="0" fontId="9" fillId="3" borderId="4" xfId="0" applyFont="1" applyFill="1" applyBorder="1" applyAlignment="1">
      <alignment horizontal="justify" vertical="center" wrapText="1"/>
    </xf>
    <xf numFmtId="3" fontId="9" fillId="3" borderId="3" xfId="0" applyNumberFormat="1" applyFont="1" applyFill="1" applyBorder="1" applyAlignment="1">
      <alignment horizontal="justify" vertical="center" wrapText="1"/>
    </xf>
    <xf numFmtId="3" fontId="9" fillId="3" borderId="2" xfId="0" applyNumberFormat="1" applyFont="1" applyFill="1" applyBorder="1" applyAlignment="1">
      <alignment horizontal="justify" vertical="center" wrapText="1"/>
    </xf>
    <xf numFmtId="3" fontId="9" fillId="3" borderId="1" xfId="0" applyNumberFormat="1" applyFont="1" applyFill="1" applyBorder="1" applyAlignment="1">
      <alignment horizontal="justify" vertical="center" wrapText="1"/>
    </xf>
    <xf numFmtId="3" fontId="8" fillId="3" borderId="1" xfId="0" applyNumberFormat="1" applyFont="1" applyFill="1" applyBorder="1" applyAlignment="1">
      <alignment horizontal="justify" vertical="center" wrapText="1"/>
    </xf>
    <xf numFmtId="3" fontId="28" fillId="3" borderId="1" xfId="0" applyNumberFormat="1" applyFont="1" applyFill="1" applyBorder="1" applyAlignment="1">
      <alignment horizontal="justify" wrapText="1"/>
    </xf>
    <xf numFmtId="0" fontId="4" fillId="3" borderId="1" xfId="0" applyFont="1" applyFill="1" applyBorder="1" applyAlignment="1">
      <alignment horizontal="justify"/>
    </xf>
    <xf numFmtId="0" fontId="6" fillId="3" borderId="1" xfId="0" applyFont="1" applyFill="1" applyBorder="1" applyAlignment="1">
      <alignment horizontal="justify"/>
    </xf>
    <xf numFmtId="3" fontId="60" fillId="3" borderId="1" xfId="0" applyNumberFormat="1" applyFont="1" applyFill="1" applyBorder="1" applyAlignment="1">
      <alignment horizontal="justify" vertical="center" wrapText="1"/>
    </xf>
    <xf numFmtId="3" fontId="8" fillId="3" borderId="12" xfId="0" applyNumberFormat="1" applyFont="1" applyFill="1" applyBorder="1" applyAlignment="1">
      <alignment horizontal="justify" vertical="center" wrapText="1"/>
    </xf>
    <xf numFmtId="0" fontId="62" fillId="3" borderId="0" xfId="0" applyFont="1" applyFill="1" applyAlignment="1">
      <alignment vertical="center"/>
    </xf>
    <xf numFmtId="0" fontId="26" fillId="3" borderId="0" xfId="0" applyFont="1" applyFill="1" applyAlignment="1">
      <alignment horizontal="center" vertical="center"/>
    </xf>
    <xf numFmtId="3" fontId="26" fillId="3" borderId="0" xfId="0" applyNumberFormat="1" applyFont="1" applyFill="1" applyAlignment="1">
      <alignment horizontal="center" vertical="center"/>
    </xf>
    <xf numFmtId="0" fontId="18" fillId="3" borderId="0" xfId="0" applyFont="1" applyFill="1" applyAlignment="1">
      <alignment horizontal="center" vertical="center"/>
    </xf>
    <xf numFmtId="0" fontId="18" fillId="3" borderId="0" xfId="0" applyFont="1" applyFill="1" applyAlignment="1">
      <alignment vertical="center"/>
    </xf>
    <xf numFmtId="3" fontId="63" fillId="3" borderId="6" xfId="0" applyNumberFormat="1" applyFont="1" applyFill="1" applyBorder="1" applyAlignment="1">
      <alignment horizontal="center" vertical="center" wrapText="1"/>
    </xf>
    <xf numFmtId="3" fontId="63" fillId="3" borderId="16" xfId="0" applyNumberFormat="1" applyFont="1" applyFill="1" applyBorder="1" applyAlignment="1">
      <alignment horizontal="center" vertical="center" wrapText="1"/>
    </xf>
    <xf numFmtId="0" fontId="63" fillId="3" borderId="0" xfId="0" applyFont="1" applyFill="1" applyAlignment="1">
      <alignment horizontal="center" vertical="center"/>
    </xf>
    <xf numFmtId="0" fontId="62" fillId="3" borderId="4" xfId="0" applyFont="1" applyFill="1" applyBorder="1" applyAlignment="1">
      <alignment horizontal="center" vertical="center" wrapText="1"/>
    </xf>
    <xf numFmtId="3" fontId="62" fillId="3" borderId="4" xfId="0" applyNumberFormat="1" applyFont="1" applyFill="1" applyBorder="1" applyAlignment="1">
      <alignment horizontal="center" vertical="center" wrapText="1"/>
    </xf>
    <xf numFmtId="0" fontId="63" fillId="3" borderId="4" xfId="0" applyFont="1" applyFill="1" applyBorder="1" applyAlignment="1">
      <alignment horizontal="center" vertical="center" wrapText="1"/>
    </xf>
    <xf numFmtId="3" fontId="63" fillId="3" borderId="4" xfId="0" applyNumberFormat="1" applyFont="1" applyFill="1" applyBorder="1" applyAlignment="1">
      <alignment horizontal="center" vertical="center" wrapText="1"/>
    </xf>
    <xf numFmtId="3" fontId="63" fillId="3" borderId="4" xfId="0" applyNumberFormat="1" applyFont="1" applyFill="1" applyBorder="1" applyAlignment="1">
      <alignment vertical="center" wrapText="1"/>
    </xf>
    <xf numFmtId="3" fontId="63" fillId="3" borderId="4" xfId="0" applyNumberFormat="1" applyFont="1" applyFill="1" applyBorder="1" applyAlignment="1">
      <alignment horizontal="right" vertical="center" wrapText="1"/>
    </xf>
    <xf numFmtId="9" fontId="19" fillId="3" borderId="4" xfId="9" applyFont="1" applyFill="1" applyBorder="1" applyAlignment="1">
      <alignment horizontal="center" vertical="center" wrapText="1"/>
    </xf>
    <xf numFmtId="0" fontId="63" fillId="3" borderId="0" xfId="0" applyFont="1" applyFill="1" applyAlignment="1">
      <alignment vertical="center"/>
    </xf>
    <xf numFmtId="9" fontId="65" fillId="3" borderId="4" xfId="9" applyFont="1" applyFill="1" applyBorder="1" applyAlignment="1">
      <alignment horizontal="center" vertical="center" wrapText="1"/>
    </xf>
    <xf numFmtId="3" fontId="64" fillId="3" borderId="4" xfId="0" applyNumberFormat="1" applyFont="1" applyFill="1" applyBorder="1" applyAlignment="1">
      <alignment horizontal="center" vertical="center" wrapText="1"/>
    </xf>
    <xf numFmtId="3" fontId="64" fillId="3" borderId="4" xfId="0" applyNumberFormat="1" applyFont="1" applyFill="1" applyBorder="1" applyAlignment="1">
      <alignment vertical="center" wrapText="1"/>
    </xf>
    <xf numFmtId="3" fontId="64" fillId="3" borderId="4" xfId="0" applyNumberFormat="1" applyFont="1" applyFill="1" applyBorder="1" applyAlignment="1">
      <alignment horizontal="right" vertical="center" wrapText="1"/>
    </xf>
    <xf numFmtId="0" fontId="64" fillId="3" borderId="0" xfId="0" applyFont="1" applyFill="1" applyAlignment="1">
      <alignment vertical="center"/>
    </xf>
    <xf numFmtId="3" fontId="66" fillId="3" borderId="4" xfId="0" applyNumberFormat="1" applyFont="1" applyFill="1" applyBorder="1" applyAlignment="1">
      <alignment horizontal="center" vertical="center" wrapText="1"/>
    </xf>
    <xf numFmtId="3" fontId="66" fillId="3" borderId="4" xfId="0" applyNumberFormat="1" applyFont="1" applyFill="1" applyBorder="1" applyAlignment="1">
      <alignment vertical="center" wrapText="1"/>
    </xf>
    <xf numFmtId="3" fontId="66" fillId="3" borderId="4" xfId="0" applyNumberFormat="1" applyFont="1" applyFill="1" applyBorder="1" applyAlignment="1">
      <alignment horizontal="right" vertical="center" wrapText="1"/>
    </xf>
    <xf numFmtId="9" fontId="24" fillId="3" borderId="4" xfId="9" applyFont="1" applyFill="1" applyBorder="1" applyAlignment="1">
      <alignment horizontal="center" vertical="center" wrapText="1"/>
    </xf>
    <xf numFmtId="0" fontId="66" fillId="3" borderId="0" xfId="0" applyFont="1" applyFill="1" applyAlignment="1">
      <alignment vertical="center"/>
    </xf>
    <xf numFmtId="3" fontId="62" fillId="3" borderId="4" xfId="0" applyNumberFormat="1" applyFont="1" applyFill="1" applyBorder="1" applyAlignment="1">
      <alignment vertical="center" wrapText="1"/>
    </xf>
    <xf numFmtId="3" fontId="62" fillId="3" borderId="4" xfId="0" applyNumberFormat="1" applyFont="1" applyFill="1" applyBorder="1" applyAlignment="1">
      <alignment horizontal="right" vertical="center" wrapText="1"/>
    </xf>
    <xf numFmtId="9" fontId="20" fillId="3" borderId="4" xfId="9" applyFont="1" applyFill="1" applyBorder="1" applyAlignment="1">
      <alignment horizontal="center" vertical="center" wrapText="1"/>
    </xf>
    <xf numFmtId="0" fontId="39" fillId="3" borderId="4" xfId="1" applyFont="1" applyFill="1" applyBorder="1" applyAlignment="1">
      <alignment horizontal="center" vertical="center" wrapText="1"/>
    </xf>
    <xf numFmtId="0" fontId="62" fillId="3" borderId="4" xfId="1" applyFont="1" applyFill="1" applyBorder="1" applyAlignment="1">
      <alignment horizontal="center" vertical="center" wrapText="1"/>
    </xf>
    <xf numFmtId="3" fontId="62" fillId="3" borderId="4" xfId="1" applyNumberFormat="1" applyFont="1" applyFill="1" applyBorder="1" applyAlignment="1">
      <alignment vertical="center" wrapText="1"/>
    </xf>
    <xf numFmtId="3" fontId="62" fillId="3" borderId="4" xfId="1" applyNumberFormat="1" applyFont="1" applyFill="1" applyBorder="1" applyAlignment="1">
      <alignment horizontal="right" vertical="center" wrapText="1"/>
    </xf>
    <xf numFmtId="3" fontId="62" fillId="3" borderId="3" xfId="0" applyNumberFormat="1" applyFont="1" applyFill="1" applyBorder="1" applyAlignment="1">
      <alignment horizontal="center" vertical="center" wrapText="1"/>
    </xf>
    <xf numFmtId="3" fontId="62" fillId="3" borderId="7" xfId="0" applyNumberFormat="1" applyFont="1" applyFill="1" applyBorder="1" applyAlignment="1">
      <alignment horizontal="center" vertical="center" wrapText="1"/>
    </xf>
    <xf numFmtId="3" fontId="62" fillId="3" borderId="4" xfId="0" applyNumberFormat="1" applyFont="1" applyFill="1" applyBorder="1" applyAlignment="1">
      <alignment horizontal="right" vertical="center"/>
    </xf>
    <xf numFmtId="171" fontId="62" fillId="3" borderId="4" xfId="0" applyNumberFormat="1" applyFont="1" applyFill="1" applyBorder="1" applyAlignment="1">
      <alignment horizontal="center" vertical="center" wrapText="1"/>
    </xf>
    <xf numFmtId="0" fontId="62" fillId="3" borderId="4" xfId="0" applyFont="1" applyFill="1" applyBorder="1" applyAlignment="1">
      <alignment horizontal="center" vertical="center"/>
    </xf>
    <xf numFmtId="0" fontId="62" fillId="3" borderId="4" xfId="0" applyFont="1" applyFill="1" applyBorder="1" applyAlignment="1">
      <alignment horizontal="right" vertical="center"/>
    </xf>
    <xf numFmtId="0" fontId="62" fillId="3" borderId="0" xfId="0" applyFont="1" applyFill="1" applyAlignment="1">
      <alignment horizontal="center" vertical="center"/>
    </xf>
    <xf numFmtId="3" fontId="62" fillId="3" borderId="0" xfId="0" applyNumberFormat="1" applyFont="1" applyFill="1" applyAlignment="1">
      <alignment vertical="center"/>
    </xf>
    <xf numFmtId="3" fontId="2" fillId="0" borderId="2" xfId="6" applyNumberFormat="1" applyFont="1" applyFill="1" applyBorder="1" applyAlignment="1">
      <alignment vertical="center"/>
    </xf>
    <xf numFmtId="3" fontId="2" fillId="0" borderId="1" xfId="6" applyNumberFormat="1" applyFont="1" applyFill="1" applyBorder="1" applyAlignment="1">
      <alignment vertical="center"/>
    </xf>
    <xf numFmtId="3" fontId="1" fillId="0" borderId="1" xfId="6" applyNumberFormat="1"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3" fontId="4" fillId="0" borderId="1" xfId="6" applyNumberFormat="1" applyFont="1" applyFill="1" applyBorder="1" applyAlignment="1">
      <alignment vertical="center"/>
    </xf>
    <xf numFmtId="3" fontId="1" fillId="0" borderId="1" xfId="6" applyNumberFormat="1" applyFont="1" applyFill="1" applyBorder="1" applyAlignment="1">
      <alignment vertical="center" wrapText="1"/>
    </xf>
    <xf numFmtId="3" fontId="1" fillId="0" borderId="12" xfId="6" applyNumberFormat="1" applyFont="1" applyFill="1" applyBorder="1" applyAlignment="1">
      <alignment horizontal="right" vertical="center"/>
    </xf>
    <xf numFmtId="3" fontId="1" fillId="0" borderId="12" xfId="6" applyNumberFormat="1" applyFont="1" applyFill="1" applyBorder="1" applyAlignment="1">
      <alignment vertical="center" wrapText="1"/>
    </xf>
    <xf numFmtId="0" fontId="0" fillId="0" borderId="0" xfId="0" applyAlignment="1">
      <alignment horizontal="left" vertical="center"/>
    </xf>
    <xf numFmtId="0" fontId="68" fillId="0" borderId="0" xfId="0" applyFont="1" applyAlignment="1">
      <alignment vertical="center"/>
    </xf>
    <xf numFmtId="0" fontId="69" fillId="0" borderId="9" xfId="28" applyFont="1" applyBorder="1" applyAlignment="1">
      <alignment horizontal="center" vertical="center" wrapText="1"/>
    </xf>
    <xf numFmtId="0" fontId="69" fillId="0" borderId="9" xfId="28" applyFont="1" applyBorder="1" applyAlignment="1">
      <alignment horizontal="left" vertical="center" wrapText="1"/>
    </xf>
    <xf numFmtId="0" fontId="68" fillId="0" borderId="9" xfId="0" applyFont="1" applyBorder="1" applyAlignment="1">
      <alignment vertical="center"/>
    </xf>
    <xf numFmtId="0" fontId="68" fillId="0" borderId="0" xfId="0" applyFont="1"/>
    <xf numFmtId="0" fontId="19" fillId="7" borderId="4" xfId="0" applyFont="1" applyFill="1" applyBorder="1" applyAlignment="1">
      <alignment horizontal="left" vertical="center"/>
    </xf>
    <xf numFmtId="0" fontId="19" fillId="7" borderId="4" xfId="0" applyFont="1" applyFill="1" applyBorder="1" applyAlignment="1">
      <alignment horizontal="center" vertical="center"/>
    </xf>
    <xf numFmtId="171" fontId="19" fillId="7" borderId="4" xfId="6" applyNumberFormat="1" applyFont="1" applyFill="1" applyBorder="1" applyAlignment="1">
      <alignment horizontal="left" vertical="center"/>
    </xf>
    <xf numFmtId="0" fontId="26" fillId="3" borderId="0" xfId="0" applyFont="1" applyFill="1" applyAlignment="1">
      <alignment horizontal="justify" vertical="center"/>
    </xf>
    <xf numFmtId="0" fontId="18" fillId="3" borderId="0" xfId="0" applyFont="1" applyFill="1" applyAlignment="1">
      <alignment horizontal="justify" vertical="center"/>
    </xf>
    <xf numFmtId="3" fontId="63" fillId="3" borderId="4" xfId="0" applyNumberFormat="1" applyFont="1" applyFill="1" applyBorder="1" applyAlignment="1">
      <alignment horizontal="justify" vertical="center" wrapText="1"/>
    </xf>
    <xf numFmtId="3" fontId="64" fillId="3" borderId="4" xfId="0" applyNumberFormat="1" applyFont="1" applyFill="1" applyBorder="1" applyAlignment="1">
      <alignment horizontal="justify" vertical="center" wrapText="1"/>
    </xf>
    <xf numFmtId="3" fontId="66" fillId="3" borderId="4" xfId="0" applyNumberFormat="1" applyFont="1" applyFill="1" applyBorder="1" applyAlignment="1">
      <alignment horizontal="justify" vertical="center" wrapText="1"/>
    </xf>
    <xf numFmtId="3" fontId="62" fillId="3" borderId="4" xfId="0" applyNumberFormat="1" applyFont="1" applyFill="1" applyBorder="1" applyAlignment="1">
      <alignment horizontal="justify" vertical="center" wrapText="1"/>
    </xf>
    <xf numFmtId="0" fontId="62" fillId="3" borderId="0" xfId="0" applyFont="1" applyFill="1" applyAlignment="1">
      <alignment horizontal="justify" vertical="center"/>
    </xf>
    <xf numFmtId="0" fontId="18" fillId="3" borderId="0" xfId="0" applyFont="1" applyFill="1"/>
    <xf numFmtId="0" fontId="18" fillId="3" borderId="0" xfId="0" applyFont="1" applyFill="1" applyAlignment="1">
      <alignment horizontal="center"/>
    </xf>
    <xf numFmtId="0" fontId="17" fillId="3" borderId="0" xfId="0" applyFont="1" applyFill="1" applyAlignment="1">
      <alignment horizontal="center" vertical="center"/>
    </xf>
    <xf numFmtId="0" fontId="47" fillId="3" borderId="4" xfId="1" applyFont="1" applyFill="1" applyBorder="1" applyAlignment="1">
      <alignment horizontal="center" vertical="center" wrapText="1"/>
    </xf>
    <xf numFmtId="0" fontId="18" fillId="3" borderId="4"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4" xfId="0" applyFont="1" applyFill="1" applyBorder="1" applyAlignment="1">
      <alignment vertical="center" wrapText="1"/>
    </xf>
    <xf numFmtId="0" fontId="17" fillId="3" borderId="4" xfId="1" applyFont="1" applyFill="1" applyBorder="1" applyAlignment="1">
      <alignment vertical="center" wrapText="1"/>
    </xf>
    <xf numFmtId="0" fontId="18" fillId="3" borderId="4" xfId="1" applyFont="1" applyFill="1" applyBorder="1" applyAlignment="1">
      <alignment vertical="center" wrapText="1"/>
    </xf>
    <xf numFmtId="3" fontId="17" fillId="3" borderId="0" xfId="0" applyNumberFormat="1" applyFont="1" applyFill="1"/>
    <xf numFmtId="0" fontId="17" fillId="3" borderId="0" xfId="0" applyFont="1" applyFill="1"/>
    <xf numFmtId="0" fontId="47" fillId="3" borderId="4" xfId="0" applyFont="1" applyFill="1" applyBorder="1" applyAlignment="1">
      <alignment vertical="center" wrapText="1"/>
    </xf>
    <xf numFmtId="0" fontId="47" fillId="3" borderId="0" xfId="0" applyFont="1" applyFill="1"/>
    <xf numFmtId="0" fontId="26" fillId="3" borderId="4" xfId="0" applyFont="1" applyFill="1" applyBorder="1" applyAlignment="1">
      <alignment vertical="center" wrapText="1"/>
    </xf>
    <xf numFmtId="0" fontId="18" fillId="3" borderId="4" xfId="0" applyFont="1" applyFill="1" applyBorder="1" applyAlignment="1">
      <alignment vertical="center" wrapText="1"/>
    </xf>
    <xf numFmtId="3" fontId="18" fillId="3" borderId="4" xfId="26" applyNumberFormat="1" applyFont="1" applyFill="1" applyBorder="1" applyAlignment="1">
      <alignment horizontal="right" vertical="center" wrapText="1"/>
    </xf>
    <xf numFmtId="3" fontId="18" fillId="3" borderId="4" xfId="0" applyNumberFormat="1" applyFont="1" applyFill="1" applyBorder="1" applyAlignment="1">
      <alignment vertical="center" wrapText="1"/>
    </xf>
    <xf numFmtId="0" fontId="26" fillId="3" borderId="4" xfId="0" applyFont="1" applyFill="1" applyBorder="1" applyAlignment="1">
      <alignment horizontal="center" vertical="center" wrapText="1"/>
    </xf>
    <xf numFmtId="0" fontId="26" fillId="3" borderId="0" xfId="0" applyFont="1" applyFill="1"/>
    <xf numFmtId="0" fontId="17" fillId="3" borderId="4" xfId="0" applyFont="1" applyFill="1" applyBorder="1" applyAlignment="1">
      <alignment horizontal="justify" vertical="center" wrapText="1"/>
    </xf>
    <xf numFmtId="0" fontId="47" fillId="3" borderId="4" xfId="0" applyFont="1" applyFill="1" applyBorder="1" applyAlignment="1">
      <alignment horizontal="justify" vertical="center" wrapText="1"/>
    </xf>
    <xf numFmtId="0" fontId="26" fillId="3" borderId="4" xfId="0" applyFont="1" applyFill="1" applyBorder="1" applyAlignment="1">
      <alignment horizontal="justify" vertical="center" wrapText="1"/>
    </xf>
    <xf numFmtId="0" fontId="18" fillId="3" borderId="4" xfId="0" applyFont="1" applyFill="1" applyBorder="1" applyAlignment="1">
      <alignment horizontal="justify" vertical="center" wrapText="1"/>
    </xf>
    <xf numFmtId="0" fontId="17" fillId="3" borderId="4" xfId="1" applyFont="1" applyFill="1" applyBorder="1" applyAlignment="1">
      <alignment horizontal="center" vertical="center" wrapText="1"/>
    </xf>
    <xf numFmtId="0" fontId="19" fillId="3" borderId="4" xfId="0" applyFont="1" applyFill="1" applyBorder="1" applyAlignment="1">
      <alignment horizontal="center" vertical="center" wrapText="1"/>
    </xf>
    <xf numFmtId="0" fontId="65" fillId="3" borderId="4" xfId="0" applyFont="1" applyFill="1" applyBorder="1" applyAlignment="1">
      <alignment horizontal="center" vertical="center" wrapText="1"/>
    </xf>
    <xf numFmtId="3" fontId="70" fillId="3" borderId="4" xfId="0" applyNumberFormat="1" applyFont="1" applyFill="1" applyBorder="1" applyAlignment="1">
      <alignment vertical="center" wrapText="1"/>
    </xf>
    <xf numFmtId="9" fontId="70" fillId="3" borderId="4" xfId="9" applyFont="1" applyFill="1" applyBorder="1" applyAlignment="1">
      <alignment vertical="center" wrapText="1"/>
    </xf>
    <xf numFmtId="9" fontId="71" fillId="3" borderId="4" xfId="9" applyFont="1" applyFill="1" applyBorder="1" applyAlignment="1">
      <alignment vertical="center" wrapText="1"/>
    </xf>
    <xf numFmtId="41" fontId="50" fillId="3" borderId="4" xfId="29" applyFont="1" applyFill="1" applyBorder="1" applyAlignment="1">
      <alignment horizontal="center" vertical="center"/>
    </xf>
    <xf numFmtId="9" fontId="72" fillId="3" borderId="4" xfId="9" applyFont="1" applyFill="1" applyBorder="1" applyAlignment="1">
      <alignment vertical="center" wrapText="1"/>
    </xf>
    <xf numFmtId="41" fontId="50" fillId="3" borderId="4" xfId="29" applyNumberFormat="1" applyFont="1" applyFill="1" applyBorder="1" applyAlignment="1">
      <alignment horizontal="center" vertical="center"/>
    </xf>
    <xf numFmtId="0" fontId="18" fillId="0" borderId="0" xfId="0" applyFont="1" applyAlignment="1">
      <alignment vertical="center" wrapText="1"/>
    </xf>
    <xf numFmtId="0" fontId="18" fillId="0" borderId="0" xfId="0" applyFont="1" applyAlignment="1">
      <alignment horizontal="center" vertical="center" wrapText="1"/>
    </xf>
    <xf numFmtId="0" fontId="26" fillId="0" borderId="0" xfId="0" applyFont="1" applyAlignment="1">
      <alignment horizontal="right" vertical="center" wrapText="1"/>
    </xf>
    <xf numFmtId="0" fontId="17" fillId="0" borderId="4" xfId="0" applyFont="1" applyBorder="1" applyAlignment="1">
      <alignment horizontal="center" vertical="center" wrapText="1"/>
    </xf>
    <xf numFmtId="0" fontId="17" fillId="0" borderId="4" xfId="0" applyFont="1" applyBorder="1" applyAlignment="1">
      <alignment vertical="center" wrapText="1"/>
    </xf>
    <xf numFmtId="9" fontId="18" fillId="0" borderId="0" xfId="9" applyFont="1" applyAlignment="1">
      <alignment vertical="center" wrapText="1"/>
    </xf>
    <xf numFmtId="3" fontId="63" fillId="0" borderId="4" xfId="0" applyNumberFormat="1" applyFont="1" applyBorder="1" applyAlignment="1">
      <alignment vertical="center" wrapText="1"/>
    </xf>
    <xf numFmtId="0" fontId="18" fillId="0" borderId="4" xfId="0" applyFont="1" applyBorder="1" applyAlignment="1">
      <alignment vertical="center" wrapText="1"/>
    </xf>
    <xf numFmtId="171" fontId="40" fillId="0" borderId="4" xfId="26" applyNumberFormat="1" applyFont="1" applyBorder="1" applyAlignment="1">
      <alignment horizontal="center" vertical="center"/>
    </xf>
    <xf numFmtId="171" fontId="40" fillId="0" borderId="2" xfId="26" applyNumberFormat="1" applyFont="1" applyBorder="1" applyAlignment="1">
      <alignment horizontal="center" vertical="center"/>
    </xf>
    <xf numFmtId="171" fontId="41" fillId="0" borderId="2" xfId="26" applyNumberFormat="1" applyFont="1" applyBorder="1" applyAlignment="1">
      <alignment horizontal="center" vertical="center"/>
    </xf>
    <xf numFmtId="171" fontId="41" fillId="0" borderId="2" xfId="26" applyNumberFormat="1" applyFont="1" applyBorder="1" applyAlignment="1">
      <alignment horizontal="center" vertical="center" wrapText="1"/>
    </xf>
    <xf numFmtId="171" fontId="40" fillId="0" borderId="1" xfId="26" applyNumberFormat="1" applyFont="1" applyBorder="1" applyAlignment="1">
      <alignment horizontal="center" vertical="center"/>
    </xf>
    <xf numFmtId="171" fontId="41" fillId="0" borderId="1" xfId="26" applyNumberFormat="1" applyFont="1" applyBorder="1" applyAlignment="1">
      <alignment horizontal="center" vertical="center"/>
    </xf>
    <xf numFmtId="171" fontId="41" fillId="0" borderId="1" xfId="26" applyNumberFormat="1" applyFont="1" applyBorder="1" applyAlignment="1">
      <alignment horizontal="center" vertical="center" wrapText="1"/>
    </xf>
    <xf numFmtId="171" fontId="73" fillId="0" borderId="1" xfId="26" applyNumberFormat="1" applyFont="1" applyBorder="1" applyAlignment="1">
      <alignment horizontal="center" vertical="center" wrapText="1"/>
    </xf>
    <xf numFmtId="171" fontId="73" fillId="0" borderId="1" xfId="26" applyNumberFormat="1" applyFont="1" applyBorder="1" applyAlignment="1">
      <alignment horizontal="center" vertical="center"/>
    </xf>
    <xf numFmtId="171" fontId="40" fillId="0" borderId="12" xfId="26" applyNumberFormat="1" applyFont="1" applyBorder="1" applyAlignment="1">
      <alignment horizontal="center" vertical="center"/>
    </xf>
    <xf numFmtId="171" fontId="41" fillId="0" borderId="12" xfId="26" applyNumberFormat="1" applyFont="1" applyBorder="1" applyAlignment="1">
      <alignment horizontal="center" vertical="center"/>
    </xf>
    <xf numFmtId="171" fontId="41" fillId="0" borderId="12" xfId="26" applyNumberFormat="1" applyFont="1" applyBorder="1" applyAlignment="1">
      <alignment horizontal="center" vertical="center" wrapText="1"/>
    </xf>
    <xf numFmtId="0" fontId="38" fillId="0" borderId="4" xfId="0" applyFont="1" applyBorder="1" applyAlignment="1">
      <alignment vertical="center" wrapText="1"/>
    </xf>
    <xf numFmtId="0" fontId="36" fillId="0" borderId="4" xfId="0" applyFont="1" applyBorder="1" applyAlignment="1">
      <alignment vertical="center" wrapText="1"/>
    </xf>
    <xf numFmtId="171" fontId="41" fillId="0" borderId="17" xfId="6" applyNumberFormat="1" applyFont="1" applyBorder="1" applyAlignment="1">
      <alignment horizontal="center" vertical="center" wrapText="1"/>
    </xf>
    <xf numFmtId="171" fontId="41" fillId="0" borderId="18" xfId="6" applyNumberFormat="1" applyFont="1" applyBorder="1" applyAlignment="1">
      <alignment horizontal="center" vertical="center"/>
    </xf>
    <xf numFmtId="171" fontId="41" fillId="0" borderId="18" xfId="6" applyNumberFormat="1" applyFont="1" applyBorder="1" applyAlignment="1">
      <alignment horizontal="center" vertical="center" wrapText="1"/>
    </xf>
    <xf numFmtId="0" fontId="19" fillId="4" borderId="4" xfId="0" applyFont="1" applyFill="1" applyBorder="1" applyAlignment="1">
      <alignment horizontal="center" vertical="center" wrapText="1"/>
    </xf>
    <xf numFmtId="0" fontId="0" fillId="0" borderId="0" xfId="0" applyAlignment="1">
      <alignment horizontal="center" vertical="center"/>
    </xf>
    <xf numFmtId="0" fontId="68" fillId="0" borderId="9" xfId="0" applyFont="1" applyBorder="1" applyAlignment="1">
      <alignment horizontal="center" vertical="center"/>
    </xf>
    <xf numFmtId="0" fontId="74" fillId="0" borderId="4" xfId="0" applyFont="1" applyBorder="1" applyAlignment="1">
      <alignment horizontal="center" vertical="center" wrapText="1"/>
    </xf>
    <xf numFmtId="0" fontId="2" fillId="0" borderId="4" xfId="28" applyFont="1" applyBorder="1" applyAlignment="1">
      <alignment horizontal="center" vertical="center" wrapText="1"/>
    </xf>
    <xf numFmtId="0" fontId="6" fillId="0" borderId="2" xfId="28" applyFont="1" applyBorder="1" applyAlignment="1">
      <alignment horizontal="center" vertical="center" wrapText="1"/>
    </xf>
    <xf numFmtId="0" fontId="6" fillId="0" borderId="2" xfId="28" applyFont="1" applyBorder="1" applyAlignment="1">
      <alignment vertical="center" wrapText="1"/>
    </xf>
    <xf numFmtId="171" fontId="6" fillId="0" borderId="2" xfId="6" applyNumberFormat="1" applyFont="1" applyBorder="1" applyAlignment="1">
      <alignment horizontal="center" vertical="center" wrapText="1"/>
    </xf>
    <xf numFmtId="0" fontId="6" fillId="0" borderId="1" xfId="28" applyFont="1" applyBorder="1" applyAlignment="1">
      <alignment horizontal="center" vertical="center" wrapText="1"/>
    </xf>
    <xf numFmtId="0" fontId="6" fillId="0" borderId="1" xfId="28" applyFont="1" applyBorder="1" applyAlignment="1">
      <alignment vertical="center" wrapText="1"/>
    </xf>
    <xf numFmtId="171" fontId="6" fillId="0" borderId="1" xfId="6" applyNumberFormat="1" applyFont="1" applyBorder="1" applyAlignment="1">
      <alignment horizontal="center" vertical="center" wrapText="1"/>
    </xf>
    <xf numFmtId="0" fontId="6" fillId="3" borderId="1" xfId="28" applyFont="1" applyFill="1" applyBorder="1" applyAlignment="1">
      <alignment vertical="center" wrapText="1"/>
    </xf>
    <xf numFmtId="0" fontId="6" fillId="3" borderId="1" xfId="28" applyFont="1" applyFill="1" applyBorder="1" applyAlignment="1">
      <alignment horizontal="center" vertical="center" wrapText="1"/>
    </xf>
    <xf numFmtId="0" fontId="6" fillId="3" borderId="1" xfId="28" applyFont="1" applyFill="1" applyBorder="1" applyAlignment="1">
      <alignment horizontal="left" vertical="center" wrapText="1"/>
    </xf>
    <xf numFmtId="0" fontId="20" fillId="3" borderId="1" xfId="28" applyFont="1" applyFill="1" applyBorder="1" applyAlignment="1">
      <alignment horizontal="left" vertical="center" wrapText="1"/>
    </xf>
    <xf numFmtId="0" fontId="20" fillId="3" borderId="1" xfId="28" applyFont="1" applyFill="1" applyBorder="1" applyAlignment="1">
      <alignment horizontal="center" vertical="center" wrapText="1"/>
    </xf>
    <xf numFmtId="0" fontId="61" fillId="0" borderId="1" xfId="0" applyFont="1" applyBorder="1" applyAlignment="1">
      <alignment vertical="center"/>
    </xf>
    <xf numFmtId="0" fontId="61" fillId="0" borderId="1" xfId="0" applyFont="1" applyBorder="1" applyAlignment="1">
      <alignment horizontal="center" vertical="center"/>
    </xf>
    <xf numFmtId="0" fontId="15" fillId="3" borderId="1" xfId="7" applyFill="1" applyBorder="1" applyAlignment="1">
      <alignment vertical="center"/>
    </xf>
    <xf numFmtId="0" fontId="15" fillId="3" borderId="1" xfId="7" applyFill="1" applyBorder="1" applyAlignment="1">
      <alignment horizontal="center" vertical="center"/>
    </xf>
    <xf numFmtId="0" fontId="61" fillId="0" borderId="1" xfId="0" applyFont="1" applyBorder="1" applyAlignment="1">
      <alignment vertical="center" wrapText="1"/>
    </xf>
    <xf numFmtId="0" fontId="61" fillId="0" borderId="1" xfId="0" applyFont="1" applyBorder="1" applyAlignment="1">
      <alignment horizontal="center" vertical="center" wrapText="1"/>
    </xf>
    <xf numFmtId="0" fontId="20" fillId="0" borderId="1" xfId="0" applyFont="1" applyBorder="1" applyAlignment="1">
      <alignment vertical="center"/>
    </xf>
    <xf numFmtId="0" fontId="29" fillId="0" borderId="1" xfId="0" applyFont="1" applyBorder="1" applyAlignment="1">
      <alignment horizontal="center" vertical="center" wrapText="1"/>
    </xf>
    <xf numFmtId="0" fontId="6" fillId="0" borderId="12" xfId="28" applyFont="1" applyBorder="1" applyAlignment="1">
      <alignment horizontal="center"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xf>
    <xf numFmtId="0" fontId="20" fillId="0" borderId="12" xfId="0" applyFont="1" applyBorder="1" applyAlignment="1">
      <alignment horizontal="right" vertical="center"/>
    </xf>
    <xf numFmtId="173" fontId="40" fillId="3" borderId="4" xfId="6" applyNumberFormat="1" applyFont="1" applyFill="1" applyBorder="1" applyAlignment="1">
      <alignment horizontal="right" vertical="center" wrapText="1"/>
    </xf>
    <xf numFmtId="173" fontId="75" fillId="3" borderId="4" xfId="6" applyNumberFormat="1" applyFont="1" applyFill="1" applyBorder="1" applyAlignment="1">
      <alignment horizontal="right" vertical="center" wrapText="1"/>
    </xf>
    <xf numFmtId="173" fontId="76" fillId="3" borderId="4" xfId="6" applyNumberFormat="1" applyFont="1" applyFill="1" applyBorder="1" applyAlignment="1">
      <alignment horizontal="right" vertical="center" wrapText="1"/>
    </xf>
    <xf numFmtId="173" fontId="41" fillId="3" borderId="4" xfId="6" applyNumberFormat="1" applyFont="1" applyFill="1" applyBorder="1" applyAlignment="1">
      <alignment horizontal="right" vertical="center" wrapText="1"/>
    </xf>
    <xf numFmtId="173" fontId="41" fillId="3" borderId="4" xfId="6" applyNumberFormat="1" applyFont="1" applyFill="1" applyBorder="1" applyAlignment="1">
      <alignment horizontal="right" vertical="center"/>
    </xf>
    <xf numFmtId="173" fontId="41" fillId="3" borderId="0" xfId="6" applyNumberFormat="1" applyFont="1" applyFill="1" applyAlignment="1">
      <alignment horizontal="right" vertical="center"/>
    </xf>
    <xf numFmtId="3" fontId="49" fillId="3" borderId="4" xfId="0" applyNumberFormat="1" applyFont="1" applyFill="1" applyBorder="1" applyAlignment="1">
      <alignment vertical="center" wrapText="1"/>
    </xf>
    <xf numFmtId="3" fontId="77" fillId="3" borderId="4" xfId="0" applyNumberFormat="1" applyFont="1" applyFill="1" applyBorder="1" applyAlignment="1">
      <alignment vertical="center" wrapText="1"/>
    </xf>
    <xf numFmtId="171" fontId="77" fillId="3" borderId="4" xfId="0" applyNumberFormat="1" applyFont="1" applyFill="1" applyBorder="1" applyAlignment="1">
      <alignment horizontal="center" vertical="center" wrapText="1"/>
    </xf>
    <xf numFmtId="3" fontId="50" fillId="3" borderId="4" xfId="0" applyNumberFormat="1" applyFont="1" applyFill="1" applyBorder="1" applyAlignment="1">
      <alignment vertical="center" wrapText="1"/>
    </xf>
    <xf numFmtId="171" fontId="50" fillId="3" borderId="4" xfId="0" applyNumberFormat="1" applyFont="1" applyFill="1" applyBorder="1" applyAlignment="1">
      <alignment horizontal="center" vertical="center" wrapText="1"/>
    </xf>
    <xf numFmtId="3" fontId="78" fillId="3" borderId="4" xfId="0" applyNumberFormat="1" applyFont="1" applyFill="1" applyBorder="1" applyAlignment="1">
      <alignment vertical="center" wrapText="1"/>
    </xf>
    <xf numFmtId="171" fontId="78" fillId="3" borderId="4" xfId="0" applyNumberFormat="1" applyFont="1" applyFill="1" applyBorder="1" applyAlignment="1">
      <alignment horizontal="center" vertical="center" wrapText="1"/>
    </xf>
    <xf numFmtId="41" fontId="50" fillId="3" borderId="4" xfId="18" applyNumberFormat="1" applyFont="1" applyFill="1" applyBorder="1" applyAlignment="1">
      <alignment horizontal="center" vertical="center"/>
    </xf>
    <xf numFmtId="3" fontId="19" fillId="3" borderId="4" xfId="0" applyNumberFormat="1" applyFont="1" applyFill="1" applyBorder="1" applyAlignment="1">
      <alignment horizontal="center" vertical="center" wrapText="1"/>
    </xf>
    <xf numFmtId="0" fontId="18" fillId="0" borderId="2" xfId="0" applyFont="1" applyBorder="1" applyAlignment="1">
      <alignment horizontal="center" vertical="center"/>
    </xf>
    <xf numFmtId="0" fontId="18" fillId="0" borderId="2"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vertical="center"/>
    </xf>
    <xf numFmtId="0" fontId="18" fillId="0" borderId="12" xfId="0" applyFont="1" applyBorder="1" applyAlignment="1">
      <alignment horizontal="center" vertical="center"/>
    </xf>
    <xf numFmtId="0" fontId="18" fillId="0" borderId="12" xfId="0" applyFont="1" applyBorder="1" applyAlignment="1">
      <alignment vertical="center"/>
    </xf>
    <xf numFmtId="3" fontId="70" fillId="0" borderId="4" xfId="0" applyNumberFormat="1" applyFont="1" applyBorder="1" applyAlignment="1">
      <alignment vertical="center" wrapText="1"/>
    </xf>
    <xf numFmtId="3" fontId="70" fillId="4" borderId="4" xfId="0" applyNumberFormat="1" applyFont="1" applyFill="1" applyBorder="1" applyAlignment="1">
      <alignment vertical="center" wrapText="1"/>
    </xf>
    <xf numFmtId="3" fontId="71" fillId="0" borderId="2" xfId="0" applyNumberFormat="1" applyFont="1" applyBorder="1" applyAlignment="1">
      <alignment vertical="center" wrapText="1"/>
    </xf>
    <xf numFmtId="3" fontId="71" fillId="3" borderId="2" xfId="0" applyNumberFormat="1" applyFont="1" applyFill="1" applyBorder="1" applyAlignment="1">
      <alignment vertical="center" wrapText="1"/>
    </xf>
    <xf numFmtId="3" fontId="71" fillId="0" borderId="1" xfId="0" applyNumberFormat="1" applyFont="1" applyBorder="1" applyAlignment="1">
      <alignment vertical="center" wrapText="1"/>
    </xf>
    <xf numFmtId="3" fontId="71" fillId="3" borderId="1" xfId="0" applyNumberFormat="1" applyFont="1" applyFill="1" applyBorder="1" applyAlignment="1">
      <alignment vertical="center" wrapText="1"/>
    </xf>
    <xf numFmtId="3" fontId="71" fillId="0" borderId="12" xfId="0" applyNumberFormat="1" applyFont="1" applyBorder="1" applyAlignment="1">
      <alignment vertical="center" wrapText="1"/>
    </xf>
    <xf numFmtId="3" fontId="71" fillId="3" borderId="12" xfId="0" applyNumberFormat="1" applyFont="1" applyFill="1" applyBorder="1" applyAlignment="1">
      <alignment vertical="center" wrapText="1"/>
    </xf>
    <xf numFmtId="3" fontId="70" fillId="4" borderId="4" xfId="0" applyNumberFormat="1" applyFont="1" applyFill="1" applyBorder="1" applyAlignment="1">
      <alignment horizontal="center" vertical="center" wrapText="1"/>
    </xf>
    <xf numFmtId="3" fontId="70" fillId="0" borderId="4" xfId="0" applyNumberFormat="1" applyFont="1" applyBorder="1" applyAlignment="1">
      <alignment horizontal="center" vertical="center" wrapText="1"/>
    </xf>
    <xf numFmtId="3" fontId="71" fillId="4" borderId="2" xfId="0" applyNumberFormat="1" applyFont="1" applyFill="1" applyBorder="1" applyAlignment="1">
      <alignment vertical="center" wrapText="1"/>
    </xf>
    <xf numFmtId="3" fontId="71" fillId="4" borderId="1" xfId="0" applyNumberFormat="1" applyFont="1" applyFill="1" applyBorder="1" applyAlignment="1">
      <alignment vertical="center" wrapText="1"/>
    </xf>
    <xf numFmtId="3" fontId="71" fillId="4" borderId="12" xfId="0" applyNumberFormat="1" applyFont="1" applyFill="1" applyBorder="1" applyAlignment="1">
      <alignment vertical="center" wrapText="1"/>
    </xf>
    <xf numFmtId="169" fontId="56" fillId="3" borderId="12" xfId="20" applyNumberFormat="1" applyFont="1" applyFill="1" applyBorder="1" applyAlignment="1">
      <alignment vertical="center" wrapText="1"/>
    </xf>
    <xf numFmtId="0" fontId="55" fillId="3" borderId="0" xfId="0" applyFont="1" applyFill="1" applyBorder="1"/>
    <xf numFmtId="3" fontId="4" fillId="3" borderId="4"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justify" vertical="center" wrapText="1"/>
    </xf>
    <xf numFmtId="3" fontId="4" fillId="3" borderId="3" xfId="0" applyNumberFormat="1" applyFont="1" applyFill="1" applyBorder="1" applyAlignment="1">
      <alignment horizontal="right" vertical="center" wrapText="1"/>
    </xf>
    <xf numFmtId="0" fontId="20" fillId="3" borderId="1" xfId="0" applyFont="1" applyFill="1" applyBorder="1" applyAlignment="1">
      <alignment horizontal="center" vertical="center"/>
    </xf>
    <xf numFmtId="0" fontId="19" fillId="0" borderId="4" xfId="0" applyFont="1" applyBorder="1" applyAlignment="1">
      <alignment horizontal="center" vertical="center" wrapText="1"/>
    </xf>
    <xf numFmtId="4" fontId="20" fillId="0" borderId="1" xfId="0" applyNumberFormat="1" applyFont="1" applyBorder="1" applyAlignment="1">
      <alignment horizontal="right" vertical="center" wrapText="1"/>
    </xf>
    <xf numFmtId="0" fontId="20" fillId="0" borderId="1" xfId="0" applyFont="1" applyBorder="1" applyAlignment="1">
      <alignment horizontal="justify" vertical="center" wrapText="1"/>
    </xf>
    <xf numFmtId="0" fontId="20" fillId="0" borderId="17" xfId="0" applyFont="1" applyBorder="1" applyAlignment="1">
      <alignment horizontal="center" vertical="center" wrapText="1"/>
    </xf>
    <xf numFmtId="0" fontId="20" fillId="0" borderId="17" xfId="0" applyFont="1" applyBorder="1" applyAlignment="1">
      <alignment vertical="center" wrapText="1"/>
    </xf>
    <xf numFmtId="3" fontId="20" fillId="0" borderId="17" xfId="0" applyNumberFormat="1" applyFont="1" applyBorder="1" applyAlignment="1">
      <alignment horizontal="right" vertical="center" wrapText="1"/>
    </xf>
    <xf numFmtId="0" fontId="20" fillId="0" borderId="18" xfId="0" applyFont="1" applyBorder="1" applyAlignment="1">
      <alignment horizontal="center" vertical="center" wrapText="1"/>
    </xf>
    <xf numFmtId="0" fontId="20" fillId="0" borderId="18" xfId="0" applyFont="1" applyBorder="1" applyAlignment="1">
      <alignment vertical="center" wrapText="1"/>
    </xf>
    <xf numFmtId="0" fontId="19" fillId="0" borderId="4" xfId="0" applyFont="1" applyBorder="1" applyAlignment="1">
      <alignment vertical="center" wrapText="1"/>
    </xf>
    <xf numFmtId="0" fontId="20" fillId="0" borderId="2" xfId="0" applyFont="1" applyBorder="1" applyAlignment="1">
      <alignment horizontal="center" vertical="center" wrapText="1"/>
    </xf>
    <xf numFmtId="0" fontId="20" fillId="0" borderId="2" xfId="0" applyFont="1" applyBorder="1" applyAlignment="1">
      <alignment horizontal="justify" vertical="center" wrapText="1"/>
    </xf>
    <xf numFmtId="4" fontId="20" fillId="0" borderId="2" xfId="0" applyNumberFormat="1" applyFont="1" applyBorder="1" applyAlignment="1">
      <alignment horizontal="right" vertical="center" wrapText="1"/>
    </xf>
    <xf numFmtId="0" fontId="20" fillId="0" borderId="2" xfId="0" applyFont="1" applyBorder="1" applyAlignment="1">
      <alignment vertical="center" wrapText="1"/>
    </xf>
    <xf numFmtId="0" fontId="20" fillId="0" borderId="12" xfId="0" applyFont="1" applyBorder="1" applyAlignment="1">
      <alignment horizontal="justify" vertical="center" wrapText="1"/>
    </xf>
    <xf numFmtId="3" fontId="20" fillId="0" borderId="12" xfId="0" applyNumberFormat="1" applyFont="1" applyBorder="1" applyAlignment="1">
      <alignment horizontal="right" vertical="center" wrapText="1"/>
    </xf>
    <xf numFmtId="0" fontId="20" fillId="0" borderId="12" xfId="0" applyFont="1" applyBorder="1" applyAlignment="1">
      <alignment vertical="center" wrapText="1"/>
    </xf>
    <xf numFmtId="3" fontId="20" fillId="0" borderId="18" xfId="0" applyNumberFormat="1" applyFont="1" applyBorder="1" applyAlignment="1">
      <alignment horizontal="right" vertical="center" wrapText="1"/>
    </xf>
    <xf numFmtId="0" fontId="19" fillId="0" borderId="4" xfId="0" applyFont="1" applyBorder="1" applyAlignment="1">
      <alignment horizontal="left" vertical="center" wrapText="1"/>
    </xf>
    <xf numFmtId="0" fontId="55" fillId="3" borderId="0" xfId="0" applyFont="1" applyFill="1"/>
    <xf numFmtId="0" fontId="79" fillId="3" borderId="4" xfId="20" applyFont="1" applyFill="1" applyBorder="1" applyAlignment="1">
      <alignment horizontal="center" vertical="center" wrapText="1"/>
    </xf>
    <xf numFmtId="0" fontId="79" fillId="3" borderId="7" xfId="20" applyFont="1" applyFill="1" applyBorder="1" applyAlignment="1">
      <alignment horizontal="center" vertical="center" wrapText="1"/>
    </xf>
    <xf numFmtId="0" fontId="80" fillId="3" borderId="18" xfId="20" applyFont="1" applyFill="1" applyBorder="1" applyAlignment="1">
      <alignment horizontal="center" vertical="center" wrapText="1"/>
    </xf>
    <xf numFmtId="0" fontId="80" fillId="3" borderId="2" xfId="20" applyFont="1" applyFill="1" applyBorder="1" applyAlignment="1">
      <alignment horizontal="left" vertical="center" wrapText="1"/>
    </xf>
    <xf numFmtId="169" fontId="80" fillId="3" borderId="1" xfId="20" applyNumberFormat="1" applyFont="1" applyFill="1" applyBorder="1" applyAlignment="1">
      <alignment vertical="center" wrapText="1"/>
    </xf>
    <xf numFmtId="0" fontId="80" fillId="3" borderId="2" xfId="0" applyFont="1" applyFill="1" applyBorder="1"/>
    <xf numFmtId="0" fontId="80" fillId="3" borderId="1" xfId="20" applyFont="1" applyFill="1" applyBorder="1" applyAlignment="1">
      <alignment horizontal="left" vertical="center" wrapText="1"/>
    </xf>
    <xf numFmtId="0" fontId="80" fillId="3" borderId="1" xfId="0" applyFont="1" applyFill="1" applyBorder="1"/>
    <xf numFmtId="0" fontId="56" fillId="3" borderId="4" xfId="20" applyFont="1" applyFill="1" applyBorder="1" applyAlignment="1">
      <alignment horizontal="left" vertical="center" wrapText="1"/>
    </xf>
    <xf numFmtId="180" fontId="56" fillId="3" borderId="12" xfId="20" applyNumberFormat="1" applyFont="1" applyFill="1" applyBorder="1" applyAlignment="1">
      <alignment horizontal="center" vertical="center" wrapText="1"/>
    </xf>
    <xf numFmtId="0" fontId="80" fillId="3" borderId="18" xfId="20" applyFont="1" applyFill="1" applyBorder="1" applyAlignment="1">
      <alignment horizontal="left" vertical="center" wrapText="1"/>
    </xf>
    <xf numFmtId="169" fontId="80" fillId="3" borderId="18" xfId="20" applyNumberFormat="1" applyFont="1" applyFill="1" applyBorder="1" applyAlignment="1">
      <alignment vertical="center" wrapText="1"/>
    </xf>
    <xf numFmtId="169" fontId="80" fillId="3" borderId="18" xfId="21" applyNumberFormat="1" applyFont="1" applyFill="1" applyBorder="1" applyAlignment="1">
      <alignment vertical="center"/>
    </xf>
    <xf numFmtId="0" fontId="80" fillId="3" borderId="18" xfId="0" applyFont="1" applyFill="1" applyBorder="1" applyAlignment="1">
      <alignment wrapText="1"/>
    </xf>
    <xf numFmtId="165" fontId="55" fillId="3" borderId="0" xfId="0" applyNumberFormat="1" applyFont="1" applyFill="1" applyBorder="1"/>
    <xf numFmtId="0" fontId="80" fillId="3" borderId="1" xfId="20" applyFont="1" applyFill="1" applyBorder="1" applyAlignment="1">
      <alignment horizontal="center" vertical="center" wrapText="1"/>
    </xf>
    <xf numFmtId="169" fontId="80" fillId="3" borderId="1" xfId="21" applyNumberFormat="1" applyFont="1" applyFill="1" applyBorder="1" applyAlignment="1">
      <alignment vertical="center"/>
    </xf>
    <xf numFmtId="169" fontId="80" fillId="3" borderId="1" xfId="6" applyNumberFormat="1" applyFont="1" applyFill="1" applyBorder="1" applyAlignment="1">
      <alignment vertical="center" wrapText="1"/>
    </xf>
    <xf numFmtId="172" fontId="80" fillId="3" borderId="1" xfId="6" applyNumberFormat="1" applyFont="1" applyFill="1" applyBorder="1" applyAlignment="1">
      <alignment horizontal="center" vertical="center" wrapText="1"/>
    </xf>
    <xf numFmtId="0" fontId="80" fillId="3" borderId="1" xfId="0" applyFont="1" applyFill="1" applyBorder="1" applyAlignment="1">
      <alignment wrapText="1"/>
    </xf>
    <xf numFmtId="170" fontId="80" fillId="3" borderId="1" xfId="0" applyNumberFormat="1" applyFont="1" applyFill="1" applyBorder="1"/>
    <xf numFmtId="0" fontId="80" fillId="3" borderId="17" xfId="20" applyFont="1" applyFill="1" applyBorder="1" applyAlignment="1">
      <alignment horizontal="center" vertical="center" wrapText="1"/>
    </xf>
    <xf numFmtId="0" fontId="80" fillId="3" borderId="17" xfId="20" applyFont="1" applyFill="1" applyBorder="1" applyAlignment="1">
      <alignment horizontal="left" vertical="center" wrapText="1"/>
    </xf>
    <xf numFmtId="169" fontId="80" fillId="3" borderId="17" xfId="20" applyNumberFormat="1" applyFont="1" applyFill="1" applyBorder="1" applyAlignment="1">
      <alignment vertical="center" wrapText="1"/>
    </xf>
    <xf numFmtId="169" fontId="80" fillId="3" borderId="17" xfId="21" applyNumberFormat="1" applyFont="1" applyFill="1" applyBorder="1" applyAlignment="1">
      <alignment vertical="center"/>
    </xf>
    <xf numFmtId="170" fontId="80" fillId="3" borderId="17" xfId="0" applyNumberFormat="1" applyFont="1" applyFill="1" applyBorder="1" applyAlignment="1">
      <alignment horizontal="center" vertical="center"/>
    </xf>
    <xf numFmtId="169" fontId="56" fillId="3" borderId="4" xfId="20" applyNumberFormat="1" applyFont="1" applyFill="1" applyBorder="1" applyAlignment="1">
      <alignment vertical="center" wrapText="1"/>
    </xf>
    <xf numFmtId="180" fontId="56" fillId="3" borderId="4" xfId="20" applyNumberFormat="1" applyFont="1" applyFill="1" applyBorder="1" applyAlignment="1">
      <alignment horizontal="center" vertical="center" wrapText="1"/>
    </xf>
    <xf numFmtId="169" fontId="80" fillId="3" borderId="2" xfId="20" applyNumberFormat="1" applyFont="1" applyFill="1" applyBorder="1" applyAlignment="1">
      <alignment vertical="center" wrapText="1"/>
    </xf>
    <xf numFmtId="169" fontId="80" fillId="3" borderId="2" xfId="21" applyNumberFormat="1" applyFont="1" applyFill="1" applyBorder="1" applyAlignment="1">
      <alignment vertical="center"/>
    </xf>
    <xf numFmtId="0" fontId="80" fillId="3" borderId="11" xfId="20" applyFont="1" applyFill="1" applyBorder="1" applyAlignment="1">
      <alignment horizontal="center" vertical="center" wrapText="1"/>
    </xf>
    <xf numFmtId="169" fontId="80" fillId="3" borderId="17" xfId="6" applyNumberFormat="1" applyFont="1" applyFill="1" applyBorder="1" applyAlignment="1">
      <alignment vertical="center" wrapText="1"/>
    </xf>
    <xf numFmtId="0" fontId="80" fillId="3" borderId="17" xfId="0" applyFont="1" applyFill="1" applyBorder="1"/>
    <xf numFmtId="0" fontId="80" fillId="3" borderId="4" xfId="20" applyFont="1" applyFill="1" applyBorder="1" applyAlignment="1">
      <alignment horizontal="center" vertical="center" wrapText="1"/>
    </xf>
    <xf numFmtId="169" fontId="80" fillId="3" borderId="4" xfId="20" applyNumberFormat="1" applyFont="1" applyFill="1" applyBorder="1" applyAlignment="1">
      <alignment vertical="center" wrapText="1"/>
    </xf>
    <xf numFmtId="169" fontId="80" fillId="3" borderId="4" xfId="21" applyNumberFormat="1" applyFont="1" applyFill="1" applyBorder="1" applyAlignment="1">
      <alignment vertical="center"/>
    </xf>
    <xf numFmtId="169" fontId="80" fillId="3" borderId="4" xfId="6" applyNumberFormat="1" applyFont="1" applyFill="1" applyBorder="1" applyAlignment="1">
      <alignment vertical="center" wrapText="1"/>
    </xf>
    <xf numFmtId="0" fontId="80" fillId="3" borderId="4" xfId="0" applyFont="1" applyFill="1" applyBorder="1"/>
    <xf numFmtId="169" fontId="80" fillId="3" borderId="18" xfId="6" applyNumberFormat="1" applyFont="1" applyFill="1" applyBorder="1" applyAlignment="1">
      <alignment vertical="center" wrapText="1"/>
    </xf>
    <xf numFmtId="0" fontId="80" fillId="3" borderId="18" xfId="0" applyFont="1" applyFill="1" applyBorder="1"/>
    <xf numFmtId="0" fontId="80" fillId="3" borderId="12" xfId="20" applyFont="1" applyFill="1" applyBorder="1" applyAlignment="1">
      <alignment horizontal="center" vertical="center" wrapText="1"/>
    </xf>
    <xf numFmtId="0" fontId="80" fillId="3" borderId="12" xfId="20" applyFont="1" applyFill="1" applyBorder="1" applyAlignment="1">
      <alignment horizontal="left" vertical="center" wrapText="1"/>
    </xf>
    <xf numFmtId="169" fontId="80" fillId="3" borderId="12" xfId="20" applyNumberFormat="1" applyFont="1" applyFill="1" applyBorder="1" applyAlignment="1">
      <alignment vertical="center" wrapText="1"/>
    </xf>
    <xf numFmtId="169" fontId="80" fillId="3" borderId="12" xfId="21" applyNumberFormat="1" applyFont="1" applyFill="1" applyBorder="1" applyAlignment="1">
      <alignment vertical="center"/>
    </xf>
    <xf numFmtId="169" fontId="80" fillId="3" borderId="12" xfId="6" applyNumberFormat="1" applyFont="1" applyFill="1" applyBorder="1" applyAlignment="1">
      <alignment vertical="center" wrapText="1"/>
    </xf>
    <xf numFmtId="0" fontId="80" fillId="3" borderId="12" xfId="0" applyFont="1" applyFill="1" applyBorder="1"/>
    <xf numFmtId="0" fontId="80" fillId="3" borderId="0" xfId="20" applyFont="1" applyFill="1" applyBorder="1" applyAlignment="1">
      <alignment horizontal="center" vertical="center" wrapText="1"/>
    </xf>
    <xf numFmtId="0" fontId="80" fillId="3" borderId="0" xfId="20" applyFont="1" applyFill="1" applyBorder="1" applyAlignment="1">
      <alignment horizontal="left" vertical="center" wrapText="1"/>
    </xf>
    <xf numFmtId="169" fontId="80" fillId="3" borderId="0" xfId="20" applyNumberFormat="1" applyFont="1" applyFill="1" applyBorder="1" applyAlignment="1">
      <alignment vertical="center" wrapText="1"/>
    </xf>
    <xf numFmtId="169" fontId="80" fillId="3" borderId="0" xfId="21" applyNumberFormat="1" applyFont="1" applyFill="1" applyBorder="1" applyAlignment="1">
      <alignment vertical="center"/>
    </xf>
    <xf numFmtId="169" fontId="80" fillId="3" borderId="0" xfId="6" applyNumberFormat="1" applyFont="1" applyFill="1" applyBorder="1" applyAlignment="1">
      <alignment vertical="center" wrapText="1"/>
    </xf>
    <xf numFmtId="0" fontId="80" fillId="3" borderId="0" xfId="0" applyFont="1" applyFill="1" applyBorder="1"/>
    <xf numFmtId="3" fontId="6" fillId="3" borderId="12" xfId="0" applyNumberFormat="1" applyFont="1" applyFill="1" applyBorder="1" applyAlignment="1">
      <alignment vertical="center" wrapText="1"/>
    </xf>
    <xf numFmtId="0" fontId="56" fillId="3" borderId="4" xfId="20" applyFont="1" applyFill="1" applyBorder="1" applyAlignment="1">
      <alignment horizontal="center" vertical="center" wrapText="1"/>
    </xf>
    <xf numFmtId="0" fontId="56" fillId="3" borderId="7" xfId="20" applyFont="1" applyFill="1" applyBorder="1" applyAlignment="1">
      <alignment horizontal="center" vertical="center" wrapText="1"/>
    </xf>
    <xf numFmtId="0" fontId="7" fillId="0" borderId="9" xfId="20" applyFont="1" applyFill="1" applyBorder="1" applyAlignment="1"/>
    <xf numFmtId="4" fontId="56" fillId="3" borderId="12" xfId="20" applyNumberFormat="1" applyFont="1" applyFill="1" applyBorder="1" applyAlignment="1">
      <alignment vertical="center" wrapText="1"/>
    </xf>
    <xf numFmtId="3" fontId="56" fillId="3" borderId="12" xfId="20" applyNumberFormat="1" applyFont="1" applyFill="1" applyBorder="1" applyAlignment="1">
      <alignment vertical="center" wrapText="1"/>
    </xf>
    <xf numFmtId="4" fontId="80" fillId="3" borderId="1" xfId="20" applyNumberFormat="1" applyFont="1" applyFill="1" applyBorder="1" applyAlignment="1">
      <alignment vertical="center" wrapText="1"/>
    </xf>
    <xf numFmtId="3" fontId="80" fillId="3" borderId="1" xfId="20" applyNumberFormat="1" applyFont="1" applyFill="1" applyBorder="1" applyAlignment="1">
      <alignment vertical="center" wrapText="1"/>
    </xf>
    <xf numFmtId="169" fontId="55" fillId="3" borderId="0" xfId="0" applyNumberFormat="1" applyFont="1" applyFill="1"/>
    <xf numFmtId="168" fontId="80" fillId="3" borderId="1" xfId="20" applyNumberFormat="1" applyFont="1" applyFill="1" applyBorder="1" applyAlignment="1">
      <alignment vertical="center" wrapText="1"/>
    </xf>
    <xf numFmtId="4" fontId="79" fillId="3" borderId="7" xfId="20" applyNumberFormat="1" applyFont="1" applyFill="1" applyBorder="1" applyAlignment="1">
      <alignment horizontal="center" vertical="center" wrapText="1"/>
    </xf>
    <xf numFmtId="3" fontId="79" fillId="3" borderId="7" xfId="20" applyNumberFormat="1" applyFont="1" applyFill="1" applyBorder="1" applyAlignment="1">
      <alignment horizontal="center" vertical="center" wrapText="1"/>
    </xf>
    <xf numFmtId="4" fontId="80" fillId="3" borderId="18" xfId="21" applyNumberFormat="1" applyFont="1" applyFill="1" applyBorder="1" applyAlignment="1">
      <alignment vertical="center"/>
    </xf>
    <xf numFmtId="3" fontId="80" fillId="3" borderId="18" xfId="21" applyNumberFormat="1" applyFont="1" applyFill="1" applyBorder="1" applyAlignment="1">
      <alignment vertical="center"/>
    </xf>
    <xf numFmtId="3" fontId="80" fillId="3" borderId="18" xfId="21" applyNumberFormat="1" applyFont="1" applyFill="1" applyBorder="1" applyAlignment="1">
      <alignment vertical="center" wrapText="1"/>
    </xf>
    <xf numFmtId="3" fontId="80" fillId="3" borderId="1" xfId="21" applyNumberFormat="1" applyFont="1" applyFill="1" applyBorder="1" applyAlignment="1">
      <alignment vertical="center"/>
    </xf>
    <xf numFmtId="4" fontId="80" fillId="3" borderId="1" xfId="6" applyNumberFormat="1" applyFont="1" applyFill="1" applyBorder="1" applyAlignment="1">
      <alignment vertical="center" wrapText="1"/>
    </xf>
    <xf numFmtId="4" fontId="80" fillId="3" borderId="1" xfId="21" applyNumberFormat="1" applyFont="1" applyFill="1" applyBorder="1" applyAlignment="1">
      <alignment vertical="center"/>
    </xf>
    <xf numFmtId="3" fontId="80" fillId="3" borderId="1" xfId="21" applyNumberFormat="1" applyFont="1" applyFill="1" applyBorder="1" applyAlignment="1">
      <alignment vertical="center" wrapText="1"/>
    </xf>
    <xf numFmtId="4" fontId="80" fillId="3" borderId="1" xfId="21" applyNumberFormat="1" applyFont="1" applyFill="1" applyBorder="1" applyAlignment="1">
      <alignment vertical="center" wrapText="1"/>
    </xf>
    <xf numFmtId="4" fontId="80" fillId="3" borderId="17" xfId="21" applyNumberFormat="1" applyFont="1" applyFill="1" applyBorder="1" applyAlignment="1">
      <alignment vertical="center" wrapText="1"/>
    </xf>
    <xf numFmtId="3" fontId="80" fillId="3" borderId="17" xfId="21" applyNumberFormat="1" applyFont="1" applyFill="1" applyBorder="1" applyAlignment="1">
      <alignment vertical="center"/>
    </xf>
    <xf numFmtId="4" fontId="80" fillId="3" borderId="17" xfId="21" applyNumberFormat="1" applyFont="1" applyFill="1" applyBorder="1" applyAlignment="1">
      <alignment vertical="center"/>
    </xf>
    <xf numFmtId="3" fontId="80" fillId="3" borderId="17" xfId="21" applyNumberFormat="1" applyFont="1" applyFill="1" applyBorder="1" applyAlignment="1">
      <alignment vertical="center" wrapText="1"/>
    </xf>
    <xf numFmtId="4" fontId="56" fillId="3" borderId="4" xfId="20" applyNumberFormat="1" applyFont="1" applyFill="1" applyBorder="1" applyAlignment="1">
      <alignment vertical="center" wrapText="1"/>
    </xf>
    <xf numFmtId="3" fontId="56" fillId="3" borderId="4" xfId="20" applyNumberFormat="1" applyFont="1" applyFill="1" applyBorder="1" applyAlignment="1">
      <alignment vertical="center" wrapText="1"/>
    </xf>
    <xf numFmtId="4" fontId="80" fillId="3" borderId="2" xfId="6" applyNumberFormat="1" applyFont="1" applyFill="1" applyBorder="1" applyAlignment="1">
      <alignment vertical="center" wrapText="1"/>
    </xf>
    <xf numFmtId="3" fontId="80" fillId="3" borderId="2" xfId="21" applyNumberFormat="1" applyFont="1" applyFill="1" applyBorder="1" applyAlignment="1">
      <alignment vertical="center"/>
    </xf>
    <xf numFmtId="3" fontId="80" fillId="3" borderId="2" xfId="0" applyNumberFormat="1" applyFont="1" applyFill="1" applyBorder="1"/>
    <xf numFmtId="3" fontId="80" fillId="3" borderId="1" xfId="0" applyNumberFormat="1" applyFont="1" applyFill="1" applyBorder="1"/>
    <xf numFmtId="168" fontId="80" fillId="3" borderId="1" xfId="21" applyNumberFormat="1" applyFont="1" applyFill="1" applyBorder="1" applyAlignment="1">
      <alignment vertical="center"/>
    </xf>
    <xf numFmtId="3" fontId="80" fillId="3" borderId="17" xfId="0" applyNumberFormat="1" applyFont="1" applyFill="1" applyBorder="1"/>
    <xf numFmtId="4" fontId="80" fillId="3" borderId="17" xfId="6" applyNumberFormat="1" applyFont="1" applyFill="1" applyBorder="1" applyAlignment="1">
      <alignment vertical="center" wrapText="1"/>
    </xf>
    <xf numFmtId="3" fontId="80" fillId="3" borderId="4" xfId="21" applyNumberFormat="1" applyFont="1" applyFill="1" applyBorder="1" applyAlignment="1">
      <alignment vertical="center"/>
    </xf>
    <xf numFmtId="3" fontId="80" fillId="3" borderId="4" xfId="0" applyNumberFormat="1" applyFont="1" applyFill="1" applyBorder="1"/>
    <xf numFmtId="4" fontId="56" fillId="3" borderId="4" xfId="21" applyNumberFormat="1" applyFont="1" applyFill="1" applyBorder="1" applyAlignment="1">
      <alignment horizontal="right" vertical="center" wrapText="1"/>
    </xf>
    <xf numFmtId="3" fontId="56" fillId="3" borderId="4" xfId="21" applyNumberFormat="1" applyFont="1" applyFill="1" applyBorder="1" applyAlignment="1">
      <alignment horizontal="right" vertical="center" wrapText="1"/>
    </xf>
    <xf numFmtId="3" fontId="80" fillId="3" borderId="18" xfId="0" applyNumberFormat="1" applyFont="1" applyFill="1" applyBorder="1"/>
    <xf numFmtId="3" fontId="80" fillId="3" borderId="12" xfId="21" applyNumberFormat="1" applyFont="1" applyFill="1" applyBorder="1" applyAlignment="1">
      <alignment vertical="center"/>
    </xf>
    <xf numFmtId="3" fontId="80" fillId="3" borderId="12" xfId="0" applyNumberFormat="1" applyFont="1" applyFill="1" applyBorder="1"/>
    <xf numFmtId="4" fontId="80" fillId="3" borderId="12" xfId="21" applyNumberFormat="1" applyFont="1" applyFill="1" applyBorder="1" applyAlignment="1">
      <alignment vertical="center"/>
    </xf>
    <xf numFmtId="173" fontId="55" fillId="3" borderId="0" xfId="6" applyNumberFormat="1" applyFont="1" applyFill="1"/>
    <xf numFmtId="173" fontId="79" fillId="3" borderId="4" xfId="6" applyNumberFormat="1" applyFont="1" applyFill="1" applyBorder="1" applyAlignment="1">
      <alignment horizontal="center" wrapText="1"/>
    </xf>
    <xf numFmtId="173" fontId="56" fillId="3" borderId="12" xfId="6" applyNumberFormat="1" applyFont="1" applyFill="1" applyBorder="1" applyAlignment="1">
      <alignment vertical="center" wrapText="1"/>
    </xf>
    <xf numFmtId="173" fontId="80" fillId="3" borderId="1" xfId="6" applyNumberFormat="1" applyFont="1" applyFill="1" applyBorder="1" applyAlignment="1">
      <alignment vertical="center" wrapText="1"/>
    </xf>
    <xf numFmtId="173" fontId="79" fillId="3" borderId="7" xfId="6" applyNumberFormat="1" applyFont="1" applyFill="1" applyBorder="1" applyAlignment="1">
      <alignment horizontal="center" vertical="center" wrapText="1"/>
    </xf>
    <xf numFmtId="173" fontId="80" fillId="3" borderId="18" xfId="6" applyNumberFormat="1" applyFont="1" applyFill="1" applyBorder="1" applyAlignment="1">
      <alignment vertical="center" wrapText="1"/>
    </xf>
    <xf numFmtId="173" fontId="80" fillId="3" borderId="17" xfId="6" applyNumberFormat="1" applyFont="1" applyFill="1" applyBorder="1" applyAlignment="1">
      <alignment vertical="center" wrapText="1"/>
    </xf>
    <xf numFmtId="173" fontId="56" fillId="3" borderId="4" xfId="6" applyNumberFormat="1" applyFont="1" applyFill="1" applyBorder="1" applyAlignment="1">
      <alignment vertical="center" wrapText="1"/>
    </xf>
    <xf numFmtId="173" fontId="80" fillId="3" borderId="12" xfId="6" applyNumberFormat="1" applyFont="1" applyFill="1" applyBorder="1" applyAlignment="1">
      <alignment vertical="center" wrapText="1"/>
    </xf>
    <xf numFmtId="173" fontId="80" fillId="3" borderId="0" xfId="6" applyNumberFormat="1" applyFont="1" applyFill="1" applyBorder="1" applyAlignment="1">
      <alignment horizontal="left" vertical="center" wrapText="1"/>
    </xf>
    <xf numFmtId="3" fontId="23" fillId="3" borderId="1" xfId="0" applyNumberFormat="1" applyFont="1" applyFill="1" applyBorder="1" applyAlignment="1">
      <alignment vertical="center"/>
    </xf>
    <xf numFmtId="0" fontId="9" fillId="0" borderId="0" xfId="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0" xfId="0" applyFont="1" applyFill="1" applyBorder="1" applyAlignment="1">
      <alignment horizontal="center" vertical="center" wrapText="1"/>
    </xf>
    <xf numFmtId="1" fontId="27"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9" fillId="0" borderId="4" xfId="1" applyFont="1" applyFill="1" applyBorder="1" applyAlignment="1">
      <alignment horizontal="center" vertical="center" wrapText="1"/>
    </xf>
    <xf numFmtId="0" fontId="27" fillId="0" borderId="9" xfId="0" applyFont="1" applyFill="1" applyBorder="1" applyAlignment="1">
      <alignment horizontal="center" vertical="center"/>
    </xf>
    <xf numFmtId="0" fontId="9" fillId="0" borderId="5"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18" fillId="0" borderId="0" xfId="0" applyFont="1" applyAlignment="1">
      <alignment horizontal="justify" vertical="center"/>
    </xf>
    <xf numFmtId="0" fontId="17" fillId="0" borderId="0" xfId="0" applyFont="1" applyAlignment="1">
      <alignment horizontal="center" vertical="center"/>
    </xf>
    <xf numFmtId="0" fontId="24" fillId="0" borderId="0" xfId="0" applyFont="1" applyAlignment="1">
      <alignment horizontal="center" vertical="center"/>
    </xf>
    <xf numFmtId="0" fontId="4" fillId="3" borderId="17"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0" xfId="0" applyFont="1" applyFill="1" applyAlignment="1">
      <alignment horizontal="center" vertical="center" wrapText="1"/>
    </xf>
    <xf numFmtId="0" fontId="7" fillId="3" borderId="0" xfId="0" applyFont="1" applyFill="1" applyAlignment="1">
      <alignment horizontal="center" vertical="center"/>
    </xf>
    <xf numFmtId="0" fontId="7" fillId="3" borderId="0" xfId="0" applyFont="1" applyFill="1" applyAlignment="1">
      <alignment horizontal="right" vertical="center" wrapText="1"/>
    </xf>
    <xf numFmtId="0" fontId="6" fillId="3" borderId="17"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19" fillId="0" borderId="0" xfId="0" applyFont="1" applyAlignment="1">
      <alignment horizontal="center" wrapText="1"/>
    </xf>
    <xf numFmtId="3" fontId="43" fillId="3" borderId="0" xfId="0" applyNumberFormat="1" applyFont="1" applyFill="1" applyAlignment="1">
      <alignment horizontal="center" vertical="center" wrapText="1"/>
    </xf>
    <xf numFmtId="0" fontId="24" fillId="0" borderId="9" xfId="0" applyFont="1" applyBorder="1" applyAlignment="1">
      <alignment horizontal="right" vertical="center" wrapText="1"/>
    </xf>
    <xf numFmtId="0" fontId="52" fillId="0" borderId="4" xfId="7" applyFont="1" applyFill="1" applyBorder="1" applyAlignment="1">
      <alignment horizontal="left" vertical="center" wrapText="1"/>
    </xf>
    <xf numFmtId="0" fontId="52" fillId="0" borderId="3" xfId="7" applyFont="1" applyFill="1" applyBorder="1" applyAlignment="1">
      <alignment horizontal="center" vertical="center" wrapText="1"/>
    </xf>
    <xf numFmtId="0" fontId="52" fillId="0" borderId="7" xfId="7"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4" fillId="0" borderId="4" xfId="7" applyFont="1" applyFill="1" applyBorder="1" applyAlignment="1">
      <alignment horizontal="center" vertical="center" wrapText="1"/>
    </xf>
    <xf numFmtId="0" fontId="54" fillId="0" borderId="0" xfId="7" applyFont="1" applyFill="1" applyBorder="1" applyAlignment="1">
      <alignment horizontal="left" vertical="center" wrapText="1"/>
    </xf>
    <xf numFmtId="0" fontId="52" fillId="0" borderId="11" xfId="7" applyFont="1" applyFill="1" applyBorder="1" applyAlignment="1">
      <alignment horizontal="center" vertical="center" wrapText="1"/>
    </xf>
    <xf numFmtId="0" fontId="52" fillId="0" borderId="4" xfId="0" applyFont="1" applyFill="1" applyBorder="1" applyAlignment="1">
      <alignment horizontal="left" vertical="center" wrapText="1"/>
    </xf>
    <xf numFmtId="0" fontId="52" fillId="0" borderId="4" xfId="7" applyFont="1" applyFill="1" applyBorder="1" applyAlignment="1">
      <alignment horizontal="center" vertical="center" wrapText="1"/>
    </xf>
    <xf numFmtId="0" fontId="53" fillId="0" borderId="0" xfId="7" applyFont="1" applyFill="1" applyBorder="1" applyAlignment="1">
      <alignment horizontal="center" vertical="center" wrapText="1"/>
    </xf>
    <xf numFmtId="3" fontId="27" fillId="0" borderId="0" xfId="7" applyNumberFormat="1" applyFont="1" applyFill="1" applyBorder="1" applyAlignment="1">
      <alignment horizontal="center" vertical="center" wrapText="1"/>
    </xf>
    <xf numFmtId="0" fontId="27" fillId="0" borderId="0" xfId="7" applyFont="1" applyFill="1" applyBorder="1" applyAlignment="1">
      <alignment horizontal="center" vertical="center" wrapText="1"/>
    </xf>
    <xf numFmtId="0" fontId="27" fillId="0" borderId="9" xfId="7" applyFont="1" applyFill="1" applyBorder="1" applyAlignment="1">
      <alignment horizontal="center" vertical="center" wrapText="1"/>
    </xf>
    <xf numFmtId="0" fontId="4" fillId="3" borderId="0" xfId="0" applyFont="1" applyFill="1" applyAlignment="1">
      <alignment horizontal="center"/>
    </xf>
    <xf numFmtId="3" fontId="7" fillId="3" borderId="0" xfId="0" applyNumberFormat="1" applyFont="1" applyFill="1" applyAlignment="1">
      <alignment horizontal="center"/>
    </xf>
    <xf numFmtId="0" fontId="7" fillId="3" borderId="0" xfId="0" applyFont="1" applyFill="1" applyAlignment="1">
      <alignment horizontal="center"/>
    </xf>
    <xf numFmtId="0" fontId="7" fillId="3" borderId="9" xfId="0" applyFont="1" applyFill="1" applyBorder="1" applyAlignment="1">
      <alignment horizontal="right" vertical="center"/>
    </xf>
    <xf numFmtId="0" fontId="67" fillId="0" borderId="0" xfId="28" applyFont="1" applyAlignment="1">
      <alignment horizontal="center" vertical="center" wrapText="1"/>
    </xf>
    <xf numFmtId="3" fontId="30" fillId="0" borderId="0" xfId="28" applyNumberFormat="1" applyFont="1" applyAlignment="1">
      <alignment horizontal="center" vertical="center" wrapText="1"/>
    </xf>
    <xf numFmtId="0" fontId="30" fillId="0" borderId="0" xfId="28" applyFont="1" applyAlignment="1">
      <alignment horizontal="center" vertical="center" wrapText="1"/>
    </xf>
    <xf numFmtId="0" fontId="26" fillId="3" borderId="9" xfId="0" applyFont="1" applyFill="1" applyBorder="1" applyAlignment="1">
      <alignment horizontal="center" vertical="center"/>
    </xf>
    <xf numFmtId="3" fontId="63" fillId="3" borderId="11" xfId="0" applyNumberFormat="1" applyFont="1" applyFill="1" applyBorder="1" applyAlignment="1">
      <alignment horizontal="center" vertical="center" wrapText="1"/>
    </xf>
    <xf numFmtId="3" fontId="63" fillId="3" borderId="7" xfId="0" applyNumberFormat="1" applyFont="1" applyFill="1" applyBorder="1" applyAlignment="1">
      <alignment horizontal="center" vertical="center" wrapText="1"/>
    </xf>
    <xf numFmtId="0" fontId="64" fillId="3" borderId="3" xfId="1" applyFont="1" applyFill="1" applyBorder="1" applyAlignment="1">
      <alignment horizontal="center" vertical="center" wrapText="1"/>
    </xf>
    <xf numFmtId="0" fontId="64" fillId="3" borderId="7" xfId="1" applyFont="1" applyFill="1" applyBorder="1" applyAlignment="1">
      <alignment horizontal="center" vertical="center" wrapText="1"/>
    </xf>
    <xf numFmtId="3" fontId="63" fillId="3" borderId="5" xfId="0" applyNumberFormat="1" applyFont="1" applyFill="1" applyBorder="1" applyAlignment="1">
      <alignment horizontal="center" vertical="center" wrapText="1"/>
    </xf>
    <xf numFmtId="3" fontId="63" fillId="3" borderId="8" xfId="0" applyNumberFormat="1" applyFont="1" applyFill="1" applyBorder="1" applyAlignment="1">
      <alignment horizontal="center" vertical="center" wrapText="1"/>
    </xf>
    <xf numFmtId="3" fontId="63" fillId="3" borderId="3" xfId="0" applyNumberFormat="1"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0" xfId="0" applyFont="1" applyFill="1" applyAlignment="1">
      <alignment horizontal="center" vertical="center"/>
    </xf>
    <xf numFmtId="0" fontId="17" fillId="3" borderId="0" xfId="0" applyFont="1" applyFill="1" applyAlignment="1">
      <alignment horizontal="center" vertical="center" wrapText="1"/>
    </xf>
    <xf numFmtId="3" fontId="26" fillId="3" borderId="0" xfId="0" applyNumberFormat="1" applyFont="1" applyFill="1" applyAlignment="1">
      <alignment horizontal="center" vertical="center"/>
    </xf>
    <xf numFmtId="0" fontId="26" fillId="3" borderId="0" xfId="0" applyFont="1" applyFill="1" applyAlignment="1">
      <alignment horizontal="center" vertical="center"/>
    </xf>
    <xf numFmtId="3" fontId="63" fillId="3" borderId="3" xfId="0" applyNumberFormat="1" applyFont="1" applyFill="1" applyBorder="1" applyAlignment="1">
      <alignment horizontal="justify" vertical="center" wrapText="1"/>
    </xf>
    <xf numFmtId="3" fontId="63" fillId="3" borderId="11" xfId="0" applyNumberFormat="1" applyFont="1" applyFill="1" applyBorder="1" applyAlignment="1">
      <alignment horizontal="justify" vertical="center" wrapText="1"/>
    </xf>
    <xf numFmtId="3" fontId="63" fillId="3" borderId="7" xfId="0" applyNumberFormat="1" applyFont="1" applyFill="1" applyBorder="1" applyAlignment="1">
      <alignment horizontal="justify" vertical="center" wrapText="1"/>
    </xf>
    <xf numFmtId="0" fontId="63" fillId="3" borderId="5" xfId="1" applyFont="1" applyFill="1" applyBorder="1" applyAlignment="1">
      <alignment horizontal="center" vertical="center" wrapText="1"/>
    </xf>
    <xf numFmtId="0" fontId="63" fillId="3" borderId="10" xfId="1" applyFont="1" applyFill="1" applyBorder="1" applyAlignment="1">
      <alignment horizontal="center" vertical="center" wrapText="1"/>
    </xf>
    <xf numFmtId="0" fontId="63" fillId="3" borderId="8" xfId="1" applyFont="1" applyFill="1" applyBorder="1" applyAlignment="1">
      <alignment horizontal="center" vertical="center" wrapText="1"/>
    </xf>
    <xf numFmtId="3" fontId="63" fillId="3" borderId="15" xfId="0" applyNumberFormat="1" applyFont="1" applyFill="1" applyBorder="1" applyAlignment="1">
      <alignment horizontal="center" vertical="center" wrapText="1"/>
    </xf>
    <xf numFmtId="3" fontId="63" fillId="3" borderId="6" xfId="0" applyNumberFormat="1" applyFont="1" applyFill="1" applyBorder="1" applyAlignment="1">
      <alignment horizontal="center" vertical="center" wrapText="1"/>
    </xf>
    <xf numFmtId="3" fontId="63" fillId="3" borderId="16" xfId="0" applyNumberFormat="1" applyFont="1" applyFill="1" applyBorder="1" applyAlignment="1">
      <alignment horizontal="center" vertical="center" wrapText="1"/>
    </xf>
    <xf numFmtId="3" fontId="63" fillId="3" borderId="19" xfId="0" applyNumberFormat="1" applyFont="1" applyFill="1" applyBorder="1" applyAlignment="1">
      <alignment horizontal="center" vertical="center" wrapText="1"/>
    </xf>
    <xf numFmtId="3" fontId="63" fillId="3" borderId="9" xfId="0" applyNumberFormat="1" applyFont="1" applyFill="1" applyBorder="1" applyAlignment="1">
      <alignment horizontal="center" vertical="center" wrapText="1"/>
    </xf>
    <xf numFmtId="3" fontId="63" fillId="3" borderId="20" xfId="0" applyNumberFormat="1" applyFont="1" applyFill="1" applyBorder="1" applyAlignment="1">
      <alignment horizontal="center" vertical="center" wrapText="1"/>
    </xf>
    <xf numFmtId="0" fontId="63" fillId="3" borderId="3" xfId="1" applyFont="1" applyFill="1" applyBorder="1" applyAlignment="1">
      <alignment horizontal="center" vertical="center" wrapText="1"/>
    </xf>
    <xf numFmtId="0" fontId="63" fillId="3" borderId="11" xfId="1" applyFont="1" applyFill="1" applyBorder="1" applyAlignment="1">
      <alignment horizontal="center" vertical="center" wrapText="1"/>
    </xf>
    <xf numFmtId="0" fontId="63" fillId="3" borderId="7" xfId="1" applyFont="1" applyFill="1" applyBorder="1" applyAlignment="1">
      <alignment horizontal="center" vertical="center" wrapText="1"/>
    </xf>
    <xf numFmtId="0" fontId="64" fillId="3" borderId="5" xfId="1" applyFont="1" applyFill="1" applyBorder="1" applyAlignment="1">
      <alignment horizontal="center" vertical="center" wrapText="1"/>
    </xf>
    <xf numFmtId="0" fontId="64" fillId="3" borderId="10" xfId="1" applyFont="1" applyFill="1" applyBorder="1" applyAlignment="1">
      <alignment horizontal="center" vertical="center" wrapText="1"/>
    </xf>
    <xf numFmtId="0" fontId="64" fillId="3" borderId="8" xfId="1" applyFont="1" applyFill="1" applyBorder="1" applyAlignment="1">
      <alignment horizontal="center" vertical="center" wrapText="1"/>
    </xf>
    <xf numFmtId="0" fontId="2" fillId="0" borderId="0" xfId="0" applyFont="1" applyFill="1" applyAlignment="1">
      <alignment horizontal="center" vertical="center"/>
    </xf>
    <xf numFmtId="0" fontId="32" fillId="0" borderId="0" xfId="0" applyFont="1" applyFill="1" applyAlignment="1">
      <alignment horizontal="center" vertical="center" wrapText="1"/>
    </xf>
    <xf numFmtId="1" fontId="33" fillId="0" borderId="0" xfId="0" applyNumberFormat="1" applyFont="1" applyFill="1" applyAlignment="1">
      <alignment horizontal="center" vertical="center"/>
    </xf>
    <xf numFmtId="0" fontId="7" fillId="0" borderId="9"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7" xfId="0" applyFont="1" applyFill="1" applyBorder="1" applyAlignment="1">
      <alignment horizontal="center" vertical="center" wrapText="1"/>
    </xf>
    <xf numFmtId="1" fontId="26" fillId="3" borderId="0" xfId="0" applyNumberFormat="1" applyFont="1" applyFill="1" applyAlignment="1">
      <alignment horizontal="center" vertical="center" wrapText="1"/>
    </xf>
    <xf numFmtId="0" fontId="26" fillId="3" borderId="0" xfId="0" applyFont="1" applyFill="1" applyAlignment="1">
      <alignment horizontal="center" vertical="center" wrapText="1"/>
    </xf>
    <xf numFmtId="0" fontId="26" fillId="3" borderId="9" xfId="0" applyFont="1" applyFill="1" applyBorder="1" applyAlignment="1">
      <alignment horizontal="right"/>
    </xf>
    <xf numFmtId="0" fontId="17" fillId="3" borderId="5" xfId="1" applyFont="1" applyFill="1" applyBorder="1" applyAlignment="1">
      <alignment horizontal="center" vertical="center" wrapText="1"/>
    </xf>
    <xf numFmtId="0" fontId="17" fillId="3" borderId="10" xfId="1" applyFont="1" applyFill="1" applyBorder="1" applyAlignment="1">
      <alignment horizontal="center" vertical="center" wrapText="1"/>
    </xf>
    <xf numFmtId="0" fontId="17" fillId="3" borderId="8" xfId="1" applyFont="1" applyFill="1" applyBorder="1" applyAlignment="1">
      <alignment horizontal="center" vertical="center" wrapText="1"/>
    </xf>
    <xf numFmtId="0" fontId="36" fillId="0" borderId="4" xfId="0" applyFont="1" applyBorder="1" applyAlignment="1">
      <alignment horizontal="center" vertical="center"/>
    </xf>
    <xf numFmtId="0" fontId="36" fillId="0" borderId="4" xfId="0" applyFont="1" applyBorder="1" applyAlignment="1">
      <alignment horizontal="center" vertical="center" wrapText="1"/>
    </xf>
    <xf numFmtId="0" fontId="38" fillId="0" borderId="4" xfId="0" applyFont="1" applyBorder="1" applyAlignment="1">
      <alignment horizontal="center" vertical="center" wrapText="1"/>
    </xf>
    <xf numFmtId="0" fontId="17" fillId="0" borderId="0" xfId="0" applyFont="1" applyAlignment="1">
      <alignment horizontal="center" vertical="center" wrapText="1"/>
    </xf>
    <xf numFmtId="0" fontId="24" fillId="0" borderId="9" xfId="0" applyFont="1" applyBorder="1" applyAlignment="1">
      <alignment horizontal="center" vertical="center"/>
    </xf>
    <xf numFmtId="0" fontId="37" fillId="0" borderId="4" xfId="0" applyFont="1" applyBorder="1" applyAlignment="1">
      <alignment horizontal="center" vertical="center" wrapText="1"/>
    </xf>
    <xf numFmtId="0" fontId="39" fillId="0" borderId="4" xfId="0" applyFont="1" applyBorder="1" applyAlignment="1">
      <alignment horizontal="center"/>
    </xf>
    <xf numFmtId="0" fontId="17" fillId="0" borderId="13" xfId="0" applyFont="1" applyBorder="1" applyAlignment="1">
      <alignment horizontal="center" vertical="center" wrapText="1"/>
    </xf>
    <xf numFmtId="0" fontId="26" fillId="0" borderId="0" xfId="0" applyFont="1" applyAlignment="1">
      <alignment horizontal="center" vertical="center" wrapText="1"/>
    </xf>
    <xf numFmtId="0" fontId="26"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9" fillId="4" borderId="5"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8" xfId="0" applyFont="1" applyBorder="1" applyAlignment="1">
      <alignment horizontal="center" vertical="center" wrapText="1"/>
    </xf>
    <xf numFmtId="0" fontId="19" fillId="3" borderId="4"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11" xfId="0" applyFont="1" applyBorder="1" applyAlignment="1">
      <alignment horizontal="center" vertical="center" wrapText="1"/>
    </xf>
    <xf numFmtId="0" fontId="36" fillId="0" borderId="3" xfId="0" applyFont="1" applyBorder="1" applyAlignment="1">
      <alignment horizontal="center" vertical="center"/>
    </xf>
    <xf numFmtId="0" fontId="36" fillId="0" borderId="7" xfId="0" applyFont="1" applyBorder="1" applyAlignment="1">
      <alignment horizontal="center" vertical="center"/>
    </xf>
    <xf numFmtId="0" fontId="26" fillId="0" borderId="9" xfId="0" applyFont="1" applyBorder="1" applyAlignment="1">
      <alignment horizontal="center" vertical="center"/>
    </xf>
    <xf numFmtId="0" fontId="24" fillId="0" borderId="9" xfId="0" applyFont="1" applyBorder="1" applyAlignment="1">
      <alignment horizontal="right" vertical="center"/>
    </xf>
    <xf numFmtId="0" fontId="36" fillId="0" borderId="5" xfId="0" applyFont="1" applyBorder="1" applyAlignment="1">
      <alignment horizontal="center" vertical="center"/>
    </xf>
    <xf numFmtId="0" fontId="36" fillId="0" borderId="10" xfId="0" applyFont="1" applyBorder="1" applyAlignment="1">
      <alignment horizontal="center" vertical="center"/>
    </xf>
    <xf numFmtId="0" fontId="36" fillId="0" borderId="8" xfId="0" applyFont="1" applyBorder="1" applyAlignment="1">
      <alignment horizontal="center" vertical="center"/>
    </xf>
    <xf numFmtId="0" fontId="4" fillId="0" borderId="0" xfId="1" applyFont="1" applyFill="1" applyBorder="1" applyAlignment="1">
      <alignment horizontal="center" vertical="center"/>
    </xf>
    <xf numFmtId="0" fontId="4" fillId="0" borderId="0" xfId="0" applyFont="1" applyFill="1" applyBorder="1" applyAlignment="1">
      <alignment horizontal="center" vertical="center" wrapText="1"/>
    </xf>
    <xf numFmtId="4" fontId="27" fillId="0" borderId="9" xfId="8"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10" fillId="0" borderId="9"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6" fillId="0" borderId="2" xfId="0" applyNumberFormat="1" applyFont="1" applyFill="1" applyBorder="1" applyAlignment="1">
      <alignment vertical="center" wrapText="1"/>
    </xf>
    <xf numFmtId="1" fontId="6" fillId="0" borderId="1" xfId="0" applyNumberFormat="1" applyFont="1" applyFill="1" applyBorder="1" applyAlignment="1">
      <alignment vertical="center" wrapText="1"/>
    </xf>
    <xf numFmtId="1" fontId="6" fillId="0" borderId="12" xfId="0" applyNumberFormat="1" applyFont="1" applyFill="1" applyBorder="1" applyAlignment="1">
      <alignment vertical="center" wrapText="1"/>
    </xf>
    <xf numFmtId="3" fontId="4" fillId="0" borderId="3"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3" fontId="17" fillId="0" borderId="0" xfId="8" applyNumberFormat="1" applyFont="1" applyBorder="1" applyAlignment="1">
      <alignment horizontal="center" vertical="center" wrapText="1"/>
    </xf>
    <xf numFmtId="3" fontId="26" fillId="0" borderId="9" xfId="8" applyNumberFormat="1" applyFont="1" applyBorder="1" applyAlignment="1">
      <alignment horizontal="center" vertical="center" wrapText="1"/>
    </xf>
    <xf numFmtId="3" fontId="9" fillId="0" borderId="0" xfId="1" applyNumberFormat="1" applyFont="1" applyFill="1" applyBorder="1" applyAlignment="1">
      <alignment horizontal="center" vertical="center"/>
    </xf>
    <xf numFmtId="0" fontId="24" fillId="0" borderId="9" xfId="8" applyFont="1" applyFill="1" applyBorder="1" applyAlignment="1">
      <alignment horizontal="center" wrapText="1"/>
    </xf>
    <xf numFmtId="3" fontId="4" fillId="0" borderId="0" xfId="1" applyNumberFormat="1" applyFont="1" applyFill="1" applyBorder="1" applyAlignment="1">
      <alignment horizontal="center" vertical="center"/>
    </xf>
    <xf numFmtId="3" fontId="4"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 fontId="4" fillId="0" borderId="0" xfId="1" applyNumberFormat="1" applyFont="1" applyFill="1" applyBorder="1" applyAlignment="1">
      <alignment horizontal="center" vertical="center"/>
    </xf>
    <xf numFmtId="1" fontId="7" fillId="0" borderId="0" xfId="0" applyNumberFormat="1" applyFont="1" applyFill="1" applyBorder="1" applyAlignment="1">
      <alignment horizontal="center" vertical="center" wrapText="1"/>
    </xf>
    <xf numFmtId="0" fontId="19" fillId="0" borderId="0" xfId="8" applyFont="1" applyBorder="1" applyAlignment="1">
      <alignment horizontal="center" vertical="center" wrapText="1"/>
    </xf>
    <xf numFmtId="1" fontId="24" fillId="0" borderId="9" xfId="8" applyNumberFormat="1" applyFont="1" applyBorder="1" applyAlignment="1">
      <alignment horizontal="center" vertical="center" wrapText="1"/>
    </xf>
    <xf numFmtId="0" fontId="19" fillId="0" borderId="0" xfId="0" applyFont="1" applyBorder="1" applyAlignment="1">
      <alignment horizontal="center" vertical="center" wrapText="1"/>
    </xf>
    <xf numFmtId="0" fontId="17" fillId="0" borderId="0" xfId="0" applyFont="1" applyBorder="1" applyAlignment="1">
      <alignment horizontal="center" vertical="center" wrapText="1"/>
    </xf>
    <xf numFmtId="1" fontId="24"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1" fontId="24"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19" fillId="0" borderId="0" xfId="8" applyFont="1" applyFill="1" applyBorder="1" applyAlignment="1">
      <alignment horizontal="center" vertical="center" wrapText="1"/>
    </xf>
    <xf numFmtId="3" fontId="2" fillId="0" borderId="0" xfId="0" applyNumberFormat="1" applyFont="1" applyFill="1" applyAlignment="1">
      <alignment horizontal="center" vertical="center" wrapText="1"/>
    </xf>
    <xf numFmtId="3" fontId="7" fillId="0" borderId="9" xfId="0" applyNumberFormat="1" applyFont="1" applyFill="1" applyBorder="1" applyAlignment="1">
      <alignment horizontal="center" vertical="center" wrapText="1"/>
    </xf>
    <xf numFmtId="3" fontId="4" fillId="0" borderId="0" xfId="0" applyNumberFormat="1" applyFont="1" applyFill="1" applyAlignment="1">
      <alignment horizontal="center" vertical="center" wrapText="1"/>
    </xf>
    <xf numFmtId="0" fontId="28"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28"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9" xfId="0" applyFont="1" applyFill="1" applyBorder="1" applyAlignment="1">
      <alignment horizontal="left" vertical="center" wrapText="1"/>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9" fillId="3" borderId="0" xfId="20" applyFont="1" applyFill="1" applyBorder="1" applyAlignment="1">
      <alignment horizontal="left" vertical="center"/>
    </xf>
    <xf numFmtId="0" fontId="56" fillId="3" borderId="4" xfId="20" applyFont="1" applyFill="1" applyBorder="1" applyAlignment="1">
      <alignment horizontal="center" vertical="center" wrapText="1"/>
    </xf>
    <xf numFmtId="0" fontId="4" fillId="3" borderId="0" xfId="20" applyFont="1" applyFill="1" applyBorder="1" applyAlignment="1">
      <alignment horizontal="center" wrapText="1"/>
    </xf>
    <xf numFmtId="0" fontId="7" fillId="0" borderId="0" xfId="20" applyFont="1" applyFill="1" applyBorder="1" applyAlignment="1">
      <alignment horizontal="center" vertical="top" wrapText="1"/>
    </xf>
    <xf numFmtId="173" fontId="56" fillId="3" borderId="4" xfId="6" applyNumberFormat="1" applyFont="1" applyFill="1" applyBorder="1" applyAlignment="1">
      <alignment horizontal="center" vertical="center" wrapText="1"/>
    </xf>
    <xf numFmtId="0" fontId="56" fillId="3" borderId="3" xfId="20" applyFont="1" applyFill="1" applyBorder="1" applyAlignment="1">
      <alignment horizontal="center" vertical="center" wrapText="1"/>
    </xf>
    <xf numFmtId="0" fontId="56" fillId="3" borderId="11" xfId="20" applyFont="1" applyFill="1" applyBorder="1" applyAlignment="1">
      <alignment horizontal="center" vertical="center" wrapText="1"/>
    </xf>
    <xf numFmtId="0" fontId="56" fillId="3" borderId="7" xfId="20" applyFont="1" applyFill="1" applyBorder="1" applyAlignment="1">
      <alignment horizontal="center" vertical="center" wrapText="1"/>
    </xf>
    <xf numFmtId="0" fontId="56" fillId="3" borderId="15" xfId="20" applyFont="1" applyFill="1" applyBorder="1" applyAlignment="1">
      <alignment horizontal="center" vertical="center" wrapText="1"/>
    </xf>
    <xf numFmtId="0" fontId="56" fillId="3" borderId="6" xfId="20" applyFont="1" applyFill="1" applyBorder="1" applyAlignment="1">
      <alignment horizontal="center" vertical="center" wrapText="1"/>
    </xf>
    <xf numFmtId="0" fontId="56" fillId="3" borderId="16" xfId="20" applyFont="1" applyFill="1" applyBorder="1" applyAlignment="1">
      <alignment horizontal="center" vertical="center" wrapText="1"/>
    </xf>
    <xf numFmtId="0" fontId="56" fillId="3" borderId="19" xfId="20" applyFont="1" applyFill="1" applyBorder="1" applyAlignment="1">
      <alignment horizontal="center" vertical="center" wrapText="1"/>
    </xf>
    <xf numFmtId="0" fontId="56" fillId="3" borderId="9" xfId="20" applyFont="1" applyFill="1" applyBorder="1" applyAlignment="1">
      <alignment horizontal="center" vertical="center" wrapText="1"/>
    </xf>
    <xf numFmtId="0" fontId="56" fillId="3" borderId="20" xfId="20" applyFont="1" applyFill="1" applyBorder="1" applyAlignment="1">
      <alignment horizontal="center" vertical="center" wrapText="1"/>
    </xf>
    <xf numFmtId="0" fontId="7" fillId="0" borderId="9" xfId="20" applyFont="1" applyFill="1" applyBorder="1" applyAlignment="1">
      <alignment horizontal="center"/>
    </xf>
  </cellXfs>
  <cellStyles count="30">
    <cellStyle name="Bình thường 2" xfId="1" xr:uid="{00000000-0005-0000-0000-000000000000}"/>
    <cellStyle name="Bình thường 3" xfId="2" xr:uid="{00000000-0005-0000-0000-000001000000}"/>
    <cellStyle name="Chuẩn 2" xfId="3" xr:uid="{00000000-0005-0000-0000-00000C000000}"/>
    <cellStyle name="Chuẩn 2 2" xfId="19" xr:uid="{00000000-0005-0000-0000-00000D000000}"/>
    <cellStyle name="Comma" xfId="6" builtinId="3"/>
    <cellStyle name="Comma [0]" xfId="18" builtinId="6"/>
    <cellStyle name="Comma [0] 13" xfId="29" xr:uid="{00000000-0005-0000-0000-000004000000}"/>
    <cellStyle name="Comma 10 10" xfId="10" xr:uid="{00000000-0005-0000-0000-000005000000}"/>
    <cellStyle name="Comma 12" xfId="22" xr:uid="{00000000-0005-0000-0000-000006000000}"/>
    <cellStyle name="Comma 2" xfId="4" xr:uid="{00000000-0005-0000-0000-000007000000}"/>
    <cellStyle name="Comma 2 2 26" xfId="26" xr:uid="{00000000-0005-0000-0000-000008000000}"/>
    <cellStyle name="Comma 2 6" xfId="12" xr:uid="{00000000-0005-0000-0000-000009000000}"/>
    <cellStyle name="Comma 2_bao cao cua UBND tinh quy II - 2011" xfId="21" xr:uid="{00000000-0005-0000-0000-00000A000000}"/>
    <cellStyle name="Comma 3" xfId="5" xr:uid="{00000000-0005-0000-0000-00000B000000}"/>
    <cellStyle name="Normal" xfId="0" builtinId="0"/>
    <cellStyle name="Normal 11 4" xfId="27" xr:uid="{00000000-0005-0000-0000-00000F000000}"/>
    <cellStyle name="Normal 2" xfId="7" xr:uid="{00000000-0005-0000-0000-000010000000}"/>
    <cellStyle name="Normal 2 2" xfId="14" xr:uid="{00000000-0005-0000-0000-000011000000}"/>
    <cellStyle name="Normal 2 2 2" xfId="15" xr:uid="{00000000-0005-0000-0000-000012000000}"/>
    <cellStyle name="Normal 2 3" xfId="23" xr:uid="{00000000-0005-0000-0000-000013000000}"/>
    <cellStyle name="Normal 2 8" xfId="11" xr:uid="{00000000-0005-0000-0000-000014000000}"/>
    <cellStyle name="Normal 21" xfId="17" xr:uid="{00000000-0005-0000-0000-000015000000}"/>
    <cellStyle name="Normal 3" xfId="8" xr:uid="{00000000-0005-0000-0000-000016000000}"/>
    <cellStyle name="Normal 3 2" xfId="20" xr:uid="{00000000-0005-0000-0000-000017000000}"/>
    <cellStyle name="Normal 4" xfId="16" xr:uid="{00000000-0005-0000-0000-000018000000}"/>
    <cellStyle name="Normal 4 18" xfId="24" xr:uid="{00000000-0005-0000-0000-000019000000}"/>
    <cellStyle name="Normal 67" xfId="25" xr:uid="{00000000-0005-0000-0000-00001A000000}"/>
    <cellStyle name="Normal_Sheet1 2" xfId="28" xr:uid="{00000000-0005-0000-0000-00001B000000}"/>
    <cellStyle name="Percent" xfId="9" builtinId="5"/>
    <cellStyle name="Percent 3" xfId="13" xr:uid="{00000000-0005-0000-0000-00001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7918;%20LI&#7878;U%20D\C&#212;NG%20T&#193;C%20CH&#205;NH%20QUY&#7872;N%20N&#258;M%202024\D&#7920;%20TO&#193;N%202024\Tu&#7845;n%20Anh%20S4%20D&#7920;%20TO&#193;N%20N&#258;M%202024%20(b&#7843;n%20t&#7893;ng%20h&#7907;p%20n&#259;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c\Desktop\DT%202024\Bi&#7875;u%20m&#7851;u\Bi&#7875;u%20BC%202024\DT%20b&#225;o%20c&#225;o%20DT%202024\Bieu%20DT%202024%20%2019%2011%2020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C\Documents\Zalo%20Received%20Files\1.KINH%20PHI%20MH%20SX%20LUA%20GIAM%20KNK%202024%20_ND35%20(6.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tc\Desktop\DT%202024\Kinh%20ph&#237;%20b&#7843;o%20v&#7879;%20ph&#225;t%20tri&#7875;n%20&#273;&#7845;t%20tr&#7891;ng%20l&#250;a%20202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P\Documents\Zalo%20Received%20Files\231113%20Danh%20muc%20nhiem%20vu%20CDS%202024%20(mr%20Thien%20xem)-bo%20sung%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tc\Desktop\DT%202024\CT%20DTTS\2024-Phuong%20an%20phan%20bo%20KPSN%20von%20CTMTQG%20DTTS%20(lan%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tc\Desktop\DT%202024\CT%20GNBV\Thuy&#7871;t%20minh%20PB%20CTMTQGGNBV%20nam%20202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tc\Desktop\DT%202024\CT%20NTM\Thuy&#7871;t%20minh%20PB%20v&#7889;n%20SN%20CTNTM%20202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tc\Desktop\DT%202024\Bi&#7875;u%20m&#7851;u\CHuong%20trinh%20phat%20trien%20lam%20nghiep%20ben%20vung%20nam%202024%20(s&#7917;a%20l&#7841;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ND"/>
      <sheetName val="HND(TH)"/>
      <sheetName val="HND PL3.15"/>
      <sheetName val="HCCB"/>
      <sheetName val="HCCB(TH)"/>
      <sheetName val="HCTĐ"/>
      <sheetName val="HCTĐ(TH)"/>
      <sheetName val="HĐY"/>
      <sheetName val="HĐY(TH)"/>
      <sheetName val="HVHNT(TH)"/>
      <sheetName val="HNB"/>
      <sheetName val="HNB(TH)"/>
      <sheetName val="HLG"/>
      <sheetName val="HLG(TH)"/>
      <sheetName val="HKH"/>
      <sheetName val="HKH(TH)"/>
      <sheetName val="HCTNXP"/>
      <sheetName val="HCTNXP(TH)"/>
      <sheetName val="HBTNKT"/>
      <sheetName val="HBTNKT(TH)"/>
      <sheetName val="HNNCĐDC"/>
      <sheetName val="HNNCĐDC(TH)"/>
      <sheetName val="HNCT"/>
      <sheetName val="HNCT(TH)"/>
      <sheetName val="HLHTN(CT)"/>
      <sheetName val="HN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3">
          <cell r="T33">
            <v>544.98879999999997</v>
          </cell>
        </row>
        <row r="34">
          <cell r="B34" t="str">
            <v xml:space="preserve">Tạp chí Văn nghệ Ba Bể Online </v>
          </cell>
          <cell r="T34">
            <v>60</v>
          </cell>
        </row>
        <row r="35">
          <cell r="T35">
            <v>90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
      <sheetName val="06 DT "/>
      <sheetName val="07 DT"/>
      <sheetName val="08_Phi_LP"/>
      <sheetName val="CCTL"/>
      <sheetName val="09DT"/>
      <sheetName val="07 3N"/>
      <sheetName val="08 3N"/>
      <sheetName val="09 3N"/>
      <sheetName val="10 3N"/>
      <sheetName val="11 3N"/>
      <sheetName val="15"/>
      <sheetName val="16 T"/>
      <sheetName val="16aT"/>
      <sheetName val="16bT"/>
      <sheetName val="Sheet1"/>
      <sheetName val="17"/>
      <sheetName val="18"/>
      <sheetName val="30"/>
      <sheetName val="31(T)"/>
      <sheetName val="32(T)"/>
      <sheetName val="33"/>
      <sheetName val="34"/>
      <sheetName val="35"/>
      <sheetName val="36-ĐT"/>
      <sheetName val="37-TX"/>
      <sheetName val="Nhiệm vụ"/>
      <sheetName val="38"/>
      <sheetName val="39"/>
      <sheetName val="41"/>
      <sheetName val="42"/>
      <sheetName val="44"/>
      <sheetName val="46"/>
      <sheetName val="4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3">
          <cell r="M73">
            <v>62</v>
          </cell>
        </row>
        <row r="74">
          <cell r="M74">
            <v>42</v>
          </cell>
        </row>
        <row r="75">
          <cell r="M75">
            <v>124</v>
          </cell>
        </row>
        <row r="76">
          <cell r="M76">
            <v>18</v>
          </cell>
        </row>
        <row r="77">
          <cell r="M77">
            <v>39</v>
          </cell>
        </row>
        <row r="78">
          <cell r="M78">
            <v>13</v>
          </cell>
        </row>
        <row r="79">
          <cell r="M79">
            <v>13</v>
          </cell>
        </row>
        <row r="80">
          <cell r="M80">
            <v>37</v>
          </cell>
        </row>
        <row r="81">
          <cell r="M81">
            <v>271</v>
          </cell>
        </row>
        <row r="82">
          <cell r="M82">
            <v>57</v>
          </cell>
        </row>
        <row r="83">
          <cell r="M83">
            <v>66</v>
          </cell>
        </row>
        <row r="84">
          <cell r="M84">
            <v>118</v>
          </cell>
        </row>
        <row r="85">
          <cell r="M85">
            <v>38</v>
          </cell>
        </row>
        <row r="86">
          <cell r="M86">
            <v>26</v>
          </cell>
        </row>
        <row r="87">
          <cell r="M87">
            <v>18</v>
          </cell>
        </row>
        <row r="88">
          <cell r="M88">
            <v>10</v>
          </cell>
        </row>
        <row r="89">
          <cell r="M89">
            <v>10</v>
          </cell>
        </row>
        <row r="90">
          <cell r="M90">
            <v>10</v>
          </cell>
        </row>
        <row r="91">
          <cell r="M91">
            <v>10</v>
          </cell>
        </row>
        <row r="92">
          <cell r="M92">
            <v>29</v>
          </cell>
        </row>
        <row r="93">
          <cell r="M93">
            <v>106</v>
          </cell>
        </row>
        <row r="94">
          <cell r="M94">
            <v>32</v>
          </cell>
        </row>
        <row r="95">
          <cell r="M95">
            <v>11</v>
          </cell>
        </row>
        <row r="96">
          <cell r="M96">
            <v>78</v>
          </cell>
        </row>
        <row r="97">
          <cell r="M97">
            <v>47</v>
          </cell>
        </row>
      </sheetData>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TH mô hình"/>
      <sheetName val="Thượng Giáo"/>
      <sheetName val="Hoa Muc"/>
      <sheetName val="Binh Trung"/>
      <sheetName val="Nghia Ta"/>
      <sheetName val="Đong Lac"/>
      <sheetName val="Dai Sao"/>
    </sheetNames>
    <sheetDataSet>
      <sheetData sheetId="0" refreshError="1"/>
      <sheetData sheetId="1" refreshError="1">
        <row r="3">
          <cell r="D3">
            <v>179</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ổng"/>
      <sheetName val="KH 2024"/>
      <sheetName val="Sở KH(HC)"/>
      <sheetName val="TP(HC)"/>
      <sheetName val="BT (HC)"/>
      <sheetName val="BT(CT)"/>
      <sheetName val="NS (HC)"/>
      <sheetName val="BB (HC)"/>
      <sheetName val="PN (HC)"/>
      <sheetName val="CĐ (HC)"/>
      <sheetName val="NR (HC)"/>
      <sheetName val="CM(HC)"/>
      <sheetName val="BIỂU B. CTTL"/>
    </sheetNames>
    <sheetDataSet>
      <sheetData sheetId="0"/>
      <sheetData sheetId="1"/>
      <sheetData sheetId="2">
        <row r="10">
          <cell r="D10">
            <v>50</v>
          </cell>
        </row>
        <row r="49">
          <cell r="G49">
            <v>674000000</v>
          </cell>
        </row>
      </sheetData>
      <sheetData sheetId="3">
        <row r="4">
          <cell r="H4">
            <v>658000000</v>
          </cell>
        </row>
        <row r="5">
          <cell r="D5">
            <v>60</v>
          </cell>
        </row>
      </sheetData>
      <sheetData sheetId="4">
        <row r="4">
          <cell r="D4">
            <v>90</v>
          </cell>
        </row>
        <row r="19">
          <cell r="G19">
            <v>1232000000</v>
          </cell>
        </row>
      </sheetData>
      <sheetData sheetId="5">
        <row r="4">
          <cell r="D4">
            <v>50</v>
          </cell>
        </row>
        <row r="19">
          <cell r="G19">
            <v>554000000</v>
          </cell>
        </row>
      </sheetData>
      <sheetData sheetId="6">
        <row r="5">
          <cell r="I5">
            <v>2325000000</v>
          </cell>
        </row>
        <row r="6">
          <cell r="D6">
            <v>120</v>
          </cell>
        </row>
      </sheetData>
      <sheetData sheetId="7">
        <row r="4">
          <cell r="D4">
            <v>90</v>
          </cell>
        </row>
        <row r="24">
          <cell r="G24">
            <v>2190000000</v>
          </cell>
        </row>
      </sheetData>
      <sheetData sheetId="8">
        <row r="4">
          <cell r="D4">
            <v>175</v>
          </cell>
        </row>
        <row r="33">
          <cell r="G33">
            <v>3778000000</v>
          </cell>
        </row>
      </sheetData>
      <sheetData sheetId="9">
        <row r="5">
          <cell r="D5">
            <v>50</v>
          </cell>
        </row>
        <row r="31">
          <cell r="G31">
            <v>660000000</v>
          </cell>
        </row>
      </sheetData>
      <sheetData sheetId="10">
        <row r="4">
          <cell r="I4">
            <v>837000000</v>
          </cell>
        </row>
        <row r="6">
          <cell r="D6">
            <v>60</v>
          </cell>
        </row>
      </sheetData>
      <sheetData sheetId="11">
        <row r="4">
          <cell r="D4">
            <v>45</v>
          </cell>
          <cell r="J4">
            <v>412000000</v>
          </cell>
        </row>
      </sheetData>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 278 gđ 2022-2025"/>
      <sheetName val="KH 279 Năm 2023 "/>
      <sheetName val="PL1-KH 278-Trien khai"/>
      <sheetName val="PL1-KH 278-Không"/>
      <sheetName val="CDS 2024"/>
      <sheetName val="Không triển khai"/>
      <sheetName val="Su can thiet"/>
      <sheetName val="Sheet2"/>
    </sheetNames>
    <sheetDataSet>
      <sheetData sheetId="0" refreshError="1"/>
      <sheetData sheetId="1" refreshError="1"/>
      <sheetData sheetId="2" refreshError="1"/>
      <sheetData sheetId="3" refreshError="1"/>
      <sheetData sheetId="4" refreshError="1">
        <row r="4">
          <cell r="K4">
            <v>74110.558000000005</v>
          </cell>
        </row>
      </sheetData>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TH DA"/>
      <sheetName val="B2-TH ĐV"/>
      <sheetName val="B3-DA1"/>
      <sheetName val="B4-TDA1,DA3"/>
      <sheetName val="B5-TDA2,DA3"/>
      <sheetName val="B5.1-Chi tiết DAPTSX"/>
      <sheetName val="B6-DA4"/>
      <sheetName val="B7-TDA1,DA5"/>
      <sheetName val="B7-TDA2,DA5"/>
      <sheetName val="B8-TDA2, DA5"/>
      <sheetName val="B9-TDA3,DA5"/>
      <sheetName val="B10-TDA4,DA5"/>
      <sheetName val="B11-DA6"/>
      <sheetName val="B12-DA7"/>
      <sheetName val="B13-DA8"/>
      <sheetName val="B14-TDA2,DA9"/>
      <sheetName val="B15-TDA1,DA10"/>
      <sheetName val="B16-TDA2,DA10"/>
      <sheetName val="B17-TDA3,DA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6">
          <cell r="F76">
            <v>26.806891173857064</v>
          </cell>
          <cell r="G76"/>
          <cell r="H76"/>
          <cell r="I76"/>
          <cell r="J76"/>
          <cell r="K76"/>
          <cell r="L76"/>
          <cell r="M76"/>
          <cell r="N76"/>
        </row>
        <row r="77">
          <cell r="F77">
            <v>26.806891173857064</v>
          </cell>
          <cell r="G77"/>
          <cell r="H77"/>
          <cell r="I77"/>
          <cell r="J77"/>
          <cell r="K77"/>
          <cell r="L77"/>
          <cell r="M77"/>
          <cell r="N77"/>
        </row>
        <row r="79">
          <cell r="F79">
            <v>182.56152894924205</v>
          </cell>
          <cell r="G79"/>
          <cell r="H79"/>
          <cell r="I79"/>
          <cell r="J79"/>
          <cell r="K79"/>
          <cell r="L79"/>
          <cell r="M79"/>
          <cell r="N79"/>
        </row>
        <row r="80">
          <cell r="F80">
            <v>184.80154770935542</v>
          </cell>
          <cell r="G80"/>
          <cell r="H80"/>
          <cell r="I80"/>
          <cell r="J80"/>
          <cell r="K80"/>
          <cell r="L80"/>
          <cell r="M80"/>
          <cell r="N80"/>
        </row>
        <row r="81">
          <cell r="F81">
            <v>201.97502487022481</v>
          </cell>
          <cell r="G81"/>
          <cell r="H81"/>
          <cell r="I81"/>
          <cell r="J81"/>
          <cell r="K81"/>
          <cell r="L81"/>
          <cell r="M81"/>
          <cell r="N81"/>
        </row>
        <row r="82">
          <cell r="F82">
            <v>182.93486540926094</v>
          </cell>
          <cell r="G82"/>
          <cell r="H82"/>
          <cell r="I82"/>
          <cell r="J82"/>
          <cell r="K82"/>
          <cell r="L82"/>
          <cell r="M82"/>
          <cell r="N82"/>
        </row>
        <row r="83">
          <cell r="F83">
            <v>295.30913987494978</v>
          </cell>
          <cell r="G83"/>
          <cell r="H83"/>
          <cell r="I83"/>
          <cell r="J83"/>
          <cell r="K83"/>
          <cell r="L83"/>
          <cell r="M83"/>
          <cell r="N83"/>
        </row>
        <row r="84">
          <cell r="F84">
            <v>224.0018760113399</v>
          </cell>
          <cell r="G84"/>
          <cell r="H84"/>
          <cell r="I84"/>
          <cell r="J84"/>
          <cell r="K84"/>
          <cell r="L84"/>
          <cell r="M84"/>
          <cell r="N84"/>
        </row>
        <row r="85">
          <cell r="F85">
            <v>229.22858645160451</v>
          </cell>
          <cell r="G85"/>
          <cell r="H85"/>
          <cell r="I85"/>
          <cell r="J85"/>
          <cell r="K85"/>
          <cell r="L85"/>
          <cell r="M85"/>
          <cell r="N85"/>
        </row>
        <row r="86">
          <cell r="F86">
            <v>0</v>
          </cell>
          <cell r="G86"/>
          <cell r="H86"/>
          <cell r="I86"/>
          <cell r="J86"/>
          <cell r="K86"/>
          <cell r="L86"/>
          <cell r="M86"/>
          <cell r="N86"/>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guồn"/>
      <sheetName val="PB"/>
      <sheetName val="PA chi tiết"/>
      <sheetName val="1"/>
      <sheetName val="2"/>
      <sheetName val="TD1-3"/>
      <sheetName val="tIỂU DỰ ÁN 1- DA3"/>
      <sheetName val="TDA 2-3"/>
      <sheetName val="ND1-TDA 1-4"/>
      <sheetName val="ND2-TDA1-4"/>
      <sheetName val="TDA 2-4"/>
      <sheetName val="TDA3-4"/>
      <sheetName val="5"/>
      <sheetName val="TDA1-6"/>
      <sheetName val="TDA2-6"/>
      <sheetName val="7"/>
    </sheetNames>
    <sheetDataSet>
      <sheetData sheetId="0"/>
      <sheetData sheetId="1"/>
      <sheetData sheetId="2"/>
      <sheetData sheetId="3"/>
      <sheetData sheetId="4">
        <row r="8">
          <cell r="N8">
            <v>6375</v>
          </cell>
          <cell r="O8">
            <v>191</v>
          </cell>
        </row>
        <row r="9">
          <cell r="N9">
            <v>6088</v>
          </cell>
          <cell r="O9">
            <v>183</v>
          </cell>
        </row>
      </sheetData>
      <sheetData sheetId="5">
        <row r="8">
          <cell r="P8">
            <v>1505</v>
          </cell>
          <cell r="Q8">
            <v>45</v>
          </cell>
        </row>
        <row r="9">
          <cell r="P9">
            <v>4842</v>
          </cell>
          <cell r="Q9">
            <v>145</v>
          </cell>
        </row>
        <row r="11">
          <cell r="P11">
            <v>2264</v>
          </cell>
          <cell r="Q11">
            <v>68</v>
          </cell>
        </row>
        <row r="12">
          <cell r="P12">
            <v>6254</v>
          </cell>
          <cell r="Q12">
            <v>188</v>
          </cell>
        </row>
        <row r="13">
          <cell r="P13">
            <v>4882</v>
          </cell>
          <cell r="Q13">
            <v>146</v>
          </cell>
        </row>
        <row r="14">
          <cell r="P14">
            <v>5886</v>
          </cell>
          <cell r="Q14">
            <v>177</v>
          </cell>
        </row>
        <row r="15">
          <cell r="P15">
            <v>3580</v>
          </cell>
          <cell r="Q15">
            <v>107</v>
          </cell>
        </row>
        <row r="16">
          <cell r="P16">
            <v>4047</v>
          </cell>
          <cell r="Q16">
            <v>121</v>
          </cell>
        </row>
        <row r="17">
          <cell r="P17">
            <v>3905</v>
          </cell>
          <cell r="Q17">
            <v>117</v>
          </cell>
        </row>
        <row r="18">
          <cell r="P18">
            <v>5151</v>
          </cell>
          <cell r="Q18">
            <v>155</v>
          </cell>
        </row>
      </sheetData>
      <sheetData sheetId="6">
        <row r="8">
          <cell r="P8">
            <v>1749</v>
          </cell>
          <cell r="Q8">
            <v>53</v>
          </cell>
        </row>
        <row r="10">
          <cell r="P10">
            <v>991</v>
          </cell>
          <cell r="Q10">
            <v>30</v>
          </cell>
        </row>
        <row r="11">
          <cell r="P11">
            <v>2738</v>
          </cell>
          <cell r="Q11">
            <v>82</v>
          </cell>
        </row>
        <row r="12">
          <cell r="P12">
            <v>2137</v>
          </cell>
          <cell r="Q12">
            <v>64</v>
          </cell>
        </row>
        <row r="13">
          <cell r="P13">
            <v>2577</v>
          </cell>
          <cell r="Q13">
            <v>77</v>
          </cell>
        </row>
        <row r="14">
          <cell r="P14">
            <v>1567</v>
          </cell>
          <cell r="Q14">
            <v>47</v>
          </cell>
        </row>
        <row r="15">
          <cell r="P15">
            <v>1771</v>
          </cell>
          <cell r="Q15">
            <v>53</v>
          </cell>
        </row>
        <row r="16">
          <cell r="P16">
            <v>1709</v>
          </cell>
          <cell r="Q16">
            <v>51</v>
          </cell>
        </row>
        <row r="17">
          <cell r="P17">
            <v>2254</v>
          </cell>
          <cell r="Q17">
            <v>68</v>
          </cell>
        </row>
      </sheetData>
      <sheetData sheetId="7"/>
      <sheetData sheetId="8">
        <row r="9">
          <cell r="L9">
            <v>349</v>
          </cell>
          <cell r="M9">
            <v>11</v>
          </cell>
        </row>
        <row r="11">
          <cell r="L11">
            <v>321</v>
          </cell>
          <cell r="M11">
            <v>10</v>
          </cell>
        </row>
        <row r="12">
          <cell r="L12">
            <v>509</v>
          </cell>
          <cell r="M12">
            <v>16</v>
          </cell>
        </row>
        <row r="13">
          <cell r="L13">
            <v>369</v>
          </cell>
          <cell r="M13">
            <v>11</v>
          </cell>
        </row>
        <row r="14">
          <cell r="L14">
            <v>437</v>
          </cell>
          <cell r="M14">
            <v>13</v>
          </cell>
        </row>
        <row r="15">
          <cell r="L15">
            <v>369</v>
          </cell>
          <cell r="M15">
            <v>11</v>
          </cell>
        </row>
        <row r="16">
          <cell r="L16">
            <v>417</v>
          </cell>
          <cell r="M16">
            <v>12</v>
          </cell>
        </row>
        <row r="17">
          <cell r="L17">
            <v>369</v>
          </cell>
          <cell r="M17">
            <v>11</v>
          </cell>
        </row>
        <row r="18">
          <cell r="L18">
            <v>348</v>
          </cell>
          <cell r="M18">
            <v>10</v>
          </cell>
        </row>
      </sheetData>
      <sheetData sheetId="9">
        <row r="9">
          <cell r="M9">
            <v>1200</v>
          </cell>
          <cell r="N9">
            <v>36</v>
          </cell>
        </row>
        <row r="10">
          <cell r="M10"/>
          <cell r="N10"/>
        </row>
        <row r="11">
          <cell r="M11">
            <v>1200</v>
          </cell>
          <cell r="N11">
            <v>36</v>
          </cell>
        </row>
        <row r="12">
          <cell r="M12"/>
          <cell r="N12"/>
        </row>
        <row r="13">
          <cell r="M13"/>
          <cell r="N13"/>
        </row>
        <row r="14">
          <cell r="M14"/>
          <cell r="N14"/>
        </row>
        <row r="15">
          <cell r="M15"/>
          <cell r="N15"/>
        </row>
        <row r="16">
          <cell r="M16">
            <v>9599</v>
          </cell>
          <cell r="N16">
            <v>289</v>
          </cell>
        </row>
      </sheetData>
      <sheetData sheetId="10">
        <row r="8">
          <cell r="P8">
            <v>1274</v>
          </cell>
          <cell r="Q8">
            <v>38</v>
          </cell>
        </row>
        <row r="9">
          <cell r="P9">
            <v>2491</v>
          </cell>
          <cell r="Q9">
            <v>75</v>
          </cell>
        </row>
        <row r="10">
          <cell r="P10">
            <v>2229</v>
          </cell>
          <cell r="Q10">
            <v>67</v>
          </cell>
        </row>
        <row r="11">
          <cell r="P11">
            <v>2349</v>
          </cell>
          <cell r="Q11">
            <v>70</v>
          </cell>
        </row>
        <row r="12">
          <cell r="P12">
            <v>2017</v>
          </cell>
          <cell r="Q12">
            <v>60</v>
          </cell>
        </row>
        <row r="13">
          <cell r="P13">
            <v>2194</v>
          </cell>
          <cell r="Q13">
            <v>66</v>
          </cell>
        </row>
        <row r="14">
          <cell r="P14">
            <v>2159</v>
          </cell>
          <cell r="Q14">
            <v>65</v>
          </cell>
        </row>
        <row r="15">
          <cell r="P15">
            <v>2265</v>
          </cell>
          <cell r="Q15">
            <v>68</v>
          </cell>
        </row>
      </sheetData>
      <sheetData sheetId="11">
        <row r="8">
          <cell r="L8">
            <v>302</v>
          </cell>
          <cell r="M8">
            <v>9</v>
          </cell>
        </row>
        <row r="10">
          <cell r="L10">
            <v>708</v>
          </cell>
          <cell r="M10">
            <v>21</v>
          </cell>
        </row>
        <row r="11">
          <cell r="L11">
            <v>666</v>
          </cell>
          <cell r="M11">
            <v>20</v>
          </cell>
        </row>
      </sheetData>
      <sheetData sheetId="12">
        <row r="8">
          <cell r="L8">
            <v>633</v>
          </cell>
          <cell r="M8">
            <v>19</v>
          </cell>
        </row>
        <row r="10">
          <cell r="L10">
            <v>502</v>
          </cell>
          <cell r="M10">
            <v>15</v>
          </cell>
        </row>
        <row r="11">
          <cell r="L11">
            <v>866</v>
          </cell>
          <cell r="M11">
            <v>26</v>
          </cell>
        </row>
        <row r="12">
          <cell r="L12">
            <v>941</v>
          </cell>
          <cell r="M12">
            <v>28</v>
          </cell>
        </row>
        <row r="13">
          <cell r="L13">
            <v>815</v>
          </cell>
          <cell r="M13">
            <v>25</v>
          </cell>
        </row>
        <row r="14">
          <cell r="L14">
            <v>561</v>
          </cell>
          <cell r="M14">
            <v>17</v>
          </cell>
        </row>
        <row r="15">
          <cell r="L15">
            <v>690</v>
          </cell>
          <cell r="M15">
            <v>21</v>
          </cell>
        </row>
        <row r="16">
          <cell r="L16">
            <v>612</v>
          </cell>
          <cell r="M16">
            <v>18</v>
          </cell>
        </row>
        <row r="17">
          <cell r="L17">
            <v>713</v>
          </cell>
          <cell r="M17">
            <v>21</v>
          </cell>
        </row>
      </sheetData>
      <sheetData sheetId="13">
        <row r="6">
          <cell r="C6">
            <v>5344</v>
          </cell>
          <cell r="D6">
            <v>160</v>
          </cell>
        </row>
        <row r="7">
          <cell r="C7">
            <v>5651</v>
          </cell>
          <cell r="D7">
            <v>170</v>
          </cell>
        </row>
      </sheetData>
      <sheetData sheetId="14">
        <row r="10">
          <cell r="N10">
            <v>89</v>
          </cell>
          <cell r="O10">
            <v>2</v>
          </cell>
        </row>
        <row r="11">
          <cell r="N11">
            <v>255</v>
          </cell>
          <cell r="O11">
            <v>8</v>
          </cell>
        </row>
        <row r="12">
          <cell r="N12">
            <v>291</v>
          </cell>
          <cell r="O12">
            <v>9</v>
          </cell>
        </row>
        <row r="14">
          <cell r="N14">
            <v>4957</v>
          </cell>
          <cell r="O14">
            <v>149</v>
          </cell>
        </row>
        <row r="16">
          <cell r="N16">
            <v>60</v>
          </cell>
          <cell r="O16">
            <v>2</v>
          </cell>
        </row>
        <row r="17">
          <cell r="N17">
            <v>143</v>
          </cell>
          <cell r="O17">
            <v>4</v>
          </cell>
        </row>
        <row r="18">
          <cell r="N18">
            <v>130</v>
          </cell>
          <cell r="O18">
            <v>4</v>
          </cell>
        </row>
        <row r="19">
          <cell r="N19">
            <v>134</v>
          </cell>
          <cell r="O19">
            <v>4</v>
          </cell>
        </row>
        <row r="20">
          <cell r="N20">
            <v>95</v>
          </cell>
          <cell r="O20">
            <v>3</v>
          </cell>
        </row>
        <row r="21">
          <cell r="N21">
            <v>107</v>
          </cell>
          <cell r="O21">
            <v>3</v>
          </cell>
        </row>
        <row r="22">
          <cell r="N22">
            <v>104</v>
          </cell>
          <cell r="O22">
            <v>3</v>
          </cell>
        </row>
        <row r="23">
          <cell r="N23">
            <v>137</v>
          </cell>
          <cell r="O23">
            <v>4</v>
          </cell>
        </row>
      </sheetData>
      <sheetData sheetId="15">
        <row r="9">
          <cell r="N9">
            <v>569</v>
          </cell>
          <cell r="O9">
            <v>17</v>
          </cell>
        </row>
        <row r="10">
          <cell r="N10">
            <v>286</v>
          </cell>
          <cell r="O10">
            <v>9</v>
          </cell>
        </row>
        <row r="12">
          <cell r="N12">
            <v>105</v>
          </cell>
          <cell r="O12">
            <v>3</v>
          </cell>
        </row>
        <row r="13">
          <cell r="N13">
            <v>250</v>
          </cell>
          <cell r="O13">
            <v>8</v>
          </cell>
        </row>
        <row r="14">
          <cell r="N14">
            <v>226</v>
          </cell>
          <cell r="O14">
            <v>7</v>
          </cell>
        </row>
        <row r="15">
          <cell r="N15">
            <v>235</v>
          </cell>
          <cell r="O15">
            <v>7</v>
          </cell>
        </row>
        <row r="16">
          <cell r="N16">
            <v>166</v>
          </cell>
          <cell r="O16">
            <v>5</v>
          </cell>
        </row>
        <row r="17">
          <cell r="N17">
            <v>187</v>
          </cell>
          <cell r="O17">
            <v>6</v>
          </cell>
        </row>
        <row r="18">
          <cell r="N18">
            <v>181</v>
          </cell>
          <cell r="O18">
            <v>5</v>
          </cell>
        </row>
        <row r="19">
          <cell r="N19">
            <v>239</v>
          </cell>
          <cell r="O19">
            <v>7</v>
          </cell>
        </row>
      </sheetData>
      <sheetData sheetId="16">
        <row r="8">
          <cell r="P8">
            <v>1048</v>
          </cell>
          <cell r="Q8">
            <v>760</v>
          </cell>
          <cell r="R8">
            <v>30</v>
          </cell>
          <cell r="S8">
            <v>22</v>
          </cell>
        </row>
        <row r="9">
          <cell r="P9">
            <v>49</v>
          </cell>
          <cell r="R9">
            <v>2</v>
          </cell>
        </row>
        <row r="10">
          <cell r="P10">
            <v>364</v>
          </cell>
          <cell r="Q10">
            <v>71</v>
          </cell>
          <cell r="R10">
            <v>11</v>
          </cell>
          <cell r="S10">
            <v>2</v>
          </cell>
        </row>
        <row r="11">
          <cell r="P11">
            <v>0</v>
          </cell>
          <cell r="Q11">
            <v>58</v>
          </cell>
          <cell r="R11">
            <v>0</v>
          </cell>
          <cell r="S11">
            <v>2</v>
          </cell>
        </row>
        <row r="12">
          <cell r="P12">
            <v>82</v>
          </cell>
          <cell r="Q12">
            <v>19</v>
          </cell>
          <cell r="R12">
            <v>3</v>
          </cell>
          <cell r="S12">
            <v>1</v>
          </cell>
        </row>
        <row r="13">
          <cell r="Q13">
            <v>19</v>
          </cell>
          <cell r="S13">
            <v>1</v>
          </cell>
        </row>
        <row r="15">
          <cell r="P15">
            <v>306</v>
          </cell>
          <cell r="Q15">
            <v>184</v>
          </cell>
          <cell r="R15">
            <v>9</v>
          </cell>
          <cell r="S15">
            <v>5</v>
          </cell>
        </row>
        <row r="16">
          <cell r="P16">
            <v>727</v>
          </cell>
          <cell r="Q16">
            <v>437</v>
          </cell>
          <cell r="R16">
            <v>22</v>
          </cell>
          <cell r="S16">
            <v>13</v>
          </cell>
        </row>
        <row r="17">
          <cell r="P17">
            <v>659</v>
          </cell>
          <cell r="Q17">
            <v>396</v>
          </cell>
          <cell r="R17">
            <v>20</v>
          </cell>
          <cell r="S17">
            <v>12</v>
          </cell>
        </row>
        <row r="18">
          <cell r="P18">
            <v>684</v>
          </cell>
          <cell r="Q18">
            <v>412</v>
          </cell>
          <cell r="R18">
            <v>20</v>
          </cell>
          <cell r="S18">
            <v>12</v>
          </cell>
        </row>
        <row r="19">
          <cell r="P19">
            <v>483</v>
          </cell>
          <cell r="Q19">
            <v>290</v>
          </cell>
          <cell r="R19">
            <v>15</v>
          </cell>
          <cell r="S19">
            <v>9</v>
          </cell>
        </row>
        <row r="20">
          <cell r="P20">
            <v>546</v>
          </cell>
          <cell r="Q20">
            <v>328</v>
          </cell>
          <cell r="R20">
            <v>16</v>
          </cell>
          <cell r="S20">
            <v>10</v>
          </cell>
        </row>
        <row r="21">
          <cell r="P21">
            <v>527</v>
          </cell>
          <cell r="Q21">
            <v>317</v>
          </cell>
          <cell r="R21">
            <v>16</v>
          </cell>
          <cell r="S21">
            <v>9</v>
          </cell>
        </row>
        <row r="22">
          <cell r="P22">
            <v>695</v>
          </cell>
          <cell r="Q22">
            <v>418</v>
          </cell>
          <cell r="R22">
            <v>21</v>
          </cell>
          <cell r="S22">
            <v>13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yết minh chi tiết"/>
      <sheetName val="0 1"/>
      <sheetName val="01"/>
      <sheetName val="02"/>
      <sheetName val="Mục 1"/>
      <sheetName val="PA Chi tiết"/>
      <sheetName val="Mục 2"/>
      <sheetName val="Mục 3"/>
      <sheetName val="Mục 4"/>
      <sheetName val="Mục 5"/>
      <sheetName val="Mục 6"/>
      <sheetName val="Mục 7"/>
      <sheetName val="Mục 8"/>
      <sheetName val="Mục 9"/>
      <sheetName val="Mục 10"/>
      <sheetName val="Mục 11"/>
    </sheetNames>
    <sheetDataSet>
      <sheetData sheetId="0"/>
      <sheetData sheetId="1"/>
      <sheetData sheetId="2"/>
      <sheetData sheetId="3"/>
      <sheetData sheetId="4"/>
      <sheetData sheetId="5"/>
      <sheetData sheetId="6">
        <row r="10">
          <cell r="D10">
            <v>126</v>
          </cell>
          <cell r="E10">
            <v>6</v>
          </cell>
        </row>
        <row r="13">
          <cell r="D13">
            <v>333</v>
          </cell>
          <cell r="E13">
            <v>17</v>
          </cell>
        </row>
        <row r="14">
          <cell r="D14">
            <v>333</v>
          </cell>
          <cell r="E14">
            <v>17</v>
          </cell>
        </row>
        <row r="15">
          <cell r="D15">
            <v>1715</v>
          </cell>
          <cell r="E15">
            <v>85</v>
          </cell>
        </row>
        <row r="16">
          <cell r="D16">
            <v>667</v>
          </cell>
          <cell r="E16">
            <v>33</v>
          </cell>
        </row>
        <row r="17">
          <cell r="D17">
            <v>0</v>
          </cell>
          <cell r="E17">
            <v>0</v>
          </cell>
        </row>
        <row r="18">
          <cell r="D18">
            <v>333</v>
          </cell>
          <cell r="E18">
            <v>17</v>
          </cell>
        </row>
        <row r="19">
          <cell r="D19">
            <v>333</v>
          </cell>
          <cell r="E19">
            <v>17</v>
          </cell>
        </row>
      </sheetData>
      <sheetData sheetId="7">
        <row r="12">
          <cell r="D12">
            <v>1244</v>
          </cell>
          <cell r="E12">
            <v>63</v>
          </cell>
        </row>
        <row r="13">
          <cell r="D13">
            <v>28</v>
          </cell>
          <cell r="E13">
            <v>2</v>
          </cell>
        </row>
        <row r="14">
          <cell r="D14">
            <v>220</v>
          </cell>
          <cell r="E14">
            <v>11</v>
          </cell>
        </row>
        <row r="16">
          <cell r="D16">
            <v>0</v>
          </cell>
          <cell r="E16">
            <v>0</v>
          </cell>
        </row>
        <row r="17">
          <cell r="D17">
            <v>524</v>
          </cell>
          <cell r="E17">
            <v>26</v>
          </cell>
        </row>
        <row r="19">
          <cell r="D19">
            <v>2548</v>
          </cell>
          <cell r="E19">
            <v>127</v>
          </cell>
        </row>
        <row r="20">
          <cell r="D20">
            <v>965</v>
          </cell>
          <cell r="E20">
            <v>47</v>
          </cell>
        </row>
        <row r="21">
          <cell r="D21">
            <v>4835</v>
          </cell>
          <cell r="E21">
            <v>242</v>
          </cell>
        </row>
        <row r="22">
          <cell r="D22">
            <v>714</v>
          </cell>
          <cell r="E22">
            <v>36</v>
          </cell>
        </row>
        <row r="23">
          <cell r="D23">
            <v>238</v>
          </cell>
          <cell r="E23">
            <v>12</v>
          </cell>
        </row>
        <row r="24">
          <cell r="D24">
            <v>390</v>
          </cell>
          <cell r="E24">
            <v>20</v>
          </cell>
        </row>
        <row r="25">
          <cell r="D25">
            <v>429</v>
          </cell>
          <cell r="E25">
            <v>21</v>
          </cell>
        </row>
        <row r="26">
          <cell r="D26">
            <v>1231</v>
          </cell>
          <cell r="E26">
            <v>61</v>
          </cell>
        </row>
      </sheetData>
      <sheetData sheetId="8">
        <row r="11">
          <cell r="D11">
            <v>50</v>
          </cell>
          <cell r="E11">
            <v>2</v>
          </cell>
        </row>
        <row r="13">
          <cell r="D13">
            <v>0</v>
          </cell>
          <cell r="E13">
            <v>0</v>
          </cell>
        </row>
      </sheetData>
      <sheetData sheetId="9">
        <row r="10">
          <cell r="D10">
            <v>228</v>
          </cell>
          <cell r="E10">
            <v>12</v>
          </cell>
        </row>
        <row r="11">
          <cell r="D11">
            <v>57</v>
          </cell>
          <cell r="E11">
            <v>3</v>
          </cell>
        </row>
        <row r="12">
          <cell r="D12">
            <v>76</v>
          </cell>
          <cell r="E12">
            <v>4</v>
          </cell>
        </row>
        <row r="13">
          <cell r="D13">
            <v>534</v>
          </cell>
          <cell r="E13">
            <v>26</v>
          </cell>
        </row>
        <row r="14">
          <cell r="D14">
            <v>152</v>
          </cell>
          <cell r="E14">
            <v>8</v>
          </cell>
        </row>
      </sheetData>
      <sheetData sheetId="10">
        <row r="12">
          <cell r="D12">
            <v>286</v>
          </cell>
          <cell r="E12">
            <v>14</v>
          </cell>
        </row>
        <row r="13">
          <cell r="D13">
            <v>0</v>
          </cell>
          <cell r="E13">
            <v>0</v>
          </cell>
        </row>
        <row r="15">
          <cell r="D15">
            <v>47</v>
          </cell>
          <cell r="E15">
            <v>3</v>
          </cell>
        </row>
        <row r="16">
          <cell r="D16">
            <v>0</v>
          </cell>
          <cell r="E16">
            <v>0</v>
          </cell>
        </row>
        <row r="17">
          <cell r="D17">
            <v>0</v>
          </cell>
          <cell r="E17">
            <v>0</v>
          </cell>
        </row>
        <row r="18">
          <cell r="D18">
            <v>0</v>
          </cell>
          <cell r="E18">
            <v>0</v>
          </cell>
        </row>
        <row r="19">
          <cell r="D19">
            <v>743</v>
          </cell>
          <cell r="E19">
            <v>37</v>
          </cell>
        </row>
        <row r="20">
          <cell r="D20">
            <v>0</v>
          </cell>
          <cell r="E20">
            <v>0</v>
          </cell>
        </row>
        <row r="21">
          <cell r="D21">
            <v>2381</v>
          </cell>
          <cell r="E21">
            <v>119</v>
          </cell>
        </row>
      </sheetData>
      <sheetData sheetId="11">
        <row r="12">
          <cell r="D12">
            <v>372</v>
          </cell>
          <cell r="E12">
            <v>18</v>
          </cell>
        </row>
        <row r="13">
          <cell r="D13">
            <v>476</v>
          </cell>
          <cell r="E13">
            <v>24</v>
          </cell>
        </row>
        <row r="14">
          <cell r="D14">
            <v>152</v>
          </cell>
          <cell r="E14">
            <v>8</v>
          </cell>
        </row>
      </sheetData>
      <sheetData sheetId="12">
        <row r="12">
          <cell r="D12">
            <v>267</v>
          </cell>
          <cell r="E12">
            <v>13</v>
          </cell>
        </row>
        <row r="13">
          <cell r="D13">
            <v>143</v>
          </cell>
          <cell r="E13">
            <v>7</v>
          </cell>
        </row>
        <row r="14">
          <cell r="D14">
            <v>84</v>
          </cell>
          <cell r="E14">
            <v>4</v>
          </cell>
        </row>
        <row r="15">
          <cell r="D15">
            <v>187</v>
          </cell>
          <cell r="E15">
            <v>9</v>
          </cell>
        </row>
        <row r="17">
          <cell r="D17">
            <v>28</v>
          </cell>
          <cell r="E17">
            <v>2</v>
          </cell>
        </row>
        <row r="18">
          <cell r="D18">
            <v>0</v>
          </cell>
          <cell r="E18">
            <v>0</v>
          </cell>
        </row>
        <row r="19">
          <cell r="D19">
            <v>47</v>
          </cell>
          <cell r="E19">
            <v>3</v>
          </cell>
        </row>
        <row r="20">
          <cell r="D20">
            <v>10</v>
          </cell>
          <cell r="E20">
            <v>0</v>
          </cell>
        </row>
        <row r="21">
          <cell r="D21">
            <v>24</v>
          </cell>
          <cell r="E21">
            <v>1</v>
          </cell>
        </row>
        <row r="22">
          <cell r="D22">
            <v>28</v>
          </cell>
          <cell r="E22">
            <v>2</v>
          </cell>
        </row>
        <row r="23">
          <cell r="D23">
            <v>14</v>
          </cell>
          <cell r="E23">
            <v>1</v>
          </cell>
        </row>
        <row r="24">
          <cell r="D24">
            <v>0</v>
          </cell>
        </row>
      </sheetData>
      <sheetData sheetId="13">
        <row r="10">
          <cell r="E10">
            <v>28</v>
          </cell>
          <cell r="G10">
            <v>563</v>
          </cell>
        </row>
      </sheetData>
      <sheetData sheetId="14">
        <row r="12">
          <cell r="D12">
            <v>1458</v>
          </cell>
          <cell r="E12">
            <v>72</v>
          </cell>
        </row>
        <row r="13">
          <cell r="D13">
            <v>52</v>
          </cell>
          <cell r="E13">
            <v>3</v>
          </cell>
        </row>
        <row r="14">
          <cell r="D14">
            <v>14</v>
          </cell>
          <cell r="E14">
            <v>1</v>
          </cell>
        </row>
        <row r="15">
          <cell r="D15">
            <v>14</v>
          </cell>
          <cell r="E15">
            <v>1</v>
          </cell>
        </row>
        <row r="16">
          <cell r="D16">
            <v>10</v>
          </cell>
          <cell r="E16">
            <v>0</v>
          </cell>
        </row>
        <row r="17">
          <cell r="D17">
            <v>14</v>
          </cell>
          <cell r="E17">
            <v>1</v>
          </cell>
        </row>
        <row r="18">
          <cell r="D18">
            <v>10</v>
          </cell>
          <cell r="E18">
            <v>0</v>
          </cell>
        </row>
        <row r="19">
          <cell r="D19">
            <v>14</v>
          </cell>
          <cell r="E19">
            <v>1</v>
          </cell>
        </row>
        <row r="20">
          <cell r="D20">
            <v>10</v>
          </cell>
          <cell r="E20">
            <v>0</v>
          </cell>
        </row>
        <row r="21">
          <cell r="D21">
            <v>14</v>
          </cell>
          <cell r="E21">
            <v>1</v>
          </cell>
        </row>
        <row r="22">
          <cell r="D22">
            <v>14</v>
          </cell>
          <cell r="E22">
            <v>1</v>
          </cell>
        </row>
        <row r="23">
          <cell r="D23">
            <v>14</v>
          </cell>
          <cell r="E23">
            <v>1</v>
          </cell>
        </row>
        <row r="24">
          <cell r="D24">
            <v>14</v>
          </cell>
          <cell r="E24">
            <v>1</v>
          </cell>
        </row>
        <row r="25">
          <cell r="D25">
            <v>14</v>
          </cell>
          <cell r="E25">
            <v>1</v>
          </cell>
        </row>
        <row r="26">
          <cell r="D26">
            <v>14</v>
          </cell>
          <cell r="E26">
            <v>1</v>
          </cell>
        </row>
        <row r="27">
          <cell r="D27">
            <v>14</v>
          </cell>
          <cell r="E27">
            <v>1</v>
          </cell>
        </row>
        <row r="28">
          <cell r="D28">
            <v>14</v>
          </cell>
          <cell r="E28">
            <v>1</v>
          </cell>
        </row>
        <row r="29">
          <cell r="D29">
            <v>10</v>
          </cell>
          <cell r="E29">
            <v>0</v>
          </cell>
        </row>
        <row r="30">
          <cell r="D30">
            <v>14</v>
          </cell>
          <cell r="E30">
            <v>1</v>
          </cell>
        </row>
        <row r="31">
          <cell r="D31">
            <v>14</v>
          </cell>
          <cell r="E31">
            <v>1</v>
          </cell>
        </row>
        <row r="32">
          <cell r="D32">
            <v>10</v>
          </cell>
          <cell r="E32">
            <v>0</v>
          </cell>
        </row>
        <row r="33">
          <cell r="D33">
            <v>76</v>
          </cell>
          <cell r="E33">
            <v>4</v>
          </cell>
        </row>
        <row r="35">
          <cell r="D35">
            <v>100</v>
          </cell>
          <cell r="E35">
            <v>5</v>
          </cell>
        </row>
        <row r="36">
          <cell r="D36">
            <v>105</v>
          </cell>
          <cell r="E36">
            <v>5</v>
          </cell>
        </row>
        <row r="37">
          <cell r="D37">
            <v>100</v>
          </cell>
          <cell r="E37">
            <v>5</v>
          </cell>
        </row>
        <row r="38">
          <cell r="D38">
            <v>72</v>
          </cell>
          <cell r="E38">
            <v>3</v>
          </cell>
        </row>
        <row r="39">
          <cell r="D39">
            <v>86</v>
          </cell>
          <cell r="E39">
            <v>4</v>
          </cell>
        </row>
        <row r="40">
          <cell r="D40">
            <v>57</v>
          </cell>
          <cell r="E40">
            <v>3</v>
          </cell>
        </row>
        <row r="41">
          <cell r="D41">
            <v>53</v>
          </cell>
          <cell r="E41">
            <v>2</v>
          </cell>
        </row>
        <row r="42">
          <cell r="D42">
            <v>47</v>
          </cell>
          <cell r="E42">
            <v>3</v>
          </cell>
        </row>
      </sheetData>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SGV"/>
      <sheetName val="SGV_2"/>
      <sheetName val="2024"/>
      <sheetName val="Chuyển tiếp"/>
      <sheetName val="Sheet3"/>
    </sheetNames>
    <sheetDataSet>
      <sheetData sheetId="0"/>
      <sheetData sheetId="1"/>
      <sheetData sheetId="2"/>
      <sheetData sheetId="3"/>
      <sheetData sheetId="4"/>
      <sheetData sheetId="5">
        <row r="4">
          <cell r="D4" t="str">
            <v>Diện tích (Quy đổi tương đương 1.000 cây/ha)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P37"/>
  <sheetViews>
    <sheetView topLeftCell="A6" zoomScale="85" zoomScaleNormal="85" zoomScaleSheetLayoutView="48" zoomScalePageLayoutView="55" workbookViewId="0">
      <pane xSplit="2" ySplit="2" topLeftCell="C8" activePane="bottomRight" state="frozen"/>
      <selection activeCell="A6" sqref="A6"/>
      <selection pane="topRight" activeCell="C6" sqref="C6"/>
      <selection pane="bottomLeft" activeCell="A8" sqref="A8"/>
      <selection pane="bottomRight" activeCell="B8" sqref="B8"/>
    </sheetView>
  </sheetViews>
  <sheetFormatPr defaultColWidth="9" defaultRowHeight="18.75" x14ac:dyDescent="0.25"/>
  <cols>
    <col min="1" max="1" width="7.25" style="373" customWidth="1"/>
    <col min="2" max="2" width="67.625" style="373" customWidth="1"/>
    <col min="3" max="3" width="20.75" style="374" customWidth="1"/>
    <col min="4" max="12" width="15.25" style="374" customWidth="1"/>
    <col min="13" max="13" width="24.625" style="373" customWidth="1"/>
    <col min="14" max="14" width="14.625" style="373" bestFit="1" customWidth="1"/>
    <col min="15" max="16384" width="9" style="373"/>
  </cols>
  <sheetData>
    <row r="1" spans="1:16" ht="29.25" customHeight="1" x14ac:dyDescent="0.25">
      <c r="A1" s="369"/>
      <c r="B1" s="369"/>
      <c r="C1" s="370"/>
      <c r="D1" s="370"/>
      <c r="E1" s="370"/>
      <c r="F1" s="370"/>
      <c r="G1" s="369"/>
      <c r="H1" s="369"/>
      <c r="I1" s="369"/>
      <c r="J1" s="369"/>
      <c r="K1" s="1001" t="s">
        <v>263</v>
      </c>
      <c r="L1" s="1001"/>
      <c r="M1" s="1001"/>
    </row>
    <row r="2" spans="1:16" ht="58.5" customHeight="1" x14ac:dyDescent="0.25">
      <c r="A2" s="1006" t="s">
        <v>262</v>
      </c>
      <c r="B2" s="1006"/>
      <c r="C2" s="1006"/>
      <c r="D2" s="1006"/>
      <c r="E2" s="1006"/>
      <c r="F2" s="1006"/>
      <c r="G2" s="1006"/>
      <c r="H2" s="1006"/>
      <c r="I2" s="1006"/>
      <c r="J2" s="1006"/>
      <c r="K2" s="1006"/>
      <c r="L2" s="1006"/>
      <c r="M2" s="1006"/>
    </row>
    <row r="3" spans="1:16" ht="31.5" customHeight="1" x14ac:dyDescent="0.25">
      <c r="A3" s="1007" t="str">
        <f>'B5-TDA2,DA3'!A4:H4</f>
        <v>(Kèm theo Tờ trình số:          /TTr-UBND ngày          tháng 11 năm 2022 của UBND tỉnh)</v>
      </c>
      <c r="B3" s="1008"/>
      <c r="C3" s="1008"/>
      <c r="D3" s="1008"/>
      <c r="E3" s="1008"/>
      <c r="F3" s="1008"/>
      <c r="G3" s="1008"/>
      <c r="H3" s="1008"/>
      <c r="I3" s="1008"/>
      <c r="J3" s="1008"/>
      <c r="K3" s="1008"/>
      <c r="L3" s="1008"/>
      <c r="M3" s="1008"/>
    </row>
    <row r="4" spans="1:16" s="371" customFormat="1" x14ac:dyDescent="0.25">
      <c r="C4" s="372"/>
      <c r="D4" s="372"/>
      <c r="E4" s="372"/>
      <c r="F4" s="372"/>
      <c r="G4" s="372"/>
      <c r="H4" s="372"/>
      <c r="I4" s="372"/>
      <c r="J4" s="372"/>
      <c r="K4" s="372"/>
      <c r="L4" s="372"/>
    </row>
    <row r="5" spans="1:16" ht="23.25" customHeight="1" x14ac:dyDescent="0.25">
      <c r="K5" s="1010" t="s">
        <v>0</v>
      </c>
      <c r="L5" s="1010"/>
      <c r="M5" s="1010"/>
    </row>
    <row r="6" spans="1:16" s="337" customFormat="1" ht="33.75" customHeight="1" x14ac:dyDescent="0.25">
      <c r="A6" s="1002" t="s">
        <v>1</v>
      </c>
      <c r="B6" s="1002" t="s">
        <v>2</v>
      </c>
      <c r="C6" s="1002" t="s">
        <v>252</v>
      </c>
      <c r="D6" s="1011" t="s">
        <v>253</v>
      </c>
      <c r="E6" s="1012"/>
      <c r="F6" s="1013"/>
      <c r="G6" s="1009" t="s">
        <v>255</v>
      </c>
      <c r="H6" s="1009"/>
      <c r="I6" s="1009"/>
      <c r="J6" s="1009" t="s">
        <v>256</v>
      </c>
      <c r="K6" s="1009"/>
      <c r="L6" s="1009"/>
      <c r="M6" s="1004" t="s">
        <v>3</v>
      </c>
    </row>
    <row r="7" spans="1:16" s="337" customFormat="1" ht="51" customHeight="1" x14ac:dyDescent="0.25">
      <c r="A7" s="1003"/>
      <c r="B7" s="1003"/>
      <c r="C7" s="1003"/>
      <c r="D7" s="375" t="s">
        <v>33</v>
      </c>
      <c r="E7" s="375" t="s">
        <v>160</v>
      </c>
      <c r="F7" s="375" t="s">
        <v>254</v>
      </c>
      <c r="G7" s="375" t="s">
        <v>33</v>
      </c>
      <c r="H7" s="375" t="s">
        <v>160</v>
      </c>
      <c r="I7" s="375" t="s">
        <v>254</v>
      </c>
      <c r="J7" s="375" t="s">
        <v>33</v>
      </c>
      <c r="K7" s="375" t="s">
        <v>160</v>
      </c>
      <c r="L7" s="375" t="s">
        <v>254</v>
      </c>
      <c r="M7" s="1005"/>
    </row>
    <row r="8" spans="1:16" s="427" customFormat="1" ht="25.5" customHeight="1" x14ac:dyDescent="0.25">
      <c r="A8" s="426">
        <v>1</v>
      </c>
      <c r="B8" s="426">
        <v>2</v>
      </c>
      <c r="C8" s="426">
        <v>3</v>
      </c>
      <c r="D8" s="426" t="s">
        <v>257</v>
      </c>
      <c r="E8" s="426">
        <v>5</v>
      </c>
      <c r="F8" s="426">
        <v>6</v>
      </c>
      <c r="G8" s="426" t="s">
        <v>258</v>
      </c>
      <c r="H8" s="426">
        <v>8</v>
      </c>
      <c r="I8" s="426">
        <v>9</v>
      </c>
      <c r="J8" s="426" t="s">
        <v>259</v>
      </c>
      <c r="K8" s="426" t="s">
        <v>260</v>
      </c>
      <c r="L8" s="426" t="s">
        <v>261</v>
      </c>
      <c r="M8" s="426">
        <v>13</v>
      </c>
    </row>
    <row r="9" spans="1:16" s="380" customFormat="1" ht="33" customHeight="1" x14ac:dyDescent="0.25">
      <c r="A9" s="376"/>
      <c r="B9" s="377" t="s">
        <v>6</v>
      </c>
      <c r="C9" s="378"/>
      <c r="D9" s="417">
        <f>D10+D13+D18+D20+D25+D26+D27+D28+D31</f>
        <v>396125.74730000005</v>
      </c>
      <c r="E9" s="417">
        <f t="shared" ref="E9:L9" si="0">E10+E13+E18+E20+E25+E26+E27+E28+E31</f>
        <v>377235</v>
      </c>
      <c r="F9" s="417">
        <f t="shared" si="0"/>
        <v>18890.747300000003</v>
      </c>
      <c r="G9" s="417">
        <f t="shared" si="0"/>
        <v>316291.74329220003</v>
      </c>
      <c r="H9" s="417">
        <f t="shared" si="0"/>
        <v>305066.13400000002</v>
      </c>
      <c r="I9" s="417">
        <f t="shared" si="0"/>
        <v>11225.609292200001</v>
      </c>
      <c r="J9" s="417">
        <f t="shared" si="0"/>
        <v>79834.004007800002</v>
      </c>
      <c r="K9" s="417">
        <f t="shared" si="0"/>
        <v>72168.866000000009</v>
      </c>
      <c r="L9" s="417">
        <f t="shared" si="0"/>
        <v>7665.1380078000002</v>
      </c>
      <c r="M9" s="384"/>
      <c r="N9" s="424"/>
      <c r="O9" s="379"/>
      <c r="P9" s="379"/>
    </row>
    <row r="10" spans="1:16" s="380" customFormat="1" ht="46.5" customHeight="1" x14ac:dyDescent="0.25">
      <c r="A10" s="376">
        <v>1</v>
      </c>
      <c r="B10" s="381" t="s">
        <v>7</v>
      </c>
      <c r="C10" s="382" t="s">
        <v>239</v>
      </c>
      <c r="D10" s="417">
        <f>SUM(D11:D12)</f>
        <v>18830</v>
      </c>
      <c r="E10" s="417">
        <f t="shared" ref="E10:L10" si="1">SUM(E11:E12)</f>
        <v>17933</v>
      </c>
      <c r="F10" s="417">
        <f t="shared" si="1"/>
        <v>897</v>
      </c>
      <c r="G10" s="417">
        <f t="shared" si="1"/>
        <v>18830</v>
      </c>
      <c r="H10" s="417">
        <f t="shared" si="1"/>
        <v>17933</v>
      </c>
      <c r="I10" s="417">
        <f t="shared" si="1"/>
        <v>897</v>
      </c>
      <c r="J10" s="413">
        <f t="shared" si="1"/>
        <v>0</v>
      </c>
      <c r="K10" s="413">
        <f t="shared" si="1"/>
        <v>0</v>
      </c>
      <c r="L10" s="413">
        <f t="shared" si="1"/>
        <v>0</v>
      </c>
      <c r="M10" s="416" t="s">
        <v>299</v>
      </c>
      <c r="N10" s="395"/>
    </row>
    <row r="11" spans="1:16" ht="32.25" customHeight="1" x14ac:dyDescent="0.25">
      <c r="A11" s="383" t="s">
        <v>8</v>
      </c>
      <c r="B11" s="384" t="s">
        <v>9</v>
      </c>
      <c r="C11" s="382"/>
      <c r="D11" s="414">
        <f>SUM(E11:F11)</f>
        <v>7282.7632490169617</v>
      </c>
      <c r="E11" s="414">
        <f>'B3-DA1'!D24</f>
        <v>6935.7632490169617</v>
      </c>
      <c r="F11" s="414">
        <f>'B3-DA1'!D27</f>
        <v>347</v>
      </c>
      <c r="G11" s="414">
        <f>SUM(H11:I11)</f>
        <v>7282.7632490169617</v>
      </c>
      <c r="H11" s="414">
        <f>E11</f>
        <v>6935.7632490169617</v>
      </c>
      <c r="I11" s="414">
        <f>F11</f>
        <v>347</v>
      </c>
      <c r="J11" s="416">
        <f>SUM(K11:L11)</f>
        <v>0</v>
      </c>
      <c r="K11" s="416">
        <f>E11-H11</f>
        <v>0</v>
      </c>
      <c r="L11" s="416">
        <f>F11-I11</f>
        <v>0</v>
      </c>
      <c r="M11" s="384"/>
      <c r="N11" s="380"/>
    </row>
    <row r="12" spans="1:16" ht="32.25" customHeight="1" x14ac:dyDescent="0.25">
      <c r="A12" s="383" t="s">
        <v>10</v>
      </c>
      <c r="B12" s="384" t="s">
        <v>11</v>
      </c>
      <c r="C12" s="382"/>
      <c r="D12" s="414">
        <f t="shared" ref="D12:D34" si="2">SUM(E12:F12)</f>
        <v>11547.236750983038</v>
      </c>
      <c r="E12" s="414">
        <f>'B3-DA1'!D25</f>
        <v>10997.236750983038</v>
      </c>
      <c r="F12" s="414">
        <f>'B3-DA1'!D28</f>
        <v>550</v>
      </c>
      <c r="G12" s="414">
        <f t="shared" ref="G12:G34" si="3">SUM(H12:I12)</f>
        <v>11547.236750983038</v>
      </c>
      <c r="H12" s="414">
        <f>E12</f>
        <v>10997.236750983038</v>
      </c>
      <c r="I12" s="414">
        <f>F12</f>
        <v>550</v>
      </c>
      <c r="J12" s="416">
        <f t="shared" ref="J12:J34" si="4">SUM(K12:L12)</f>
        <v>0</v>
      </c>
      <c r="K12" s="416">
        <f t="shared" ref="K12:K34" si="5">E12-H12</f>
        <v>0</v>
      </c>
      <c r="L12" s="416">
        <f t="shared" ref="L12:L34" si="6">F12-I12</f>
        <v>0</v>
      </c>
      <c r="M12" s="384"/>
      <c r="N12" s="380"/>
    </row>
    <row r="13" spans="1:16" s="380" customFormat="1" ht="64.5" customHeight="1" x14ac:dyDescent="0.25">
      <c r="A13" s="376">
        <v>2</v>
      </c>
      <c r="B13" s="381" t="s">
        <v>12</v>
      </c>
      <c r="C13" s="382" t="s">
        <v>239</v>
      </c>
      <c r="D13" s="417">
        <f>SUM(D14:D15)</f>
        <v>181658.39730000001</v>
      </c>
      <c r="E13" s="417">
        <f>SUM(E14:E15)</f>
        <v>173007</v>
      </c>
      <c r="F13" s="417">
        <f>SUM(F14:F15)</f>
        <v>8651.3973000000005</v>
      </c>
      <c r="G13" s="417">
        <f t="shared" ref="G13:L13" si="7">SUM(G14:G15)</f>
        <v>114249.39329219999</v>
      </c>
      <c r="H13" s="417">
        <f t="shared" si="7"/>
        <v>113263.13400000001</v>
      </c>
      <c r="I13" s="417">
        <f t="shared" si="7"/>
        <v>986.2592922</v>
      </c>
      <c r="J13" s="417">
        <f t="shared" si="7"/>
        <v>67409.004007800002</v>
      </c>
      <c r="K13" s="417">
        <f t="shared" si="7"/>
        <v>59743.866000000002</v>
      </c>
      <c r="L13" s="417">
        <f t="shared" si="7"/>
        <v>7665.1380078000002</v>
      </c>
      <c r="M13" s="384"/>
    </row>
    <row r="14" spans="1:16" ht="46.5" customHeight="1" x14ac:dyDescent="0.25">
      <c r="A14" s="383" t="s">
        <v>8</v>
      </c>
      <c r="B14" s="384" t="s">
        <v>13</v>
      </c>
      <c r="C14" s="382"/>
      <c r="D14" s="414">
        <f t="shared" si="2"/>
        <v>105576</v>
      </c>
      <c r="E14" s="414">
        <f>'B4-TDA1,DA3'!D20</f>
        <v>105576</v>
      </c>
      <c r="F14" s="413">
        <f>'B4-TDA1,DA3'!D22</f>
        <v>0</v>
      </c>
      <c r="G14" s="414">
        <f t="shared" si="3"/>
        <v>105576</v>
      </c>
      <c r="H14" s="414">
        <f>E14</f>
        <v>105576</v>
      </c>
      <c r="I14" s="416">
        <f>F14</f>
        <v>0</v>
      </c>
      <c r="J14" s="416">
        <f t="shared" si="4"/>
        <v>0</v>
      </c>
      <c r="K14" s="416">
        <f t="shared" si="5"/>
        <v>0</v>
      </c>
      <c r="L14" s="416">
        <f t="shared" si="6"/>
        <v>0</v>
      </c>
      <c r="M14" s="416" t="s">
        <v>300</v>
      </c>
    </row>
    <row r="15" spans="1:16" ht="64.5" customHeight="1" x14ac:dyDescent="0.25">
      <c r="A15" s="383" t="s">
        <v>8</v>
      </c>
      <c r="B15" s="384" t="s">
        <v>14</v>
      </c>
      <c r="C15" s="382"/>
      <c r="D15" s="414">
        <f>SUM(D16:D17)</f>
        <v>76082.397299999997</v>
      </c>
      <c r="E15" s="414">
        <f t="shared" ref="E15:L15" si="8">SUM(E16:E17)</f>
        <v>67431</v>
      </c>
      <c r="F15" s="414">
        <f t="shared" si="8"/>
        <v>8651.3973000000005</v>
      </c>
      <c r="G15" s="414">
        <f t="shared" si="8"/>
        <v>8673.3932922000004</v>
      </c>
      <c r="H15" s="414">
        <f t="shared" si="8"/>
        <v>7687.134</v>
      </c>
      <c r="I15" s="414">
        <f t="shared" si="8"/>
        <v>986.2592922</v>
      </c>
      <c r="J15" s="414">
        <f t="shared" si="8"/>
        <v>67409.004007800002</v>
      </c>
      <c r="K15" s="414">
        <f t="shared" si="8"/>
        <v>59743.866000000002</v>
      </c>
      <c r="L15" s="414">
        <f t="shared" si="8"/>
        <v>7665.1380078000002</v>
      </c>
      <c r="M15" s="416" t="s">
        <v>301</v>
      </c>
    </row>
    <row r="16" spans="1:16" s="393" customFormat="1" ht="32.25" customHeight="1" x14ac:dyDescent="0.25">
      <c r="A16" s="390" t="s">
        <v>32</v>
      </c>
      <c r="B16" s="391" t="s">
        <v>15</v>
      </c>
      <c r="C16" s="392"/>
      <c r="D16" s="418">
        <f t="shared" si="2"/>
        <v>8673.3932922000004</v>
      </c>
      <c r="E16" s="418">
        <f>'B5-TDA2,DA3'!E7</f>
        <v>7687.134</v>
      </c>
      <c r="F16" s="418">
        <f>'B5-TDA2,DA3'!G7</f>
        <v>986.2592922</v>
      </c>
      <c r="G16" s="418">
        <f t="shared" si="3"/>
        <v>8673.3932922000004</v>
      </c>
      <c r="H16" s="418">
        <f>E16</f>
        <v>7687.134</v>
      </c>
      <c r="I16" s="418">
        <f>F16</f>
        <v>986.2592922</v>
      </c>
      <c r="J16" s="420">
        <f t="shared" si="4"/>
        <v>0</v>
      </c>
      <c r="K16" s="420">
        <f t="shared" si="5"/>
        <v>0</v>
      </c>
      <c r="L16" s="420">
        <f t="shared" si="6"/>
        <v>0</v>
      </c>
      <c r="M16" s="391"/>
    </row>
    <row r="17" spans="1:13" s="393" customFormat="1" ht="46.5" customHeight="1" x14ac:dyDescent="0.25">
      <c r="A17" s="390" t="s">
        <v>32</v>
      </c>
      <c r="B17" s="391" t="s">
        <v>266</v>
      </c>
      <c r="C17" s="392"/>
      <c r="D17" s="418">
        <f t="shared" si="2"/>
        <v>67409.004007800002</v>
      </c>
      <c r="E17" s="418">
        <f>'B5-TDA2,DA3'!E8</f>
        <v>59743.866000000002</v>
      </c>
      <c r="F17" s="418">
        <f>'B5-TDA2,DA3'!G8</f>
        <v>7665.1380078000002</v>
      </c>
      <c r="G17" s="420">
        <f t="shared" si="3"/>
        <v>0</v>
      </c>
      <c r="H17" s="420"/>
      <c r="I17" s="420"/>
      <c r="J17" s="418">
        <f t="shared" si="4"/>
        <v>67409.004007800002</v>
      </c>
      <c r="K17" s="418">
        <f t="shared" si="5"/>
        <v>59743.866000000002</v>
      </c>
      <c r="L17" s="418">
        <f t="shared" si="6"/>
        <v>7665.1380078000002</v>
      </c>
      <c r="M17" s="384" t="s">
        <v>314</v>
      </c>
    </row>
    <row r="18" spans="1:13" s="380" customFormat="1" ht="65.25" customHeight="1" x14ac:dyDescent="0.25">
      <c r="A18" s="376">
        <v>3</v>
      </c>
      <c r="B18" s="381" t="s">
        <v>16</v>
      </c>
      <c r="C18" s="382" t="s">
        <v>239</v>
      </c>
      <c r="D18" s="417">
        <f>D19</f>
        <v>24456</v>
      </c>
      <c r="E18" s="417">
        <f t="shared" ref="E18:L18" si="9">E19</f>
        <v>23291</v>
      </c>
      <c r="F18" s="417">
        <f t="shared" si="9"/>
        <v>1165</v>
      </c>
      <c r="G18" s="417">
        <f t="shared" si="9"/>
        <v>24456</v>
      </c>
      <c r="H18" s="417">
        <f t="shared" si="9"/>
        <v>23291</v>
      </c>
      <c r="I18" s="417">
        <f t="shared" si="9"/>
        <v>1165</v>
      </c>
      <c r="J18" s="413">
        <f t="shared" si="9"/>
        <v>0</v>
      </c>
      <c r="K18" s="413">
        <f t="shared" si="9"/>
        <v>0</v>
      </c>
      <c r="L18" s="413">
        <f t="shared" si="9"/>
        <v>0</v>
      </c>
      <c r="M18" s="416" t="s">
        <v>302</v>
      </c>
    </row>
    <row r="19" spans="1:13" ht="46.5" customHeight="1" x14ac:dyDescent="0.25">
      <c r="A19" s="383" t="s">
        <v>8</v>
      </c>
      <c r="B19" s="384" t="s">
        <v>17</v>
      </c>
      <c r="C19" s="382"/>
      <c r="D19" s="414">
        <f t="shared" si="2"/>
        <v>24456</v>
      </c>
      <c r="E19" s="414">
        <f>'B6-DA4'!D19</f>
        <v>23291</v>
      </c>
      <c r="F19" s="414">
        <f>'B6-DA4'!D21</f>
        <v>1165</v>
      </c>
      <c r="G19" s="414">
        <f t="shared" si="3"/>
        <v>24456</v>
      </c>
      <c r="H19" s="414">
        <f>E19</f>
        <v>23291</v>
      </c>
      <c r="I19" s="414">
        <f>F19</f>
        <v>1165</v>
      </c>
      <c r="J19" s="416">
        <f t="shared" si="4"/>
        <v>0</v>
      </c>
      <c r="K19" s="416">
        <f t="shared" si="5"/>
        <v>0</v>
      </c>
      <c r="L19" s="416">
        <f t="shared" si="6"/>
        <v>0</v>
      </c>
      <c r="M19" s="384"/>
    </row>
    <row r="20" spans="1:13" s="380" customFormat="1" ht="46.5" customHeight="1" x14ac:dyDescent="0.25">
      <c r="A20" s="376">
        <v>4</v>
      </c>
      <c r="B20" s="381" t="s">
        <v>18</v>
      </c>
      <c r="C20" s="394" t="s">
        <v>268</v>
      </c>
      <c r="D20" s="417">
        <f>SUM(D21:D24)</f>
        <v>90194</v>
      </c>
      <c r="E20" s="417">
        <f t="shared" ref="E20:L20" si="10">SUM(E21:E24)</f>
        <v>85873</v>
      </c>
      <c r="F20" s="417">
        <f t="shared" si="10"/>
        <v>4321</v>
      </c>
      <c r="G20" s="417">
        <f t="shared" si="10"/>
        <v>77769</v>
      </c>
      <c r="H20" s="417">
        <f t="shared" si="10"/>
        <v>73448</v>
      </c>
      <c r="I20" s="417">
        <f t="shared" si="10"/>
        <v>4321</v>
      </c>
      <c r="J20" s="417">
        <f t="shared" si="10"/>
        <v>12425</v>
      </c>
      <c r="K20" s="417">
        <f t="shared" si="10"/>
        <v>12425</v>
      </c>
      <c r="L20" s="413">
        <f t="shared" si="10"/>
        <v>0</v>
      </c>
      <c r="M20" s="384"/>
    </row>
    <row r="21" spans="1:13" ht="81.75" customHeight="1" x14ac:dyDescent="0.25">
      <c r="A21" s="383" t="s">
        <v>8</v>
      </c>
      <c r="B21" s="384" t="s">
        <v>19</v>
      </c>
      <c r="C21" s="382"/>
      <c r="D21" s="414">
        <f t="shared" si="2"/>
        <v>13599</v>
      </c>
      <c r="E21" s="414">
        <f>'B7-TDA1,DA5'!D16</f>
        <v>12650</v>
      </c>
      <c r="F21" s="414">
        <f>'B7-TDA1,DA5'!D18</f>
        <v>949</v>
      </c>
      <c r="G21" s="414">
        <f t="shared" si="3"/>
        <v>13599</v>
      </c>
      <c r="H21" s="414">
        <f>E21</f>
        <v>12650</v>
      </c>
      <c r="I21" s="414">
        <f>F21</f>
        <v>949</v>
      </c>
      <c r="J21" s="416">
        <f t="shared" si="4"/>
        <v>0</v>
      </c>
      <c r="K21" s="416">
        <f t="shared" si="5"/>
        <v>0</v>
      </c>
      <c r="L21" s="416">
        <f t="shared" si="6"/>
        <v>0</v>
      </c>
      <c r="M21" s="416" t="s">
        <v>303</v>
      </c>
    </row>
    <row r="22" spans="1:13" ht="65.25" customHeight="1" x14ac:dyDescent="0.25">
      <c r="A22" s="383" t="s">
        <v>8</v>
      </c>
      <c r="B22" s="384" t="s">
        <v>20</v>
      </c>
      <c r="C22" s="382"/>
      <c r="D22" s="414">
        <f t="shared" si="2"/>
        <v>12425</v>
      </c>
      <c r="E22" s="414">
        <v>12425</v>
      </c>
      <c r="F22" s="416">
        <v>0</v>
      </c>
      <c r="G22" s="416">
        <f t="shared" si="3"/>
        <v>0</v>
      </c>
      <c r="H22" s="416"/>
      <c r="I22" s="416"/>
      <c r="J22" s="414">
        <f t="shared" si="4"/>
        <v>12425</v>
      </c>
      <c r="K22" s="414">
        <f t="shared" si="5"/>
        <v>12425</v>
      </c>
      <c r="L22" s="416">
        <f t="shared" si="6"/>
        <v>0</v>
      </c>
      <c r="M22" s="384" t="s">
        <v>314</v>
      </c>
    </row>
    <row r="23" spans="1:13" ht="46.5" customHeight="1" x14ac:dyDescent="0.25">
      <c r="A23" s="383" t="s">
        <v>8</v>
      </c>
      <c r="B23" s="384" t="s">
        <v>138</v>
      </c>
      <c r="C23" s="382"/>
      <c r="D23" s="414">
        <f t="shared" si="2"/>
        <v>48356</v>
      </c>
      <c r="E23" s="414">
        <f>'B8-TDA3,DA5'!D9</f>
        <v>44984</v>
      </c>
      <c r="F23" s="414">
        <f>'B8-TDA3,DA5'!D11</f>
        <v>3372</v>
      </c>
      <c r="G23" s="414">
        <f t="shared" si="3"/>
        <v>48356</v>
      </c>
      <c r="H23" s="414">
        <f t="shared" ref="H23:I27" si="11">E23</f>
        <v>44984</v>
      </c>
      <c r="I23" s="414">
        <f t="shared" si="11"/>
        <v>3372</v>
      </c>
      <c r="J23" s="416">
        <f t="shared" si="4"/>
        <v>0</v>
      </c>
      <c r="K23" s="416">
        <f t="shared" si="5"/>
        <v>0</v>
      </c>
      <c r="L23" s="416">
        <f t="shared" si="6"/>
        <v>0</v>
      </c>
      <c r="M23" s="416" t="s">
        <v>304</v>
      </c>
    </row>
    <row r="24" spans="1:13" ht="46.5" customHeight="1" x14ac:dyDescent="0.25">
      <c r="A24" s="383" t="s">
        <v>8</v>
      </c>
      <c r="B24" s="384" t="s">
        <v>21</v>
      </c>
      <c r="C24" s="382"/>
      <c r="D24" s="414">
        <f t="shared" si="2"/>
        <v>15814</v>
      </c>
      <c r="E24" s="414">
        <f>'B9-TDA4,DA5'!D11</f>
        <v>15814</v>
      </c>
      <c r="F24" s="414">
        <f>'B9-TDA4,DA5'!D13</f>
        <v>0</v>
      </c>
      <c r="G24" s="414">
        <f t="shared" si="3"/>
        <v>15814</v>
      </c>
      <c r="H24" s="414">
        <f t="shared" si="11"/>
        <v>15814</v>
      </c>
      <c r="I24" s="414">
        <f t="shared" si="11"/>
        <v>0</v>
      </c>
      <c r="J24" s="416">
        <f t="shared" si="4"/>
        <v>0</v>
      </c>
      <c r="K24" s="416">
        <f t="shared" si="5"/>
        <v>0</v>
      </c>
      <c r="L24" s="416">
        <f t="shared" si="6"/>
        <v>0</v>
      </c>
      <c r="M24" s="416" t="s">
        <v>305</v>
      </c>
    </row>
    <row r="25" spans="1:13" s="380" customFormat="1" ht="46.5" customHeight="1" x14ac:dyDescent="0.25">
      <c r="A25" s="376">
        <v>5</v>
      </c>
      <c r="B25" s="381" t="s">
        <v>22</v>
      </c>
      <c r="C25" s="394" t="s">
        <v>269</v>
      </c>
      <c r="D25" s="417">
        <f t="shared" si="2"/>
        <v>10151</v>
      </c>
      <c r="E25" s="417">
        <f>'B10-DA6'!D33</f>
        <v>9667</v>
      </c>
      <c r="F25" s="417">
        <f>'B10-DA6'!D35</f>
        <v>484</v>
      </c>
      <c r="G25" s="417">
        <f t="shared" si="3"/>
        <v>10151</v>
      </c>
      <c r="H25" s="417">
        <f t="shared" si="11"/>
        <v>9667</v>
      </c>
      <c r="I25" s="417">
        <f t="shared" si="11"/>
        <v>484</v>
      </c>
      <c r="J25" s="413">
        <f t="shared" si="4"/>
        <v>0</v>
      </c>
      <c r="K25" s="413">
        <f t="shared" si="5"/>
        <v>0</v>
      </c>
      <c r="L25" s="413">
        <f t="shared" si="6"/>
        <v>0</v>
      </c>
      <c r="M25" s="416" t="s">
        <v>306</v>
      </c>
    </row>
    <row r="26" spans="1:13" s="380" customFormat="1" ht="46.5" customHeight="1" x14ac:dyDescent="0.25">
      <c r="A26" s="376">
        <v>6</v>
      </c>
      <c r="B26" s="381" t="s">
        <v>23</v>
      </c>
      <c r="C26" s="394" t="s">
        <v>270</v>
      </c>
      <c r="D26" s="417">
        <f t="shared" si="2"/>
        <v>10063.200000000001</v>
      </c>
      <c r="E26" s="417">
        <f>'B11-DA7'!E6</f>
        <v>9584</v>
      </c>
      <c r="F26" s="417">
        <f>'B11-DA7'!G6</f>
        <v>479.20000000000005</v>
      </c>
      <c r="G26" s="417">
        <f t="shared" si="3"/>
        <v>10063.200000000001</v>
      </c>
      <c r="H26" s="417">
        <f t="shared" si="11"/>
        <v>9584</v>
      </c>
      <c r="I26" s="417">
        <f t="shared" si="11"/>
        <v>479.20000000000005</v>
      </c>
      <c r="J26" s="413">
        <f t="shared" si="4"/>
        <v>0</v>
      </c>
      <c r="K26" s="413">
        <f t="shared" si="5"/>
        <v>0</v>
      </c>
      <c r="L26" s="413">
        <f t="shared" si="6"/>
        <v>0</v>
      </c>
      <c r="M26" s="416" t="s">
        <v>307</v>
      </c>
    </row>
    <row r="27" spans="1:13" s="380" customFormat="1" ht="46.5" customHeight="1" x14ac:dyDescent="0.25">
      <c r="A27" s="376">
        <v>7</v>
      </c>
      <c r="B27" s="381" t="s">
        <v>24</v>
      </c>
      <c r="C27" s="394" t="s">
        <v>271</v>
      </c>
      <c r="D27" s="417">
        <f t="shared" si="2"/>
        <v>24354</v>
      </c>
      <c r="E27" s="417">
        <f>'B12-DA8'!D11</f>
        <v>23194</v>
      </c>
      <c r="F27" s="417">
        <f>'B12-DA8'!D13</f>
        <v>1160</v>
      </c>
      <c r="G27" s="417">
        <f t="shared" si="3"/>
        <v>24354</v>
      </c>
      <c r="H27" s="417">
        <f t="shared" si="11"/>
        <v>23194</v>
      </c>
      <c r="I27" s="417">
        <f t="shared" si="11"/>
        <v>1160</v>
      </c>
      <c r="J27" s="413">
        <f t="shared" si="4"/>
        <v>0</v>
      </c>
      <c r="K27" s="413">
        <f t="shared" si="5"/>
        <v>0</v>
      </c>
      <c r="L27" s="413">
        <f t="shared" si="6"/>
        <v>0</v>
      </c>
      <c r="M27" s="416" t="s">
        <v>308</v>
      </c>
    </row>
    <row r="28" spans="1:13" s="380" customFormat="1" ht="46.5" customHeight="1" x14ac:dyDescent="0.25">
      <c r="A28" s="376">
        <v>8</v>
      </c>
      <c r="B28" s="381" t="s">
        <v>25</v>
      </c>
      <c r="C28" s="394"/>
      <c r="D28" s="417">
        <f>SUM(D29:D30)</f>
        <v>18865.150000000001</v>
      </c>
      <c r="E28" s="417">
        <f t="shared" ref="E28:L28" si="12">SUM(E29:E30)</f>
        <v>17966</v>
      </c>
      <c r="F28" s="417">
        <f t="shared" si="12"/>
        <v>899.15000000000009</v>
      </c>
      <c r="G28" s="417">
        <f t="shared" si="12"/>
        <v>18865.150000000001</v>
      </c>
      <c r="H28" s="417">
        <f t="shared" si="12"/>
        <v>17966</v>
      </c>
      <c r="I28" s="417">
        <f t="shared" si="12"/>
        <v>899.15000000000009</v>
      </c>
      <c r="J28" s="413">
        <f t="shared" si="12"/>
        <v>0</v>
      </c>
      <c r="K28" s="413">
        <f t="shared" si="12"/>
        <v>0</v>
      </c>
      <c r="L28" s="413">
        <f t="shared" si="12"/>
        <v>0</v>
      </c>
      <c r="M28" s="384"/>
    </row>
    <row r="29" spans="1:13" ht="46.5" customHeight="1" x14ac:dyDescent="0.25">
      <c r="A29" s="385" t="s">
        <v>8</v>
      </c>
      <c r="B29" s="386" t="s">
        <v>26</v>
      </c>
      <c r="C29" s="382" t="s">
        <v>239</v>
      </c>
      <c r="D29" s="414">
        <f t="shared" si="2"/>
        <v>13863.15</v>
      </c>
      <c r="E29" s="414">
        <f>'B13-TDA1,DA9'!E6</f>
        <v>13203</v>
      </c>
      <c r="F29" s="414">
        <f>'B13-TDA1,DA9'!G6</f>
        <v>660.15000000000009</v>
      </c>
      <c r="G29" s="414">
        <f t="shared" si="3"/>
        <v>13863.15</v>
      </c>
      <c r="H29" s="414">
        <f>E29</f>
        <v>13203</v>
      </c>
      <c r="I29" s="414">
        <f>F29</f>
        <v>660.15000000000009</v>
      </c>
      <c r="J29" s="416">
        <f t="shared" si="4"/>
        <v>0</v>
      </c>
      <c r="K29" s="416">
        <f t="shared" si="5"/>
        <v>0</v>
      </c>
      <c r="L29" s="416">
        <f t="shared" si="6"/>
        <v>0</v>
      </c>
      <c r="M29" s="416" t="s">
        <v>309</v>
      </c>
    </row>
    <row r="30" spans="1:13" ht="46.5" customHeight="1" x14ac:dyDescent="0.25">
      <c r="A30" s="385" t="s">
        <v>8</v>
      </c>
      <c r="B30" s="384" t="s">
        <v>27</v>
      </c>
      <c r="C30" s="394" t="s">
        <v>271</v>
      </c>
      <c r="D30" s="414">
        <f t="shared" si="2"/>
        <v>5002</v>
      </c>
      <c r="E30" s="414">
        <f>'B14-TDA2,DA9'!D17</f>
        <v>4763</v>
      </c>
      <c r="F30" s="414">
        <f>'B14-TDA2,DA9'!D19</f>
        <v>239</v>
      </c>
      <c r="G30" s="414">
        <f t="shared" si="3"/>
        <v>5002</v>
      </c>
      <c r="H30" s="414">
        <f>E30</f>
        <v>4763</v>
      </c>
      <c r="I30" s="414">
        <f>F30</f>
        <v>239</v>
      </c>
      <c r="J30" s="416">
        <f t="shared" si="4"/>
        <v>0</v>
      </c>
      <c r="K30" s="416">
        <f t="shared" si="5"/>
        <v>0</v>
      </c>
      <c r="L30" s="416">
        <f t="shared" si="6"/>
        <v>0</v>
      </c>
      <c r="M30" s="416" t="s">
        <v>310</v>
      </c>
    </row>
    <row r="31" spans="1:13" s="380" customFormat="1" ht="64.5" customHeight="1" x14ac:dyDescent="0.25">
      <c r="A31" s="376">
        <v>9</v>
      </c>
      <c r="B31" s="381" t="s">
        <v>28</v>
      </c>
      <c r="C31" s="378"/>
      <c r="D31" s="417">
        <f>SUM(D32:D34)</f>
        <v>17554</v>
      </c>
      <c r="E31" s="417">
        <f t="shared" ref="E31:L31" si="13">SUM(E32:E34)</f>
        <v>16720</v>
      </c>
      <c r="F31" s="417">
        <f t="shared" si="13"/>
        <v>834</v>
      </c>
      <c r="G31" s="417">
        <f t="shared" si="13"/>
        <v>17554</v>
      </c>
      <c r="H31" s="417">
        <f t="shared" si="13"/>
        <v>16720</v>
      </c>
      <c r="I31" s="417">
        <f t="shared" si="13"/>
        <v>834</v>
      </c>
      <c r="J31" s="413">
        <f t="shared" si="13"/>
        <v>0</v>
      </c>
      <c r="K31" s="413">
        <f t="shared" si="13"/>
        <v>0</v>
      </c>
      <c r="L31" s="413">
        <f t="shared" si="13"/>
        <v>0</v>
      </c>
      <c r="M31" s="415"/>
    </row>
    <row r="32" spans="1:13" ht="120.75" customHeight="1" x14ac:dyDescent="0.25">
      <c r="A32" s="383" t="s">
        <v>8</v>
      </c>
      <c r="B32" s="384" t="s">
        <v>29</v>
      </c>
      <c r="C32" s="394" t="s">
        <v>269</v>
      </c>
      <c r="D32" s="414">
        <f t="shared" si="2"/>
        <v>11639</v>
      </c>
      <c r="E32" s="414">
        <f>'B15-TDA1,DA10'!D9</f>
        <v>11008</v>
      </c>
      <c r="F32" s="414">
        <f>'B15-TDA1,DA10'!D11</f>
        <v>631</v>
      </c>
      <c r="G32" s="414">
        <f t="shared" si="3"/>
        <v>11639</v>
      </c>
      <c r="H32" s="414">
        <f t="shared" ref="H32:I34" si="14">E32</f>
        <v>11008</v>
      </c>
      <c r="I32" s="414">
        <f t="shared" si="14"/>
        <v>631</v>
      </c>
      <c r="J32" s="416">
        <f t="shared" si="4"/>
        <v>0</v>
      </c>
      <c r="K32" s="416">
        <f t="shared" si="5"/>
        <v>0</v>
      </c>
      <c r="L32" s="416">
        <f t="shared" si="6"/>
        <v>0</v>
      </c>
      <c r="M32" s="416" t="s">
        <v>311</v>
      </c>
    </row>
    <row r="33" spans="1:13" ht="45" customHeight="1" x14ac:dyDescent="0.25">
      <c r="A33" s="383" t="s">
        <v>8</v>
      </c>
      <c r="B33" s="384" t="s">
        <v>267</v>
      </c>
      <c r="C33" s="394" t="s">
        <v>269</v>
      </c>
      <c r="D33" s="414">
        <f t="shared" si="2"/>
        <v>2120</v>
      </c>
      <c r="E33" s="414">
        <f>'B16-TDA2,DA10'!D11</f>
        <v>2120</v>
      </c>
      <c r="F33" s="414">
        <f>'B16-TDA2,DA10'!D13</f>
        <v>0</v>
      </c>
      <c r="G33" s="414">
        <f t="shared" si="3"/>
        <v>2120</v>
      </c>
      <c r="H33" s="414">
        <f t="shared" si="14"/>
        <v>2120</v>
      </c>
      <c r="I33" s="414">
        <f t="shared" si="14"/>
        <v>0</v>
      </c>
      <c r="J33" s="416">
        <f t="shared" si="4"/>
        <v>0</v>
      </c>
      <c r="K33" s="416">
        <f t="shared" si="5"/>
        <v>0</v>
      </c>
      <c r="L33" s="416">
        <f t="shared" si="6"/>
        <v>0</v>
      </c>
      <c r="M33" s="416" t="s">
        <v>312</v>
      </c>
    </row>
    <row r="34" spans="1:13" ht="45" customHeight="1" x14ac:dyDescent="0.25">
      <c r="A34" s="396" t="s">
        <v>8</v>
      </c>
      <c r="B34" s="397" t="s">
        <v>30</v>
      </c>
      <c r="C34" s="398" t="s">
        <v>239</v>
      </c>
      <c r="D34" s="419">
        <f t="shared" si="2"/>
        <v>3795</v>
      </c>
      <c r="E34" s="419">
        <f>'B17-TDA3,DA10'!D52</f>
        <v>3592</v>
      </c>
      <c r="F34" s="419">
        <f>'B17-TDA3,DA10'!E52</f>
        <v>203</v>
      </c>
      <c r="G34" s="419">
        <f t="shared" si="3"/>
        <v>3795</v>
      </c>
      <c r="H34" s="419">
        <f t="shared" si="14"/>
        <v>3592</v>
      </c>
      <c r="I34" s="419">
        <f t="shared" si="14"/>
        <v>203</v>
      </c>
      <c r="J34" s="421">
        <f t="shared" si="4"/>
        <v>0</v>
      </c>
      <c r="K34" s="421">
        <f t="shared" si="5"/>
        <v>0</v>
      </c>
      <c r="L34" s="421">
        <f t="shared" si="6"/>
        <v>0</v>
      </c>
      <c r="M34" s="397" t="s">
        <v>313</v>
      </c>
    </row>
    <row r="37" spans="1:13" x14ac:dyDescent="0.25">
      <c r="F37" s="387"/>
    </row>
  </sheetData>
  <mergeCells count="11">
    <mergeCell ref="K1:M1"/>
    <mergeCell ref="A6:A7"/>
    <mergeCell ref="B6:B7"/>
    <mergeCell ref="C6:C7"/>
    <mergeCell ref="M6:M7"/>
    <mergeCell ref="A2:M2"/>
    <mergeCell ref="A3:M3"/>
    <mergeCell ref="G6:I6"/>
    <mergeCell ref="J6:L6"/>
    <mergeCell ref="K5:M5"/>
    <mergeCell ref="D6:F6"/>
  </mergeCells>
  <pageMargins left="1.0369318181818199" right="0.39370078740157499" top="0.39370078740157499" bottom="0.39370078740157499" header="0.196850393700787" footer="0.39370078740157499"/>
  <pageSetup paperSize="8" scale="75" fitToHeight="0" orientation="landscape" verticalDpi="0"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8"/>
  <sheetViews>
    <sheetView view="pageLayout" zoomScale="70" zoomScaleNormal="70" zoomScaleSheetLayoutView="85" zoomScalePageLayoutView="70" workbookViewId="0">
      <selection activeCell="U8" sqref="U8"/>
    </sheetView>
  </sheetViews>
  <sheetFormatPr defaultColWidth="8" defaultRowHeight="18.75" x14ac:dyDescent="0.3"/>
  <cols>
    <col min="1" max="1" width="7.25" style="688" customWidth="1"/>
    <col min="2" max="2" width="35.125" style="751" customWidth="1"/>
    <col min="3" max="4" width="13.5" style="752" hidden="1" customWidth="1"/>
    <col min="5" max="5" width="41.75" style="752" hidden="1" customWidth="1"/>
    <col min="6" max="6" width="17.5" style="751" hidden="1" customWidth="1"/>
    <col min="7" max="9" width="14.125" style="751" hidden="1" customWidth="1"/>
    <col min="10" max="10" width="9.75" style="751" customWidth="1"/>
    <col min="11" max="11" width="8.75" style="751" customWidth="1"/>
    <col min="12" max="12" width="9.125" style="751" customWidth="1"/>
    <col min="13" max="18" width="13.25" style="751" hidden="1" customWidth="1"/>
    <col min="19" max="19" width="9" style="751" customWidth="1"/>
    <col min="20" max="20" width="9.125" style="751" customWidth="1"/>
    <col min="21" max="21" width="8.25" style="751" customWidth="1"/>
    <col min="22" max="22" width="9.75" style="751" customWidth="1"/>
    <col min="23" max="23" width="9" style="751" customWidth="1"/>
    <col min="24" max="24" width="10.125" style="751" customWidth="1"/>
    <col min="25" max="25" width="8.5" style="751" customWidth="1"/>
    <col min="26" max="26" width="8.125" style="751" customWidth="1"/>
    <col min="27" max="27" width="7.75" style="751" customWidth="1"/>
    <col min="28" max="28" width="11.625" style="751" hidden="1" customWidth="1"/>
    <col min="29" max="29" width="15.25" style="751" customWidth="1"/>
    <col min="30" max="30" width="9.75" style="751" hidden="1" customWidth="1"/>
    <col min="31" max="31" width="9.25" style="751" hidden="1" customWidth="1"/>
    <col min="32" max="16384" width="8" style="751"/>
  </cols>
  <sheetData>
    <row r="1" spans="1:31" ht="15" customHeight="1" x14ac:dyDescent="0.3">
      <c r="A1" s="1083" t="s">
        <v>1247</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c r="AB1" s="1083"/>
      <c r="AC1" s="1083"/>
      <c r="AD1" s="1083"/>
    </row>
    <row r="2" spans="1:31" ht="24.75" customHeight="1" x14ac:dyDescent="0.3">
      <c r="A2" s="1119" t="s">
        <v>1339</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row>
    <row r="3" spans="1:31" ht="22.5" customHeight="1" x14ac:dyDescent="0.3">
      <c r="L3" s="1121" t="s">
        <v>321</v>
      </c>
      <c r="M3" s="1121"/>
      <c r="N3" s="1121"/>
      <c r="O3" s="1121"/>
      <c r="P3" s="1121"/>
      <c r="Q3" s="1121"/>
      <c r="R3" s="1121"/>
      <c r="S3" s="1121"/>
      <c r="T3" s="1121"/>
      <c r="U3" s="1121"/>
      <c r="V3" s="1121"/>
      <c r="W3" s="1121"/>
      <c r="X3" s="1121"/>
      <c r="Y3" s="1121"/>
      <c r="Z3" s="1121"/>
      <c r="AA3" s="1121"/>
      <c r="AB3" s="1121"/>
      <c r="AC3" s="1121"/>
      <c r="AD3" s="1121"/>
    </row>
    <row r="4" spans="1:31" s="753" customFormat="1" ht="42.75" customHeight="1" x14ac:dyDescent="0.25">
      <c r="A4" s="1116" t="s">
        <v>1</v>
      </c>
      <c r="B4" s="1116" t="s">
        <v>443</v>
      </c>
      <c r="C4" s="1116" t="s">
        <v>365</v>
      </c>
      <c r="D4" s="1117" t="s">
        <v>1248</v>
      </c>
      <c r="E4" s="1117" t="s">
        <v>1249</v>
      </c>
      <c r="F4" s="1122" t="s">
        <v>1194</v>
      </c>
      <c r="G4" s="1123"/>
      <c r="H4" s="1123"/>
      <c r="I4" s="1124"/>
      <c r="J4" s="1116" t="s">
        <v>1250</v>
      </c>
      <c r="K4" s="1116"/>
      <c r="L4" s="1116"/>
      <c r="M4" s="1076" t="s">
        <v>1200</v>
      </c>
      <c r="N4" s="1077"/>
      <c r="O4" s="1078"/>
      <c r="P4" s="1076" t="s">
        <v>1201</v>
      </c>
      <c r="Q4" s="1077"/>
      <c r="R4" s="1078"/>
      <c r="S4" s="1076" t="s">
        <v>1251</v>
      </c>
      <c r="T4" s="1077"/>
      <c r="U4" s="1078"/>
      <c r="V4" s="1076" t="s">
        <v>1196</v>
      </c>
      <c r="W4" s="1077"/>
      <c r="X4" s="1078"/>
      <c r="Y4" s="1116" t="s">
        <v>1252</v>
      </c>
      <c r="Z4" s="1116"/>
      <c r="AA4" s="1116"/>
      <c r="AB4" s="1117" t="s">
        <v>1202</v>
      </c>
      <c r="AC4" s="1116" t="s">
        <v>367</v>
      </c>
      <c r="AD4" s="1116" t="s">
        <v>3</v>
      </c>
    </row>
    <row r="5" spans="1:31" s="753" customFormat="1" ht="63" customHeight="1" x14ac:dyDescent="0.25">
      <c r="A5" s="1116"/>
      <c r="B5" s="1116"/>
      <c r="C5" s="1116"/>
      <c r="D5" s="1118"/>
      <c r="E5" s="1118"/>
      <c r="F5" s="775"/>
      <c r="G5" s="754" t="s">
        <v>37</v>
      </c>
      <c r="H5" s="757" t="s">
        <v>1203</v>
      </c>
      <c r="I5" s="757" t="s">
        <v>1204</v>
      </c>
      <c r="J5" s="777" t="s">
        <v>37</v>
      </c>
      <c r="K5" s="851" t="s">
        <v>218</v>
      </c>
      <c r="L5" s="776" t="s">
        <v>291</v>
      </c>
      <c r="M5" s="776" t="s">
        <v>37</v>
      </c>
      <c r="N5" s="776" t="s">
        <v>1205</v>
      </c>
      <c r="O5" s="776" t="s">
        <v>368</v>
      </c>
      <c r="P5" s="776" t="s">
        <v>37</v>
      </c>
      <c r="Q5" s="776" t="s">
        <v>1205</v>
      </c>
      <c r="R5" s="776" t="s">
        <v>368</v>
      </c>
      <c r="S5" s="777" t="s">
        <v>37</v>
      </c>
      <c r="T5" s="851" t="s">
        <v>218</v>
      </c>
      <c r="U5" s="776" t="s">
        <v>291</v>
      </c>
      <c r="V5" s="777" t="s">
        <v>37</v>
      </c>
      <c r="W5" s="851" t="s">
        <v>218</v>
      </c>
      <c r="X5" s="776" t="s">
        <v>291</v>
      </c>
      <c r="Y5" s="777" t="s">
        <v>37</v>
      </c>
      <c r="Z5" s="851" t="s">
        <v>218</v>
      </c>
      <c r="AA5" s="776" t="s">
        <v>291</v>
      </c>
      <c r="AB5" s="1118"/>
      <c r="AC5" s="1116"/>
      <c r="AD5" s="1116"/>
    </row>
    <row r="6" spans="1:31" s="762" customFormat="1" ht="25.5" customHeight="1" x14ac:dyDescent="0.3">
      <c r="A6" s="757"/>
      <c r="B6" s="757" t="s">
        <v>34</v>
      </c>
      <c r="C6" s="757"/>
      <c r="D6" s="757"/>
      <c r="E6" s="757"/>
      <c r="F6" s="759"/>
      <c r="G6" s="760"/>
      <c r="H6" s="760"/>
      <c r="I6" s="760"/>
      <c r="J6" s="843">
        <f t="shared" ref="J6:R6" si="0">J7+J15</f>
        <v>487904</v>
      </c>
      <c r="K6" s="843">
        <f t="shared" si="0"/>
        <v>473693</v>
      </c>
      <c r="L6" s="843">
        <f t="shared" si="0"/>
        <v>14211</v>
      </c>
      <c r="M6" s="843">
        <f t="shared" si="0"/>
        <v>162022</v>
      </c>
      <c r="N6" s="843">
        <f t="shared" si="0"/>
        <v>157302</v>
      </c>
      <c r="O6" s="843">
        <f t="shared" si="0"/>
        <v>4720</v>
      </c>
      <c r="P6" s="843">
        <f t="shared" si="0"/>
        <v>108626</v>
      </c>
      <c r="Q6" s="843">
        <f t="shared" si="0"/>
        <v>105463</v>
      </c>
      <c r="R6" s="843">
        <f t="shared" si="0"/>
        <v>3163</v>
      </c>
      <c r="S6" s="843">
        <f t="shared" ref="S6:U18" si="1">P6+M6</f>
        <v>270648</v>
      </c>
      <c r="T6" s="843">
        <f t="shared" si="1"/>
        <v>262765</v>
      </c>
      <c r="U6" s="843">
        <f>R6+O6</f>
        <v>7883</v>
      </c>
      <c r="V6" s="843">
        <f t="shared" ref="V6:AA6" si="2">V7+V15</f>
        <v>217256</v>
      </c>
      <c r="W6" s="843">
        <f t="shared" si="2"/>
        <v>210928</v>
      </c>
      <c r="X6" s="843">
        <f t="shared" si="2"/>
        <v>6328</v>
      </c>
      <c r="Y6" s="843">
        <f t="shared" si="2"/>
        <v>131355.4</v>
      </c>
      <c r="Z6" s="843">
        <f t="shared" si="2"/>
        <v>127529</v>
      </c>
      <c r="AA6" s="843">
        <f t="shared" si="2"/>
        <v>3826.3999999999996</v>
      </c>
      <c r="AB6" s="779">
        <f>(Y6+S6)/J6</f>
        <v>0.82393954548435766</v>
      </c>
      <c r="AC6" s="758"/>
      <c r="AD6" s="758"/>
      <c r="AE6" s="761"/>
    </row>
    <row r="7" spans="1:31" s="762" customFormat="1" ht="49.5" customHeight="1" x14ac:dyDescent="0.3">
      <c r="A7" s="757" t="s">
        <v>4</v>
      </c>
      <c r="B7" s="771" t="s">
        <v>369</v>
      </c>
      <c r="C7" s="757"/>
      <c r="D7" s="757"/>
      <c r="E7" s="757"/>
      <c r="F7" s="758"/>
      <c r="G7" s="758"/>
      <c r="H7" s="758"/>
      <c r="I7" s="758"/>
      <c r="J7" s="843">
        <f t="shared" ref="J7:AA7" si="3">J8</f>
        <v>86584</v>
      </c>
      <c r="K7" s="843">
        <f t="shared" si="3"/>
        <v>84062</v>
      </c>
      <c r="L7" s="843">
        <f t="shared" si="3"/>
        <v>2522</v>
      </c>
      <c r="M7" s="843">
        <f t="shared" si="3"/>
        <v>23980</v>
      </c>
      <c r="N7" s="843">
        <f t="shared" si="3"/>
        <v>23281</v>
      </c>
      <c r="O7" s="843">
        <f t="shared" si="3"/>
        <v>699</v>
      </c>
      <c r="P7" s="843">
        <f t="shared" si="3"/>
        <v>20869</v>
      </c>
      <c r="Q7" s="843">
        <f t="shared" si="3"/>
        <v>20262</v>
      </c>
      <c r="R7" s="843">
        <f t="shared" si="3"/>
        <v>607</v>
      </c>
      <c r="S7" s="843">
        <f t="shared" si="1"/>
        <v>44849</v>
      </c>
      <c r="T7" s="843">
        <f t="shared" si="1"/>
        <v>43543</v>
      </c>
      <c r="U7" s="843">
        <f t="shared" si="1"/>
        <v>1306</v>
      </c>
      <c r="V7" s="843">
        <f t="shared" si="3"/>
        <v>41735</v>
      </c>
      <c r="W7" s="843">
        <f t="shared" si="3"/>
        <v>40519</v>
      </c>
      <c r="X7" s="843">
        <f t="shared" si="3"/>
        <v>1216</v>
      </c>
      <c r="Y7" s="843">
        <f t="shared" si="3"/>
        <v>25047</v>
      </c>
      <c r="Z7" s="843">
        <f t="shared" si="3"/>
        <v>24317</v>
      </c>
      <c r="AA7" s="843">
        <f t="shared" si="3"/>
        <v>730</v>
      </c>
      <c r="AB7" s="779">
        <f t="shared" ref="AB7:AB18" si="4">(Y7+S7)/J7</f>
        <v>0.80726231174350915</v>
      </c>
      <c r="AC7" s="758"/>
      <c r="AD7" s="758"/>
      <c r="AE7" s="761"/>
    </row>
    <row r="8" spans="1:31" s="762" customFormat="1" ht="49.5" customHeight="1" x14ac:dyDescent="0.3">
      <c r="A8" s="757" t="s">
        <v>46</v>
      </c>
      <c r="B8" s="771" t="s">
        <v>327</v>
      </c>
      <c r="C8" s="757"/>
      <c r="D8" s="757"/>
      <c r="E8" s="757"/>
      <c r="F8" s="758"/>
      <c r="G8" s="758"/>
      <c r="H8" s="758"/>
      <c r="I8" s="758"/>
      <c r="J8" s="843">
        <f t="shared" ref="J8:R8" si="5">J9+J12</f>
        <v>86584</v>
      </c>
      <c r="K8" s="843">
        <f t="shared" si="5"/>
        <v>84062</v>
      </c>
      <c r="L8" s="843">
        <f t="shared" si="5"/>
        <v>2522</v>
      </c>
      <c r="M8" s="843">
        <f t="shared" si="5"/>
        <v>23980</v>
      </c>
      <c r="N8" s="843">
        <f t="shared" si="5"/>
        <v>23281</v>
      </c>
      <c r="O8" s="843">
        <f t="shared" si="5"/>
        <v>699</v>
      </c>
      <c r="P8" s="843">
        <f t="shared" si="5"/>
        <v>20869</v>
      </c>
      <c r="Q8" s="843">
        <f t="shared" si="5"/>
        <v>20262</v>
      </c>
      <c r="R8" s="843">
        <f t="shared" si="5"/>
        <v>607</v>
      </c>
      <c r="S8" s="843">
        <f t="shared" si="1"/>
        <v>44849</v>
      </c>
      <c r="T8" s="843">
        <f t="shared" si="1"/>
        <v>43543</v>
      </c>
      <c r="U8" s="843">
        <f t="shared" si="1"/>
        <v>1306</v>
      </c>
      <c r="V8" s="843">
        <f t="shared" ref="V8:AA8" si="6">V9+V12</f>
        <v>41735</v>
      </c>
      <c r="W8" s="843">
        <f>W9+W12</f>
        <v>40519</v>
      </c>
      <c r="X8" s="843">
        <f t="shared" si="6"/>
        <v>1216</v>
      </c>
      <c r="Y8" s="843">
        <f t="shared" si="6"/>
        <v>25047</v>
      </c>
      <c r="Z8" s="843">
        <f t="shared" si="6"/>
        <v>24317</v>
      </c>
      <c r="AA8" s="843">
        <f t="shared" si="6"/>
        <v>730</v>
      </c>
      <c r="AB8" s="779">
        <f t="shared" si="4"/>
        <v>0.80726231174350915</v>
      </c>
      <c r="AC8" s="758"/>
      <c r="AD8" s="758"/>
    </row>
    <row r="9" spans="1:31" s="764" customFormat="1" ht="65.25" customHeight="1" x14ac:dyDescent="0.35">
      <c r="A9" s="756" t="s">
        <v>444</v>
      </c>
      <c r="B9" s="772" t="s">
        <v>445</v>
      </c>
      <c r="C9" s="756"/>
      <c r="D9" s="756"/>
      <c r="E9" s="756"/>
      <c r="F9" s="763"/>
      <c r="G9" s="763"/>
      <c r="H9" s="763"/>
      <c r="I9" s="763"/>
      <c r="J9" s="844">
        <f t="shared" ref="J9:AA9" si="7">J11</f>
        <v>77228</v>
      </c>
      <c r="K9" s="844">
        <f t="shared" si="7"/>
        <v>74979</v>
      </c>
      <c r="L9" s="844">
        <f t="shared" si="7"/>
        <v>2249</v>
      </c>
      <c r="M9" s="844">
        <f t="shared" si="7"/>
        <v>23714</v>
      </c>
      <c r="N9" s="844">
        <f t="shared" si="7"/>
        <v>23015</v>
      </c>
      <c r="O9" s="844">
        <f t="shared" si="7"/>
        <v>699</v>
      </c>
      <c r="P9" s="844">
        <f t="shared" si="7"/>
        <v>20869</v>
      </c>
      <c r="Q9" s="844">
        <f t="shared" si="7"/>
        <v>20262</v>
      </c>
      <c r="R9" s="844">
        <f t="shared" si="7"/>
        <v>607</v>
      </c>
      <c r="S9" s="844">
        <f t="shared" si="1"/>
        <v>44583</v>
      </c>
      <c r="T9" s="844">
        <f t="shared" si="1"/>
        <v>43277</v>
      </c>
      <c r="U9" s="844">
        <f t="shared" si="1"/>
        <v>1306</v>
      </c>
      <c r="V9" s="844">
        <f t="shared" si="7"/>
        <v>32645</v>
      </c>
      <c r="W9" s="845">
        <f>W11</f>
        <v>31702</v>
      </c>
      <c r="X9" s="845">
        <f>X11</f>
        <v>943</v>
      </c>
      <c r="Y9" s="844">
        <f t="shared" si="7"/>
        <v>21624</v>
      </c>
      <c r="Z9" s="844">
        <f t="shared" si="7"/>
        <v>20994</v>
      </c>
      <c r="AA9" s="844">
        <f t="shared" si="7"/>
        <v>630</v>
      </c>
      <c r="AB9" s="780">
        <f t="shared" si="4"/>
        <v>0.85729269176982437</v>
      </c>
      <c r="AC9" s="763"/>
      <c r="AD9" s="763"/>
    </row>
    <row r="10" spans="1:31" s="764" customFormat="1" ht="47.25" customHeight="1" x14ac:dyDescent="0.35">
      <c r="A10" s="756"/>
      <c r="B10" s="773" t="s">
        <v>1209</v>
      </c>
      <c r="C10" s="756"/>
      <c r="D10" s="756"/>
      <c r="E10" s="756"/>
      <c r="F10" s="763"/>
      <c r="G10" s="763"/>
      <c r="H10" s="763"/>
      <c r="I10" s="763"/>
      <c r="J10" s="844"/>
      <c r="K10" s="844"/>
      <c r="L10" s="844"/>
      <c r="M10" s="844"/>
      <c r="N10" s="844"/>
      <c r="O10" s="844"/>
      <c r="P10" s="844"/>
      <c r="Q10" s="844"/>
      <c r="R10" s="844"/>
      <c r="S10" s="844"/>
      <c r="T10" s="844"/>
      <c r="U10" s="844"/>
      <c r="V10" s="844"/>
      <c r="W10" s="845"/>
      <c r="X10" s="845"/>
      <c r="Y10" s="844"/>
      <c r="Z10" s="844"/>
      <c r="AA10" s="844"/>
      <c r="AB10" s="780"/>
      <c r="AC10" s="763"/>
      <c r="AD10" s="763"/>
    </row>
    <row r="11" spans="1:31" ht="120" customHeight="1" x14ac:dyDescent="0.3">
      <c r="A11" s="755">
        <v>1</v>
      </c>
      <c r="B11" s="774" t="s">
        <v>1253</v>
      </c>
      <c r="C11" s="755" t="s">
        <v>424</v>
      </c>
      <c r="D11" s="755" t="s">
        <v>45</v>
      </c>
      <c r="E11" s="755" t="s">
        <v>1254</v>
      </c>
      <c r="F11" s="755" t="s">
        <v>1255</v>
      </c>
      <c r="G11" s="767">
        <v>77228</v>
      </c>
      <c r="H11" s="767">
        <v>74979</v>
      </c>
      <c r="I11" s="767">
        <v>2249</v>
      </c>
      <c r="J11" s="846">
        <f>K11+L11</f>
        <v>77228</v>
      </c>
      <c r="K11" s="846">
        <v>74979</v>
      </c>
      <c r="L11" s="846">
        <v>2249</v>
      </c>
      <c r="M11" s="846">
        <f>N11+O11</f>
        <v>23714</v>
      </c>
      <c r="N11" s="846">
        <f>22494+521</f>
        <v>23015</v>
      </c>
      <c r="O11" s="846">
        <f>675+24</f>
        <v>699</v>
      </c>
      <c r="P11" s="846">
        <f>Q11+R11</f>
        <v>20869</v>
      </c>
      <c r="Q11" s="846">
        <f>17496+2766</f>
        <v>20262</v>
      </c>
      <c r="R11" s="846">
        <f>524+83</f>
        <v>607</v>
      </c>
      <c r="S11" s="846">
        <f t="shared" si="1"/>
        <v>44583</v>
      </c>
      <c r="T11" s="846">
        <f t="shared" si="1"/>
        <v>43277</v>
      </c>
      <c r="U11" s="846">
        <f t="shared" si="1"/>
        <v>1306</v>
      </c>
      <c r="V11" s="846">
        <f>W11+X11</f>
        <v>32645</v>
      </c>
      <c r="W11" s="846">
        <f>K11-T11</f>
        <v>31702</v>
      </c>
      <c r="X11" s="846">
        <f>L11-U11</f>
        <v>943</v>
      </c>
      <c r="Y11" s="781">
        <v>21624</v>
      </c>
      <c r="Z11" s="781">
        <v>20994</v>
      </c>
      <c r="AA11" s="781">
        <v>630</v>
      </c>
      <c r="AB11" s="780">
        <f t="shared" si="4"/>
        <v>0.85729269176982437</v>
      </c>
      <c r="AC11" s="755" t="s">
        <v>388</v>
      </c>
      <c r="AD11" s="766"/>
    </row>
    <row r="12" spans="1:31" s="764" customFormat="1" ht="39" x14ac:dyDescent="0.35">
      <c r="A12" s="756" t="s">
        <v>446</v>
      </c>
      <c r="B12" s="772" t="s">
        <v>336</v>
      </c>
      <c r="C12" s="756"/>
      <c r="D12" s="756"/>
      <c r="E12" s="756"/>
      <c r="F12" s="763"/>
      <c r="G12" s="763"/>
      <c r="H12" s="763"/>
      <c r="I12" s="763"/>
      <c r="J12" s="844">
        <f t="shared" ref="J12:AA12" si="8">J14</f>
        <v>9356</v>
      </c>
      <c r="K12" s="844">
        <f t="shared" si="8"/>
        <v>9083</v>
      </c>
      <c r="L12" s="844">
        <f t="shared" si="8"/>
        <v>273</v>
      </c>
      <c r="M12" s="844">
        <f t="shared" si="8"/>
        <v>266</v>
      </c>
      <c r="N12" s="844">
        <f t="shared" si="8"/>
        <v>266</v>
      </c>
      <c r="O12" s="844">
        <f t="shared" si="8"/>
        <v>0</v>
      </c>
      <c r="P12" s="844">
        <f t="shared" si="8"/>
        <v>0</v>
      </c>
      <c r="Q12" s="844">
        <f t="shared" si="8"/>
        <v>0</v>
      </c>
      <c r="R12" s="844">
        <f t="shared" si="8"/>
        <v>0</v>
      </c>
      <c r="S12" s="844">
        <f t="shared" si="1"/>
        <v>266</v>
      </c>
      <c r="T12" s="844">
        <f t="shared" si="1"/>
        <v>266</v>
      </c>
      <c r="U12" s="844">
        <f t="shared" si="1"/>
        <v>0</v>
      </c>
      <c r="V12" s="844">
        <f t="shared" si="8"/>
        <v>9090</v>
      </c>
      <c r="W12" s="847">
        <f>W14</f>
        <v>8817</v>
      </c>
      <c r="X12" s="847">
        <f>X14</f>
        <v>273</v>
      </c>
      <c r="Y12" s="844">
        <f t="shared" si="8"/>
        <v>3423</v>
      </c>
      <c r="Z12" s="844">
        <f t="shared" si="8"/>
        <v>3323</v>
      </c>
      <c r="AA12" s="844">
        <f t="shared" si="8"/>
        <v>100</v>
      </c>
      <c r="AB12" s="779">
        <f t="shared" si="4"/>
        <v>0.39429243266353142</v>
      </c>
      <c r="AC12" s="756"/>
      <c r="AD12" s="763"/>
    </row>
    <row r="13" spans="1:31" s="770" customFormat="1" x14ac:dyDescent="0.3">
      <c r="A13" s="769"/>
      <c r="B13" s="773" t="s">
        <v>1256</v>
      </c>
      <c r="C13" s="769"/>
      <c r="D13" s="769"/>
      <c r="E13" s="769"/>
      <c r="F13" s="765"/>
      <c r="G13" s="765"/>
      <c r="H13" s="765"/>
      <c r="I13" s="765"/>
      <c r="J13" s="848"/>
      <c r="K13" s="848"/>
      <c r="L13" s="848"/>
      <c r="M13" s="848"/>
      <c r="N13" s="848"/>
      <c r="O13" s="848"/>
      <c r="P13" s="848"/>
      <c r="Q13" s="848"/>
      <c r="R13" s="848"/>
      <c r="S13" s="848"/>
      <c r="T13" s="848"/>
      <c r="U13" s="848"/>
      <c r="V13" s="848"/>
      <c r="W13" s="849"/>
      <c r="X13" s="849"/>
      <c r="Y13" s="848"/>
      <c r="Z13" s="848"/>
      <c r="AA13" s="848"/>
      <c r="AB13" s="782"/>
      <c r="AC13" s="769"/>
      <c r="AD13" s="765"/>
    </row>
    <row r="14" spans="1:31" ht="112.5" x14ac:dyDescent="0.3">
      <c r="A14" s="755">
        <v>1</v>
      </c>
      <c r="B14" s="774" t="s">
        <v>1257</v>
      </c>
      <c r="C14" s="755" t="s">
        <v>424</v>
      </c>
      <c r="D14" s="755" t="s">
        <v>1258</v>
      </c>
      <c r="E14" s="755" t="s">
        <v>1259</v>
      </c>
      <c r="F14" s="766"/>
      <c r="G14" s="768">
        <f>H14+I14</f>
        <v>9356</v>
      </c>
      <c r="H14" s="768">
        <f>908+8175</f>
        <v>9083</v>
      </c>
      <c r="I14" s="768">
        <f>27+246</f>
        <v>273</v>
      </c>
      <c r="J14" s="846">
        <f>K14+L14</f>
        <v>9356</v>
      </c>
      <c r="K14" s="846">
        <f>908+8175</f>
        <v>9083</v>
      </c>
      <c r="L14" s="846">
        <f>27+246</f>
        <v>273</v>
      </c>
      <c r="M14" s="846">
        <f>N14+O14</f>
        <v>266</v>
      </c>
      <c r="N14" s="846">
        <v>266</v>
      </c>
      <c r="O14" s="846">
        <v>0</v>
      </c>
      <c r="P14" s="846"/>
      <c r="Q14" s="846"/>
      <c r="R14" s="846"/>
      <c r="S14" s="846">
        <f t="shared" si="1"/>
        <v>266</v>
      </c>
      <c r="T14" s="846">
        <f t="shared" si="1"/>
        <v>266</v>
      </c>
      <c r="U14" s="846">
        <f t="shared" si="1"/>
        <v>0</v>
      </c>
      <c r="V14" s="846">
        <f>W14+X14</f>
        <v>9090</v>
      </c>
      <c r="W14" s="846">
        <f>K14-T14</f>
        <v>8817</v>
      </c>
      <c r="X14" s="846">
        <f>L14-U14</f>
        <v>273</v>
      </c>
      <c r="Y14" s="783">
        <v>3423</v>
      </c>
      <c r="Z14" s="783">
        <v>3323</v>
      </c>
      <c r="AA14" s="783">
        <v>100</v>
      </c>
      <c r="AB14" s="780">
        <f t="shared" si="4"/>
        <v>0.39429243266353142</v>
      </c>
      <c r="AC14" s="755" t="s">
        <v>92</v>
      </c>
      <c r="AD14" s="766"/>
    </row>
    <row r="15" spans="1:31" s="762" customFormat="1" ht="37.5" x14ac:dyDescent="0.3">
      <c r="A15" s="757" t="s">
        <v>5</v>
      </c>
      <c r="B15" s="771" t="s">
        <v>431</v>
      </c>
      <c r="C15" s="757"/>
      <c r="D15" s="757"/>
      <c r="E15" s="757"/>
      <c r="F15" s="758"/>
      <c r="G15" s="758"/>
      <c r="H15" s="758"/>
      <c r="I15" s="758"/>
      <c r="J15" s="843">
        <f t="shared" ref="J15:AA15" si="9">J16</f>
        <v>401320</v>
      </c>
      <c r="K15" s="843">
        <f t="shared" si="9"/>
        <v>389631</v>
      </c>
      <c r="L15" s="843">
        <f t="shared" si="9"/>
        <v>11689</v>
      </c>
      <c r="M15" s="843">
        <f t="shared" si="9"/>
        <v>138042</v>
      </c>
      <c r="N15" s="843">
        <f t="shared" si="9"/>
        <v>134021</v>
      </c>
      <c r="O15" s="843">
        <f t="shared" si="9"/>
        <v>4021</v>
      </c>
      <c r="P15" s="843">
        <f t="shared" si="9"/>
        <v>87757</v>
      </c>
      <c r="Q15" s="843">
        <f t="shared" si="9"/>
        <v>85201</v>
      </c>
      <c r="R15" s="843">
        <f t="shared" si="9"/>
        <v>2556</v>
      </c>
      <c r="S15" s="843">
        <f t="shared" si="1"/>
        <v>225799</v>
      </c>
      <c r="T15" s="843">
        <f t="shared" si="1"/>
        <v>219222</v>
      </c>
      <c r="U15" s="843">
        <f t="shared" si="1"/>
        <v>6577</v>
      </c>
      <c r="V15" s="843">
        <f t="shared" si="9"/>
        <v>175521</v>
      </c>
      <c r="W15" s="843">
        <f>W16</f>
        <v>170409</v>
      </c>
      <c r="X15" s="843">
        <f>X16</f>
        <v>5112</v>
      </c>
      <c r="Y15" s="843">
        <f t="shared" si="9"/>
        <v>106308.4</v>
      </c>
      <c r="Z15" s="843">
        <f t="shared" si="9"/>
        <v>103212</v>
      </c>
      <c r="AA15" s="843">
        <f t="shared" si="9"/>
        <v>3096.3999999999996</v>
      </c>
      <c r="AB15" s="779">
        <f t="shared" si="4"/>
        <v>0.82753762583474544</v>
      </c>
      <c r="AC15" s="757"/>
      <c r="AD15" s="758"/>
    </row>
    <row r="16" spans="1:31" s="762" customFormat="1" ht="56.25" x14ac:dyDescent="0.3">
      <c r="A16" s="757" t="s">
        <v>46</v>
      </c>
      <c r="B16" s="771" t="s">
        <v>447</v>
      </c>
      <c r="C16" s="757"/>
      <c r="D16" s="757"/>
      <c r="E16" s="757"/>
      <c r="F16" s="758"/>
      <c r="G16" s="758"/>
      <c r="H16" s="758"/>
      <c r="I16" s="758"/>
      <c r="J16" s="843">
        <f t="shared" ref="J16:V16" si="10">J17+J18</f>
        <v>401320</v>
      </c>
      <c r="K16" s="843">
        <f t="shared" si="10"/>
        <v>389631</v>
      </c>
      <c r="L16" s="843">
        <f t="shared" si="10"/>
        <v>11689</v>
      </c>
      <c r="M16" s="843">
        <f t="shared" si="10"/>
        <v>138042</v>
      </c>
      <c r="N16" s="843">
        <f t="shared" si="10"/>
        <v>134021</v>
      </c>
      <c r="O16" s="843">
        <f t="shared" si="10"/>
        <v>4021</v>
      </c>
      <c r="P16" s="843">
        <f t="shared" si="10"/>
        <v>87757</v>
      </c>
      <c r="Q16" s="843">
        <f t="shared" si="10"/>
        <v>85201</v>
      </c>
      <c r="R16" s="843">
        <f t="shared" si="10"/>
        <v>2556</v>
      </c>
      <c r="S16" s="843">
        <f t="shared" si="1"/>
        <v>225799</v>
      </c>
      <c r="T16" s="843">
        <f t="shared" si="1"/>
        <v>219222</v>
      </c>
      <c r="U16" s="843">
        <f t="shared" si="1"/>
        <v>6577</v>
      </c>
      <c r="V16" s="843">
        <f t="shared" si="10"/>
        <v>175521</v>
      </c>
      <c r="W16" s="843">
        <f>W17+W18</f>
        <v>170409</v>
      </c>
      <c r="X16" s="843">
        <f>X17+X18</f>
        <v>5112</v>
      </c>
      <c r="Y16" s="843">
        <f t="shared" ref="Y16:AA16" si="11">Y17+Y18</f>
        <v>106308.4</v>
      </c>
      <c r="Z16" s="843">
        <f t="shared" si="11"/>
        <v>103212</v>
      </c>
      <c r="AA16" s="843">
        <f t="shared" si="11"/>
        <v>3096.3999999999996</v>
      </c>
      <c r="AB16" s="779">
        <f t="shared" si="4"/>
        <v>0.82753762583474544</v>
      </c>
      <c r="AC16" s="757"/>
      <c r="AD16" s="758"/>
    </row>
    <row r="17" spans="1:30" ht="37.5" x14ac:dyDescent="0.3">
      <c r="A17" s="755">
        <v>1</v>
      </c>
      <c r="B17" s="774" t="s">
        <v>40</v>
      </c>
      <c r="C17" s="755"/>
      <c r="D17" s="755"/>
      <c r="E17" s="755"/>
      <c r="F17" s="766"/>
      <c r="G17" s="766"/>
      <c r="H17" s="766"/>
      <c r="I17" s="766"/>
      <c r="J17" s="846">
        <v>196047</v>
      </c>
      <c r="K17" s="846">
        <v>190337</v>
      </c>
      <c r="L17" s="846">
        <v>5710</v>
      </c>
      <c r="M17" s="846">
        <v>67434</v>
      </c>
      <c r="N17" s="846">
        <v>65470</v>
      </c>
      <c r="O17" s="846">
        <v>1964</v>
      </c>
      <c r="P17" s="846">
        <f>Q17+R17</f>
        <v>42870</v>
      </c>
      <c r="Q17" s="846">
        <v>41621</v>
      </c>
      <c r="R17" s="846">
        <v>1249</v>
      </c>
      <c r="S17" s="846">
        <f t="shared" si="1"/>
        <v>110304</v>
      </c>
      <c r="T17" s="846">
        <f t="shared" si="1"/>
        <v>107091</v>
      </c>
      <c r="U17" s="846">
        <f t="shared" si="1"/>
        <v>3213</v>
      </c>
      <c r="V17" s="846">
        <f>W17+X17</f>
        <v>85743</v>
      </c>
      <c r="W17" s="846">
        <f>K17-T17</f>
        <v>83246</v>
      </c>
      <c r="X17" s="846">
        <f t="shared" ref="X17:X18" si="12">L17-U17</f>
        <v>2497</v>
      </c>
      <c r="Y17" s="850">
        <v>51932.6</v>
      </c>
      <c r="Z17" s="850">
        <v>50420</v>
      </c>
      <c r="AA17" s="850">
        <v>1512.6</v>
      </c>
      <c r="AB17" s="780">
        <f t="shared" si="4"/>
        <v>0.82753931455212271</v>
      </c>
      <c r="AC17" s="755" t="s">
        <v>436</v>
      </c>
      <c r="AD17" s="766"/>
    </row>
    <row r="18" spans="1:30" ht="37.5" x14ac:dyDescent="0.3">
      <c r="A18" s="755">
        <v>2</v>
      </c>
      <c r="B18" s="774" t="s">
        <v>43</v>
      </c>
      <c r="C18" s="755"/>
      <c r="D18" s="755"/>
      <c r="E18" s="755"/>
      <c r="F18" s="766"/>
      <c r="G18" s="766"/>
      <c r="H18" s="766"/>
      <c r="I18" s="766"/>
      <c r="J18" s="846">
        <v>205273</v>
      </c>
      <c r="K18" s="846">
        <v>199294</v>
      </c>
      <c r="L18" s="846">
        <v>5979</v>
      </c>
      <c r="M18" s="846">
        <v>70608</v>
      </c>
      <c r="N18" s="846">
        <v>68551</v>
      </c>
      <c r="O18" s="846">
        <v>2057</v>
      </c>
      <c r="P18" s="846">
        <f>Q18+R18</f>
        <v>44887</v>
      </c>
      <c r="Q18" s="846">
        <v>43580</v>
      </c>
      <c r="R18" s="846">
        <v>1307</v>
      </c>
      <c r="S18" s="846">
        <f t="shared" si="1"/>
        <v>115495</v>
      </c>
      <c r="T18" s="846">
        <f t="shared" si="1"/>
        <v>112131</v>
      </c>
      <c r="U18" s="846">
        <f t="shared" si="1"/>
        <v>3364</v>
      </c>
      <c r="V18" s="846">
        <f>W18+X18</f>
        <v>89778</v>
      </c>
      <c r="W18" s="846">
        <f t="shared" ref="W18" si="13">K18-T18</f>
        <v>87163</v>
      </c>
      <c r="X18" s="846">
        <f t="shared" si="12"/>
        <v>2615</v>
      </c>
      <c r="Y18" s="850">
        <v>54375.8</v>
      </c>
      <c r="Z18" s="850">
        <v>52792</v>
      </c>
      <c r="AA18" s="850">
        <v>1583.8</v>
      </c>
      <c r="AB18" s="780">
        <f t="shared" si="4"/>
        <v>0.82753601301681168</v>
      </c>
      <c r="AC18" s="755" t="s">
        <v>438</v>
      </c>
      <c r="AD18" s="766"/>
    </row>
  </sheetData>
  <mergeCells count="18">
    <mergeCell ref="AD4:AD5"/>
    <mergeCell ref="A1:AD1"/>
    <mergeCell ref="A2:AD2"/>
    <mergeCell ref="L3:AD3"/>
    <mergeCell ref="A4:A5"/>
    <mergeCell ref="B4:B5"/>
    <mergeCell ref="C4:C5"/>
    <mergeCell ref="D4:D5"/>
    <mergeCell ref="E4:E5"/>
    <mergeCell ref="F4:I4"/>
    <mergeCell ref="J4:L4"/>
    <mergeCell ref="M4:O4"/>
    <mergeCell ref="P4:R4"/>
    <mergeCell ref="S4:U4"/>
    <mergeCell ref="V4:X4"/>
    <mergeCell ref="Y4:AA4"/>
    <mergeCell ref="AB4:AB5"/>
    <mergeCell ref="AC4:AC5"/>
  </mergeCells>
  <pageMargins left="0.78740157480314965" right="0.39370078740157483" top="0.78740157480314965" bottom="0.78740157480314965" header="0.31496062992125984" footer="0.31496062992125984"/>
  <pageSetup paperSize="9" scale="74" firstPageNumber="86" orientation="landscape" useFirstPageNumber="1" r:id="rId1"/>
  <headerFooter>
    <oddHeader>&amp;C&amp;P&amp;RPhụ biểu số 6A</oddHeader>
  </headerFooter>
  <colBreaks count="1" manualBreakCount="1">
    <brk id="2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G33"/>
  <sheetViews>
    <sheetView view="pageLayout" topLeftCell="X1" zoomScale="85" zoomScaleNormal="85" zoomScaleSheetLayoutView="70" zoomScalePageLayoutView="85" workbookViewId="0">
      <selection activeCell="Z36" sqref="Z36:AF36"/>
    </sheetView>
  </sheetViews>
  <sheetFormatPr defaultColWidth="7.75" defaultRowHeight="18.75" x14ac:dyDescent="0.25"/>
  <cols>
    <col min="1" max="1" width="4.625" style="434" customWidth="1"/>
    <col min="2" max="2" width="29.625" style="434" customWidth="1"/>
    <col min="3" max="3" width="6.5" style="434" customWidth="1"/>
    <col min="4" max="4" width="7.125" style="434" customWidth="1"/>
    <col min="5" max="5" width="5.75" style="434" customWidth="1"/>
    <col min="6" max="6" width="6.25" style="434" customWidth="1"/>
    <col min="7" max="7" width="6.75" style="434" customWidth="1"/>
    <col min="8" max="8" width="6" style="434" customWidth="1"/>
    <col min="9" max="11" width="6.75" style="434" customWidth="1"/>
    <col min="12" max="14" width="7.25" style="434" customWidth="1"/>
    <col min="15" max="15" width="6" style="434" customWidth="1"/>
    <col min="16" max="16" width="6.125" style="434" customWidth="1"/>
    <col min="17" max="17" width="5.5" style="434" customWidth="1"/>
    <col min="18" max="20" width="5.75" style="434" hidden="1" customWidth="1"/>
    <col min="21" max="23" width="6" style="434" hidden="1" customWidth="1"/>
    <col min="24" max="24" width="7.25" style="434" customWidth="1"/>
    <col min="25" max="25" width="6.75" style="434" customWidth="1"/>
    <col min="26" max="26" width="10.75" style="434" customWidth="1"/>
    <col min="27" max="27" width="6.25" style="434" customWidth="1"/>
    <col min="28" max="28" width="7.25" style="434" customWidth="1"/>
    <col min="29" max="29" width="6.5" style="434" customWidth="1"/>
    <col min="30" max="30" width="6.25" style="434" customWidth="1"/>
    <col min="31" max="31" width="6.125" style="434" customWidth="1"/>
    <col min="32" max="32" width="6.25" style="434" customWidth="1"/>
    <col min="33" max="35" width="7.625" style="434" customWidth="1"/>
    <col min="36" max="38" width="7" style="434" customWidth="1"/>
    <col min="39" max="40" width="7.5" style="434" customWidth="1"/>
    <col min="41" max="41" width="6" style="434" customWidth="1"/>
    <col min="42" max="42" width="6.25" style="434" hidden="1" customWidth="1"/>
    <col min="43" max="43" width="5.25" style="434" hidden="1" customWidth="1"/>
    <col min="44" max="44" width="5.75" style="434" hidden="1" customWidth="1"/>
    <col min="45" max="47" width="7.125" style="434" customWidth="1"/>
    <col min="48" max="50" width="7.25" style="434" customWidth="1"/>
    <col min="51" max="52" width="5.625" style="434" hidden="1" customWidth="1"/>
    <col min="53" max="53" width="6.25" style="434" hidden="1" customWidth="1"/>
    <col min="54" max="56" width="7.625" style="434" customWidth="1"/>
    <col min="57" max="59" width="7.5" style="434" customWidth="1"/>
    <col min="60" max="16384" width="7.75" style="434"/>
  </cols>
  <sheetData>
    <row r="1" spans="1:59" s="432" customFormat="1" ht="26.25" customHeight="1" x14ac:dyDescent="0.25">
      <c r="A1" s="431"/>
      <c r="B1" s="431"/>
      <c r="C1" s="1128" t="s">
        <v>1262</v>
      </c>
      <c r="D1" s="1128"/>
      <c r="E1" s="1128"/>
      <c r="F1" s="1128"/>
      <c r="G1" s="1128"/>
      <c r="H1" s="1128"/>
      <c r="I1" s="1128"/>
      <c r="J1" s="1128"/>
      <c r="K1" s="1128"/>
      <c r="L1" s="1128"/>
      <c r="M1" s="1128"/>
      <c r="N1" s="1128"/>
      <c r="O1" s="1128"/>
      <c r="P1" s="1128"/>
      <c r="Q1" s="1128"/>
      <c r="R1" s="1128"/>
      <c r="S1" s="1128"/>
      <c r="T1" s="1128"/>
      <c r="U1" s="1128"/>
      <c r="V1" s="1128"/>
      <c r="W1" s="1128"/>
      <c r="X1" s="1128"/>
      <c r="Y1" s="1128"/>
      <c r="Z1" s="1128"/>
      <c r="AA1" s="1128"/>
      <c r="AB1" s="1128"/>
      <c r="AC1" s="1128"/>
      <c r="AD1" s="1128"/>
      <c r="AE1" s="1128"/>
      <c r="AF1" s="1128"/>
      <c r="AG1" s="1128" t="s">
        <v>1262</v>
      </c>
      <c r="AH1" s="1128"/>
      <c r="AI1" s="1128"/>
      <c r="AJ1" s="1128"/>
      <c r="AK1" s="1128"/>
      <c r="AL1" s="1128"/>
      <c r="AM1" s="1128"/>
      <c r="AN1" s="1128"/>
      <c r="AO1" s="1128"/>
      <c r="AP1" s="1128"/>
      <c r="AQ1" s="1128"/>
      <c r="AR1" s="1128"/>
      <c r="AS1" s="1128"/>
      <c r="AT1" s="1128"/>
      <c r="AU1" s="1128"/>
      <c r="AV1" s="1128"/>
      <c r="AW1" s="1128"/>
      <c r="AX1" s="1128"/>
      <c r="AY1" s="1128"/>
      <c r="AZ1" s="1128"/>
      <c r="BA1" s="1128"/>
      <c r="BB1" s="1128"/>
      <c r="BC1" s="1128"/>
      <c r="BD1" s="1128"/>
      <c r="BE1" s="1128"/>
      <c r="BF1" s="1128"/>
      <c r="BG1" s="1128"/>
    </row>
    <row r="2" spans="1:59" s="432" customFormat="1" ht="26.25" x14ac:dyDescent="0.25">
      <c r="A2" s="433"/>
      <c r="B2" s="433"/>
      <c r="C2" s="1016" t="s">
        <v>1339</v>
      </c>
      <c r="D2" s="1016"/>
      <c r="E2" s="1016"/>
      <c r="F2" s="1016"/>
      <c r="G2" s="1016"/>
      <c r="H2" s="1016"/>
      <c r="I2" s="1016"/>
      <c r="J2" s="1016"/>
      <c r="K2" s="1016"/>
      <c r="L2" s="1016"/>
      <c r="M2" s="1016"/>
      <c r="N2" s="1016"/>
      <c r="O2" s="1016"/>
      <c r="P2" s="1016"/>
      <c r="Q2" s="1016"/>
      <c r="R2" s="1016"/>
      <c r="S2" s="1016"/>
      <c r="T2" s="1016"/>
      <c r="U2" s="1016"/>
      <c r="V2" s="1016"/>
      <c r="W2" s="1016"/>
      <c r="X2" s="1016"/>
      <c r="Y2" s="1016"/>
      <c r="Z2" s="1016"/>
      <c r="AA2" s="1016"/>
      <c r="AB2" s="1016"/>
      <c r="AC2" s="1016"/>
      <c r="AD2" s="1016"/>
      <c r="AE2" s="1016"/>
      <c r="AF2" s="1016"/>
      <c r="AG2" s="1016" t="s">
        <v>1339</v>
      </c>
      <c r="AH2" s="1016"/>
      <c r="AI2" s="1016"/>
      <c r="AJ2" s="1016"/>
      <c r="AK2" s="1016"/>
      <c r="AL2" s="1016"/>
      <c r="AM2" s="1016"/>
      <c r="AN2" s="1016"/>
      <c r="AO2" s="1016"/>
      <c r="AP2" s="1016"/>
      <c r="AQ2" s="1016"/>
      <c r="AR2" s="1016"/>
      <c r="AS2" s="1016"/>
      <c r="AT2" s="1016"/>
      <c r="AU2" s="1016"/>
      <c r="AV2" s="1016"/>
      <c r="AW2" s="1016"/>
      <c r="AX2" s="1016"/>
      <c r="AY2" s="1016"/>
      <c r="AZ2" s="1016"/>
      <c r="BA2" s="1016"/>
      <c r="BB2" s="1016"/>
      <c r="BC2" s="1016"/>
      <c r="BD2" s="1016"/>
      <c r="BE2" s="1016"/>
      <c r="BF2" s="1016"/>
      <c r="BG2" s="1016"/>
    </row>
    <row r="3" spans="1:59" ht="23.25" x14ac:dyDescent="0.25">
      <c r="J3" s="435"/>
      <c r="K3" s="435"/>
      <c r="L3" s="435"/>
      <c r="M3" s="435"/>
      <c r="N3" s="435"/>
      <c r="O3" s="435"/>
      <c r="P3" s="435"/>
      <c r="Q3" s="435"/>
      <c r="R3" s="435"/>
      <c r="S3" s="435"/>
      <c r="T3" s="435"/>
      <c r="U3" s="435"/>
      <c r="V3" s="435"/>
      <c r="W3" s="435"/>
      <c r="X3" s="435"/>
      <c r="Y3" s="435"/>
      <c r="Z3" s="435"/>
      <c r="AA3" s="1129" t="s">
        <v>321</v>
      </c>
      <c r="AB3" s="1129"/>
      <c r="AC3" s="1129"/>
      <c r="AD3" s="1129"/>
      <c r="AE3" s="1129"/>
      <c r="AF3" s="435"/>
      <c r="AG3" s="435"/>
      <c r="BC3" s="1129" t="s">
        <v>321</v>
      </c>
      <c r="BD3" s="1129"/>
      <c r="BE3" s="1129"/>
      <c r="BF3" s="1129"/>
      <c r="BG3" s="1129"/>
    </row>
    <row r="4" spans="1:59" s="436" customFormat="1" ht="15.75" customHeight="1" x14ac:dyDescent="0.25">
      <c r="A4" s="1125" t="s">
        <v>1</v>
      </c>
      <c r="B4" s="1125" t="s">
        <v>36</v>
      </c>
      <c r="C4" s="1125" t="s">
        <v>322</v>
      </c>
      <c r="D4" s="1125"/>
      <c r="E4" s="1125"/>
      <c r="F4" s="1125" t="s">
        <v>323</v>
      </c>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t="s">
        <v>323</v>
      </c>
      <c r="AH4" s="1125"/>
      <c r="AI4" s="1125"/>
      <c r="AJ4" s="1125"/>
      <c r="AK4" s="1125"/>
      <c r="AL4" s="1125"/>
      <c r="AM4" s="1125"/>
      <c r="AN4" s="1125"/>
      <c r="AO4" s="1125"/>
      <c r="AP4" s="1125"/>
      <c r="AQ4" s="1125"/>
      <c r="AR4" s="1125"/>
      <c r="AS4" s="1125"/>
      <c r="AT4" s="1125"/>
      <c r="AU4" s="1125"/>
      <c r="AV4" s="1125"/>
      <c r="AW4" s="1125"/>
      <c r="AX4" s="1125"/>
      <c r="AY4" s="1125"/>
      <c r="AZ4" s="1125"/>
      <c r="BA4" s="1125"/>
      <c r="BB4" s="1125"/>
      <c r="BC4" s="1125"/>
      <c r="BD4" s="1125"/>
      <c r="BE4" s="1125"/>
      <c r="BF4" s="1125"/>
      <c r="BG4" s="1125"/>
    </row>
    <row r="5" spans="1:59" s="436" customFormat="1" ht="29.25" customHeight="1" x14ac:dyDescent="0.25">
      <c r="A5" s="1125"/>
      <c r="B5" s="1125"/>
      <c r="C5" s="1125"/>
      <c r="D5" s="1125"/>
      <c r="E5" s="1125"/>
      <c r="F5" s="1126" t="s">
        <v>324</v>
      </c>
      <c r="G5" s="1126"/>
      <c r="H5" s="1126"/>
      <c r="I5" s="1126" t="s">
        <v>325</v>
      </c>
      <c r="J5" s="1126"/>
      <c r="K5" s="1126"/>
      <c r="L5" s="1130" t="s">
        <v>326</v>
      </c>
      <c r="M5" s="1130"/>
      <c r="N5" s="1130"/>
      <c r="O5" s="1130"/>
      <c r="P5" s="1130"/>
      <c r="Q5" s="1130"/>
      <c r="R5" s="1126" t="s">
        <v>327</v>
      </c>
      <c r="S5" s="1126"/>
      <c r="T5" s="1126"/>
      <c r="U5" s="1126"/>
      <c r="V5" s="1126"/>
      <c r="W5" s="1126"/>
      <c r="X5" s="1126"/>
      <c r="Y5" s="1126"/>
      <c r="Z5" s="1126"/>
      <c r="AA5" s="1126"/>
      <c r="AB5" s="1126"/>
      <c r="AC5" s="1126"/>
      <c r="AD5" s="1126"/>
      <c r="AE5" s="1126"/>
      <c r="AF5" s="1126"/>
      <c r="AG5" s="1126" t="s">
        <v>327</v>
      </c>
      <c r="AH5" s="1126"/>
      <c r="AI5" s="1126"/>
      <c r="AJ5" s="1126"/>
      <c r="AK5" s="1126"/>
      <c r="AL5" s="1126"/>
      <c r="AM5" s="1126" t="s">
        <v>328</v>
      </c>
      <c r="AN5" s="1126"/>
      <c r="AO5" s="1126"/>
      <c r="AP5" s="1126" t="s">
        <v>329</v>
      </c>
      <c r="AQ5" s="1126"/>
      <c r="AR5" s="1126"/>
      <c r="AS5" s="1126"/>
      <c r="AT5" s="1126"/>
      <c r="AU5" s="1126"/>
      <c r="AV5" s="1126"/>
      <c r="AW5" s="1126"/>
      <c r="AX5" s="1126"/>
      <c r="AY5" s="1126" t="s">
        <v>330</v>
      </c>
      <c r="AZ5" s="1126"/>
      <c r="BA5" s="1126"/>
      <c r="BB5" s="1126"/>
      <c r="BC5" s="1126"/>
      <c r="BD5" s="1126"/>
      <c r="BE5" s="1126"/>
      <c r="BF5" s="1126"/>
      <c r="BG5" s="1126"/>
    </row>
    <row r="6" spans="1:59" s="436" customFormat="1" ht="29.25" customHeight="1" x14ac:dyDescent="0.25">
      <c r="A6" s="1125"/>
      <c r="B6" s="1125"/>
      <c r="C6" s="1125"/>
      <c r="D6" s="1125"/>
      <c r="E6" s="1125"/>
      <c r="F6" s="1126"/>
      <c r="G6" s="1126"/>
      <c r="H6" s="1126"/>
      <c r="I6" s="1126"/>
      <c r="J6" s="1126"/>
      <c r="K6" s="1126"/>
      <c r="L6" s="1126" t="s">
        <v>331</v>
      </c>
      <c r="M6" s="1126"/>
      <c r="N6" s="1126"/>
      <c r="O6" s="1126" t="s">
        <v>332</v>
      </c>
      <c r="P6" s="1126"/>
      <c r="Q6" s="1126"/>
      <c r="R6" s="1125" t="s">
        <v>333</v>
      </c>
      <c r="S6" s="1125"/>
      <c r="T6" s="1125"/>
      <c r="U6" s="1127" t="s">
        <v>334</v>
      </c>
      <c r="V6" s="1127"/>
      <c r="W6" s="1127"/>
      <c r="X6" s="1127"/>
      <c r="Y6" s="1127"/>
      <c r="Z6" s="1127"/>
      <c r="AA6" s="1127"/>
      <c r="AB6" s="1127"/>
      <c r="AC6" s="1127"/>
      <c r="AD6" s="1127"/>
      <c r="AE6" s="1127"/>
      <c r="AF6" s="1127"/>
      <c r="AG6" s="1127" t="s">
        <v>335</v>
      </c>
      <c r="AH6" s="1127"/>
      <c r="AI6" s="1127"/>
      <c r="AJ6" s="1127" t="s">
        <v>336</v>
      </c>
      <c r="AK6" s="1127"/>
      <c r="AL6" s="1127"/>
      <c r="AM6" s="1126"/>
      <c r="AN6" s="1126"/>
      <c r="AO6" s="1126"/>
      <c r="AP6" s="804" t="s">
        <v>337</v>
      </c>
      <c r="AQ6" s="804"/>
      <c r="AR6" s="804"/>
      <c r="AS6" s="1126" t="s">
        <v>338</v>
      </c>
      <c r="AT6" s="1126"/>
      <c r="AU6" s="1126"/>
      <c r="AV6" s="1126" t="s">
        <v>339</v>
      </c>
      <c r="AW6" s="1126"/>
      <c r="AX6" s="1126"/>
      <c r="AY6" s="805" t="s">
        <v>340</v>
      </c>
      <c r="AZ6" s="805"/>
      <c r="BA6" s="805"/>
      <c r="BB6" s="1126" t="s">
        <v>341</v>
      </c>
      <c r="BC6" s="1126"/>
      <c r="BD6" s="1126"/>
      <c r="BE6" s="1126" t="s">
        <v>342</v>
      </c>
      <c r="BF6" s="1126"/>
      <c r="BG6" s="1126"/>
    </row>
    <row r="7" spans="1:59" s="436" customFormat="1" ht="12.75" hidden="1" customHeight="1" x14ac:dyDescent="0.2">
      <c r="A7" s="1125"/>
      <c r="B7" s="1125"/>
      <c r="C7" s="1125"/>
      <c r="D7" s="1125"/>
      <c r="E7" s="1125"/>
      <c r="F7" s="1126"/>
      <c r="G7" s="1126"/>
      <c r="H7" s="1126"/>
      <c r="I7" s="1126"/>
      <c r="J7" s="1126"/>
      <c r="K7" s="1126"/>
      <c r="L7" s="1126"/>
      <c r="M7" s="1126"/>
      <c r="N7" s="1126"/>
      <c r="O7" s="1126"/>
      <c r="P7" s="1126"/>
      <c r="Q7" s="1126"/>
      <c r="R7" s="1125"/>
      <c r="S7" s="1125"/>
      <c r="T7" s="1125"/>
      <c r="U7" s="1127" t="s">
        <v>343</v>
      </c>
      <c r="V7" s="1127"/>
      <c r="W7" s="1127"/>
      <c r="X7" s="532"/>
      <c r="Y7" s="1131" t="s">
        <v>344</v>
      </c>
      <c r="Z7" s="1131"/>
      <c r="AA7" s="1131"/>
      <c r="AB7" s="1131"/>
      <c r="AC7" s="1131"/>
      <c r="AD7" s="1131"/>
      <c r="AE7" s="1131"/>
      <c r="AF7" s="1131"/>
      <c r="AG7" s="1127"/>
      <c r="AH7" s="1127"/>
      <c r="AI7" s="1127"/>
      <c r="AJ7" s="1127"/>
      <c r="AK7" s="1127"/>
      <c r="AL7" s="1127"/>
      <c r="AM7" s="1126"/>
      <c r="AN7" s="1126"/>
      <c r="AO7" s="1126"/>
      <c r="AP7" s="804"/>
      <c r="AQ7" s="804"/>
      <c r="AR7" s="804"/>
      <c r="AS7" s="1126"/>
      <c r="AT7" s="1126"/>
      <c r="AU7" s="1126"/>
      <c r="AV7" s="1126"/>
      <c r="AW7" s="1126"/>
      <c r="AX7" s="1126"/>
      <c r="AY7" s="805"/>
      <c r="AZ7" s="805"/>
      <c r="BA7" s="805"/>
      <c r="BB7" s="1126"/>
      <c r="BC7" s="1126"/>
      <c r="BD7" s="1126"/>
      <c r="BE7" s="1126"/>
      <c r="BF7" s="1126"/>
      <c r="BG7" s="1126"/>
    </row>
    <row r="8" spans="1:59" s="436" customFormat="1" ht="78" customHeight="1" x14ac:dyDescent="0.25">
      <c r="A8" s="1125"/>
      <c r="B8" s="1125"/>
      <c r="C8" s="1125"/>
      <c r="D8" s="1125"/>
      <c r="E8" s="1125"/>
      <c r="F8" s="1126"/>
      <c r="G8" s="1126"/>
      <c r="H8" s="1126"/>
      <c r="I8" s="1126"/>
      <c r="J8" s="1126"/>
      <c r="K8" s="1126"/>
      <c r="L8" s="1126"/>
      <c r="M8" s="1126"/>
      <c r="N8" s="1126"/>
      <c r="O8" s="1126"/>
      <c r="P8" s="1126"/>
      <c r="Q8" s="1126"/>
      <c r="R8" s="1125"/>
      <c r="S8" s="1125"/>
      <c r="T8" s="1125"/>
      <c r="U8" s="1127"/>
      <c r="V8" s="1127"/>
      <c r="W8" s="1127"/>
      <c r="X8" s="1126" t="s">
        <v>345</v>
      </c>
      <c r="Y8" s="1126"/>
      <c r="Z8" s="1126"/>
      <c r="AA8" s="1126" t="s">
        <v>346</v>
      </c>
      <c r="AB8" s="1126"/>
      <c r="AC8" s="1126"/>
      <c r="AD8" s="1126" t="s">
        <v>347</v>
      </c>
      <c r="AE8" s="1126"/>
      <c r="AF8" s="1126"/>
      <c r="AG8" s="1127"/>
      <c r="AH8" s="1127"/>
      <c r="AI8" s="1127"/>
      <c r="AJ8" s="1127"/>
      <c r="AK8" s="1127"/>
      <c r="AL8" s="1127"/>
      <c r="AM8" s="1126"/>
      <c r="AN8" s="1126"/>
      <c r="AO8" s="1126"/>
      <c r="AP8" s="804"/>
      <c r="AQ8" s="804"/>
      <c r="AR8" s="804"/>
      <c r="AS8" s="1126"/>
      <c r="AT8" s="1126"/>
      <c r="AU8" s="1126"/>
      <c r="AV8" s="1126"/>
      <c r="AW8" s="1126"/>
      <c r="AX8" s="1126"/>
      <c r="AY8" s="805"/>
      <c r="AZ8" s="805"/>
      <c r="BA8" s="805"/>
      <c r="BB8" s="1126"/>
      <c r="BC8" s="1126"/>
      <c r="BD8" s="1126"/>
      <c r="BE8" s="1126"/>
      <c r="BF8" s="1126"/>
      <c r="BG8" s="1126"/>
    </row>
    <row r="9" spans="1:59" s="437" customFormat="1" ht="30.75" customHeight="1" x14ac:dyDescent="0.25">
      <c r="A9" s="1125"/>
      <c r="B9" s="1125"/>
      <c r="C9" s="1125"/>
      <c r="D9" s="1125"/>
      <c r="E9" s="1125"/>
      <c r="F9" s="1127" t="s">
        <v>348</v>
      </c>
      <c r="G9" s="1127"/>
      <c r="H9" s="1127"/>
      <c r="I9" s="1127" t="s">
        <v>348</v>
      </c>
      <c r="J9" s="1127"/>
      <c r="K9" s="1127"/>
      <c r="L9" s="1127" t="s">
        <v>348</v>
      </c>
      <c r="M9" s="1127"/>
      <c r="N9" s="1127"/>
      <c r="O9" s="1127" t="s">
        <v>349</v>
      </c>
      <c r="P9" s="1127"/>
      <c r="Q9" s="1127"/>
      <c r="R9" s="1125"/>
      <c r="S9" s="1125"/>
      <c r="T9" s="1125"/>
      <c r="U9" s="1127" t="s">
        <v>350</v>
      </c>
      <c r="V9" s="1127"/>
      <c r="W9" s="1127"/>
      <c r="X9" s="1127"/>
      <c r="Y9" s="1127"/>
      <c r="Z9" s="1127"/>
      <c r="AA9" s="1127"/>
      <c r="AB9" s="1127"/>
      <c r="AC9" s="1127"/>
      <c r="AD9" s="1127"/>
      <c r="AE9" s="1127"/>
      <c r="AF9" s="1127"/>
      <c r="AG9" s="1127" t="s">
        <v>348</v>
      </c>
      <c r="AH9" s="1127"/>
      <c r="AI9" s="1127"/>
      <c r="AJ9" s="1127" t="s">
        <v>348</v>
      </c>
      <c r="AK9" s="1127"/>
      <c r="AL9" s="1127"/>
      <c r="AM9" s="1127" t="s">
        <v>348</v>
      </c>
      <c r="AN9" s="1127"/>
      <c r="AO9" s="1127"/>
      <c r="AP9" s="804"/>
      <c r="AQ9" s="804"/>
      <c r="AR9" s="804"/>
      <c r="AS9" s="1127" t="s">
        <v>351</v>
      </c>
      <c r="AT9" s="1127"/>
      <c r="AU9" s="1127"/>
      <c r="AV9" s="1127" t="s">
        <v>351</v>
      </c>
      <c r="AW9" s="1127"/>
      <c r="AX9" s="1127"/>
      <c r="AY9" s="805"/>
      <c r="AZ9" s="805"/>
      <c r="BA9" s="805"/>
      <c r="BB9" s="1127" t="s">
        <v>350</v>
      </c>
      <c r="BC9" s="1127"/>
      <c r="BD9" s="1127"/>
      <c r="BE9" s="1127" t="s">
        <v>350</v>
      </c>
      <c r="BF9" s="1127"/>
      <c r="BG9" s="1127"/>
    </row>
    <row r="10" spans="1:59" s="436" customFormat="1" ht="32.25" customHeight="1" x14ac:dyDescent="0.25">
      <c r="A10" s="1125"/>
      <c r="B10" s="1125"/>
      <c r="C10" s="530" t="s">
        <v>352</v>
      </c>
      <c r="D10" s="530" t="s">
        <v>218</v>
      </c>
      <c r="E10" s="530" t="s">
        <v>353</v>
      </c>
      <c r="F10" s="530" t="s">
        <v>352</v>
      </c>
      <c r="G10" s="530" t="s">
        <v>218</v>
      </c>
      <c r="H10" s="530" t="s">
        <v>353</v>
      </c>
      <c r="I10" s="530" t="s">
        <v>352</v>
      </c>
      <c r="J10" s="531" t="s">
        <v>218</v>
      </c>
      <c r="K10" s="531" t="s">
        <v>353</v>
      </c>
      <c r="L10" s="530" t="s">
        <v>37</v>
      </c>
      <c r="M10" s="531" t="s">
        <v>218</v>
      </c>
      <c r="N10" s="531" t="s">
        <v>353</v>
      </c>
      <c r="O10" s="530" t="s">
        <v>37</v>
      </c>
      <c r="P10" s="531" t="s">
        <v>218</v>
      </c>
      <c r="Q10" s="531" t="s">
        <v>353</v>
      </c>
      <c r="R10" s="531" t="s">
        <v>37</v>
      </c>
      <c r="S10" s="530" t="s">
        <v>218</v>
      </c>
      <c r="T10" s="530" t="s">
        <v>353</v>
      </c>
      <c r="U10" s="531" t="s">
        <v>37</v>
      </c>
      <c r="V10" s="530" t="s">
        <v>218</v>
      </c>
      <c r="W10" s="530" t="s">
        <v>353</v>
      </c>
      <c r="X10" s="531" t="s">
        <v>37</v>
      </c>
      <c r="Y10" s="530" t="s">
        <v>218</v>
      </c>
      <c r="Z10" s="530" t="s">
        <v>353</v>
      </c>
      <c r="AA10" s="530" t="s">
        <v>37</v>
      </c>
      <c r="AB10" s="530" t="s">
        <v>218</v>
      </c>
      <c r="AC10" s="530" t="s">
        <v>353</v>
      </c>
      <c r="AD10" s="530" t="s">
        <v>37</v>
      </c>
      <c r="AE10" s="530" t="s">
        <v>218</v>
      </c>
      <c r="AF10" s="530" t="s">
        <v>353</v>
      </c>
      <c r="AG10" s="530" t="s">
        <v>37</v>
      </c>
      <c r="AH10" s="530" t="s">
        <v>218</v>
      </c>
      <c r="AI10" s="530" t="s">
        <v>353</v>
      </c>
      <c r="AJ10" s="531" t="s">
        <v>37</v>
      </c>
      <c r="AK10" s="530" t="s">
        <v>218</v>
      </c>
      <c r="AL10" s="530" t="s">
        <v>353</v>
      </c>
      <c r="AM10" s="530" t="s">
        <v>352</v>
      </c>
      <c r="AN10" s="530" t="s">
        <v>218</v>
      </c>
      <c r="AO10" s="530" t="s">
        <v>353</v>
      </c>
      <c r="AP10" s="530" t="s">
        <v>352</v>
      </c>
      <c r="AQ10" s="530" t="s">
        <v>218</v>
      </c>
      <c r="AR10" s="530" t="s">
        <v>353</v>
      </c>
      <c r="AS10" s="530" t="s">
        <v>352</v>
      </c>
      <c r="AT10" s="530" t="s">
        <v>218</v>
      </c>
      <c r="AU10" s="530" t="s">
        <v>353</v>
      </c>
      <c r="AV10" s="530" t="s">
        <v>37</v>
      </c>
      <c r="AW10" s="530" t="s">
        <v>218</v>
      </c>
      <c r="AX10" s="530" t="s">
        <v>353</v>
      </c>
      <c r="AY10" s="530" t="s">
        <v>352</v>
      </c>
      <c r="AZ10" s="530" t="s">
        <v>218</v>
      </c>
      <c r="BA10" s="530" t="s">
        <v>353</v>
      </c>
      <c r="BB10" s="530" t="s">
        <v>352</v>
      </c>
      <c r="BC10" s="530" t="s">
        <v>218</v>
      </c>
      <c r="BD10" s="530" t="s">
        <v>353</v>
      </c>
      <c r="BE10" s="530" t="s">
        <v>37</v>
      </c>
      <c r="BF10" s="530" t="s">
        <v>218</v>
      </c>
      <c r="BG10" s="530" t="s">
        <v>353</v>
      </c>
    </row>
    <row r="11" spans="1:59" s="439" customFormat="1" ht="19.5" customHeight="1" x14ac:dyDescent="0.25">
      <c r="A11" s="530"/>
      <c r="B11" s="530" t="s">
        <v>34</v>
      </c>
      <c r="C11" s="792">
        <f>C12+C23</f>
        <v>147894</v>
      </c>
      <c r="D11" s="792">
        <f>D12+D23</f>
        <v>143586</v>
      </c>
      <c r="E11" s="792">
        <f>E12+E23</f>
        <v>4308</v>
      </c>
      <c r="F11" s="792">
        <f t="shared" ref="F11:BG11" si="0">F12+F23</f>
        <v>12837</v>
      </c>
      <c r="G11" s="792">
        <f t="shared" si="0"/>
        <v>12463</v>
      </c>
      <c r="H11" s="792">
        <f t="shared" si="0"/>
        <v>374</v>
      </c>
      <c r="I11" s="792">
        <f t="shared" si="0"/>
        <v>43585</v>
      </c>
      <c r="J11" s="792">
        <f t="shared" si="0"/>
        <v>42316</v>
      </c>
      <c r="K11" s="792">
        <f t="shared" si="0"/>
        <v>1269</v>
      </c>
      <c r="L11" s="792">
        <f t="shared" si="0"/>
        <v>18018</v>
      </c>
      <c r="M11" s="792">
        <f t="shared" si="0"/>
        <v>17493</v>
      </c>
      <c r="N11" s="792">
        <f t="shared" si="0"/>
        <v>525</v>
      </c>
      <c r="O11" s="792">
        <f t="shared" si="0"/>
        <v>3593</v>
      </c>
      <c r="P11" s="792">
        <f t="shared" si="0"/>
        <v>3488</v>
      </c>
      <c r="Q11" s="792">
        <f t="shared" si="0"/>
        <v>105</v>
      </c>
      <c r="R11" s="792">
        <f t="shared" si="0"/>
        <v>29258</v>
      </c>
      <c r="S11" s="792">
        <f t="shared" si="0"/>
        <v>28407</v>
      </c>
      <c r="T11" s="792">
        <f t="shared" si="0"/>
        <v>851</v>
      </c>
      <c r="U11" s="792">
        <f t="shared" si="0"/>
        <v>21009</v>
      </c>
      <c r="V11" s="792">
        <f t="shared" si="0"/>
        <v>20398</v>
      </c>
      <c r="W11" s="792">
        <f t="shared" si="0"/>
        <v>611</v>
      </c>
      <c r="X11" s="792">
        <f t="shared" si="0"/>
        <v>1050</v>
      </c>
      <c r="Y11" s="792">
        <f t="shared" si="0"/>
        <v>1020</v>
      </c>
      <c r="Z11" s="792">
        <f t="shared" si="0"/>
        <v>30</v>
      </c>
      <c r="AA11" s="792">
        <f t="shared" si="0"/>
        <v>12360</v>
      </c>
      <c r="AB11" s="792">
        <f t="shared" si="0"/>
        <v>11999</v>
      </c>
      <c r="AC11" s="792">
        <f t="shared" si="0"/>
        <v>361</v>
      </c>
      <c r="AD11" s="792">
        <f t="shared" si="0"/>
        <v>17487</v>
      </c>
      <c r="AE11" s="792">
        <f t="shared" si="0"/>
        <v>16978</v>
      </c>
      <c r="AF11" s="792">
        <f t="shared" si="0"/>
        <v>509</v>
      </c>
      <c r="AG11" s="792">
        <f t="shared" si="0"/>
        <v>1726</v>
      </c>
      <c r="AH11" s="792">
        <f t="shared" si="0"/>
        <v>1676</v>
      </c>
      <c r="AI11" s="792">
        <f t="shared" si="0"/>
        <v>50</v>
      </c>
      <c r="AJ11" s="792">
        <f t="shared" si="0"/>
        <v>6523</v>
      </c>
      <c r="AK11" s="792">
        <f t="shared" si="0"/>
        <v>6333</v>
      </c>
      <c r="AL11" s="792">
        <f t="shared" si="0"/>
        <v>190</v>
      </c>
      <c r="AM11" s="792">
        <f t="shared" si="0"/>
        <v>11325</v>
      </c>
      <c r="AN11" s="792">
        <f t="shared" si="0"/>
        <v>10995</v>
      </c>
      <c r="AO11" s="792">
        <f t="shared" si="0"/>
        <v>330</v>
      </c>
      <c r="AP11" s="792">
        <f t="shared" si="0"/>
        <v>9215</v>
      </c>
      <c r="AQ11" s="792">
        <f t="shared" si="0"/>
        <v>8946</v>
      </c>
      <c r="AR11" s="792">
        <f t="shared" si="0"/>
        <v>269</v>
      </c>
      <c r="AS11" s="792">
        <f t="shared" si="0"/>
        <v>6697</v>
      </c>
      <c r="AT11" s="792">
        <f t="shared" si="0"/>
        <v>6502</v>
      </c>
      <c r="AU11" s="792">
        <f t="shared" si="0"/>
        <v>195</v>
      </c>
      <c r="AV11" s="792">
        <f t="shared" si="0"/>
        <v>2518</v>
      </c>
      <c r="AW11" s="792">
        <f t="shared" si="0"/>
        <v>2444</v>
      </c>
      <c r="AX11" s="792">
        <f t="shared" si="0"/>
        <v>74</v>
      </c>
      <c r="AY11" s="792">
        <f t="shared" si="0"/>
        <v>10155</v>
      </c>
      <c r="AZ11" s="792">
        <f t="shared" si="0"/>
        <v>9860</v>
      </c>
      <c r="BA11" s="792">
        <f t="shared" si="0"/>
        <v>295</v>
      </c>
      <c r="BB11" s="792">
        <f t="shared" si="0"/>
        <v>6355</v>
      </c>
      <c r="BC11" s="792">
        <f t="shared" si="0"/>
        <v>6170</v>
      </c>
      <c r="BD11" s="792">
        <f t="shared" si="0"/>
        <v>185</v>
      </c>
      <c r="BE11" s="792">
        <f t="shared" si="0"/>
        <v>3820</v>
      </c>
      <c r="BF11" s="792">
        <f t="shared" si="0"/>
        <v>3709</v>
      </c>
      <c r="BG11" s="792">
        <f t="shared" si="0"/>
        <v>111</v>
      </c>
    </row>
    <row r="12" spans="1:59" s="439" customFormat="1" ht="21" customHeight="1" x14ac:dyDescent="0.25">
      <c r="A12" s="530"/>
      <c r="B12" s="530" t="s">
        <v>354</v>
      </c>
      <c r="C12" s="792">
        <f t="shared" ref="C12:BG12" si="1">SUM(C13:C22)</f>
        <v>29785</v>
      </c>
      <c r="D12" s="792">
        <f t="shared" si="1"/>
        <v>28916</v>
      </c>
      <c r="E12" s="792">
        <f t="shared" si="1"/>
        <v>869</v>
      </c>
      <c r="F12" s="792">
        <f t="shared" si="1"/>
        <v>0</v>
      </c>
      <c r="G12" s="792">
        <f t="shared" si="1"/>
        <v>0</v>
      </c>
      <c r="H12" s="792">
        <f t="shared" si="1"/>
        <v>0</v>
      </c>
      <c r="I12" s="792">
        <f t="shared" si="1"/>
        <v>6537</v>
      </c>
      <c r="J12" s="792">
        <f t="shared" si="1"/>
        <v>6347</v>
      </c>
      <c r="K12" s="792">
        <f t="shared" si="1"/>
        <v>190</v>
      </c>
      <c r="L12" s="792">
        <f t="shared" si="1"/>
        <v>1802</v>
      </c>
      <c r="M12" s="792">
        <f t="shared" si="1"/>
        <v>1749</v>
      </c>
      <c r="N12" s="792">
        <f t="shared" si="1"/>
        <v>53</v>
      </c>
      <c r="O12" s="792">
        <f t="shared" si="1"/>
        <v>360</v>
      </c>
      <c r="P12" s="792">
        <f t="shared" si="1"/>
        <v>349</v>
      </c>
      <c r="Q12" s="792">
        <f t="shared" si="1"/>
        <v>11</v>
      </c>
      <c r="R12" s="792">
        <f t="shared" si="1"/>
        <v>2013</v>
      </c>
      <c r="S12" s="792">
        <f t="shared" si="1"/>
        <v>1955</v>
      </c>
      <c r="T12" s="792">
        <f t="shared" si="1"/>
        <v>58</v>
      </c>
      <c r="U12" s="792">
        <f t="shared" si="1"/>
        <v>1050</v>
      </c>
      <c r="V12" s="792">
        <f t="shared" si="1"/>
        <v>1020</v>
      </c>
      <c r="W12" s="792">
        <f t="shared" si="1"/>
        <v>30</v>
      </c>
      <c r="X12" s="792">
        <f t="shared" si="1"/>
        <v>1050</v>
      </c>
      <c r="Y12" s="792">
        <f t="shared" si="1"/>
        <v>1020</v>
      </c>
      <c r="Z12" s="792">
        <f t="shared" si="1"/>
        <v>30</v>
      </c>
      <c r="AA12" s="792">
        <f t="shared" si="1"/>
        <v>9888</v>
      </c>
      <c r="AB12" s="792">
        <f t="shared" si="1"/>
        <v>9599</v>
      </c>
      <c r="AC12" s="792">
        <f t="shared" si="1"/>
        <v>289</v>
      </c>
      <c r="AD12" s="792">
        <f t="shared" si="1"/>
        <v>0</v>
      </c>
      <c r="AE12" s="792">
        <f t="shared" si="1"/>
        <v>0</v>
      </c>
      <c r="AF12" s="792">
        <f t="shared" si="1"/>
        <v>0</v>
      </c>
      <c r="AG12" s="792">
        <f t="shared" si="1"/>
        <v>311</v>
      </c>
      <c r="AH12" s="792">
        <f t="shared" si="1"/>
        <v>302</v>
      </c>
      <c r="AI12" s="792">
        <f t="shared" si="1"/>
        <v>9</v>
      </c>
      <c r="AJ12" s="792">
        <f t="shared" si="1"/>
        <v>652</v>
      </c>
      <c r="AK12" s="792">
        <f t="shared" si="1"/>
        <v>633</v>
      </c>
      <c r="AL12" s="792">
        <f t="shared" si="1"/>
        <v>19</v>
      </c>
      <c r="AM12" s="792">
        <f t="shared" si="1"/>
        <v>0</v>
      </c>
      <c r="AN12" s="792">
        <f t="shared" si="1"/>
        <v>0</v>
      </c>
      <c r="AO12" s="792">
        <f t="shared" si="1"/>
        <v>0</v>
      </c>
      <c r="AP12" s="792">
        <f t="shared" si="1"/>
        <v>6641</v>
      </c>
      <c r="AQ12" s="792">
        <f t="shared" si="1"/>
        <v>6447</v>
      </c>
      <c r="AR12" s="792">
        <f t="shared" si="1"/>
        <v>194</v>
      </c>
      <c r="AS12" s="792">
        <f t="shared" si="1"/>
        <v>5760</v>
      </c>
      <c r="AT12" s="792">
        <f t="shared" si="1"/>
        <v>5592</v>
      </c>
      <c r="AU12" s="792">
        <f t="shared" si="1"/>
        <v>168</v>
      </c>
      <c r="AV12" s="792">
        <f t="shared" si="1"/>
        <v>881</v>
      </c>
      <c r="AW12" s="792">
        <f t="shared" si="1"/>
        <v>855</v>
      </c>
      <c r="AX12" s="792">
        <f t="shared" si="1"/>
        <v>26</v>
      </c>
      <c r="AY12" s="792">
        <f t="shared" si="1"/>
        <v>2524</v>
      </c>
      <c r="AZ12" s="792">
        <f t="shared" si="1"/>
        <v>2451</v>
      </c>
      <c r="BA12" s="792">
        <f t="shared" si="1"/>
        <v>73</v>
      </c>
      <c r="BB12" s="792">
        <f t="shared" si="1"/>
        <v>1589</v>
      </c>
      <c r="BC12" s="792">
        <f t="shared" si="1"/>
        <v>1543</v>
      </c>
      <c r="BD12" s="792">
        <f t="shared" si="1"/>
        <v>46</v>
      </c>
      <c r="BE12" s="792">
        <f t="shared" si="1"/>
        <v>955</v>
      </c>
      <c r="BF12" s="792">
        <f t="shared" si="1"/>
        <v>927</v>
      </c>
      <c r="BG12" s="792">
        <f t="shared" si="1"/>
        <v>28</v>
      </c>
    </row>
    <row r="13" spans="1:59" s="439" customFormat="1" ht="21" customHeight="1" x14ac:dyDescent="0.25">
      <c r="A13" s="440">
        <v>1</v>
      </c>
      <c r="B13" s="441" t="s">
        <v>355</v>
      </c>
      <c r="C13" s="793">
        <f t="shared" ref="C13:C19" si="2">D13+E13</f>
        <v>6009</v>
      </c>
      <c r="D13" s="793">
        <f>G13+J13+M13+P13+AB13+AE13+AH13+AK13+AN13+AT13+AW13+BC13+BF13+Y13</f>
        <v>5837</v>
      </c>
      <c r="E13" s="793">
        <f>H13+K13+N13+Q13+AC13+AF13+AI13+AL13+AO13+AU13+AX13+BD13+BG13+Z13</f>
        <v>172</v>
      </c>
      <c r="F13" s="794">
        <f t="shared" ref="F13:F19" si="3">G13+H13</f>
        <v>0</v>
      </c>
      <c r="G13" s="795"/>
      <c r="H13" s="795"/>
      <c r="I13" s="794">
        <f t="shared" ref="I13:I19" si="4">J13+K13</f>
        <v>1550</v>
      </c>
      <c r="J13" s="795">
        <f>'[7]2'!P8</f>
        <v>1505</v>
      </c>
      <c r="K13" s="795">
        <f>'[7]2'!Q8</f>
        <v>45</v>
      </c>
      <c r="L13" s="795">
        <f t="shared" ref="L13:L19" si="5">M13+N13</f>
        <v>0</v>
      </c>
      <c r="M13" s="795"/>
      <c r="N13" s="795"/>
      <c r="O13" s="795">
        <f t="shared" ref="O13:O19" si="6">P13+Q13</f>
        <v>0</v>
      </c>
      <c r="P13" s="795"/>
      <c r="Q13" s="795"/>
      <c r="R13" s="794">
        <f t="shared" ref="R13:R19" si="7">S13+T13</f>
        <v>2013</v>
      </c>
      <c r="S13" s="794">
        <f>Y13+AH13+AK13</f>
        <v>1955</v>
      </c>
      <c r="T13" s="794">
        <f>Z13+AI13+AL13</f>
        <v>58</v>
      </c>
      <c r="U13" s="794">
        <f>V13+W13</f>
        <v>1050</v>
      </c>
      <c r="V13" s="794">
        <f>AB13+AE13+Y13</f>
        <v>1020</v>
      </c>
      <c r="W13" s="794">
        <f>AC13+AF13+Z13</f>
        <v>30</v>
      </c>
      <c r="X13" s="794">
        <f>Y13+Z13</f>
        <v>1050</v>
      </c>
      <c r="Y13" s="794">
        <v>1020</v>
      </c>
      <c r="Z13" s="794">
        <v>30</v>
      </c>
      <c r="AA13" s="795">
        <f t="shared" ref="AA13:AA19" si="8">AB13+AC13</f>
        <v>0</v>
      </c>
      <c r="AB13" s="795"/>
      <c r="AC13" s="795"/>
      <c r="AD13" s="795">
        <f t="shared" ref="AD13:AD19" si="9">AE13+AF13</f>
        <v>0</v>
      </c>
      <c r="AE13" s="795"/>
      <c r="AF13" s="795"/>
      <c r="AG13" s="794">
        <f t="shared" ref="AG13:AG19" si="10">AH13+AI13</f>
        <v>311</v>
      </c>
      <c r="AH13" s="795">
        <f>'[7]TDA 2-4'!L8</f>
        <v>302</v>
      </c>
      <c r="AI13" s="795">
        <f>'[7]TDA 2-4'!M8</f>
        <v>9</v>
      </c>
      <c r="AJ13" s="794">
        <f>AK13+AL13</f>
        <v>652</v>
      </c>
      <c r="AK13" s="795">
        <f>'[7]TDA3-4'!L8</f>
        <v>633</v>
      </c>
      <c r="AL13" s="795">
        <f>'[7]TDA3-4'!M8</f>
        <v>19</v>
      </c>
      <c r="AM13" s="794">
        <f t="shared" ref="AM13:AM19" si="11">AN13+AO13</f>
        <v>0</v>
      </c>
      <c r="AN13" s="795"/>
      <c r="AO13" s="795"/>
      <c r="AP13" s="794">
        <f t="shared" ref="AP13:AP19" si="12">AQ13+AR13</f>
        <v>586</v>
      </c>
      <c r="AQ13" s="794">
        <f t="shared" ref="AQ13:AR22" si="13">AT13+AW13</f>
        <v>569</v>
      </c>
      <c r="AR13" s="794">
        <f t="shared" si="13"/>
        <v>17</v>
      </c>
      <c r="AS13" s="794">
        <f t="shared" ref="AS13:AS19" si="14">AT13+AU13</f>
        <v>0</v>
      </c>
      <c r="AT13" s="795"/>
      <c r="AU13" s="795"/>
      <c r="AV13" s="794">
        <f t="shared" ref="AV13:AV19" si="15">AW13+AX13</f>
        <v>586</v>
      </c>
      <c r="AW13" s="795">
        <f>'[7]TDA2-6'!N9</f>
        <v>569</v>
      </c>
      <c r="AX13" s="795">
        <f>'[7]TDA2-6'!O9</f>
        <v>17</v>
      </c>
      <c r="AY13" s="794">
        <f t="shared" ref="AY13:AY19" si="16">AZ13+BA13</f>
        <v>1860</v>
      </c>
      <c r="AZ13" s="794">
        <f t="shared" ref="AZ13:BA22" si="17">BC13+BF13</f>
        <v>1808</v>
      </c>
      <c r="BA13" s="794">
        <f t="shared" si="17"/>
        <v>52</v>
      </c>
      <c r="BB13" s="794">
        <f t="shared" ref="BB13:BB19" si="18">BC13+BD13</f>
        <v>1078</v>
      </c>
      <c r="BC13" s="795">
        <f>'[7]7'!P8</f>
        <v>1048</v>
      </c>
      <c r="BD13" s="795">
        <f>'[7]7'!R8</f>
        <v>30</v>
      </c>
      <c r="BE13" s="794">
        <f t="shared" ref="BE13:BE19" si="19">BF13+BG13</f>
        <v>782</v>
      </c>
      <c r="BF13" s="795">
        <f>'[7]7'!Q8</f>
        <v>760</v>
      </c>
      <c r="BG13" s="794">
        <f>'[7]7'!S8</f>
        <v>22</v>
      </c>
    </row>
    <row r="14" spans="1:59" s="439" customFormat="1" ht="21" customHeight="1" x14ac:dyDescent="0.25">
      <c r="A14" s="444">
        <v>2</v>
      </c>
      <c r="B14" s="445" t="s">
        <v>356</v>
      </c>
      <c r="C14" s="796">
        <f t="shared" si="2"/>
        <v>5257</v>
      </c>
      <c r="D14" s="796">
        <f>G14+J14+M14+P14+AB14+AE14+AH14+AK14+AN14+AT14+AW14+BC14+BF14</f>
        <v>5104</v>
      </c>
      <c r="E14" s="796">
        <f t="shared" ref="E14:E19" si="20">H14+K14+N14+Q14+AC14+AF14+AI14+AL14+AO14+AU14+AX14+BD14+BG14</f>
        <v>153</v>
      </c>
      <c r="F14" s="797">
        <f>G14+H14</f>
        <v>0</v>
      </c>
      <c r="G14" s="797"/>
      <c r="H14" s="797"/>
      <c r="I14" s="797">
        <f t="shared" si="4"/>
        <v>0</v>
      </c>
      <c r="J14" s="797"/>
      <c r="K14" s="797"/>
      <c r="L14" s="798">
        <f t="shared" si="5"/>
        <v>0</v>
      </c>
      <c r="M14" s="797"/>
      <c r="N14" s="797"/>
      <c r="O14" s="798">
        <f t="shared" si="6"/>
        <v>0</v>
      </c>
      <c r="P14" s="797"/>
      <c r="Q14" s="797"/>
      <c r="R14" s="797">
        <f t="shared" si="7"/>
        <v>0</v>
      </c>
      <c r="S14" s="797"/>
      <c r="T14" s="797"/>
      <c r="U14" s="797">
        <f t="shared" ref="U14:U19" si="21">V14+W14</f>
        <v>0</v>
      </c>
      <c r="V14" s="797">
        <f t="shared" ref="V14:W19" si="22">AB14+AE14+Y14</f>
        <v>0</v>
      </c>
      <c r="W14" s="797">
        <f t="shared" si="22"/>
        <v>0</v>
      </c>
      <c r="X14" s="797"/>
      <c r="Y14" s="797"/>
      <c r="Z14" s="797"/>
      <c r="AA14" s="798">
        <f t="shared" si="8"/>
        <v>0</v>
      </c>
      <c r="AB14" s="797"/>
      <c r="AC14" s="797"/>
      <c r="AD14" s="798">
        <f t="shared" si="9"/>
        <v>0</v>
      </c>
      <c r="AE14" s="797"/>
      <c r="AF14" s="797"/>
      <c r="AG14" s="797">
        <f t="shared" si="10"/>
        <v>0</v>
      </c>
      <c r="AH14" s="797"/>
      <c r="AI14" s="797"/>
      <c r="AJ14" s="797"/>
      <c r="AK14" s="797"/>
      <c r="AL14" s="797"/>
      <c r="AM14" s="797">
        <f t="shared" si="11"/>
        <v>0</v>
      </c>
      <c r="AN14" s="797"/>
      <c r="AO14" s="797"/>
      <c r="AP14" s="797">
        <f t="shared" si="12"/>
        <v>5197</v>
      </c>
      <c r="AQ14" s="797">
        <f t="shared" si="13"/>
        <v>5046</v>
      </c>
      <c r="AR14" s="797">
        <f t="shared" si="13"/>
        <v>151</v>
      </c>
      <c r="AS14" s="797">
        <f t="shared" si="14"/>
        <v>5197</v>
      </c>
      <c r="AT14" s="797">
        <f>'[7]TDA1-6'!N10+'[7]TDA1-6'!N14</f>
        <v>5046</v>
      </c>
      <c r="AU14" s="797">
        <f>'[7]TDA1-6'!O10+'[7]TDA1-6'!O14</f>
        <v>151</v>
      </c>
      <c r="AV14" s="797">
        <f t="shared" si="15"/>
        <v>0</v>
      </c>
      <c r="AW14" s="797"/>
      <c r="AX14" s="797"/>
      <c r="AY14" s="797">
        <f t="shared" si="16"/>
        <v>60</v>
      </c>
      <c r="AZ14" s="797">
        <f t="shared" si="17"/>
        <v>58</v>
      </c>
      <c r="BA14" s="797">
        <f t="shared" si="17"/>
        <v>2</v>
      </c>
      <c r="BB14" s="797">
        <f t="shared" si="18"/>
        <v>0</v>
      </c>
      <c r="BC14" s="797">
        <f>'[7]7'!P11</f>
        <v>0</v>
      </c>
      <c r="BD14" s="797">
        <f>'[7]7'!R11</f>
        <v>0</v>
      </c>
      <c r="BE14" s="797">
        <f t="shared" si="19"/>
        <v>60</v>
      </c>
      <c r="BF14" s="797">
        <f>'[7]7'!Q11</f>
        <v>58</v>
      </c>
      <c r="BG14" s="797">
        <f>'[7]7'!S11</f>
        <v>2</v>
      </c>
    </row>
    <row r="15" spans="1:59" s="439" customFormat="1" ht="21" customHeight="1" x14ac:dyDescent="0.25">
      <c r="A15" s="444">
        <v>3</v>
      </c>
      <c r="B15" s="445" t="s">
        <v>117</v>
      </c>
      <c r="C15" s="796">
        <f t="shared" si="2"/>
        <v>465</v>
      </c>
      <c r="D15" s="796">
        <f t="shared" ref="D15:E22" si="23">G15+J15+M15+P15+AB15+AE15+AH15+AK15+AN15+AT15+AW15+BC15+BF15</f>
        <v>450</v>
      </c>
      <c r="E15" s="796">
        <f t="shared" si="20"/>
        <v>15</v>
      </c>
      <c r="F15" s="797">
        <f t="shared" si="3"/>
        <v>0</v>
      </c>
      <c r="G15" s="797"/>
      <c r="H15" s="797"/>
      <c r="I15" s="797">
        <f t="shared" si="4"/>
        <v>0</v>
      </c>
      <c r="J15" s="797"/>
      <c r="K15" s="797"/>
      <c r="L15" s="798">
        <f t="shared" si="5"/>
        <v>0</v>
      </c>
      <c r="M15" s="797"/>
      <c r="N15" s="797"/>
      <c r="O15" s="798">
        <f>P15+Q15</f>
        <v>360</v>
      </c>
      <c r="P15" s="797">
        <f>'[7]TDA 2-3'!L9</f>
        <v>349</v>
      </c>
      <c r="Q15" s="797">
        <f>'[7]TDA 2-3'!M9</f>
        <v>11</v>
      </c>
      <c r="R15" s="797"/>
      <c r="S15" s="797"/>
      <c r="T15" s="797"/>
      <c r="U15" s="797"/>
      <c r="V15" s="797"/>
      <c r="W15" s="797"/>
      <c r="X15" s="797"/>
      <c r="Y15" s="797"/>
      <c r="Z15" s="797"/>
      <c r="AA15" s="798"/>
      <c r="AB15" s="797"/>
      <c r="AC15" s="797"/>
      <c r="AD15" s="798">
        <f t="shared" si="9"/>
        <v>0</v>
      </c>
      <c r="AE15" s="797"/>
      <c r="AF15" s="797"/>
      <c r="AG15" s="797">
        <f t="shared" si="10"/>
        <v>0</v>
      </c>
      <c r="AH15" s="797"/>
      <c r="AI15" s="797"/>
      <c r="AJ15" s="797"/>
      <c r="AK15" s="797"/>
      <c r="AL15" s="797"/>
      <c r="AM15" s="797">
        <f t="shared" si="11"/>
        <v>0</v>
      </c>
      <c r="AN15" s="797"/>
      <c r="AO15" s="797"/>
      <c r="AP15" s="797">
        <f t="shared" si="12"/>
        <v>0</v>
      </c>
      <c r="AQ15" s="797">
        <f t="shared" si="13"/>
        <v>0</v>
      </c>
      <c r="AR15" s="797">
        <f t="shared" si="13"/>
        <v>0</v>
      </c>
      <c r="AS15" s="797">
        <f t="shared" si="14"/>
        <v>0</v>
      </c>
      <c r="AT15" s="797"/>
      <c r="AU15" s="797"/>
      <c r="AV15" s="797">
        <f t="shared" si="15"/>
        <v>0</v>
      </c>
      <c r="AW15" s="797"/>
      <c r="AX15" s="797"/>
      <c r="AY15" s="797">
        <f t="shared" si="16"/>
        <v>105</v>
      </c>
      <c r="AZ15" s="797">
        <f t="shared" si="17"/>
        <v>101</v>
      </c>
      <c r="BA15" s="797">
        <f t="shared" si="17"/>
        <v>4</v>
      </c>
      <c r="BB15" s="797">
        <f t="shared" si="18"/>
        <v>85</v>
      </c>
      <c r="BC15" s="797">
        <f>'[7]7'!P12</f>
        <v>82</v>
      </c>
      <c r="BD15" s="797">
        <f>'[7]7'!R12</f>
        <v>3</v>
      </c>
      <c r="BE15" s="797">
        <f t="shared" si="19"/>
        <v>20</v>
      </c>
      <c r="BF15" s="797">
        <f>'[7]7'!Q12</f>
        <v>19</v>
      </c>
      <c r="BG15" s="797">
        <f>'[7]7'!S12</f>
        <v>1</v>
      </c>
    </row>
    <row r="16" spans="1:59" s="439" customFormat="1" ht="21" customHeight="1" x14ac:dyDescent="0.25">
      <c r="A16" s="444">
        <v>4</v>
      </c>
      <c r="B16" s="445" t="s">
        <v>131</v>
      </c>
      <c r="C16" s="796">
        <f t="shared" si="2"/>
        <v>51</v>
      </c>
      <c r="D16" s="796">
        <f t="shared" si="23"/>
        <v>49</v>
      </c>
      <c r="E16" s="796">
        <f t="shared" si="20"/>
        <v>2</v>
      </c>
      <c r="F16" s="797">
        <f t="shared" si="3"/>
        <v>0</v>
      </c>
      <c r="G16" s="797"/>
      <c r="H16" s="797"/>
      <c r="I16" s="797">
        <f t="shared" si="4"/>
        <v>0</v>
      </c>
      <c r="J16" s="797"/>
      <c r="K16" s="797"/>
      <c r="L16" s="798">
        <f t="shared" si="5"/>
        <v>0</v>
      </c>
      <c r="M16" s="797">
        <v>0</v>
      </c>
      <c r="N16" s="797">
        <v>0</v>
      </c>
      <c r="O16" s="798">
        <f t="shared" si="6"/>
        <v>0</v>
      </c>
      <c r="P16" s="797"/>
      <c r="Q16" s="797"/>
      <c r="R16" s="797">
        <f t="shared" si="7"/>
        <v>0</v>
      </c>
      <c r="S16" s="797"/>
      <c r="T16" s="797"/>
      <c r="U16" s="797">
        <f t="shared" ref="U16:U17" si="24">V16+W16</f>
        <v>0</v>
      </c>
      <c r="V16" s="797">
        <f t="shared" ref="V16:W17" si="25">AB16+AE16+Y16</f>
        <v>0</v>
      </c>
      <c r="W16" s="797">
        <f t="shared" si="25"/>
        <v>0</v>
      </c>
      <c r="X16" s="797"/>
      <c r="Y16" s="797"/>
      <c r="Z16" s="797"/>
      <c r="AA16" s="798">
        <f t="shared" si="8"/>
        <v>0</v>
      </c>
      <c r="AB16" s="797"/>
      <c r="AC16" s="797"/>
      <c r="AD16" s="798">
        <f t="shared" si="9"/>
        <v>0</v>
      </c>
      <c r="AE16" s="797"/>
      <c r="AF16" s="797"/>
      <c r="AG16" s="797">
        <f t="shared" si="10"/>
        <v>0</v>
      </c>
      <c r="AH16" s="797"/>
      <c r="AI16" s="797"/>
      <c r="AJ16" s="797"/>
      <c r="AK16" s="797"/>
      <c r="AL16" s="797"/>
      <c r="AM16" s="797">
        <f t="shared" si="11"/>
        <v>0</v>
      </c>
      <c r="AN16" s="797"/>
      <c r="AO16" s="797"/>
      <c r="AP16" s="797">
        <f t="shared" si="12"/>
        <v>0</v>
      </c>
      <c r="AQ16" s="797">
        <f t="shared" si="13"/>
        <v>0</v>
      </c>
      <c r="AR16" s="797">
        <f t="shared" si="13"/>
        <v>0</v>
      </c>
      <c r="AS16" s="797">
        <f t="shared" si="14"/>
        <v>0</v>
      </c>
      <c r="AT16" s="797"/>
      <c r="AU16" s="797"/>
      <c r="AV16" s="797">
        <f t="shared" si="15"/>
        <v>0</v>
      </c>
      <c r="AW16" s="797"/>
      <c r="AX16" s="797"/>
      <c r="AY16" s="797">
        <f t="shared" si="16"/>
        <v>51</v>
      </c>
      <c r="AZ16" s="797">
        <f t="shared" si="17"/>
        <v>49</v>
      </c>
      <c r="BA16" s="797">
        <f t="shared" si="17"/>
        <v>2</v>
      </c>
      <c r="BB16" s="797">
        <f t="shared" si="18"/>
        <v>51</v>
      </c>
      <c r="BC16" s="797">
        <f>'[7]7'!P9</f>
        <v>49</v>
      </c>
      <c r="BD16" s="797">
        <f>'[7]7'!R9</f>
        <v>2</v>
      </c>
      <c r="BE16" s="797">
        <f t="shared" si="19"/>
        <v>0</v>
      </c>
      <c r="BF16" s="797"/>
      <c r="BG16" s="797"/>
    </row>
    <row r="17" spans="1:59" s="439" customFormat="1" ht="21" customHeight="1" x14ac:dyDescent="0.25">
      <c r="A17" s="444">
        <v>5</v>
      </c>
      <c r="B17" s="445" t="s">
        <v>357</v>
      </c>
      <c r="C17" s="796">
        <f t="shared" si="2"/>
        <v>7237</v>
      </c>
      <c r="D17" s="796">
        <f t="shared" si="23"/>
        <v>7026</v>
      </c>
      <c r="E17" s="796">
        <f t="shared" si="20"/>
        <v>211</v>
      </c>
      <c r="F17" s="797">
        <f t="shared" si="3"/>
        <v>0</v>
      </c>
      <c r="G17" s="797"/>
      <c r="H17" s="797"/>
      <c r="I17" s="797">
        <f t="shared" si="4"/>
        <v>4987</v>
      </c>
      <c r="J17" s="797">
        <f>'[7]2'!P9</f>
        <v>4842</v>
      </c>
      <c r="K17" s="797">
        <f>'[7]2'!Q9</f>
        <v>145</v>
      </c>
      <c r="L17" s="799">
        <f>M17+N17</f>
        <v>1802</v>
      </c>
      <c r="M17" s="800">
        <f>'[7]TD1-3'!P8</f>
        <v>1749</v>
      </c>
      <c r="N17" s="800">
        <f>'[7]TD1-3'!Q8</f>
        <v>53</v>
      </c>
      <c r="O17" s="798">
        <f t="shared" si="6"/>
        <v>0</v>
      </c>
      <c r="P17" s="797"/>
      <c r="Q17" s="797"/>
      <c r="R17" s="797">
        <f t="shared" si="7"/>
        <v>0</v>
      </c>
      <c r="S17" s="797"/>
      <c r="T17" s="797"/>
      <c r="U17" s="797">
        <f t="shared" si="24"/>
        <v>0</v>
      </c>
      <c r="V17" s="797">
        <f t="shared" si="25"/>
        <v>0</v>
      </c>
      <c r="W17" s="797">
        <f t="shared" si="25"/>
        <v>0</v>
      </c>
      <c r="X17" s="797"/>
      <c r="Y17" s="797"/>
      <c r="Z17" s="797"/>
      <c r="AA17" s="798">
        <f t="shared" si="8"/>
        <v>0</v>
      </c>
      <c r="AB17" s="797"/>
      <c r="AC17" s="797"/>
      <c r="AD17" s="798">
        <f t="shared" si="9"/>
        <v>0</v>
      </c>
      <c r="AE17" s="797"/>
      <c r="AF17" s="797"/>
      <c r="AG17" s="797">
        <f t="shared" si="10"/>
        <v>0</v>
      </c>
      <c r="AH17" s="797"/>
      <c r="AI17" s="797"/>
      <c r="AJ17" s="797"/>
      <c r="AK17" s="797"/>
      <c r="AL17" s="797"/>
      <c r="AM17" s="797">
        <f t="shared" si="11"/>
        <v>0</v>
      </c>
      <c r="AN17" s="797"/>
      <c r="AO17" s="797"/>
      <c r="AP17" s="797">
        <f t="shared" si="12"/>
        <v>0</v>
      </c>
      <c r="AQ17" s="797">
        <f t="shared" si="13"/>
        <v>0</v>
      </c>
      <c r="AR17" s="797">
        <f t="shared" si="13"/>
        <v>0</v>
      </c>
      <c r="AS17" s="797">
        <f t="shared" si="14"/>
        <v>0</v>
      </c>
      <c r="AT17" s="797"/>
      <c r="AU17" s="797"/>
      <c r="AV17" s="797">
        <f t="shared" si="15"/>
        <v>0</v>
      </c>
      <c r="AW17" s="797"/>
      <c r="AX17" s="797"/>
      <c r="AY17" s="797">
        <f t="shared" si="16"/>
        <v>448</v>
      </c>
      <c r="AZ17" s="797">
        <f t="shared" si="17"/>
        <v>435</v>
      </c>
      <c r="BA17" s="797">
        <f t="shared" si="17"/>
        <v>13</v>
      </c>
      <c r="BB17" s="797">
        <f t="shared" si="18"/>
        <v>375</v>
      </c>
      <c r="BC17" s="797">
        <f>'[7]7'!P10</f>
        <v>364</v>
      </c>
      <c r="BD17" s="797">
        <f>'[7]7'!R10</f>
        <v>11</v>
      </c>
      <c r="BE17" s="797">
        <f t="shared" si="19"/>
        <v>73</v>
      </c>
      <c r="BF17" s="797">
        <f>'[7]7'!Q10</f>
        <v>71</v>
      </c>
      <c r="BG17" s="797">
        <f>'[7]7'!S10</f>
        <v>2</v>
      </c>
    </row>
    <row r="18" spans="1:59" s="439" customFormat="1" ht="21" customHeight="1" x14ac:dyDescent="0.25">
      <c r="A18" s="444">
        <v>6</v>
      </c>
      <c r="B18" s="445" t="s">
        <v>143</v>
      </c>
      <c r="C18" s="796">
        <f t="shared" si="2"/>
        <v>20</v>
      </c>
      <c r="D18" s="796">
        <f t="shared" si="23"/>
        <v>19</v>
      </c>
      <c r="E18" s="796">
        <f t="shared" si="20"/>
        <v>1</v>
      </c>
      <c r="F18" s="797"/>
      <c r="G18" s="797"/>
      <c r="H18" s="797"/>
      <c r="I18" s="797"/>
      <c r="J18" s="797"/>
      <c r="K18" s="797"/>
      <c r="L18" s="799"/>
      <c r="M18" s="800"/>
      <c r="N18" s="800"/>
      <c r="O18" s="798"/>
      <c r="P18" s="797"/>
      <c r="Q18" s="797"/>
      <c r="R18" s="797"/>
      <c r="S18" s="797"/>
      <c r="T18" s="797"/>
      <c r="U18" s="797"/>
      <c r="V18" s="797"/>
      <c r="W18" s="797"/>
      <c r="X18" s="797"/>
      <c r="Y18" s="797"/>
      <c r="Z18" s="797"/>
      <c r="AA18" s="798"/>
      <c r="AB18" s="797"/>
      <c r="AC18" s="797"/>
      <c r="AD18" s="798"/>
      <c r="AE18" s="797"/>
      <c r="AF18" s="797"/>
      <c r="AG18" s="797"/>
      <c r="AH18" s="797"/>
      <c r="AI18" s="797"/>
      <c r="AJ18" s="797"/>
      <c r="AK18" s="797"/>
      <c r="AL18" s="797"/>
      <c r="AM18" s="797"/>
      <c r="AN18" s="797"/>
      <c r="AO18" s="797"/>
      <c r="AP18" s="797"/>
      <c r="AQ18" s="797"/>
      <c r="AR18" s="797"/>
      <c r="AS18" s="797"/>
      <c r="AT18" s="797"/>
      <c r="AU18" s="797"/>
      <c r="AV18" s="797"/>
      <c r="AW18" s="797"/>
      <c r="AX18" s="797"/>
      <c r="AY18" s="797"/>
      <c r="AZ18" s="797"/>
      <c r="BA18" s="797"/>
      <c r="BB18" s="797"/>
      <c r="BC18" s="797"/>
      <c r="BD18" s="797"/>
      <c r="BE18" s="797">
        <f t="shared" si="19"/>
        <v>20</v>
      </c>
      <c r="BF18" s="797">
        <f>'[7]7'!Q13</f>
        <v>19</v>
      </c>
      <c r="BG18" s="797">
        <f>'[7]7'!S13</f>
        <v>1</v>
      </c>
    </row>
    <row r="19" spans="1:59" s="449" customFormat="1" ht="21" customHeight="1" x14ac:dyDescent="0.25">
      <c r="A19" s="444">
        <v>7</v>
      </c>
      <c r="B19" s="445" t="s">
        <v>358</v>
      </c>
      <c r="C19" s="796">
        <f t="shared" si="2"/>
        <v>295</v>
      </c>
      <c r="D19" s="796">
        <f t="shared" si="23"/>
        <v>286</v>
      </c>
      <c r="E19" s="796">
        <f t="shared" si="20"/>
        <v>9</v>
      </c>
      <c r="F19" s="797">
        <f t="shared" si="3"/>
        <v>0</v>
      </c>
      <c r="G19" s="797"/>
      <c r="H19" s="797"/>
      <c r="I19" s="797">
        <f t="shared" si="4"/>
        <v>0</v>
      </c>
      <c r="J19" s="797"/>
      <c r="K19" s="797"/>
      <c r="L19" s="798">
        <f t="shared" si="5"/>
        <v>0</v>
      </c>
      <c r="M19" s="797">
        <v>0</v>
      </c>
      <c r="N19" s="797">
        <v>0</v>
      </c>
      <c r="O19" s="798">
        <f t="shared" si="6"/>
        <v>0</v>
      </c>
      <c r="P19" s="797">
        <v>0</v>
      </c>
      <c r="Q19" s="797">
        <v>0</v>
      </c>
      <c r="R19" s="797">
        <f t="shared" si="7"/>
        <v>0</v>
      </c>
      <c r="S19" s="797"/>
      <c r="T19" s="797"/>
      <c r="U19" s="797">
        <f t="shared" si="21"/>
        <v>0</v>
      </c>
      <c r="V19" s="797">
        <f t="shared" si="22"/>
        <v>0</v>
      </c>
      <c r="W19" s="797">
        <f t="shared" si="22"/>
        <v>0</v>
      </c>
      <c r="X19" s="797"/>
      <c r="Y19" s="797"/>
      <c r="Z19" s="797"/>
      <c r="AA19" s="798">
        <f t="shared" si="8"/>
        <v>0</v>
      </c>
      <c r="AB19" s="797"/>
      <c r="AC19" s="797"/>
      <c r="AD19" s="798">
        <f t="shared" si="9"/>
        <v>0</v>
      </c>
      <c r="AE19" s="797"/>
      <c r="AF19" s="797"/>
      <c r="AG19" s="797">
        <f t="shared" si="10"/>
        <v>0</v>
      </c>
      <c r="AH19" s="797"/>
      <c r="AI19" s="797"/>
      <c r="AJ19" s="797"/>
      <c r="AK19" s="797"/>
      <c r="AL19" s="797"/>
      <c r="AM19" s="797">
        <f t="shared" si="11"/>
        <v>0</v>
      </c>
      <c r="AN19" s="797"/>
      <c r="AO19" s="797"/>
      <c r="AP19" s="797">
        <f t="shared" si="12"/>
        <v>295</v>
      </c>
      <c r="AQ19" s="797">
        <f t="shared" si="13"/>
        <v>286</v>
      </c>
      <c r="AR19" s="797">
        <f t="shared" si="13"/>
        <v>9</v>
      </c>
      <c r="AS19" s="797">
        <f t="shared" si="14"/>
        <v>0</v>
      </c>
      <c r="AT19" s="797"/>
      <c r="AU19" s="797"/>
      <c r="AV19" s="797">
        <f t="shared" si="15"/>
        <v>295</v>
      </c>
      <c r="AW19" s="797">
        <f>'[7]TDA2-6'!N10</f>
        <v>286</v>
      </c>
      <c r="AX19" s="797">
        <f>'[7]TDA2-6'!O10</f>
        <v>9</v>
      </c>
      <c r="AY19" s="797">
        <f t="shared" si="16"/>
        <v>0</v>
      </c>
      <c r="AZ19" s="797">
        <f t="shared" si="17"/>
        <v>0</v>
      </c>
      <c r="BA19" s="797">
        <f t="shared" si="17"/>
        <v>0</v>
      </c>
      <c r="BB19" s="797">
        <f t="shared" si="18"/>
        <v>0</v>
      </c>
      <c r="BC19" s="797"/>
      <c r="BD19" s="797"/>
      <c r="BE19" s="797">
        <f t="shared" si="19"/>
        <v>0</v>
      </c>
      <c r="BF19" s="797"/>
      <c r="BG19" s="797"/>
    </row>
    <row r="20" spans="1:59" s="439" customFormat="1" ht="21" customHeight="1" x14ac:dyDescent="0.25">
      <c r="A20" s="448">
        <v>8</v>
      </c>
      <c r="B20" s="445" t="s">
        <v>359</v>
      </c>
      <c r="C20" s="796">
        <f>D20+E20</f>
        <v>9888</v>
      </c>
      <c r="D20" s="796">
        <f t="shared" si="23"/>
        <v>9599</v>
      </c>
      <c r="E20" s="796">
        <f t="shared" si="23"/>
        <v>289</v>
      </c>
      <c r="F20" s="797">
        <f>G20+H20</f>
        <v>0</v>
      </c>
      <c r="G20" s="798"/>
      <c r="H20" s="798"/>
      <c r="I20" s="797">
        <f>J20+K20</f>
        <v>0</v>
      </c>
      <c r="J20" s="798"/>
      <c r="K20" s="798"/>
      <c r="L20" s="798">
        <f>M20+N20</f>
        <v>0</v>
      </c>
      <c r="M20" s="798"/>
      <c r="N20" s="798"/>
      <c r="O20" s="798">
        <f>P20+Q20</f>
        <v>0</v>
      </c>
      <c r="P20" s="798"/>
      <c r="Q20" s="798"/>
      <c r="R20" s="797">
        <f>S20+T20</f>
        <v>0</v>
      </c>
      <c r="S20" s="797">
        <f>V20+AH20+AK20</f>
        <v>0</v>
      </c>
      <c r="T20" s="797">
        <f>W20+AI20+AL20</f>
        <v>0</v>
      </c>
      <c r="U20" s="797">
        <f>V20+W20</f>
        <v>0</v>
      </c>
      <c r="V20" s="797"/>
      <c r="W20" s="797"/>
      <c r="X20" s="797"/>
      <c r="Y20" s="798"/>
      <c r="Z20" s="798"/>
      <c r="AA20" s="798">
        <f>AB20+AC20</f>
        <v>9888</v>
      </c>
      <c r="AB20" s="798">
        <f>'[7]ND1-TDA 1-4'!M16</f>
        <v>9599</v>
      </c>
      <c r="AC20" s="798">
        <f>'[7]ND1-TDA 1-4'!N16</f>
        <v>289</v>
      </c>
      <c r="AD20" s="798">
        <f>AE20+AF20</f>
        <v>0</v>
      </c>
      <c r="AE20" s="798"/>
      <c r="AF20" s="798"/>
      <c r="AG20" s="797">
        <f>AH20+AI20</f>
        <v>0</v>
      </c>
      <c r="AH20" s="798"/>
      <c r="AI20" s="798"/>
      <c r="AJ20" s="797">
        <f>AK20+AL20</f>
        <v>0</v>
      </c>
      <c r="AK20" s="798"/>
      <c r="AL20" s="798"/>
      <c r="AM20" s="797">
        <f>AN20+AO20</f>
        <v>0</v>
      </c>
      <c r="AN20" s="798"/>
      <c r="AO20" s="798"/>
      <c r="AP20" s="797">
        <f>AQ20+AR20</f>
        <v>0</v>
      </c>
      <c r="AQ20" s="797">
        <f t="shared" si="13"/>
        <v>0</v>
      </c>
      <c r="AR20" s="797">
        <f t="shared" si="13"/>
        <v>0</v>
      </c>
      <c r="AS20" s="797">
        <f>AT20+AU20</f>
        <v>0</v>
      </c>
      <c r="AT20" s="798"/>
      <c r="AU20" s="798"/>
      <c r="AV20" s="797">
        <f>AW20+AX20</f>
        <v>0</v>
      </c>
      <c r="AW20" s="798"/>
      <c r="AX20" s="798"/>
      <c r="AY20" s="797">
        <f>AZ20+BA20</f>
        <v>0</v>
      </c>
      <c r="AZ20" s="797">
        <f t="shared" si="17"/>
        <v>0</v>
      </c>
      <c r="BA20" s="797">
        <f t="shared" si="17"/>
        <v>0</v>
      </c>
      <c r="BB20" s="797">
        <f>BC20+BD20</f>
        <v>0</v>
      </c>
      <c r="BC20" s="798"/>
      <c r="BD20" s="798"/>
      <c r="BE20" s="797">
        <f>BF20+BG20</f>
        <v>0</v>
      </c>
      <c r="BF20" s="798"/>
      <c r="BG20" s="798"/>
    </row>
    <row r="21" spans="1:59" s="439" customFormat="1" ht="21" customHeight="1" x14ac:dyDescent="0.25">
      <c r="A21" s="444">
        <v>9</v>
      </c>
      <c r="B21" s="445" t="s">
        <v>360</v>
      </c>
      <c r="C21" s="796">
        <f>D21+E21</f>
        <v>263</v>
      </c>
      <c r="D21" s="796">
        <f t="shared" si="23"/>
        <v>255</v>
      </c>
      <c r="E21" s="796">
        <f t="shared" si="23"/>
        <v>8</v>
      </c>
      <c r="F21" s="797">
        <f>G21+H21</f>
        <v>0</v>
      </c>
      <c r="G21" s="797"/>
      <c r="H21" s="797"/>
      <c r="I21" s="797">
        <f>J21+K21</f>
        <v>0</v>
      </c>
      <c r="J21" s="797"/>
      <c r="K21" s="797"/>
      <c r="L21" s="798">
        <f>M21+N21</f>
        <v>0</v>
      </c>
      <c r="M21" s="797">
        <v>0</v>
      </c>
      <c r="N21" s="797">
        <v>0</v>
      </c>
      <c r="O21" s="798">
        <f>P21+Q21</f>
        <v>0</v>
      </c>
      <c r="P21" s="797"/>
      <c r="Q21" s="797"/>
      <c r="R21" s="797">
        <f>S21+T21</f>
        <v>0</v>
      </c>
      <c r="S21" s="797"/>
      <c r="T21" s="797"/>
      <c r="U21" s="797">
        <f t="shared" ref="U21:U22" si="26">V21+W21</f>
        <v>0</v>
      </c>
      <c r="V21" s="797">
        <f t="shared" ref="V21:W22" si="27">AB21+AE21+Y21</f>
        <v>0</v>
      </c>
      <c r="W21" s="797">
        <f t="shared" si="27"/>
        <v>0</v>
      </c>
      <c r="X21" s="797"/>
      <c r="Y21" s="797"/>
      <c r="Z21" s="797"/>
      <c r="AA21" s="798">
        <f>AB21+AC21</f>
        <v>0</v>
      </c>
      <c r="AB21" s="797"/>
      <c r="AC21" s="797"/>
      <c r="AD21" s="798">
        <f>AE21+AF21</f>
        <v>0</v>
      </c>
      <c r="AE21" s="797"/>
      <c r="AF21" s="797"/>
      <c r="AG21" s="797">
        <f>AH21+AI21</f>
        <v>0</v>
      </c>
      <c r="AH21" s="797"/>
      <c r="AI21" s="797"/>
      <c r="AJ21" s="797"/>
      <c r="AK21" s="797"/>
      <c r="AL21" s="797"/>
      <c r="AM21" s="797">
        <f>AN21+AO21</f>
        <v>0</v>
      </c>
      <c r="AN21" s="797"/>
      <c r="AO21" s="797"/>
      <c r="AP21" s="797">
        <f>AQ21+AR21</f>
        <v>263</v>
      </c>
      <c r="AQ21" s="797">
        <f t="shared" si="13"/>
        <v>255</v>
      </c>
      <c r="AR21" s="797">
        <f t="shared" si="13"/>
        <v>8</v>
      </c>
      <c r="AS21" s="797">
        <f>AT21+AU21</f>
        <v>263</v>
      </c>
      <c r="AT21" s="797">
        <f>'[7]TDA1-6'!N11</f>
        <v>255</v>
      </c>
      <c r="AU21" s="797">
        <f>'[7]TDA1-6'!O11</f>
        <v>8</v>
      </c>
      <c r="AV21" s="797">
        <f>AW21+AX21</f>
        <v>0</v>
      </c>
      <c r="AW21" s="797"/>
      <c r="AX21" s="797"/>
      <c r="AY21" s="797">
        <f>AZ21+BA21</f>
        <v>0</v>
      </c>
      <c r="AZ21" s="797">
        <f t="shared" si="17"/>
        <v>0</v>
      </c>
      <c r="BA21" s="797">
        <f t="shared" si="17"/>
        <v>0</v>
      </c>
      <c r="BB21" s="797">
        <f>BC21+BD21</f>
        <v>0</v>
      </c>
      <c r="BC21" s="797"/>
      <c r="BD21" s="797"/>
      <c r="BE21" s="797">
        <f>BF21+BG21</f>
        <v>0</v>
      </c>
      <c r="BF21" s="797"/>
      <c r="BG21" s="797"/>
    </row>
    <row r="22" spans="1:59" s="436" customFormat="1" ht="18.75" customHeight="1" x14ac:dyDescent="0.25">
      <c r="A22" s="450">
        <v>10</v>
      </c>
      <c r="B22" s="451" t="s">
        <v>361</v>
      </c>
      <c r="C22" s="801">
        <f>D22+E22</f>
        <v>300</v>
      </c>
      <c r="D22" s="801">
        <f t="shared" si="23"/>
        <v>291</v>
      </c>
      <c r="E22" s="801">
        <f t="shared" si="23"/>
        <v>9</v>
      </c>
      <c r="F22" s="802">
        <f>G22+H22</f>
        <v>0</v>
      </c>
      <c r="G22" s="802"/>
      <c r="H22" s="802"/>
      <c r="I22" s="802">
        <f>J22+K22</f>
        <v>0</v>
      </c>
      <c r="J22" s="802"/>
      <c r="K22" s="802"/>
      <c r="L22" s="803">
        <f>M22+N22</f>
        <v>0</v>
      </c>
      <c r="M22" s="802">
        <v>0</v>
      </c>
      <c r="N22" s="802">
        <v>0</v>
      </c>
      <c r="O22" s="803">
        <f>P22+Q22</f>
        <v>0</v>
      </c>
      <c r="P22" s="802">
        <v>0</v>
      </c>
      <c r="Q22" s="802">
        <v>0</v>
      </c>
      <c r="R22" s="802">
        <f>S22+T22</f>
        <v>0</v>
      </c>
      <c r="S22" s="802"/>
      <c r="T22" s="802"/>
      <c r="U22" s="802">
        <f t="shared" si="26"/>
        <v>0</v>
      </c>
      <c r="V22" s="802">
        <f t="shared" si="27"/>
        <v>0</v>
      </c>
      <c r="W22" s="802">
        <f t="shared" si="27"/>
        <v>0</v>
      </c>
      <c r="X22" s="802"/>
      <c r="Y22" s="802"/>
      <c r="Z22" s="802"/>
      <c r="AA22" s="803">
        <f>AB22+AC22</f>
        <v>0</v>
      </c>
      <c r="AB22" s="802"/>
      <c r="AC22" s="802"/>
      <c r="AD22" s="803">
        <f>AE22+AF22</f>
        <v>0</v>
      </c>
      <c r="AE22" s="802"/>
      <c r="AF22" s="802"/>
      <c r="AG22" s="802">
        <f>AH22+AI22</f>
        <v>0</v>
      </c>
      <c r="AH22" s="802"/>
      <c r="AI22" s="802"/>
      <c r="AJ22" s="802"/>
      <c r="AK22" s="802"/>
      <c r="AL22" s="802"/>
      <c r="AM22" s="802">
        <f>AN22+AO22</f>
        <v>0</v>
      </c>
      <c r="AN22" s="802"/>
      <c r="AO22" s="802"/>
      <c r="AP22" s="802">
        <f>AQ22+AR22</f>
        <v>300</v>
      </c>
      <c r="AQ22" s="802">
        <f t="shared" si="13"/>
        <v>291</v>
      </c>
      <c r="AR22" s="802">
        <f t="shared" si="13"/>
        <v>9</v>
      </c>
      <c r="AS22" s="802">
        <f>AT22+AU22</f>
        <v>300</v>
      </c>
      <c r="AT22" s="802">
        <f>'[7]TDA1-6'!N12</f>
        <v>291</v>
      </c>
      <c r="AU22" s="802">
        <f>'[7]TDA1-6'!O12</f>
        <v>9</v>
      </c>
      <c r="AV22" s="802">
        <f>AW22+AX22</f>
        <v>0</v>
      </c>
      <c r="AW22" s="802"/>
      <c r="AX22" s="802"/>
      <c r="AY22" s="802">
        <f>AZ22+BA22</f>
        <v>0</v>
      </c>
      <c r="AZ22" s="802">
        <f t="shared" si="17"/>
        <v>0</v>
      </c>
      <c r="BA22" s="802">
        <f t="shared" si="17"/>
        <v>0</v>
      </c>
      <c r="BB22" s="802">
        <f>BC22+BD22</f>
        <v>0</v>
      </c>
      <c r="BC22" s="802"/>
      <c r="BD22" s="802"/>
      <c r="BE22" s="802">
        <f>BF22+BG22</f>
        <v>0</v>
      </c>
      <c r="BF22" s="802"/>
      <c r="BG22" s="802"/>
    </row>
    <row r="23" spans="1:59" s="439" customFormat="1" ht="18.75" customHeight="1" x14ac:dyDescent="0.25">
      <c r="A23" s="530"/>
      <c r="B23" s="530" t="s">
        <v>362</v>
      </c>
      <c r="C23" s="454">
        <f>SUM(C24:C31)</f>
        <v>118109</v>
      </c>
      <c r="D23" s="454">
        <f t="shared" ref="D23:BG23" si="28">SUM(D24:D31)</f>
        <v>114670</v>
      </c>
      <c r="E23" s="454">
        <f t="shared" si="28"/>
        <v>3439</v>
      </c>
      <c r="F23" s="454">
        <f t="shared" si="28"/>
        <v>12837</v>
      </c>
      <c r="G23" s="454">
        <f t="shared" si="28"/>
        <v>12463</v>
      </c>
      <c r="H23" s="454">
        <f t="shared" si="28"/>
        <v>374</v>
      </c>
      <c r="I23" s="454">
        <f t="shared" si="28"/>
        <v>37048</v>
      </c>
      <c r="J23" s="454">
        <f t="shared" si="28"/>
        <v>35969</v>
      </c>
      <c r="K23" s="454">
        <f t="shared" si="28"/>
        <v>1079</v>
      </c>
      <c r="L23" s="454">
        <f t="shared" si="28"/>
        <v>16216</v>
      </c>
      <c r="M23" s="454">
        <f t="shared" si="28"/>
        <v>15744</v>
      </c>
      <c r="N23" s="454">
        <f t="shared" si="28"/>
        <v>472</v>
      </c>
      <c r="O23" s="454">
        <f>SUM(O24:O31)</f>
        <v>3233</v>
      </c>
      <c r="P23" s="454">
        <f t="shared" si="28"/>
        <v>3139</v>
      </c>
      <c r="Q23" s="454">
        <f t="shared" si="28"/>
        <v>94</v>
      </c>
      <c r="R23" s="454">
        <f t="shared" si="28"/>
        <v>27245</v>
      </c>
      <c r="S23" s="454">
        <f t="shared" si="28"/>
        <v>26452</v>
      </c>
      <c r="T23" s="454">
        <f t="shared" si="28"/>
        <v>793</v>
      </c>
      <c r="U23" s="454">
        <f t="shared" si="28"/>
        <v>19959</v>
      </c>
      <c r="V23" s="454">
        <f t="shared" si="28"/>
        <v>19378</v>
      </c>
      <c r="W23" s="454">
        <f t="shared" si="28"/>
        <v>581</v>
      </c>
      <c r="X23" s="454"/>
      <c r="Y23" s="454">
        <f t="shared" si="28"/>
        <v>0</v>
      </c>
      <c r="Z23" s="454">
        <f t="shared" si="28"/>
        <v>0</v>
      </c>
      <c r="AA23" s="454">
        <f>SUM(AA24:AA31)</f>
        <v>2472</v>
      </c>
      <c r="AB23" s="454">
        <f t="shared" si="28"/>
        <v>2400</v>
      </c>
      <c r="AC23" s="454">
        <f t="shared" si="28"/>
        <v>72</v>
      </c>
      <c r="AD23" s="454">
        <f>SUM(AD24:AD31)</f>
        <v>17487</v>
      </c>
      <c r="AE23" s="454">
        <f t="shared" si="28"/>
        <v>16978</v>
      </c>
      <c r="AF23" s="454">
        <f t="shared" si="28"/>
        <v>509</v>
      </c>
      <c r="AG23" s="454">
        <f t="shared" si="28"/>
        <v>1415</v>
      </c>
      <c r="AH23" s="454">
        <f t="shared" si="28"/>
        <v>1374</v>
      </c>
      <c r="AI23" s="454">
        <f t="shared" si="28"/>
        <v>41</v>
      </c>
      <c r="AJ23" s="454">
        <f t="shared" si="28"/>
        <v>5871</v>
      </c>
      <c r="AK23" s="454">
        <f t="shared" si="28"/>
        <v>5700</v>
      </c>
      <c r="AL23" s="454">
        <f t="shared" si="28"/>
        <v>171</v>
      </c>
      <c r="AM23" s="454">
        <f t="shared" si="28"/>
        <v>11325</v>
      </c>
      <c r="AN23" s="454">
        <f t="shared" si="28"/>
        <v>10995</v>
      </c>
      <c r="AO23" s="454">
        <f t="shared" si="28"/>
        <v>330</v>
      </c>
      <c r="AP23" s="454">
        <f t="shared" si="28"/>
        <v>2574</v>
      </c>
      <c r="AQ23" s="454">
        <f t="shared" si="28"/>
        <v>2499</v>
      </c>
      <c r="AR23" s="454">
        <f t="shared" si="28"/>
        <v>75</v>
      </c>
      <c r="AS23" s="454">
        <f t="shared" si="28"/>
        <v>937</v>
      </c>
      <c r="AT23" s="454">
        <f t="shared" si="28"/>
        <v>910</v>
      </c>
      <c r="AU23" s="454">
        <f t="shared" si="28"/>
        <v>27</v>
      </c>
      <c r="AV23" s="454">
        <f t="shared" si="28"/>
        <v>1637</v>
      </c>
      <c r="AW23" s="454">
        <f t="shared" si="28"/>
        <v>1589</v>
      </c>
      <c r="AX23" s="454">
        <f t="shared" si="28"/>
        <v>48</v>
      </c>
      <c r="AY23" s="454">
        <f t="shared" si="28"/>
        <v>7631</v>
      </c>
      <c r="AZ23" s="454">
        <f t="shared" si="28"/>
        <v>7409</v>
      </c>
      <c r="BA23" s="454">
        <f t="shared" si="28"/>
        <v>222</v>
      </c>
      <c r="BB23" s="454">
        <f t="shared" si="28"/>
        <v>4766</v>
      </c>
      <c r="BC23" s="454">
        <f t="shared" si="28"/>
        <v>4627</v>
      </c>
      <c r="BD23" s="454">
        <f t="shared" si="28"/>
        <v>139</v>
      </c>
      <c r="BE23" s="454">
        <f t="shared" si="28"/>
        <v>2865</v>
      </c>
      <c r="BF23" s="454">
        <f t="shared" si="28"/>
        <v>2782</v>
      </c>
      <c r="BG23" s="454">
        <f t="shared" si="28"/>
        <v>83</v>
      </c>
    </row>
    <row r="24" spans="1:59" s="439" customFormat="1" ht="18.75" customHeight="1" x14ac:dyDescent="0.25">
      <c r="A24" s="455">
        <v>1</v>
      </c>
      <c r="B24" s="456" t="s">
        <v>45</v>
      </c>
      <c r="C24" s="793">
        <f>D24+E24</f>
        <v>6187</v>
      </c>
      <c r="D24" s="793">
        <f>G24+J24+M24+P24+AB24+AE24+AH24+AK24+AN24+AT24+AW24+BC24+BF24</f>
        <v>6007</v>
      </c>
      <c r="E24" s="793">
        <f>H24+K24+N24+Q24+AC24+AF24+AI24+AL24+AO24+AU24+AX24+BD24+BG24</f>
        <v>180</v>
      </c>
      <c r="F24" s="794">
        <f t="shared" ref="F24" si="29">G24+H24</f>
        <v>0</v>
      </c>
      <c r="G24" s="794"/>
      <c r="H24" s="794"/>
      <c r="I24" s="794">
        <f>J24+K24</f>
        <v>2332</v>
      </c>
      <c r="J24" s="794">
        <f>'[7]2'!P11</f>
        <v>2264</v>
      </c>
      <c r="K24" s="794">
        <f>'[7]2'!Q11</f>
        <v>68</v>
      </c>
      <c r="L24" s="795">
        <f t="shared" ref="L24:L31" si="30">M24+N24</f>
        <v>1021</v>
      </c>
      <c r="M24" s="794">
        <f>'[7]TD1-3'!P10</f>
        <v>991</v>
      </c>
      <c r="N24" s="794">
        <f>'[7]TD1-3'!Q10</f>
        <v>30</v>
      </c>
      <c r="O24" s="795">
        <f t="shared" ref="O24:O31" si="31">P24+Q24</f>
        <v>331</v>
      </c>
      <c r="P24" s="794">
        <f>'[7]TDA 2-3'!L11</f>
        <v>321</v>
      </c>
      <c r="Q24" s="794">
        <f>'[7]TDA 2-3'!M11</f>
        <v>10</v>
      </c>
      <c r="R24" s="794">
        <f>S24+T24</f>
        <v>1829</v>
      </c>
      <c r="S24" s="794">
        <f>V24+AH24+AK24</f>
        <v>1776</v>
      </c>
      <c r="T24" s="794">
        <f>W24+AI24+AL24</f>
        <v>53</v>
      </c>
      <c r="U24" s="794">
        <f>V24+W24</f>
        <v>1312</v>
      </c>
      <c r="V24" s="794">
        <f>AB24+AE24+Y24</f>
        <v>1274</v>
      </c>
      <c r="W24" s="794">
        <f>AC24+AF24+Z24</f>
        <v>38</v>
      </c>
      <c r="X24" s="794"/>
      <c r="Y24" s="794"/>
      <c r="Z24" s="794"/>
      <c r="AA24" s="795">
        <f t="shared" ref="AA24:AA31" si="32">AB24+AC24</f>
        <v>0</v>
      </c>
      <c r="AB24" s="794"/>
      <c r="AC24" s="794"/>
      <c r="AD24" s="795">
        <f t="shared" ref="AD24:AD31" si="33">AE24+AF24</f>
        <v>1312</v>
      </c>
      <c r="AE24" s="794">
        <f>'[7]ND2-TDA1-4'!P8</f>
        <v>1274</v>
      </c>
      <c r="AF24" s="794">
        <f>'[7]ND2-TDA1-4'!Q8</f>
        <v>38</v>
      </c>
      <c r="AG24" s="794">
        <f>AH24+AI24</f>
        <v>0</v>
      </c>
      <c r="AH24" s="794"/>
      <c r="AI24" s="794"/>
      <c r="AJ24" s="794">
        <f>AK24+AL24</f>
        <v>517</v>
      </c>
      <c r="AK24" s="794">
        <f>'[7]TDA3-4'!L10</f>
        <v>502</v>
      </c>
      <c r="AL24" s="794">
        <f>'[7]TDA3-4'!M10</f>
        <v>15</v>
      </c>
      <c r="AM24" s="794">
        <f t="shared" ref="AM24" si="34">AN24+AO24</f>
        <v>0</v>
      </c>
      <c r="AN24" s="794"/>
      <c r="AO24" s="794"/>
      <c r="AP24" s="794">
        <f>AQ24+AR24</f>
        <v>170</v>
      </c>
      <c r="AQ24" s="794">
        <f>AT24+AW24</f>
        <v>165</v>
      </c>
      <c r="AR24" s="794">
        <f>AU24+AX24</f>
        <v>5</v>
      </c>
      <c r="AS24" s="794">
        <f>AT24+AU24</f>
        <v>62</v>
      </c>
      <c r="AT24" s="794">
        <f>'[7]TDA1-6'!N16</f>
        <v>60</v>
      </c>
      <c r="AU24" s="794">
        <f>'[7]TDA1-6'!O16</f>
        <v>2</v>
      </c>
      <c r="AV24" s="794">
        <f>AW24+AX24</f>
        <v>108</v>
      </c>
      <c r="AW24" s="794">
        <f>'[7]TDA2-6'!N12</f>
        <v>105</v>
      </c>
      <c r="AX24" s="794">
        <f>'[7]TDA2-6'!O12</f>
        <v>3</v>
      </c>
      <c r="AY24" s="794">
        <f>AZ24+BA24</f>
        <v>504</v>
      </c>
      <c r="AZ24" s="794">
        <f>BC24+BF24</f>
        <v>490</v>
      </c>
      <c r="BA24" s="794">
        <f>BD24+BG24</f>
        <v>14</v>
      </c>
      <c r="BB24" s="794">
        <f>BC24+BD24</f>
        <v>315</v>
      </c>
      <c r="BC24" s="794">
        <f>'[7]7'!P15</f>
        <v>306</v>
      </c>
      <c r="BD24" s="794">
        <f>'[7]7'!R15</f>
        <v>9</v>
      </c>
      <c r="BE24" s="794">
        <f>BF24+BG24</f>
        <v>189</v>
      </c>
      <c r="BF24" s="794">
        <f>'[7]7'!Q15</f>
        <v>184</v>
      </c>
      <c r="BG24" s="794">
        <f>'[7]7'!S15</f>
        <v>5</v>
      </c>
    </row>
    <row r="25" spans="1:59" s="439" customFormat="1" ht="18.75" customHeight="1" x14ac:dyDescent="0.25">
      <c r="A25" s="444">
        <v>2</v>
      </c>
      <c r="B25" s="457" t="s">
        <v>43</v>
      </c>
      <c r="C25" s="796">
        <f t="shared" ref="C25:C31" si="35">D25+E25</f>
        <v>28884</v>
      </c>
      <c r="D25" s="796">
        <f t="shared" ref="D25:E31" si="36">G25+J25+M25+P25+AB25+AE25+AH25+AK25+AN25+AT25+AW25+BC25+BF25</f>
        <v>28042</v>
      </c>
      <c r="E25" s="796">
        <f t="shared" si="36"/>
        <v>842</v>
      </c>
      <c r="F25" s="797">
        <f>G25+H25</f>
        <v>6566</v>
      </c>
      <c r="G25" s="797">
        <f>'[7]1'!N8</f>
        <v>6375</v>
      </c>
      <c r="H25" s="797">
        <f>'[7]1'!O8</f>
        <v>191</v>
      </c>
      <c r="I25" s="797">
        <f t="shared" ref="I25:I31" si="37">J25+K25</f>
        <v>6442</v>
      </c>
      <c r="J25" s="797">
        <f>'[7]2'!P12</f>
        <v>6254</v>
      </c>
      <c r="K25" s="797">
        <f>'[7]2'!Q12</f>
        <v>188</v>
      </c>
      <c r="L25" s="798">
        <f t="shared" si="30"/>
        <v>2820</v>
      </c>
      <c r="M25" s="797">
        <f>'[7]TD1-3'!P11</f>
        <v>2738</v>
      </c>
      <c r="N25" s="797">
        <f>'[7]TD1-3'!Q11</f>
        <v>82</v>
      </c>
      <c r="O25" s="798">
        <f t="shared" si="31"/>
        <v>525</v>
      </c>
      <c r="P25" s="797">
        <f>'[7]TDA 2-3'!L12</f>
        <v>509</v>
      </c>
      <c r="Q25" s="797">
        <f>'[7]TDA 2-3'!M12</f>
        <v>16</v>
      </c>
      <c r="R25" s="797">
        <f t="shared" ref="R25:R31" si="38">S25+T25</f>
        <v>5423</v>
      </c>
      <c r="S25" s="797">
        <f t="shared" ref="S25:T31" si="39">V25+AH25+AK25</f>
        <v>5265</v>
      </c>
      <c r="T25" s="797">
        <f t="shared" si="39"/>
        <v>158</v>
      </c>
      <c r="U25" s="797">
        <f t="shared" ref="U25:U31" si="40">V25+W25</f>
        <v>3802</v>
      </c>
      <c r="V25" s="797">
        <f t="shared" ref="V25:V31" si="41">AB25+AE25</f>
        <v>3691</v>
      </c>
      <c r="W25" s="797">
        <f t="shared" ref="W25:W31" si="42">AC25+AF25+Z25</f>
        <v>111</v>
      </c>
      <c r="X25" s="797"/>
      <c r="Y25" s="797"/>
      <c r="Z25" s="797"/>
      <c r="AA25" s="798">
        <f t="shared" si="32"/>
        <v>1236</v>
      </c>
      <c r="AB25" s="797">
        <f>'[7]ND1-TDA 1-4'!M9</f>
        <v>1200</v>
      </c>
      <c r="AC25" s="797">
        <f>'[7]ND1-TDA 1-4'!N9</f>
        <v>36</v>
      </c>
      <c r="AD25" s="798">
        <f t="shared" si="33"/>
        <v>2566</v>
      </c>
      <c r="AE25" s="797">
        <f>'[7]ND2-TDA1-4'!P9</f>
        <v>2491</v>
      </c>
      <c r="AF25" s="797">
        <f>'[7]ND2-TDA1-4'!Q9</f>
        <v>75</v>
      </c>
      <c r="AG25" s="797">
        <f t="shared" ref="AG25:AG31" si="43">AH25+AI25</f>
        <v>729</v>
      </c>
      <c r="AH25" s="797">
        <f>'[7]TDA 2-4'!L10</f>
        <v>708</v>
      </c>
      <c r="AI25" s="797">
        <f>'[7]TDA 2-4'!M10</f>
        <v>21</v>
      </c>
      <c r="AJ25" s="797">
        <f t="shared" ref="AJ25:AJ31" si="44">AK25+AL25</f>
        <v>892</v>
      </c>
      <c r="AK25" s="797">
        <f>'[7]TDA3-4'!L11</f>
        <v>866</v>
      </c>
      <c r="AL25" s="797">
        <f>'[7]TDA3-4'!M11</f>
        <v>26</v>
      </c>
      <c r="AM25" s="797">
        <f>AN25+AO25</f>
        <v>5504</v>
      </c>
      <c r="AN25" s="797">
        <f>'[7]5'!C6</f>
        <v>5344</v>
      </c>
      <c r="AO25" s="797">
        <f>'[7]5'!D6</f>
        <v>160</v>
      </c>
      <c r="AP25" s="797">
        <f t="shared" ref="AP25:AP31" si="45">AQ25+AR25</f>
        <v>405</v>
      </c>
      <c r="AQ25" s="797">
        <f t="shared" ref="AQ25:AR31" si="46">AT25+AW25</f>
        <v>393</v>
      </c>
      <c r="AR25" s="797">
        <f t="shared" si="46"/>
        <v>12</v>
      </c>
      <c r="AS25" s="797">
        <f t="shared" ref="AS25:AS31" si="47">AT25+AU25</f>
        <v>147</v>
      </c>
      <c r="AT25" s="797">
        <f>'[7]TDA1-6'!N17</f>
        <v>143</v>
      </c>
      <c r="AU25" s="797">
        <f>'[7]TDA1-6'!O17</f>
        <v>4</v>
      </c>
      <c r="AV25" s="797">
        <f t="shared" ref="AV25:AV31" si="48">AW25+AX25</f>
        <v>258</v>
      </c>
      <c r="AW25" s="797">
        <f>'[7]TDA2-6'!N13</f>
        <v>250</v>
      </c>
      <c r="AX25" s="797">
        <f>'[7]TDA2-6'!O13</f>
        <v>8</v>
      </c>
      <c r="AY25" s="797">
        <f t="shared" ref="AY25:AY31" si="49">AZ25+BA25</f>
        <v>1199</v>
      </c>
      <c r="AZ25" s="797">
        <f t="shared" ref="AZ25:BA31" si="50">BC25+BF25</f>
        <v>1164</v>
      </c>
      <c r="BA25" s="797">
        <f t="shared" si="50"/>
        <v>35</v>
      </c>
      <c r="BB25" s="797">
        <f t="shared" ref="BB25:BB31" si="51">BC25+BD25</f>
        <v>749</v>
      </c>
      <c r="BC25" s="797">
        <f>'[7]7'!P16</f>
        <v>727</v>
      </c>
      <c r="BD25" s="797">
        <f>'[7]7'!R16</f>
        <v>22</v>
      </c>
      <c r="BE25" s="797">
        <f t="shared" ref="BE25:BE31" si="52">BF25+BG25</f>
        <v>450</v>
      </c>
      <c r="BF25" s="797">
        <f>'[7]7'!Q16</f>
        <v>437</v>
      </c>
      <c r="BG25" s="797">
        <f>'[7]7'!S16</f>
        <v>13</v>
      </c>
    </row>
    <row r="26" spans="1:59" s="439" customFormat="1" ht="18.75" customHeight="1" x14ac:dyDescent="0.25">
      <c r="A26" s="444">
        <v>3</v>
      </c>
      <c r="B26" s="457" t="s">
        <v>44</v>
      </c>
      <c r="C26" s="796">
        <f t="shared" si="35"/>
        <v>12328</v>
      </c>
      <c r="D26" s="796">
        <f t="shared" si="36"/>
        <v>11969</v>
      </c>
      <c r="E26" s="796">
        <f t="shared" si="36"/>
        <v>359</v>
      </c>
      <c r="F26" s="797">
        <f t="shared" ref="F26:F31" si="53">G26+H26</f>
        <v>0</v>
      </c>
      <c r="G26" s="797"/>
      <c r="H26" s="797"/>
      <c r="I26" s="797">
        <f t="shared" si="37"/>
        <v>5028</v>
      </c>
      <c r="J26" s="797">
        <f>'[7]2'!P13</f>
        <v>4882</v>
      </c>
      <c r="K26" s="797">
        <f>'[7]2'!Q13</f>
        <v>146</v>
      </c>
      <c r="L26" s="798">
        <f t="shared" si="30"/>
        <v>2201</v>
      </c>
      <c r="M26" s="797">
        <f>'[7]TD1-3'!P12</f>
        <v>2137</v>
      </c>
      <c r="N26" s="797">
        <f>'[7]TD1-3'!Q12</f>
        <v>64</v>
      </c>
      <c r="O26" s="798">
        <f t="shared" si="31"/>
        <v>380</v>
      </c>
      <c r="P26" s="797">
        <f>'[7]TDA 2-3'!L13</f>
        <v>369</v>
      </c>
      <c r="Q26" s="797">
        <f>'[7]TDA 2-3'!M13</f>
        <v>11</v>
      </c>
      <c r="R26" s="797">
        <f t="shared" si="38"/>
        <v>3265</v>
      </c>
      <c r="S26" s="797">
        <f t="shared" si="39"/>
        <v>3170</v>
      </c>
      <c r="T26" s="797">
        <f t="shared" si="39"/>
        <v>95</v>
      </c>
      <c r="U26" s="797">
        <f t="shared" si="40"/>
        <v>2296</v>
      </c>
      <c r="V26" s="797">
        <f t="shared" si="41"/>
        <v>2229</v>
      </c>
      <c r="W26" s="797">
        <f t="shared" si="42"/>
        <v>67</v>
      </c>
      <c r="X26" s="797"/>
      <c r="Y26" s="797"/>
      <c r="Z26" s="797"/>
      <c r="AA26" s="798">
        <f t="shared" si="32"/>
        <v>0</v>
      </c>
      <c r="AB26" s="797">
        <f>'[7]ND1-TDA 1-4'!M10</f>
        <v>0</v>
      </c>
      <c r="AC26" s="797">
        <f>'[7]ND1-TDA 1-4'!N10</f>
        <v>0</v>
      </c>
      <c r="AD26" s="798">
        <f t="shared" si="33"/>
        <v>2296</v>
      </c>
      <c r="AE26" s="797">
        <f>'[7]ND2-TDA1-4'!P10</f>
        <v>2229</v>
      </c>
      <c r="AF26" s="797">
        <f>'[7]ND2-TDA1-4'!Q10</f>
        <v>67</v>
      </c>
      <c r="AG26" s="797">
        <f t="shared" si="43"/>
        <v>0</v>
      </c>
      <c r="AH26" s="797"/>
      <c r="AI26" s="797"/>
      <c r="AJ26" s="797">
        <f t="shared" si="44"/>
        <v>969</v>
      </c>
      <c r="AK26" s="797">
        <f>'[7]TDA3-4'!L12</f>
        <v>941</v>
      </c>
      <c r="AL26" s="797">
        <f>'[7]TDA3-4'!M12</f>
        <v>28</v>
      </c>
      <c r="AM26" s="797">
        <f t="shared" ref="AM26:AM31" si="54">AN26+AO26</f>
        <v>0</v>
      </c>
      <c r="AN26" s="797"/>
      <c r="AO26" s="797"/>
      <c r="AP26" s="797">
        <f t="shared" si="45"/>
        <v>367</v>
      </c>
      <c r="AQ26" s="797">
        <f t="shared" si="46"/>
        <v>356</v>
      </c>
      <c r="AR26" s="797">
        <f t="shared" si="46"/>
        <v>11</v>
      </c>
      <c r="AS26" s="797">
        <f t="shared" si="47"/>
        <v>134</v>
      </c>
      <c r="AT26" s="797">
        <f>'[7]TDA1-6'!N18</f>
        <v>130</v>
      </c>
      <c r="AU26" s="797">
        <f>'[7]TDA1-6'!O18</f>
        <v>4</v>
      </c>
      <c r="AV26" s="797">
        <f t="shared" si="48"/>
        <v>233</v>
      </c>
      <c r="AW26" s="797">
        <f>'[7]TDA2-6'!N14</f>
        <v>226</v>
      </c>
      <c r="AX26" s="797">
        <f>'[7]TDA2-6'!O14</f>
        <v>7</v>
      </c>
      <c r="AY26" s="797">
        <f t="shared" si="49"/>
        <v>1087</v>
      </c>
      <c r="AZ26" s="797">
        <f t="shared" si="50"/>
        <v>1055</v>
      </c>
      <c r="BA26" s="797">
        <f t="shared" si="50"/>
        <v>32</v>
      </c>
      <c r="BB26" s="797">
        <f t="shared" si="51"/>
        <v>679</v>
      </c>
      <c r="BC26" s="797">
        <f>'[7]7'!P17</f>
        <v>659</v>
      </c>
      <c r="BD26" s="797">
        <f>'[7]7'!R17</f>
        <v>20</v>
      </c>
      <c r="BE26" s="797">
        <f t="shared" si="52"/>
        <v>408</v>
      </c>
      <c r="BF26" s="797">
        <f>'[7]7'!Q17</f>
        <v>396</v>
      </c>
      <c r="BG26" s="797">
        <f>'[7]7'!S17</f>
        <v>12</v>
      </c>
    </row>
    <row r="27" spans="1:59" s="439" customFormat="1" ht="18.75" customHeight="1" x14ac:dyDescent="0.25">
      <c r="A27" s="444">
        <v>4</v>
      </c>
      <c r="B27" s="457" t="s">
        <v>40</v>
      </c>
      <c r="C27" s="796">
        <f t="shared" si="35"/>
        <v>27948</v>
      </c>
      <c r="D27" s="796">
        <f t="shared" si="36"/>
        <v>27134</v>
      </c>
      <c r="E27" s="796">
        <f t="shared" si="36"/>
        <v>814</v>
      </c>
      <c r="F27" s="797">
        <f t="shared" si="53"/>
        <v>6271</v>
      </c>
      <c r="G27" s="797">
        <f>'[7]1'!N9</f>
        <v>6088</v>
      </c>
      <c r="H27" s="797">
        <f>'[7]1'!O9</f>
        <v>183</v>
      </c>
      <c r="I27" s="797">
        <f t="shared" si="37"/>
        <v>6063</v>
      </c>
      <c r="J27" s="797">
        <f>'[7]2'!P14</f>
        <v>5886</v>
      </c>
      <c r="K27" s="797">
        <f>'[7]2'!Q14</f>
        <v>177</v>
      </c>
      <c r="L27" s="798">
        <f t="shared" si="30"/>
        <v>2654</v>
      </c>
      <c r="M27" s="797">
        <f>'[7]TD1-3'!P13</f>
        <v>2577</v>
      </c>
      <c r="N27" s="797">
        <f>'[7]TD1-3'!Q13</f>
        <v>77</v>
      </c>
      <c r="O27" s="798">
        <f t="shared" si="31"/>
        <v>450</v>
      </c>
      <c r="P27" s="797">
        <f>'[7]TDA 2-3'!L14</f>
        <v>437</v>
      </c>
      <c r="Q27" s="797">
        <f>'[7]TDA 2-3'!M14</f>
        <v>13</v>
      </c>
      <c r="R27" s="797">
        <f t="shared" si="38"/>
        <v>5181</v>
      </c>
      <c r="S27" s="797">
        <f t="shared" si="39"/>
        <v>5030</v>
      </c>
      <c r="T27" s="797">
        <f t="shared" si="39"/>
        <v>151</v>
      </c>
      <c r="U27" s="797">
        <f t="shared" si="40"/>
        <v>3655</v>
      </c>
      <c r="V27" s="797">
        <f t="shared" si="41"/>
        <v>3549</v>
      </c>
      <c r="W27" s="797">
        <f t="shared" si="42"/>
        <v>106</v>
      </c>
      <c r="X27" s="797"/>
      <c r="Y27" s="797"/>
      <c r="Z27" s="797"/>
      <c r="AA27" s="798">
        <f t="shared" si="32"/>
        <v>1236</v>
      </c>
      <c r="AB27" s="797">
        <f>'[7]ND1-TDA 1-4'!M11</f>
        <v>1200</v>
      </c>
      <c r="AC27" s="797">
        <f>'[7]ND1-TDA 1-4'!N11</f>
        <v>36</v>
      </c>
      <c r="AD27" s="798">
        <f t="shared" si="33"/>
        <v>2419</v>
      </c>
      <c r="AE27" s="797">
        <f>'[7]ND2-TDA1-4'!P11</f>
        <v>2349</v>
      </c>
      <c r="AF27" s="797">
        <f>'[7]ND2-TDA1-4'!Q11</f>
        <v>70</v>
      </c>
      <c r="AG27" s="797">
        <f t="shared" si="43"/>
        <v>686</v>
      </c>
      <c r="AH27" s="797">
        <f>'[7]TDA 2-4'!L11</f>
        <v>666</v>
      </c>
      <c r="AI27" s="797">
        <f>'[7]TDA 2-4'!M11</f>
        <v>20</v>
      </c>
      <c r="AJ27" s="797">
        <f t="shared" si="44"/>
        <v>840</v>
      </c>
      <c r="AK27" s="797">
        <f>'[7]TDA3-4'!L13</f>
        <v>815</v>
      </c>
      <c r="AL27" s="797">
        <f>'[7]TDA3-4'!M13</f>
        <v>25</v>
      </c>
      <c r="AM27" s="797">
        <f t="shared" si="54"/>
        <v>5821</v>
      </c>
      <c r="AN27" s="797">
        <f>'[7]5'!C7</f>
        <v>5651</v>
      </c>
      <c r="AO27" s="797">
        <f>'[7]5'!D7</f>
        <v>170</v>
      </c>
      <c r="AP27" s="797">
        <f t="shared" si="45"/>
        <v>380</v>
      </c>
      <c r="AQ27" s="797">
        <f t="shared" si="46"/>
        <v>369</v>
      </c>
      <c r="AR27" s="797">
        <f t="shared" si="46"/>
        <v>11</v>
      </c>
      <c r="AS27" s="797">
        <f t="shared" si="47"/>
        <v>138</v>
      </c>
      <c r="AT27" s="797">
        <f>'[7]TDA1-6'!N19</f>
        <v>134</v>
      </c>
      <c r="AU27" s="797">
        <f>'[7]TDA1-6'!O19</f>
        <v>4</v>
      </c>
      <c r="AV27" s="797">
        <f t="shared" si="48"/>
        <v>242</v>
      </c>
      <c r="AW27" s="797">
        <f>'[7]TDA2-6'!N15</f>
        <v>235</v>
      </c>
      <c r="AX27" s="797">
        <f>'[7]TDA2-6'!O15</f>
        <v>7</v>
      </c>
      <c r="AY27" s="797">
        <f t="shared" si="49"/>
        <v>1128</v>
      </c>
      <c r="AZ27" s="797">
        <f t="shared" si="50"/>
        <v>1096</v>
      </c>
      <c r="BA27" s="797">
        <f t="shared" si="50"/>
        <v>32</v>
      </c>
      <c r="BB27" s="797">
        <f t="shared" si="51"/>
        <v>704</v>
      </c>
      <c r="BC27" s="797">
        <f>'[7]7'!P18</f>
        <v>684</v>
      </c>
      <c r="BD27" s="797">
        <f>'[7]7'!R18</f>
        <v>20</v>
      </c>
      <c r="BE27" s="797">
        <f t="shared" si="52"/>
        <v>424</v>
      </c>
      <c r="BF27" s="797">
        <f>'[7]7'!Q18</f>
        <v>412</v>
      </c>
      <c r="BG27" s="797">
        <f>'[7]7'!S18</f>
        <v>12</v>
      </c>
    </row>
    <row r="28" spans="1:59" s="439" customFormat="1" ht="18.75" customHeight="1" x14ac:dyDescent="0.25">
      <c r="A28" s="444">
        <v>5</v>
      </c>
      <c r="B28" s="457" t="s">
        <v>41</v>
      </c>
      <c r="C28" s="796">
        <f t="shared" si="35"/>
        <v>9402</v>
      </c>
      <c r="D28" s="796">
        <f t="shared" si="36"/>
        <v>9128</v>
      </c>
      <c r="E28" s="796">
        <f t="shared" si="36"/>
        <v>274</v>
      </c>
      <c r="F28" s="797">
        <f t="shared" si="53"/>
        <v>0</v>
      </c>
      <c r="G28" s="797"/>
      <c r="H28" s="797"/>
      <c r="I28" s="797">
        <f t="shared" si="37"/>
        <v>3687</v>
      </c>
      <c r="J28" s="797">
        <f>'[7]2'!P15</f>
        <v>3580</v>
      </c>
      <c r="K28" s="797">
        <f>'[7]2'!Q15</f>
        <v>107</v>
      </c>
      <c r="L28" s="798">
        <f t="shared" si="30"/>
        <v>1614</v>
      </c>
      <c r="M28" s="797">
        <f>'[7]TD1-3'!P14</f>
        <v>1567</v>
      </c>
      <c r="N28" s="797">
        <f>'[7]TD1-3'!Q14</f>
        <v>47</v>
      </c>
      <c r="O28" s="798">
        <f t="shared" si="31"/>
        <v>380</v>
      </c>
      <c r="P28" s="797">
        <f>'[7]TDA 2-3'!L15</f>
        <v>369</v>
      </c>
      <c r="Q28" s="797">
        <f>'[7]TDA 2-3'!M15</f>
        <v>11</v>
      </c>
      <c r="R28" s="797">
        <f t="shared" si="38"/>
        <v>2655</v>
      </c>
      <c r="S28" s="797">
        <f t="shared" si="39"/>
        <v>2578</v>
      </c>
      <c r="T28" s="797">
        <f t="shared" si="39"/>
        <v>77</v>
      </c>
      <c r="U28" s="797">
        <f t="shared" si="40"/>
        <v>2077</v>
      </c>
      <c r="V28" s="797">
        <f t="shared" si="41"/>
        <v>2017</v>
      </c>
      <c r="W28" s="797">
        <f t="shared" si="42"/>
        <v>60</v>
      </c>
      <c r="X28" s="797"/>
      <c r="Y28" s="797"/>
      <c r="Z28" s="797"/>
      <c r="AA28" s="798">
        <f t="shared" si="32"/>
        <v>0</v>
      </c>
      <c r="AB28" s="797">
        <f>'[7]ND1-TDA 1-4'!M12</f>
        <v>0</v>
      </c>
      <c r="AC28" s="797">
        <f>'[7]ND1-TDA 1-4'!N12</f>
        <v>0</v>
      </c>
      <c r="AD28" s="798">
        <f t="shared" si="33"/>
        <v>2077</v>
      </c>
      <c r="AE28" s="797">
        <f>'[7]ND2-TDA1-4'!P12</f>
        <v>2017</v>
      </c>
      <c r="AF28" s="797">
        <f>'[7]ND2-TDA1-4'!Q12</f>
        <v>60</v>
      </c>
      <c r="AG28" s="797">
        <f>AH28+AI28</f>
        <v>0</v>
      </c>
      <c r="AH28" s="797"/>
      <c r="AI28" s="797"/>
      <c r="AJ28" s="797">
        <f t="shared" si="44"/>
        <v>578</v>
      </c>
      <c r="AK28" s="797">
        <f>'[7]TDA3-4'!L14</f>
        <v>561</v>
      </c>
      <c r="AL28" s="797">
        <f>'[7]TDA3-4'!M14</f>
        <v>17</v>
      </c>
      <c r="AM28" s="797">
        <f t="shared" si="54"/>
        <v>0</v>
      </c>
      <c r="AN28" s="797"/>
      <c r="AO28" s="797"/>
      <c r="AP28" s="797">
        <f t="shared" si="45"/>
        <v>269</v>
      </c>
      <c r="AQ28" s="797">
        <f t="shared" si="46"/>
        <v>261</v>
      </c>
      <c r="AR28" s="797">
        <f t="shared" si="46"/>
        <v>8</v>
      </c>
      <c r="AS28" s="797">
        <f t="shared" si="47"/>
        <v>98</v>
      </c>
      <c r="AT28" s="797">
        <f>'[7]TDA1-6'!N20</f>
        <v>95</v>
      </c>
      <c r="AU28" s="797">
        <f>'[7]TDA1-6'!O20</f>
        <v>3</v>
      </c>
      <c r="AV28" s="797">
        <f t="shared" si="48"/>
        <v>171</v>
      </c>
      <c r="AW28" s="797">
        <f>'[7]TDA2-6'!N16</f>
        <v>166</v>
      </c>
      <c r="AX28" s="797">
        <f>'[7]TDA2-6'!O16</f>
        <v>5</v>
      </c>
      <c r="AY28" s="797">
        <f t="shared" si="49"/>
        <v>797</v>
      </c>
      <c r="AZ28" s="797">
        <f t="shared" si="50"/>
        <v>773</v>
      </c>
      <c r="BA28" s="797">
        <f t="shared" si="50"/>
        <v>24</v>
      </c>
      <c r="BB28" s="797">
        <f t="shared" si="51"/>
        <v>498</v>
      </c>
      <c r="BC28" s="797">
        <f>'[7]7'!P19</f>
        <v>483</v>
      </c>
      <c r="BD28" s="797">
        <f>'[7]7'!R19</f>
        <v>15</v>
      </c>
      <c r="BE28" s="797">
        <f t="shared" si="52"/>
        <v>299</v>
      </c>
      <c r="BF28" s="797">
        <f>'[7]7'!Q19</f>
        <v>290</v>
      </c>
      <c r="BG28" s="797">
        <f>'[7]7'!S19</f>
        <v>9</v>
      </c>
    </row>
    <row r="29" spans="1:59" s="439" customFormat="1" ht="18.75" customHeight="1" x14ac:dyDescent="0.25">
      <c r="A29" s="444">
        <v>6</v>
      </c>
      <c r="B29" s="457" t="s">
        <v>39</v>
      </c>
      <c r="C29" s="796">
        <f t="shared" si="35"/>
        <v>10595</v>
      </c>
      <c r="D29" s="796">
        <f t="shared" si="36"/>
        <v>10287</v>
      </c>
      <c r="E29" s="796">
        <f t="shared" si="36"/>
        <v>308</v>
      </c>
      <c r="F29" s="797">
        <f t="shared" si="53"/>
        <v>0</v>
      </c>
      <c r="G29" s="797"/>
      <c r="H29" s="797"/>
      <c r="I29" s="797">
        <f t="shared" si="37"/>
        <v>4168</v>
      </c>
      <c r="J29" s="797">
        <f>'[7]2'!P16</f>
        <v>4047</v>
      </c>
      <c r="K29" s="797">
        <f>'[7]2'!Q16</f>
        <v>121</v>
      </c>
      <c r="L29" s="798">
        <f t="shared" si="30"/>
        <v>1824</v>
      </c>
      <c r="M29" s="797">
        <f>'[7]TD1-3'!P15</f>
        <v>1771</v>
      </c>
      <c r="N29" s="797">
        <f>'[7]TD1-3'!Q15</f>
        <v>53</v>
      </c>
      <c r="O29" s="798">
        <f t="shared" si="31"/>
        <v>429</v>
      </c>
      <c r="P29" s="797">
        <f>'[7]TDA 2-3'!L16</f>
        <v>417</v>
      </c>
      <c r="Q29" s="797">
        <f>'[7]TDA 2-3'!M16</f>
        <v>12</v>
      </c>
      <c r="R29" s="797">
        <f t="shared" si="38"/>
        <v>2971</v>
      </c>
      <c r="S29" s="797">
        <f t="shared" si="39"/>
        <v>2884</v>
      </c>
      <c r="T29" s="797">
        <f t="shared" si="39"/>
        <v>87</v>
      </c>
      <c r="U29" s="797">
        <f t="shared" si="40"/>
        <v>2260</v>
      </c>
      <c r="V29" s="797">
        <f t="shared" si="41"/>
        <v>2194</v>
      </c>
      <c r="W29" s="797">
        <f t="shared" si="42"/>
        <v>66</v>
      </c>
      <c r="X29" s="797"/>
      <c r="Y29" s="797"/>
      <c r="Z29" s="797"/>
      <c r="AA29" s="798">
        <f t="shared" si="32"/>
        <v>0</v>
      </c>
      <c r="AB29" s="797">
        <f>'[7]ND1-TDA 1-4'!M13</f>
        <v>0</v>
      </c>
      <c r="AC29" s="797">
        <f>'[7]ND1-TDA 1-4'!N13</f>
        <v>0</v>
      </c>
      <c r="AD29" s="798">
        <f t="shared" si="33"/>
        <v>2260</v>
      </c>
      <c r="AE29" s="797">
        <f>'[7]ND2-TDA1-4'!P13</f>
        <v>2194</v>
      </c>
      <c r="AF29" s="797">
        <f>'[7]ND2-TDA1-4'!Q13</f>
        <v>66</v>
      </c>
      <c r="AG29" s="797">
        <f t="shared" si="43"/>
        <v>0</v>
      </c>
      <c r="AH29" s="797"/>
      <c r="AI29" s="797"/>
      <c r="AJ29" s="797">
        <f t="shared" si="44"/>
        <v>711</v>
      </c>
      <c r="AK29" s="797">
        <f>'[7]TDA3-4'!L15</f>
        <v>690</v>
      </c>
      <c r="AL29" s="797">
        <f>'[7]TDA3-4'!M15</f>
        <v>21</v>
      </c>
      <c r="AM29" s="797">
        <f t="shared" si="54"/>
        <v>0</v>
      </c>
      <c r="AN29" s="797"/>
      <c r="AO29" s="797"/>
      <c r="AP29" s="797">
        <f t="shared" si="45"/>
        <v>303</v>
      </c>
      <c r="AQ29" s="797">
        <f t="shared" si="46"/>
        <v>294</v>
      </c>
      <c r="AR29" s="797">
        <f t="shared" si="46"/>
        <v>9</v>
      </c>
      <c r="AS29" s="797">
        <f t="shared" si="47"/>
        <v>110</v>
      </c>
      <c r="AT29" s="797">
        <f>'[7]TDA1-6'!N21</f>
        <v>107</v>
      </c>
      <c r="AU29" s="797">
        <f>'[7]TDA1-6'!O21</f>
        <v>3</v>
      </c>
      <c r="AV29" s="797">
        <f t="shared" si="48"/>
        <v>193</v>
      </c>
      <c r="AW29" s="797">
        <f>'[7]TDA2-6'!N17</f>
        <v>187</v>
      </c>
      <c r="AX29" s="797">
        <f>'[7]TDA2-6'!O17</f>
        <v>6</v>
      </c>
      <c r="AY29" s="797">
        <f t="shared" si="49"/>
        <v>900</v>
      </c>
      <c r="AZ29" s="797">
        <f t="shared" si="50"/>
        <v>874</v>
      </c>
      <c r="BA29" s="797">
        <f t="shared" si="50"/>
        <v>26</v>
      </c>
      <c r="BB29" s="797">
        <f t="shared" si="51"/>
        <v>562</v>
      </c>
      <c r="BC29" s="797">
        <f>'[7]7'!P20</f>
        <v>546</v>
      </c>
      <c r="BD29" s="797">
        <f>'[7]7'!R20</f>
        <v>16</v>
      </c>
      <c r="BE29" s="797">
        <f t="shared" si="52"/>
        <v>338</v>
      </c>
      <c r="BF29" s="797">
        <f>'[7]7'!Q20</f>
        <v>328</v>
      </c>
      <c r="BG29" s="797">
        <f>'[7]7'!S20</f>
        <v>10</v>
      </c>
    </row>
    <row r="30" spans="1:59" s="449" customFormat="1" ht="18.75" customHeight="1" x14ac:dyDescent="0.25">
      <c r="A30" s="444">
        <v>7</v>
      </c>
      <c r="B30" s="457" t="s">
        <v>38</v>
      </c>
      <c r="C30" s="796">
        <f t="shared" si="35"/>
        <v>10178</v>
      </c>
      <c r="D30" s="796">
        <f t="shared" si="36"/>
        <v>9883</v>
      </c>
      <c r="E30" s="796">
        <f t="shared" si="36"/>
        <v>295</v>
      </c>
      <c r="F30" s="797">
        <f t="shared" si="53"/>
        <v>0</v>
      </c>
      <c r="G30" s="797"/>
      <c r="H30" s="797"/>
      <c r="I30" s="797">
        <f t="shared" si="37"/>
        <v>4022</v>
      </c>
      <c r="J30" s="797">
        <f>'[7]2'!P17</f>
        <v>3905</v>
      </c>
      <c r="K30" s="797">
        <f>'[7]2'!Q17</f>
        <v>117</v>
      </c>
      <c r="L30" s="798">
        <f t="shared" si="30"/>
        <v>1760</v>
      </c>
      <c r="M30" s="797">
        <f>'[7]TD1-3'!P16</f>
        <v>1709</v>
      </c>
      <c r="N30" s="797">
        <f>'[7]TD1-3'!Q16</f>
        <v>51</v>
      </c>
      <c r="O30" s="798">
        <f t="shared" si="31"/>
        <v>380</v>
      </c>
      <c r="P30" s="797">
        <f>'[7]TDA 2-3'!L17</f>
        <v>369</v>
      </c>
      <c r="Q30" s="797">
        <f>'[7]TDA 2-3'!M17</f>
        <v>11</v>
      </c>
      <c r="R30" s="797">
        <f t="shared" si="38"/>
        <v>2854</v>
      </c>
      <c r="S30" s="797">
        <f t="shared" si="39"/>
        <v>2771</v>
      </c>
      <c r="T30" s="797">
        <f t="shared" si="39"/>
        <v>83</v>
      </c>
      <c r="U30" s="797">
        <f t="shared" si="40"/>
        <v>2224</v>
      </c>
      <c r="V30" s="797">
        <f t="shared" si="41"/>
        <v>2159</v>
      </c>
      <c r="W30" s="797">
        <f t="shared" si="42"/>
        <v>65</v>
      </c>
      <c r="X30" s="797"/>
      <c r="Y30" s="797"/>
      <c r="Z30" s="797"/>
      <c r="AA30" s="798">
        <f t="shared" si="32"/>
        <v>0</v>
      </c>
      <c r="AB30" s="797">
        <f>'[7]ND1-TDA 1-4'!M14</f>
        <v>0</v>
      </c>
      <c r="AC30" s="797">
        <f>'[7]ND1-TDA 1-4'!N14</f>
        <v>0</v>
      </c>
      <c r="AD30" s="798">
        <f t="shared" si="33"/>
        <v>2224</v>
      </c>
      <c r="AE30" s="797">
        <f>'[7]ND2-TDA1-4'!P14</f>
        <v>2159</v>
      </c>
      <c r="AF30" s="797">
        <f>'[7]ND2-TDA1-4'!Q14</f>
        <v>65</v>
      </c>
      <c r="AG30" s="797">
        <f t="shared" si="43"/>
        <v>0</v>
      </c>
      <c r="AH30" s="797"/>
      <c r="AI30" s="797"/>
      <c r="AJ30" s="797">
        <f t="shared" si="44"/>
        <v>630</v>
      </c>
      <c r="AK30" s="797">
        <f>'[7]TDA3-4'!L16</f>
        <v>612</v>
      </c>
      <c r="AL30" s="797">
        <f>'[7]TDA3-4'!M16</f>
        <v>18</v>
      </c>
      <c r="AM30" s="797">
        <f t="shared" si="54"/>
        <v>0</v>
      </c>
      <c r="AN30" s="797"/>
      <c r="AO30" s="797"/>
      <c r="AP30" s="797">
        <f t="shared" si="45"/>
        <v>293</v>
      </c>
      <c r="AQ30" s="797">
        <f t="shared" si="46"/>
        <v>285</v>
      </c>
      <c r="AR30" s="797">
        <f t="shared" si="46"/>
        <v>8</v>
      </c>
      <c r="AS30" s="797">
        <f t="shared" si="47"/>
        <v>107</v>
      </c>
      <c r="AT30" s="797">
        <f>'[7]TDA1-6'!N22</f>
        <v>104</v>
      </c>
      <c r="AU30" s="797">
        <f>'[7]TDA1-6'!O22</f>
        <v>3</v>
      </c>
      <c r="AV30" s="797">
        <f t="shared" si="48"/>
        <v>186</v>
      </c>
      <c r="AW30" s="797">
        <f>'[7]TDA2-6'!N18</f>
        <v>181</v>
      </c>
      <c r="AX30" s="797">
        <f>'[7]TDA2-6'!O18</f>
        <v>5</v>
      </c>
      <c r="AY30" s="797">
        <f t="shared" si="49"/>
        <v>869</v>
      </c>
      <c r="AZ30" s="797">
        <f t="shared" si="50"/>
        <v>844</v>
      </c>
      <c r="BA30" s="797">
        <f t="shared" si="50"/>
        <v>25</v>
      </c>
      <c r="BB30" s="797">
        <f t="shared" si="51"/>
        <v>543</v>
      </c>
      <c r="BC30" s="797">
        <f>'[7]7'!P21</f>
        <v>527</v>
      </c>
      <c r="BD30" s="797">
        <f>'[7]7'!R21</f>
        <v>16</v>
      </c>
      <c r="BE30" s="797">
        <f t="shared" si="52"/>
        <v>326</v>
      </c>
      <c r="BF30" s="797">
        <f>'[7]7'!Q21</f>
        <v>317</v>
      </c>
      <c r="BG30" s="797">
        <f>'[7]7'!S21</f>
        <v>9</v>
      </c>
    </row>
    <row r="31" spans="1:59" x14ac:dyDescent="0.25">
      <c r="A31" s="450">
        <v>8</v>
      </c>
      <c r="B31" s="458" t="s">
        <v>42</v>
      </c>
      <c r="C31" s="801">
        <f t="shared" si="35"/>
        <v>12587</v>
      </c>
      <c r="D31" s="801">
        <f t="shared" si="36"/>
        <v>12220</v>
      </c>
      <c r="E31" s="801">
        <f>H31+K31+N31+Q31+AC31+AF31+AI31+AL31+AO31+AU31+AX31+BD31+BG31</f>
        <v>367</v>
      </c>
      <c r="F31" s="802">
        <f t="shared" si="53"/>
        <v>0</v>
      </c>
      <c r="G31" s="802"/>
      <c r="H31" s="802"/>
      <c r="I31" s="802">
        <f t="shared" si="37"/>
        <v>5306</v>
      </c>
      <c r="J31" s="802">
        <f>'[7]2'!P18</f>
        <v>5151</v>
      </c>
      <c r="K31" s="802">
        <f>'[7]2'!Q18</f>
        <v>155</v>
      </c>
      <c r="L31" s="803">
        <f t="shared" si="30"/>
        <v>2322</v>
      </c>
      <c r="M31" s="802">
        <f>'[7]TD1-3'!P17</f>
        <v>2254</v>
      </c>
      <c r="N31" s="802">
        <f>'[7]TD1-3'!Q17</f>
        <v>68</v>
      </c>
      <c r="O31" s="803">
        <f t="shared" si="31"/>
        <v>358</v>
      </c>
      <c r="P31" s="802">
        <f>'[7]TDA 2-3'!L18</f>
        <v>348</v>
      </c>
      <c r="Q31" s="802">
        <f>'[7]TDA 2-3'!M18</f>
        <v>10</v>
      </c>
      <c r="R31" s="802">
        <f t="shared" si="38"/>
        <v>3067</v>
      </c>
      <c r="S31" s="802">
        <f t="shared" si="39"/>
        <v>2978</v>
      </c>
      <c r="T31" s="802">
        <f t="shared" si="39"/>
        <v>89</v>
      </c>
      <c r="U31" s="802">
        <f t="shared" si="40"/>
        <v>2333</v>
      </c>
      <c r="V31" s="802">
        <f t="shared" si="41"/>
        <v>2265</v>
      </c>
      <c r="W31" s="802">
        <f t="shared" si="42"/>
        <v>68</v>
      </c>
      <c r="X31" s="802"/>
      <c r="Y31" s="802"/>
      <c r="Z31" s="802"/>
      <c r="AA31" s="803">
        <f t="shared" si="32"/>
        <v>0</v>
      </c>
      <c r="AB31" s="802">
        <f>'[7]ND1-TDA 1-4'!M15</f>
        <v>0</v>
      </c>
      <c r="AC31" s="802">
        <f>'[7]ND1-TDA 1-4'!N15</f>
        <v>0</v>
      </c>
      <c r="AD31" s="803">
        <f t="shared" si="33"/>
        <v>2333</v>
      </c>
      <c r="AE31" s="802">
        <f>'[7]ND2-TDA1-4'!P15</f>
        <v>2265</v>
      </c>
      <c r="AF31" s="802">
        <f>'[7]ND2-TDA1-4'!Q15</f>
        <v>68</v>
      </c>
      <c r="AG31" s="802">
        <f t="shared" si="43"/>
        <v>0</v>
      </c>
      <c r="AH31" s="802"/>
      <c r="AI31" s="802"/>
      <c r="AJ31" s="802">
        <f t="shared" si="44"/>
        <v>734</v>
      </c>
      <c r="AK31" s="802">
        <f>'[7]TDA3-4'!L17</f>
        <v>713</v>
      </c>
      <c r="AL31" s="802">
        <f>'[7]TDA3-4'!M17</f>
        <v>21</v>
      </c>
      <c r="AM31" s="802">
        <f t="shared" si="54"/>
        <v>0</v>
      </c>
      <c r="AN31" s="802"/>
      <c r="AO31" s="802"/>
      <c r="AP31" s="802">
        <f t="shared" si="45"/>
        <v>387</v>
      </c>
      <c r="AQ31" s="802">
        <f t="shared" si="46"/>
        <v>376</v>
      </c>
      <c r="AR31" s="802">
        <f t="shared" si="46"/>
        <v>11</v>
      </c>
      <c r="AS31" s="802">
        <f t="shared" si="47"/>
        <v>141</v>
      </c>
      <c r="AT31" s="802">
        <f>'[7]TDA1-6'!N23</f>
        <v>137</v>
      </c>
      <c r="AU31" s="802">
        <f>'[7]TDA1-6'!O23</f>
        <v>4</v>
      </c>
      <c r="AV31" s="802">
        <f t="shared" si="48"/>
        <v>246</v>
      </c>
      <c r="AW31" s="802">
        <f>'[7]TDA2-6'!N19</f>
        <v>239</v>
      </c>
      <c r="AX31" s="802">
        <f>'[7]TDA2-6'!O19</f>
        <v>7</v>
      </c>
      <c r="AY31" s="802">
        <f t="shared" si="49"/>
        <v>1147</v>
      </c>
      <c r="AZ31" s="802">
        <f t="shared" si="50"/>
        <v>1113</v>
      </c>
      <c r="BA31" s="802">
        <f t="shared" si="50"/>
        <v>34</v>
      </c>
      <c r="BB31" s="802">
        <f t="shared" si="51"/>
        <v>716</v>
      </c>
      <c r="BC31" s="802">
        <f>'[7]7'!P22</f>
        <v>695</v>
      </c>
      <c r="BD31" s="802">
        <f>'[7]7'!R22</f>
        <v>21</v>
      </c>
      <c r="BE31" s="802">
        <f t="shared" si="52"/>
        <v>431</v>
      </c>
      <c r="BF31" s="802">
        <f>'[7]7'!Q22</f>
        <v>418</v>
      </c>
      <c r="BG31" s="802">
        <f>'[7]7'!S22</f>
        <v>13</v>
      </c>
    </row>
    <row r="32" spans="1:59" x14ac:dyDescent="0.25">
      <c r="AD32" s="460"/>
    </row>
    <row r="33" spans="30:30" x14ac:dyDescent="0.25">
      <c r="AD33" s="460"/>
    </row>
  </sheetData>
  <mergeCells count="46">
    <mergeCell ref="BB9:BD9"/>
    <mergeCell ref="BE9:BG9"/>
    <mergeCell ref="F9:H9"/>
    <mergeCell ref="I9:K9"/>
    <mergeCell ref="L9:N9"/>
    <mergeCell ref="O9:Q9"/>
    <mergeCell ref="U9:AF9"/>
    <mergeCell ref="AG9:AI9"/>
    <mergeCell ref="AJ9:AL9"/>
    <mergeCell ref="AM9:AO9"/>
    <mergeCell ref="AS9:AU9"/>
    <mergeCell ref="AV9:AX9"/>
    <mergeCell ref="A4:A10"/>
    <mergeCell ref="B4:B10"/>
    <mergeCell ref="C4:E9"/>
    <mergeCell ref="F5:H8"/>
    <mergeCell ref="I5:K8"/>
    <mergeCell ref="F4:AF4"/>
    <mergeCell ref="L5:Q5"/>
    <mergeCell ref="L6:N8"/>
    <mergeCell ref="O6:Q8"/>
    <mergeCell ref="R6:T9"/>
    <mergeCell ref="U7:W8"/>
    <mergeCell ref="Y7:AF7"/>
    <mergeCell ref="X8:Z8"/>
    <mergeCell ref="AA8:AC8"/>
    <mergeCell ref="AD8:AF8"/>
    <mergeCell ref="C1:AF1"/>
    <mergeCell ref="AG1:BG1"/>
    <mergeCell ref="C2:AF2"/>
    <mergeCell ref="AG2:BG2"/>
    <mergeCell ref="AA3:AE3"/>
    <mergeCell ref="BC3:BG3"/>
    <mergeCell ref="AG4:BG4"/>
    <mergeCell ref="R5:AF5"/>
    <mergeCell ref="AG5:AL5"/>
    <mergeCell ref="AM5:AO8"/>
    <mergeCell ref="AP5:AX5"/>
    <mergeCell ref="AY5:BG5"/>
    <mergeCell ref="U6:AF6"/>
    <mergeCell ref="AG6:AI8"/>
    <mergeCell ref="AJ6:AL8"/>
    <mergeCell ref="AS6:AU8"/>
    <mergeCell ref="AV6:AX8"/>
    <mergeCell ref="BB6:BD8"/>
    <mergeCell ref="BE6:BG8"/>
  </mergeCells>
  <pageMargins left="0.59055118110236227" right="0.39370078740157483" top="0.59055118110236227" bottom="0.59055118110236227" header="0.31496062992125984" footer="0.31496062992125984"/>
  <pageSetup paperSize="9" scale="63" firstPageNumber="88" orientation="landscape" useFirstPageNumber="1" r:id="rId1"/>
  <headerFooter>
    <oddHeader>&amp;C&amp;P&amp;RPhụ biểu số 6B</oddHeader>
  </headerFooter>
  <colBreaks count="1" manualBreakCount="1">
    <brk id="3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7"/>
  <sheetViews>
    <sheetView view="pageLayout" zoomScale="70" zoomScaleNormal="100" zoomScaleSheetLayoutView="100" zoomScalePageLayoutView="70" workbookViewId="0">
      <selection activeCell="A2" sqref="A2:U2"/>
    </sheetView>
  </sheetViews>
  <sheetFormatPr defaultColWidth="8" defaultRowHeight="18.75" x14ac:dyDescent="0.25"/>
  <cols>
    <col min="1" max="1" width="8" style="785"/>
    <col min="2" max="2" width="28.625" style="784" customWidth="1"/>
    <col min="3" max="3" width="8.125" style="784" customWidth="1"/>
    <col min="4" max="4" width="8.625" style="784" customWidth="1"/>
    <col min="5" max="5" width="8.75" style="784" customWidth="1"/>
    <col min="6" max="6" width="15.25" style="784" hidden="1" customWidth="1"/>
    <col min="7" max="7" width="13.75" style="784" hidden="1" customWidth="1"/>
    <col min="8" max="8" width="14.125" style="784" hidden="1" customWidth="1"/>
    <col min="9" max="11" width="15.25" style="784" hidden="1" customWidth="1"/>
    <col min="12" max="13" width="9.75" style="784" customWidth="1"/>
    <col min="14" max="14" width="8.75" style="784" customWidth="1"/>
    <col min="15" max="15" width="8.25" style="784" customWidth="1"/>
    <col min="16" max="16" width="8.75" style="784" customWidth="1"/>
    <col min="17" max="17" width="8.5" style="784" customWidth="1"/>
    <col min="18" max="18" width="9.125" style="784" customWidth="1"/>
    <col min="19" max="19" width="8.625" style="784" customWidth="1"/>
    <col min="20" max="20" width="9.625" style="784" customWidth="1"/>
    <col min="21" max="21" width="14.25" style="784" hidden="1" customWidth="1"/>
    <col min="22" max="22" width="22.75" style="784" hidden="1" customWidth="1"/>
    <col min="23" max="16384" width="8" style="784"/>
  </cols>
  <sheetData>
    <row r="1" spans="1:22" ht="46.5" customHeight="1" x14ac:dyDescent="0.25">
      <c r="A1" s="1128" t="s">
        <v>1281</v>
      </c>
      <c r="B1" s="1128"/>
      <c r="C1" s="1128"/>
      <c r="D1" s="1128"/>
      <c r="E1" s="1128"/>
      <c r="F1" s="1128"/>
      <c r="G1" s="1128"/>
      <c r="H1" s="1128"/>
      <c r="I1" s="1128"/>
      <c r="J1" s="1128"/>
      <c r="K1" s="1128"/>
      <c r="L1" s="1128"/>
      <c r="M1" s="1128"/>
      <c r="N1" s="1128"/>
      <c r="O1" s="1128"/>
      <c r="P1" s="1128"/>
      <c r="Q1" s="1128"/>
      <c r="R1" s="1128"/>
      <c r="S1" s="1128"/>
      <c r="T1" s="1128"/>
      <c r="U1" s="1128"/>
    </row>
    <row r="2" spans="1:22" ht="21" customHeight="1" x14ac:dyDescent="0.25">
      <c r="A2" s="1133" t="str">
        <f>'1 Điều hành'!A2:B2</f>
        <v>(Kèm theo Nghị quyết số          /NQ-HĐND ngày        tháng 12 năm 2023 của HĐND tỉnh Bắc Kạn)</v>
      </c>
      <c r="B2" s="1133"/>
      <c r="C2" s="1133"/>
      <c r="D2" s="1133"/>
      <c r="E2" s="1133"/>
      <c r="F2" s="1133"/>
      <c r="G2" s="1133"/>
      <c r="H2" s="1133"/>
      <c r="I2" s="1133"/>
      <c r="J2" s="1133"/>
      <c r="K2" s="1133"/>
      <c r="L2" s="1133"/>
      <c r="M2" s="1133"/>
      <c r="N2" s="1133"/>
      <c r="O2" s="1133"/>
      <c r="P2" s="1133"/>
      <c r="Q2" s="1133"/>
      <c r="R2" s="1133"/>
      <c r="S2" s="1133"/>
      <c r="T2" s="1133"/>
      <c r="U2" s="1133"/>
    </row>
    <row r="3" spans="1:22" ht="19.5" customHeight="1" x14ac:dyDescent="0.25">
      <c r="E3" s="786"/>
      <c r="F3" s="786"/>
      <c r="G3" s="786"/>
      <c r="H3" s="786"/>
      <c r="I3" s="786"/>
      <c r="J3" s="786"/>
      <c r="K3" s="786"/>
      <c r="N3" s="786"/>
      <c r="Q3" s="786"/>
      <c r="S3" s="1134" t="s">
        <v>321</v>
      </c>
      <c r="T3" s="1134"/>
    </row>
    <row r="4" spans="1:22" s="529" customFormat="1" ht="38.25" customHeight="1" x14ac:dyDescent="0.25">
      <c r="A4" s="1135" t="s">
        <v>363</v>
      </c>
      <c r="B4" s="1135" t="s">
        <v>1277</v>
      </c>
      <c r="C4" s="1136" t="s">
        <v>366</v>
      </c>
      <c r="D4" s="1136"/>
      <c r="E4" s="1136"/>
      <c r="F4" s="1137" t="s">
        <v>1200</v>
      </c>
      <c r="G4" s="1138"/>
      <c r="H4" s="1139"/>
      <c r="I4" s="1140" t="s">
        <v>1201</v>
      </c>
      <c r="J4" s="1141"/>
      <c r="K4" s="1142"/>
      <c r="L4" s="1136" t="s">
        <v>1195</v>
      </c>
      <c r="M4" s="1136"/>
      <c r="N4" s="1136"/>
      <c r="O4" s="1143" t="s">
        <v>1196</v>
      </c>
      <c r="P4" s="1143"/>
      <c r="Q4" s="1143"/>
      <c r="R4" s="1136" t="s">
        <v>1260</v>
      </c>
      <c r="S4" s="1136"/>
      <c r="T4" s="1136"/>
      <c r="U4" s="1144" t="s">
        <v>3</v>
      </c>
      <c r="V4" s="1132" t="s">
        <v>1261</v>
      </c>
    </row>
    <row r="5" spans="1:22" s="529" customFormat="1" ht="41.25" customHeight="1" x14ac:dyDescent="0.25">
      <c r="A5" s="1135"/>
      <c r="B5" s="1135"/>
      <c r="C5" s="533" t="s">
        <v>352</v>
      </c>
      <c r="D5" s="851" t="s">
        <v>218</v>
      </c>
      <c r="E5" s="776" t="s">
        <v>291</v>
      </c>
      <c r="F5" s="809" t="s">
        <v>37</v>
      </c>
      <c r="G5" s="809" t="s">
        <v>1205</v>
      </c>
      <c r="H5" s="809" t="s">
        <v>368</v>
      </c>
      <c r="I5" s="533" t="s">
        <v>37</v>
      </c>
      <c r="J5" s="533" t="s">
        <v>1205</v>
      </c>
      <c r="K5" s="533" t="s">
        <v>368</v>
      </c>
      <c r="L5" s="533" t="s">
        <v>352</v>
      </c>
      <c r="M5" s="851" t="s">
        <v>218</v>
      </c>
      <c r="N5" s="776" t="s">
        <v>291</v>
      </c>
      <c r="O5" s="776" t="s">
        <v>352</v>
      </c>
      <c r="P5" s="851" t="s">
        <v>218</v>
      </c>
      <c r="Q5" s="776" t="s">
        <v>291</v>
      </c>
      <c r="R5" s="533" t="s">
        <v>352</v>
      </c>
      <c r="S5" s="851" t="s">
        <v>218</v>
      </c>
      <c r="T5" s="776" t="s">
        <v>291</v>
      </c>
      <c r="U5" s="1145"/>
      <c r="V5" s="1132"/>
    </row>
    <row r="6" spans="1:22" s="431" customFormat="1" ht="56.25" x14ac:dyDescent="0.25">
      <c r="A6" s="787"/>
      <c r="B6" s="788" t="s">
        <v>448</v>
      </c>
      <c r="C6" s="858">
        <f>SUM(C8:C15)</f>
        <v>495142</v>
      </c>
      <c r="D6" s="858">
        <f t="shared" ref="D6:E6" si="0">SUM(D8:D15)</f>
        <v>450580</v>
      </c>
      <c r="E6" s="858">
        <f t="shared" si="0"/>
        <v>44562</v>
      </c>
      <c r="F6" s="866">
        <f>F7</f>
        <v>174423</v>
      </c>
      <c r="G6" s="866">
        <f t="shared" ref="G6:H6" si="1">G7</f>
        <v>163290</v>
      </c>
      <c r="H6" s="866">
        <f t="shared" si="1"/>
        <v>11133</v>
      </c>
      <c r="I6" s="867">
        <f>I7</f>
        <v>108100</v>
      </c>
      <c r="J6" s="867">
        <f t="shared" ref="J6:K6" si="2">J7</f>
        <v>96500</v>
      </c>
      <c r="K6" s="867">
        <f t="shared" si="2"/>
        <v>11600</v>
      </c>
      <c r="L6" s="858">
        <f>SUM(L8:L15)</f>
        <v>282523</v>
      </c>
      <c r="M6" s="858">
        <f t="shared" ref="M6:N6" si="3">SUM(M8:M15)</f>
        <v>259790</v>
      </c>
      <c r="N6" s="858">
        <f t="shared" si="3"/>
        <v>22733</v>
      </c>
      <c r="O6" s="778">
        <f>SUM(O8:O15)</f>
        <v>212619</v>
      </c>
      <c r="P6" s="778">
        <f t="shared" ref="P6:Q6" si="4">SUM(P8:P15)</f>
        <v>190790.00000000006</v>
      </c>
      <c r="Q6" s="778">
        <f t="shared" si="4"/>
        <v>21829</v>
      </c>
      <c r="R6" s="858">
        <f>SUM(R8:R15)</f>
        <v>103570.00000000004</v>
      </c>
      <c r="S6" s="858">
        <f t="shared" ref="S6:T6" si="5">SUM(S8:S15)</f>
        <v>95370.000000000044</v>
      </c>
      <c r="T6" s="858">
        <f t="shared" si="5"/>
        <v>8200</v>
      </c>
      <c r="U6" s="788"/>
      <c r="V6" s="789">
        <f>(R6+L6)/C6</f>
        <v>0.77976216923630004</v>
      </c>
    </row>
    <row r="7" spans="1:22" s="431" customFormat="1" ht="28.5" x14ac:dyDescent="0.25">
      <c r="A7" s="787"/>
      <c r="B7" s="790" t="s">
        <v>431</v>
      </c>
      <c r="C7" s="858">
        <f>SUM(C8:C15)</f>
        <v>495142</v>
      </c>
      <c r="D7" s="858">
        <f t="shared" ref="D7:K7" si="6">SUM(D8:D15)</f>
        <v>450580</v>
      </c>
      <c r="E7" s="858">
        <f t="shared" si="6"/>
        <v>44562</v>
      </c>
      <c r="F7" s="859">
        <f t="shared" si="6"/>
        <v>174423</v>
      </c>
      <c r="G7" s="859">
        <f t="shared" si="6"/>
        <v>163290</v>
      </c>
      <c r="H7" s="859">
        <f t="shared" si="6"/>
        <v>11133</v>
      </c>
      <c r="I7" s="858">
        <f t="shared" si="6"/>
        <v>108100</v>
      </c>
      <c r="J7" s="858">
        <f t="shared" si="6"/>
        <v>96500</v>
      </c>
      <c r="K7" s="858">
        <f t="shared" si="6"/>
        <v>11600</v>
      </c>
      <c r="L7" s="858">
        <f>F7+I7</f>
        <v>282523</v>
      </c>
      <c r="M7" s="858">
        <f t="shared" ref="M7:N15" si="7">G7+J7</f>
        <v>259790</v>
      </c>
      <c r="N7" s="858">
        <f t="shared" si="7"/>
        <v>22733</v>
      </c>
      <c r="O7" s="778">
        <f t="shared" ref="O7:T7" si="8">SUM(O8:O15)</f>
        <v>212619</v>
      </c>
      <c r="P7" s="778">
        <f t="shared" si="8"/>
        <v>190790.00000000006</v>
      </c>
      <c r="Q7" s="778">
        <f t="shared" si="8"/>
        <v>21829</v>
      </c>
      <c r="R7" s="858">
        <f t="shared" si="8"/>
        <v>103570.00000000004</v>
      </c>
      <c r="S7" s="858">
        <f t="shared" si="8"/>
        <v>95370.000000000044</v>
      </c>
      <c r="T7" s="858">
        <f t="shared" si="8"/>
        <v>8200</v>
      </c>
      <c r="U7" s="788"/>
      <c r="V7" s="789">
        <f t="shared" ref="V7:V15" si="9">(R7+L7)/C7</f>
        <v>0.77976216923630004</v>
      </c>
    </row>
    <row r="8" spans="1:22" x14ac:dyDescent="0.25">
      <c r="A8" s="852">
        <v>1</v>
      </c>
      <c r="B8" s="853" t="s">
        <v>43</v>
      </c>
      <c r="C8" s="860">
        <f t="shared" ref="C8:C14" si="10">D8+E8</f>
        <v>44348</v>
      </c>
      <c r="D8" s="860">
        <v>42236</v>
      </c>
      <c r="E8" s="860">
        <v>2112</v>
      </c>
      <c r="F8" s="868">
        <f>G8+H8</f>
        <v>18098</v>
      </c>
      <c r="G8" s="868">
        <v>17236</v>
      </c>
      <c r="H8" s="868">
        <v>862</v>
      </c>
      <c r="I8" s="860">
        <f>J8+K8</f>
        <v>0</v>
      </c>
      <c r="J8" s="860"/>
      <c r="K8" s="860"/>
      <c r="L8" s="860">
        <f t="shared" ref="L8:M15" si="11">F8+I8</f>
        <v>18098</v>
      </c>
      <c r="M8" s="860">
        <f>G8+J8</f>
        <v>17236</v>
      </c>
      <c r="N8" s="860">
        <f t="shared" si="7"/>
        <v>862</v>
      </c>
      <c r="O8" s="861">
        <f>P8+Q8</f>
        <v>26250</v>
      </c>
      <c r="P8" s="861">
        <f>D8-M8</f>
        <v>25000</v>
      </c>
      <c r="Q8" s="861">
        <f>E8-N8</f>
        <v>1250</v>
      </c>
      <c r="R8" s="860">
        <f>S8+T8</f>
        <v>18375</v>
      </c>
      <c r="S8" s="860">
        <v>17500</v>
      </c>
      <c r="T8" s="860">
        <v>875</v>
      </c>
      <c r="U8" s="791"/>
      <c r="V8" s="789">
        <f t="shared" si="9"/>
        <v>0.82242716695228646</v>
      </c>
    </row>
    <row r="9" spans="1:22" x14ac:dyDescent="0.25">
      <c r="A9" s="854">
        <v>2</v>
      </c>
      <c r="B9" s="855" t="s">
        <v>40</v>
      </c>
      <c r="C9" s="862">
        <f t="shared" si="10"/>
        <v>18036.900000000001</v>
      </c>
      <c r="D9" s="862">
        <v>17148.900000000001</v>
      </c>
      <c r="E9" s="862">
        <v>888</v>
      </c>
      <c r="F9" s="869">
        <f t="shared" ref="F9:F15" si="12">G9+H9</f>
        <v>15370.2</v>
      </c>
      <c r="G9" s="869">
        <v>14638.2</v>
      </c>
      <c r="H9" s="869">
        <v>732</v>
      </c>
      <c r="I9" s="862">
        <f t="shared" ref="I9:I14" si="13">J9+K9</f>
        <v>1107</v>
      </c>
      <c r="J9" s="862">
        <v>1049</v>
      </c>
      <c r="K9" s="862">
        <v>58</v>
      </c>
      <c r="L9" s="862">
        <f t="shared" si="11"/>
        <v>16477.2</v>
      </c>
      <c r="M9" s="862">
        <f>G9+J9</f>
        <v>15687.2</v>
      </c>
      <c r="N9" s="862">
        <f t="shared" si="7"/>
        <v>790</v>
      </c>
      <c r="O9" s="863">
        <f t="shared" ref="O9:O15" si="14">P9+Q9</f>
        <v>1559.7000000000007</v>
      </c>
      <c r="P9" s="863">
        <f t="shared" ref="P9:Q15" si="15">D9-M9</f>
        <v>1461.7000000000007</v>
      </c>
      <c r="Q9" s="863">
        <f t="shared" si="15"/>
        <v>98</v>
      </c>
      <c r="R9" s="862">
        <f t="shared" ref="R9:R15" si="16">S9+T9</f>
        <v>848.695652173913</v>
      </c>
      <c r="S9" s="862">
        <v>808.695652173913</v>
      </c>
      <c r="T9" s="862">
        <v>40</v>
      </c>
      <c r="U9" s="791"/>
      <c r="V9" s="789">
        <f t="shared" si="9"/>
        <v>0.96058056828911353</v>
      </c>
    </row>
    <row r="10" spans="1:22" ht="24.75" customHeight="1" x14ac:dyDescent="0.25">
      <c r="A10" s="854">
        <v>3</v>
      </c>
      <c r="B10" s="855" t="s">
        <v>39</v>
      </c>
      <c r="C10" s="862">
        <f t="shared" si="10"/>
        <v>193014.42</v>
      </c>
      <c r="D10" s="862">
        <v>163349.42000000001</v>
      </c>
      <c r="E10" s="862">
        <v>29665</v>
      </c>
      <c r="F10" s="869">
        <f t="shared" si="12"/>
        <v>41741.300000000003</v>
      </c>
      <c r="G10" s="869">
        <v>37359.300000000003</v>
      </c>
      <c r="H10" s="869">
        <v>4382</v>
      </c>
      <c r="I10" s="862">
        <f t="shared" si="13"/>
        <v>56269</v>
      </c>
      <c r="J10" s="862">
        <v>47199</v>
      </c>
      <c r="K10" s="862">
        <v>9070</v>
      </c>
      <c r="L10" s="862">
        <f t="shared" si="11"/>
        <v>98010.3</v>
      </c>
      <c r="M10" s="862">
        <f t="shared" si="11"/>
        <v>84558.3</v>
      </c>
      <c r="N10" s="862">
        <f t="shared" si="7"/>
        <v>13452</v>
      </c>
      <c r="O10" s="863">
        <f t="shared" si="14"/>
        <v>95004.12000000001</v>
      </c>
      <c r="P10" s="863">
        <f>D10-M10</f>
        <v>78791.12000000001</v>
      </c>
      <c r="Q10" s="863">
        <f t="shared" si="15"/>
        <v>16213</v>
      </c>
      <c r="R10" s="862">
        <f t="shared" si="16"/>
        <v>41642.304347826081</v>
      </c>
      <c r="S10" s="862">
        <v>36391.304347826081</v>
      </c>
      <c r="T10" s="862">
        <v>5251</v>
      </c>
      <c r="U10" s="791"/>
      <c r="V10" s="789">
        <f t="shared" si="9"/>
        <v>0.72353456466012278</v>
      </c>
    </row>
    <row r="11" spans="1:22" ht="24.75" customHeight="1" x14ac:dyDescent="0.25">
      <c r="A11" s="854">
        <v>4</v>
      </c>
      <c r="B11" s="855" t="s">
        <v>38</v>
      </c>
      <c r="C11" s="862">
        <f t="shared" si="10"/>
        <v>54340.57</v>
      </c>
      <c r="D11" s="862">
        <v>51473.57</v>
      </c>
      <c r="E11" s="862">
        <v>2867</v>
      </c>
      <c r="F11" s="869">
        <f t="shared" si="12"/>
        <v>21996.9</v>
      </c>
      <c r="G11" s="869">
        <v>20676.900000000001</v>
      </c>
      <c r="H11" s="869">
        <v>1320</v>
      </c>
      <c r="I11" s="862">
        <f t="shared" si="13"/>
        <v>12127</v>
      </c>
      <c r="J11" s="862">
        <v>11539</v>
      </c>
      <c r="K11" s="862">
        <v>588</v>
      </c>
      <c r="L11" s="862">
        <f t="shared" si="11"/>
        <v>34123.9</v>
      </c>
      <c r="M11" s="862">
        <f t="shared" si="11"/>
        <v>32215.9</v>
      </c>
      <c r="N11" s="862">
        <f t="shared" si="7"/>
        <v>1908</v>
      </c>
      <c r="O11" s="863">
        <f t="shared" si="14"/>
        <v>20216.669999999998</v>
      </c>
      <c r="P11" s="863">
        <f t="shared" si="15"/>
        <v>19257.669999999998</v>
      </c>
      <c r="Q11" s="863">
        <f t="shared" si="15"/>
        <v>959</v>
      </c>
      <c r="R11" s="862">
        <f t="shared" si="16"/>
        <v>9340.652173913044</v>
      </c>
      <c r="S11" s="862">
        <v>8895.652173913044</v>
      </c>
      <c r="T11" s="862">
        <v>445</v>
      </c>
      <c r="U11" s="791"/>
      <c r="V11" s="789">
        <f t="shared" si="9"/>
        <v>0.79985455018070384</v>
      </c>
    </row>
    <row r="12" spans="1:22" ht="24.75" customHeight="1" x14ac:dyDescent="0.25">
      <c r="A12" s="854">
        <v>5</v>
      </c>
      <c r="B12" s="855" t="s">
        <v>44</v>
      </c>
      <c r="C12" s="862">
        <f t="shared" si="10"/>
        <v>33427.880000000005</v>
      </c>
      <c r="D12" s="862">
        <v>31832.880000000001</v>
      </c>
      <c r="E12" s="862">
        <v>1595</v>
      </c>
      <c r="F12" s="869">
        <f t="shared" si="12"/>
        <v>21665.599999999999</v>
      </c>
      <c r="G12" s="869">
        <v>20633.599999999999</v>
      </c>
      <c r="H12" s="869">
        <v>1032</v>
      </c>
      <c r="I12" s="862">
        <f t="shared" si="13"/>
        <v>4408</v>
      </c>
      <c r="J12" s="862">
        <v>4196</v>
      </c>
      <c r="K12" s="862">
        <v>212</v>
      </c>
      <c r="L12" s="862">
        <f t="shared" si="11"/>
        <v>26073.599999999999</v>
      </c>
      <c r="M12" s="862">
        <f t="shared" si="11"/>
        <v>24829.599999999999</v>
      </c>
      <c r="N12" s="862">
        <f t="shared" si="7"/>
        <v>1244</v>
      </c>
      <c r="O12" s="863">
        <f t="shared" si="14"/>
        <v>7354.2800000000025</v>
      </c>
      <c r="P12" s="863">
        <f t="shared" si="15"/>
        <v>7003.2800000000025</v>
      </c>
      <c r="Q12" s="863">
        <f t="shared" si="15"/>
        <v>351</v>
      </c>
      <c r="R12" s="862">
        <f t="shared" si="16"/>
        <v>3396.782608695652</v>
      </c>
      <c r="S12" s="862">
        <v>3234.782608695652</v>
      </c>
      <c r="T12" s="862">
        <v>162</v>
      </c>
      <c r="U12" s="791"/>
      <c r="V12" s="789">
        <f t="shared" si="9"/>
        <v>0.88161087716886766</v>
      </c>
    </row>
    <row r="13" spans="1:22" ht="24.75" customHeight="1" x14ac:dyDescent="0.25">
      <c r="A13" s="854">
        <v>6</v>
      </c>
      <c r="B13" s="855" t="s">
        <v>41</v>
      </c>
      <c r="C13" s="862">
        <f t="shared" si="10"/>
        <v>116283.47</v>
      </c>
      <c r="D13" s="862">
        <v>110623.47</v>
      </c>
      <c r="E13" s="862">
        <v>5660</v>
      </c>
      <c r="F13" s="869">
        <f t="shared" si="12"/>
        <v>28693.7</v>
      </c>
      <c r="G13" s="869">
        <v>27229.7</v>
      </c>
      <c r="H13" s="869">
        <v>1464</v>
      </c>
      <c r="I13" s="862">
        <f t="shared" si="13"/>
        <v>30880</v>
      </c>
      <c r="J13" s="862">
        <v>29370</v>
      </c>
      <c r="K13" s="862">
        <v>1510</v>
      </c>
      <c r="L13" s="862">
        <f t="shared" si="11"/>
        <v>59573.7</v>
      </c>
      <c r="M13" s="862">
        <f t="shared" si="11"/>
        <v>56599.7</v>
      </c>
      <c r="N13" s="862">
        <f t="shared" si="7"/>
        <v>2974</v>
      </c>
      <c r="O13" s="863">
        <f t="shared" si="14"/>
        <v>56709.770000000004</v>
      </c>
      <c r="P13" s="863">
        <f t="shared" si="15"/>
        <v>54023.770000000004</v>
      </c>
      <c r="Q13" s="863">
        <f t="shared" si="15"/>
        <v>2686</v>
      </c>
      <c r="R13" s="862">
        <f t="shared" si="16"/>
        <v>27419.478260869604</v>
      </c>
      <c r="S13" s="862">
        <v>26113.478260869604</v>
      </c>
      <c r="T13" s="862">
        <v>1306</v>
      </c>
      <c r="U13" s="791"/>
      <c r="V13" s="789">
        <f t="shared" si="9"/>
        <v>0.74811302295046411</v>
      </c>
    </row>
    <row r="14" spans="1:22" ht="24.75" customHeight="1" x14ac:dyDescent="0.25">
      <c r="A14" s="854">
        <v>7</v>
      </c>
      <c r="B14" s="855" t="s">
        <v>42</v>
      </c>
      <c r="C14" s="862">
        <f t="shared" si="10"/>
        <v>28024.32</v>
      </c>
      <c r="D14" s="862">
        <v>26617.32</v>
      </c>
      <c r="E14" s="862">
        <v>1407</v>
      </c>
      <c r="F14" s="869">
        <f t="shared" si="12"/>
        <v>25072.499999999996</v>
      </c>
      <c r="G14" s="869">
        <v>23817.499999999996</v>
      </c>
      <c r="H14" s="869">
        <v>1255</v>
      </c>
      <c r="I14" s="862">
        <f t="shared" si="13"/>
        <v>1103</v>
      </c>
      <c r="J14" s="862">
        <v>1049</v>
      </c>
      <c r="K14" s="862">
        <v>54</v>
      </c>
      <c r="L14" s="862">
        <f t="shared" si="11"/>
        <v>26175.499999999996</v>
      </c>
      <c r="M14" s="862">
        <f t="shared" si="11"/>
        <v>24866.499999999996</v>
      </c>
      <c r="N14" s="862">
        <f t="shared" si="7"/>
        <v>1309</v>
      </c>
      <c r="O14" s="863">
        <f t="shared" si="14"/>
        <v>1848.8200000000033</v>
      </c>
      <c r="P14" s="863">
        <f t="shared" si="15"/>
        <v>1750.8200000000033</v>
      </c>
      <c r="Q14" s="863">
        <f t="shared" si="15"/>
        <v>98</v>
      </c>
      <c r="R14" s="862">
        <f t="shared" si="16"/>
        <v>848.695652173913</v>
      </c>
      <c r="S14" s="862">
        <v>808.695652173913</v>
      </c>
      <c r="T14" s="862">
        <v>40</v>
      </c>
      <c r="U14" s="791"/>
      <c r="V14" s="789">
        <f t="shared" si="9"/>
        <v>0.96431227063400315</v>
      </c>
    </row>
    <row r="15" spans="1:22" ht="24.75" customHeight="1" x14ac:dyDescent="0.25">
      <c r="A15" s="856">
        <v>8</v>
      </c>
      <c r="B15" s="857" t="s">
        <v>45</v>
      </c>
      <c r="C15" s="864">
        <f>D15+E15</f>
        <v>7666.44</v>
      </c>
      <c r="D15" s="864">
        <v>7298.44</v>
      </c>
      <c r="E15" s="864">
        <v>368</v>
      </c>
      <c r="F15" s="870">
        <f t="shared" si="12"/>
        <v>1784.8</v>
      </c>
      <c r="G15" s="870">
        <v>1698.8</v>
      </c>
      <c r="H15" s="870">
        <v>86</v>
      </c>
      <c r="I15" s="864">
        <f>J15+K15</f>
        <v>2206</v>
      </c>
      <c r="J15" s="864">
        <v>2098</v>
      </c>
      <c r="K15" s="864">
        <v>108</v>
      </c>
      <c r="L15" s="864">
        <f t="shared" si="11"/>
        <v>3990.8</v>
      </c>
      <c r="M15" s="864">
        <f t="shared" si="11"/>
        <v>3796.8</v>
      </c>
      <c r="N15" s="864">
        <f t="shared" si="7"/>
        <v>194</v>
      </c>
      <c r="O15" s="865">
        <f t="shared" si="14"/>
        <v>3675.6399999999994</v>
      </c>
      <c r="P15" s="865">
        <f t="shared" si="15"/>
        <v>3501.6399999999994</v>
      </c>
      <c r="Q15" s="865">
        <f t="shared" si="15"/>
        <v>174</v>
      </c>
      <c r="R15" s="864">
        <f t="shared" si="16"/>
        <v>1698.391304347826</v>
      </c>
      <c r="S15" s="864">
        <v>1617.391304347826</v>
      </c>
      <c r="T15" s="864">
        <v>81</v>
      </c>
      <c r="U15" s="791"/>
      <c r="V15" s="789">
        <f t="shared" si="9"/>
        <v>0.74209037106503495</v>
      </c>
    </row>
    <row r="16" spans="1:22" ht="24.75" customHeight="1" x14ac:dyDescent="0.25"/>
    <row r="17" ht="24.75" customHeight="1" x14ac:dyDescent="0.25"/>
  </sheetData>
  <mergeCells count="13">
    <mergeCell ref="V4:V5"/>
    <mergeCell ref="A1:U1"/>
    <mergeCell ref="A2:U2"/>
    <mergeCell ref="S3:T3"/>
    <mergeCell ref="A4:A5"/>
    <mergeCell ref="B4:B5"/>
    <mergeCell ref="C4:E4"/>
    <mergeCell ref="F4:H4"/>
    <mergeCell ref="I4:K4"/>
    <mergeCell ref="L4:N4"/>
    <mergeCell ref="O4:Q4"/>
    <mergeCell ref="R4:T4"/>
    <mergeCell ref="U4:U5"/>
  </mergeCells>
  <pageMargins left="0.78740157480314965" right="0.39370078740157483" top="0.78740157480314965" bottom="0.78740157480314965" header="0.31496062992125984" footer="0.31496062992125984"/>
  <pageSetup paperSize="9" scale="85" firstPageNumber="90" orientation="landscape" useFirstPageNumber="1" r:id="rId1"/>
  <headerFooter>
    <oddHeader>&amp;C&amp;P&amp;RPhụ lục số 7A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44"/>
  <sheetViews>
    <sheetView view="pageLayout" zoomScale="85" zoomScaleNormal="70" zoomScaleSheetLayoutView="70" zoomScalePageLayoutView="85" workbookViewId="0">
      <selection activeCell="A2" sqref="A2:AL2"/>
    </sheetView>
  </sheetViews>
  <sheetFormatPr defaultColWidth="7.75" defaultRowHeight="18.75" x14ac:dyDescent="0.25"/>
  <cols>
    <col min="1" max="1" width="4.625" style="434" customWidth="1"/>
    <col min="2" max="2" width="17.25" style="434" customWidth="1"/>
    <col min="3" max="3" width="6.5" style="434" customWidth="1"/>
    <col min="4" max="4" width="7.125" style="434" customWidth="1"/>
    <col min="5" max="5" width="5.5" style="434" customWidth="1"/>
    <col min="6" max="8" width="5.5" style="434" hidden="1" customWidth="1"/>
    <col min="9" max="14" width="5.75" style="434" customWidth="1"/>
    <col min="15" max="17" width="6.625" style="434" customWidth="1"/>
    <col min="18" max="19" width="6.75" style="434" customWidth="1"/>
    <col min="20" max="20" width="5.75" style="434" customWidth="1"/>
    <col min="21" max="23" width="6" style="434" customWidth="1"/>
    <col min="24" max="31" width="6.25" style="434" customWidth="1"/>
    <col min="32" max="32" width="5.125" style="434" customWidth="1"/>
    <col min="33" max="33" width="5.25" style="434" customWidth="1"/>
    <col min="34" max="34" width="8.125" style="434" customWidth="1"/>
    <col min="35" max="35" width="5.25" style="434" customWidth="1"/>
    <col min="36" max="36" width="12" style="434" hidden="1" customWidth="1"/>
    <col min="37" max="37" width="9.25" style="434" hidden="1" customWidth="1"/>
    <col min="38" max="38" width="10.5" style="434" hidden="1" customWidth="1"/>
    <col min="39" max="256" width="7.75" style="434"/>
    <col min="257" max="257" width="4.625" style="434" customWidth="1"/>
    <col min="258" max="258" width="20.25" style="434" customWidth="1"/>
    <col min="259" max="259" width="8.75" style="434" customWidth="1"/>
    <col min="260" max="260" width="9.125" style="434" customWidth="1"/>
    <col min="261" max="261" width="7.25" style="434" customWidth="1"/>
    <col min="262" max="264" width="0" style="434" hidden="1" customWidth="1"/>
    <col min="265" max="270" width="5.75" style="434" customWidth="1"/>
    <col min="271" max="273" width="6.625" style="434" customWidth="1"/>
    <col min="274" max="275" width="6.75" style="434" customWidth="1"/>
    <col min="276" max="276" width="5.75" style="434" customWidth="1"/>
    <col min="277" max="279" width="6" style="434" customWidth="1"/>
    <col min="280" max="287" width="6.25" style="434" customWidth="1"/>
    <col min="288" max="288" width="5.125" style="434" customWidth="1"/>
    <col min="289" max="289" width="5.25" style="434" customWidth="1"/>
    <col min="290" max="290" width="8.125" style="434" customWidth="1"/>
    <col min="291" max="291" width="5.25" style="434" customWidth="1"/>
    <col min="292" max="294" width="0" style="434" hidden="1" customWidth="1"/>
    <col min="295" max="512" width="7.75" style="434"/>
    <col min="513" max="513" width="4.625" style="434" customWidth="1"/>
    <col min="514" max="514" width="20.25" style="434" customWidth="1"/>
    <col min="515" max="515" width="8.75" style="434" customWidth="1"/>
    <col min="516" max="516" width="9.125" style="434" customWidth="1"/>
    <col min="517" max="517" width="7.25" style="434" customWidth="1"/>
    <col min="518" max="520" width="0" style="434" hidden="1" customWidth="1"/>
    <col min="521" max="526" width="5.75" style="434" customWidth="1"/>
    <col min="527" max="529" width="6.625" style="434" customWidth="1"/>
    <col min="530" max="531" width="6.75" style="434" customWidth="1"/>
    <col min="532" max="532" width="5.75" style="434" customWidth="1"/>
    <col min="533" max="535" width="6" style="434" customWidth="1"/>
    <col min="536" max="543" width="6.25" style="434" customWidth="1"/>
    <col min="544" max="544" width="5.125" style="434" customWidth="1"/>
    <col min="545" max="545" width="5.25" style="434" customWidth="1"/>
    <col min="546" max="546" width="8.125" style="434" customWidth="1"/>
    <col min="547" max="547" width="5.25" style="434" customWidth="1"/>
    <col min="548" max="550" width="0" style="434" hidden="1" customWidth="1"/>
    <col min="551" max="768" width="7.75" style="434"/>
    <col min="769" max="769" width="4.625" style="434" customWidth="1"/>
    <col min="770" max="770" width="20.25" style="434" customWidth="1"/>
    <col min="771" max="771" width="8.75" style="434" customWidth="1"/>
    <col min="772" max="772" width="9.125" style="434" customWidth="1"/>
    <col min="773" max="773" width="7.25" style="434" customWidth="1"/>
    <col min="774" max="776" width="0" style="434" hidden="1" customWidth="1"/>
    <col min="777" max="782" width="5.75" style="434" customWidth="1"/>
    <col min="783" max="785" width="6.625" style="434" customWidth="1"/>
    <col min="786" max="787" width="6.75" style="434" customWidth="1"/>
    <col min="788" max="788" width="5.75" style="434" customWidth="1"/>
    <col min="789" max="791" width="6" style="434" customWidth="1"/>
    <col min="792" max="799" width="6.25" style="434" customWidth="1"/>
    <col min="800" max="800" width="5.125" style="434" customWidth="1"/>
    <col min="801" max="801" width="5.25" style="434" customWidth="1"/>
    <col min="802" max="802" width="8.125" style="434" customWidth="1"/>
    <col min="803" max="803" width="5.25" style="434" customWidth="1"/>
    <col min="804" max="806" width="0" style="434" hidden="1" customWidth="1"/>
    <col min="807" max="1024" width="7.75" style="434"/>
    <col min="1025" max="1025" width="4.625" style="434" customWidth="1"/>
    <col min="1026" max="1026" width="20.25" style="434" customWidth="1"/>
    <col min="1027" max="1027" width="8.75" style="434" customWidth="1"/>
    <col min="1028" max="1028" width="9.125" style="434" customWidth="1"/>
    <col min="1029" max="1029" width="7.25" style="434" customWidth="1"/>
    <col min="1030" max="1032" width="0" style="434" hidden="1" customWidth="1"/>
    <col min="1033" max="1038" width="5.75" style="434" customWidth="1"/>
    <col min="1039" max="1041" width="6.625" style="434" customWidth="1"/>
    <col min="1042" max="1043" width="6.75" style="434" customWidth="1"/>
    <col min="1044" max="1044" width="5.75" style="434" customWidth="1"/>
    <col min="1045" max="1047" width="6" style="434" customWidth="1"/>
    <col min="1048" max="1055" width="6.25" style="434" customWidth="1"/>
    <col min="1056" max="1056" width="5.125" style="434" customWidth="1"/>
    <col min="1057" max="1057" width="5.25" style="434" customWidth="1"/>
    <col min="1058" max="1058" width="8.125" style="434" customWidth="1"/>
    <col min="1059" max="1059" width="5.25" style="434" customWidth="1"/>
    <col min="1060" max="1062" width="0" style="434" hidden="1" customWidth="1"/>
    <col min="1063" max="1280" width="7.75" style="434"/>
    <col min="1281" max="1281" width="4.625" style="434" customWidth="1"/>
    <col min="1282" max="1282" width="20.25" style="434" customWidth="1"/>
    <col min="1283" max="1283" width="8.75" style="434" customWidth="1"/>
    <col min="1284" max="1284" width="9.125" style="434" customWidth="1"/>
    <col min="1285" max="1285" width="7.25" style="434" customWidth="1"/>
    <col min="1286" max="1288" width="0" style="434" hidden="1" customWidth="1"/>
    <col min="1289" max="1294" width="5.75" style="434" customWidth="1"/>
    <col min="1295" max="1297" width="6.625" style="434" customWidth="1"/>
    <col min="1298" max="1299" width="6.75" style="434" customWidth="1"/>
    <col min="1300" max="1300" width="5.75" style="434" customWidth="1"/>
    <col min="1301" max="1303" width="6" style="434" customWidth="1"/>
    <col min="1304" max="1311" width="6.25" style="434" customWidth="1"/>
    <col min="1312" max="1312" width="5.125" style="434" customWidth="1"/>
    <col min="1313" max="1313" width="5.25" style="434" customWidth="1"/>
    <col min="1314" max="1314" width="8.125" style="434" customWidth="1"/>
    <col min="1315" max="1315" width="5.25" style="434" customWidth="1"/>
    <col min="1316" max="1318" width="0" style="434" hidden="1" customWidth="1"/>
    <col min="1319" max="1536" width="7.75" style="434"/>
    <col min="1537" max="1537" width="4.625" style="434" customWidth="1"/>
    <col min="1538" max="1538" width="20.25" style="434" customWidth="1"/>
    <col min="1539" max="1539" width="8.75" style="434" customWidth="1"/>
    <col min="1540" max="1540" width="9.125" style="434" customWidth="1"/>
    <col min="1541" max="1541" width="7.25" style="434" customWidth="1"/>
    <col min="1542" max="1544" width="0" style="434" hidden="1" customWidth="1"/>
    <col min="1545" max="1550" width="5.75" style="434" customWidth="1"/>
    <col min="1551" max="1553" width="6.625" style="434" customWidth="1"/>
    <col min="1554" max="1555" width="6.75" style="434" customWidth="1"/>
    <col min="1556" max="1556" width="5.75" style="434" customWidth="1"/>
    <col min="1557" max="1559" width="6" style="434" customWidth="1"/>
    <col min="1560" max="1567" width="6.25" style="434" customWidth="1"/>
    <col min="1568" max="1568" width="5.125" style="434" customWidth="1"/>
    <col min="1569" max="1569" width="5.25" style="434" customWidth="1"/>
    <col min="1570" max="1570" width="8.125" style="434" customWidth="1"/>
    <col min="1571" max="1571" width="5.25" style="434" customWidth="1"/>
    <col min="1572" max="1574" width="0" style="434" hidden="1" customWidth="1"/>
    <col min="1575" max="1792" width="7.75" style="434"/>
    <col min="1793" max="1793" width="4.625" style="434" customWidth="1"/>
    <col min="1794" max="1794" width="20.25" style="434" customWidth="1"/>
    <col min="1795" max="1795" width="8.75" style="434" customWidth="1"/>
    <col min="1796" max="1796" width="9.125" style="434" customWidth="1"/>
    <col min="1797" max="1797" width="7.25" style="434" customWidth="1"/>
    <col min="1798" max="1800" width="0" style="434" hidden="1" customWidth="1"/>
    <col min="1801" max="1806" width="5.75" style="434" customWidth="1"/>
    <col min="1807" max="1809" width="6.625" style="434" customWidth="1"/>
    <col min="1810" max="1811" width="6.75" style="434" customWidth="1"/>
    <col min="1812" max="1812" width="5.75" style="434" customWidth="1"/>
    <col min="1813" max="1815" width="6" style="434" customWidth="1"/>
    <col min="1816" max="1823" width="6.25" style="434" customWidth="1"/>
    <col min="1824" max="1824" width="5.125" style="434" customWidth="1"/>
    <col min="1825" max="1825" width="5.25" style="434" customWidth="1"/>
    <col min="1826" max="1826" width="8.125" style="434" customWidth="1"/>
    <col min="1827" max="1827" width="5.25" style="434" customWidth="1"/>
    <col min="1828" max="1830" width="0" style="434" hidden="1" customWidth="1"/>
    <col min="1831" max="2048" width="7.75" style="434"/>
    <col min="2049" max="2049" width="4.625" style="434" customWidth="1"/>
    <col min="2050" max="2050" width="20.25" style="434" customWidth="1"/>
    <col min="2051" max="2051" width="8.75" style="434" customWidth="1"/>
    <col min="2052" max="2052" width="9.125" style="434" customWidth="1"/>
    <col min="2053" max="2053" width="7.25" style="434" customWidth="1"/>
    <col min="2054" max="2056" width="0" style="434" hidden="1" customWidth="1"/>
    <col min="2057" max="2062" width="5.75" style="434" customWidth="1"/>
    <col min="2063" max="2065" width="6.625" style="434" customWidth="1"/>
    <col min="2066" max="2067" width="6.75" style="434" customWidth="1"/>
    <col min="2068" max="2068" width="5.75" style="434" customWidth="1"/>
    <col min="2069" max="2071" width="6" style="434" customWidth="1"/>
    <col min="2072" max="2079" width="6.25" style="434" customWidth="1"/>
    <col min="2080" max="2080" width="5.125" style="434" customWidth="1"/>
    <col min="2081" max="2081" width="5.25" style="434" customWidth="1"/>
    <col min="2082" max="2082" width="8.125" style="434" customWidth="1"/>
    <col min="2083" max="2083" width="5.25" style="434" customWidth="1"/>
    <col min="2084" max="2086" width="0" style="434" hidden="1" customWidth="1"/>
    <col min="2087" max="2304" width="7.75" style="434"/>
    <col min="2305" max="2305" width="4.625" style="434" customWidth="1"/>
    <col min="2306" max="2306" width="20.25" style="434" customWidth="1"/>
    <col min="2307" max="2307" width="8.75" style="434" customWidth="1"/>
    <col min="2308" max="2308" width="9.125" style="434" customWidth="1"/>
    <col min="2309" max="2309" width="7.25" style="434" customWidth="1"/>
    <col min="2310" max="2312" width="0" style="434" hidden="1" customWidth="1"/>
    <col min="2313" max="2318" width="5.75" style="434" customWidth="1"/>
    <col min="2319" max="2321" width="6.625" style="434" customWidth="1"/>
    <col min="2322" max="2323" width="6.75" style="434" customWidth="1"/>
    <col min="2324" max="2324" width="5.75" style="434" customWidth="1"/>
    <col min="2325" max="2327" width="6" style="434" customWidth="1"/>
    <col min="2328" max="2335" width="6.25" style="434" customWidth="1"/>
    <col min="2336" max="2336" width="5.125" style="434" customWidth="1"/>
    <col min="2337" max="2337" width="5.25" style="434" customWidth="1"/>
    <col min="2338" max="2338" width="8.125" style="434" customWidth="1"/>
    <col min="2339" max="2339" width="5.25" style="434" customWidth="1"/>
    <col min="2340" max="2342" width="0" style="434" hidden="1" customWidth="1"/>
    <col min="2343" max="2560" width="7.75" style="434"/>
    <col min="2561" max="2561" width="4.625" style="434" customWidth="1"/>
    <col min="2562" max="2562" width="20.25" style="434" customWidth="1"/>
    <col min="2563" max="2563" width="8.75" style="434" customWidth="1"/>
    <col min="2564" max="2564" width="9.125" style="434" customWidth="1"/>
    <col min="2565" max="2565" width="7.25" style="434" customWidth="1"/>
    <col min="2566" max="2568" width="0" style="434" hidden="1" customWidth="1"/>
    <col min="2569" max="2574" width="5.75" style="434" customWidth="1"/>
    <col min="2575" max="2577" width="6.625" style="434" customWidth="1"/>
    <col min="2578" max="2579" width="6.75" style="434" customWidth="1"/>
    <col min="2580" max="2580" width="5.75" style="434" customWidth="1"/>
    <col min="2581" max="2583" width="6" style="434" customWidth="1"/>
    <col min="2584" max="2591" width="6.25" style="434" customWidth="1"/>
    <col min="2592" max="2592" width="5.125" style="434" customWidth="1"/>
    <col min="2593" max="2593" width="5.25" style="434" customWidth="1"/>
    <col min="2594" max="2594" width="8.125" style="434" customWidth="1"/>
    <col min="2595" max="2595" width="5.25" style="434" customWidth="1"/>
    <col min="2596" max="2598" width="0" style="434" hidden="1" customWidth="1"/>
    <col min="2599" max="2816" width="7.75" style="434"/>
    <col min="2817" max="2817" width="4.625" style="434" customWidth="1"/>
    <col min="2818" max="2818" width="20.25" style="434" customWidth="1"/>
    <col min="2819" max="2819" width="8.75" style="434" customWidth="1"/>
    <col min="2820" max="2820" width="9.125" style="434" customWidth="1"/>
    <col min="2821" max="2821" width="7.25" style="434" customWidth="1"/>
    <col min="2822" max="2824" width="0" style="434" hidden="1" customWidth="1"/>
    <col min="2825" max="2830" width="5.75" style="434" customWidth="1"/>
    <col min="2831" max="2833" width="6.625" style="434" customWidth="1"/>
    <col min="2834" max="2835" width="6.75" style="434" customWidth="1"/>
    <col min="2836" max="2836" width="5.75" style="434" customWidth="1"/>
    <col min="2837" max="2839" width="6" style="434" customWidth="1"/>
    <col min="2840" max="2847" width="6.25" style="434" customWidth="1"/>
    <col min="2848" max="2848" width="5.125" style="434" customWidth="1"/>
    <col min="2849" max="2849" width="5.25" style="434" customWidth="1"/>
    <col min="2850" max="2850" width="8.125" style="434" customWidth="1"/>
    <col min="2851" max="2851" width="5.25" style="434" customWidth="1"/>
    <col min="2852" max="2854" width="0" style="434" hidden="1" customWidth="1"/>
    <col min="2855" max="3072" width="7.75" style="434"/>
    <col min="3073" max="3073" width="4.625" style="434" customWidth="1"/>
    <col min="3074" max="3074" width="20.25" style="434" customWidth="1"/>
    <col min="3075" max="3075" width="8.75" style="434" customWidth="1"/>
    <col min="3076" max="3076" width="9.125" style="434" customWidth="1"/>
    <col min="3077" max="3077" width="7.25" style="434" customWidth="1"/>
    <col min="3078" max="3080" width="0" style="434" hidden="1" customWidth="1"/>
    <col min="3081" max="3086" width="5.75" style="434" customWidth="1"/>
    <col min="3087" max="3089" width="6.625" style="434" customWidth="1"/>
    <col min="3090" max="3091" width="6.75" style="434" customWidth="1"/>
    <col min="3092" max="3092" width="5.75" style="434" customWidth="1"/>
    <col min="3093" max="3095" width="6" style="434" customWidth="1"/>
    <col min="3096" max="3103" width="6.25" style="434" customWidth="1"/>
    <col min="3104" max="3104" width="5.125" style="434" customWidth="1"/>
    <col min="3105" max="3105" width="5.25" style="434" customWidth="1"/>
    <col min="3106" max="3106" width="8.125" style="434" customWidth="1"/>
    <col min="3107" max="3107" width="5.25" style="434" customWidth="1"/>
    <col min="3108" max="3110" width="0" style="434" hidden="1" customWidth="1"/>
    <col min="3111" max="3328" width="7.75" style="434"/>
    <col min="3329" max="3329" width="4.625" style="434" customWidth="1"/>
    <col min="3330" max="3330" width="20.25" style="434" customWidth="1"/>
    <col min="3331" max="3331" width="8.75" style="434" customWidth="1"/>
    <col min="3332" max="3332" width="9.125" style="434" customWidth="1"/>
    <col min="3333" max="3333" width="7.25" style="434" customWidth="1"/>
    <col min="3334" max="3336" width="0" style="434" hidden="1" customWidth="1"/>
    <col min="3337" max="3342" width="5.75" style="434" customWidth="1"/>
    <col min="3343" max="3345" width="6.625" style="434" customWidth="1"/>
    <col min="3346" max="3347" width="6.75" style="434" customWidth="1"/>
    <col min="3348" max="3348" width="5.75" style="434" customWidth="1"/>
    <col min="3349" max="3351" width="6" style="434" customWidth="1"/>
    <col min="3352" max="3359" width="6.25" style="434" customWidth="1"/>
    <col min="3360" max="3360" width="5.125" style="434" customWidth="1"/>
    <col min="3361" max="3361" width="5.25" style="434" customWidth="1"/>
    <col min="3362" max="3362" width="8.125" style="434" customWidth="1"/>
    <col min="3363" max="3363" width="5.25" style="434" customWidth="1"/>
    <col min="3364" max="3366" width="0" style="434" hidden="1" customWidth="1"/>
    <col min="3367" max="3584" width="7.75" style="434"/>
    <col min="3585" max="3585" width="4.625" style="434" customWidth="1"/>
    <col min="3586" max="3586" width="20.25" style="434" customWidth="1"/>
    <col min="3587" max="3587" width="8.75" style="434" customWidth="1"/>
    <col min="3588" max="3588" width="9.125" style="434" customWidth="1"/>
    <col min="3589" max="3589" width="7.25" style="434" customWidth="1"/>
    <col min="3590" max="3592" width="0" style="434" hidden="1" customWidth="1"/>
    <col min="3593" max="3598" width="5.75" style="434" customWidth="1"/>
    <col min="3599" max="3601" width="6.625" style="434" customWidth="1"/>
    <col min="3602" max="3603" width="6.75" style="434" customWidth="1"/>
    <col min="3604" max="3604" width="5.75" style="434" customWidth="1"/>
    <col min="3605" max="3607" width="6" style="434" customWidth="1"/>
    <col min="3608" max="3615" width="6.25" style="434" customWidth="1"/>
    <col min="3616" max="3616" width="5.125" style="434" customWidth="1"/>
    <col min="3617" max="3617" width="5.25" style="434" customWidth="1"/>
    <col min="3618" max="3618" width="8.125" style="434" customWidth="1"/>
    <col min="3619" max="3619" width="5.25" style="434" customWidth="1"/>
    <col min="3620" max="3622" width="0" style="434" hidden="1" customWidth="1"/>
    <col min="3623" max="3840" width="7.75" style="434"/>
    <col min="3841" max="3841" width="4.625" style="434" customWidth="1"/>
    <col min="3842" max="3842" width="20.25" style="434" customWidth="1"/>
    <col min="3843" max="3843" width="8.75" style="434" customWidth="1"/>
    <col min="3844" max="3844" width="9.125" style="434" customWidth="1"/>
    <col min="3845" max="3845" width="7.25" style="434" customWidth="1"/>
    <col min="3846" max="3848" width="0" style="434" hidden="1" customWidth="1"/>
    <col min="3849" max="3854" width="5.75" style="434" customWidth="1"/>
    <col min="3855" max="3857" width="6.625" style="434" customWidth="1"/>
    <col min="3858" max="3859" width="6.75" style="434" customWidth="1"/>
    <col min="3860" max="3860" width="5.75" style="434" customWidth="1"/>
    <col min="3861" max="3863" width="6" style="434" customWidth="1"/>
    <col min="3864" max="3871" width="6.25" style="434" customWidth="1"/>
    <col min="3872" max="3872" width="5.125" style="434" customWidth="1"/>
    <col min="3873" max="3873" width="5.25" style="434" customWidth="1"/>
    <col min="3874" max="3874" width="8.125" style="434" customWidth="1"/>
    <col min="3875" max="3875" width="5.25" style="434" customWidth="1"/>
    <col min="3876" max="3878" width="0" style="434" hidden="1" customWidth="1"/>
    <col min="3879" max="4096" width="7.75" style="434"/>
    <col min="4097" max="4097" width="4.625" style="434" customWidth="1"/>
    <col min="4098" max="4098" width="20.25" style="434" customWidth="1"/>
    <col min="4099" max="4099" width="8.75" style="434" customWidth="1"/>
    <col min="4100" max="4100" width="9.125" style="434" customWidth="1"/>
    <col min="4101" max="4101" width="7.25" style="434" customWidth="1"/>
    <col min="4102" max="4104" width="0" style="434" hidden="1" customWidth="1"/>
    <col min="4105" max="4110" width="5.75" style="434" customWidth="1"/>
    <col min="4111" max="4113" width="6.625" style="434" customWidth="1"/>
    <col min="4114" max="4115" width="6.75" style="434" customWidth="1"/>
    <col min="4116" max="4116" width="5.75" style="434" customWidth="1"/>
    <col min="4117" max="4119" width="6" style="434" customWidth="1"/>
    <col min="4120" max="4127" width="6.25" style="434" customWidth="1"/>
    <col min="4128" max="4128" width="5.125" style="434" customWidth="1"/>
    <col min="4129" max="4129" width="5.25" style="434" customWidth="1"/>
    <col min="4130" max="4130" width="8.125" style="434" customWidth="1"/>
    <col min="4131" max="4131" width="5.25" style="434" customWidth="1"/>
    <col min="4132" max="4134" width="0" style="434" hidden="1" customWidth="1"/>
    <col min="4135" max="4352" width="7.75" style="434"/>
    <col min="4353" max="4353" width="4.625" style="434" customWidth="1"/>
    <col min="4354" max="4354" width="20.25" style="434" customWidth="1"/>
    <col min="4355" max="4355" width="8.75" style="434" customWidth="1"/>
    <col min="4356" max="4356" width="9.125" style="434" customWidth="1"/>
    <col min="4357" max="4357" width="7.25" style="434" customWidth="1"/>
    <col min="4358" max="4360" width="0" style="434" hidden="1" customWidth="1"/>
    <col min="4361" max="4366" width="5.75" style="434" customWidth="1"/>
    <col min="4367" max="4369" width="6.625" style="434" customWidth="1"/>
    <col min="4370" max="4371" width="6.75" style="434" customWidth="1"/>
    <col min="4372" max="4372" width="5.75" style="434" customWidth="1"/>
    <col min="4373" max="4375" width="6" style="434" customWidth="1"/>
    <col min="4376" max="4383" width="6.25" style="434" customWidth="1"/>
    <col min="4384" max="4384" width="5.125" style="434" customWidth="1"/>
    <col min="4385" max="4385" width="5.25" style="434" customWidth="1"/>
    <col min="4386" max="4386" width="8.125" style="434" customWidth="1"/>
    <col min="4387" max="4387" width="5.25" style="434" customWidth="1"/>
    <col min="4388" max="4390" width="0" style="434" hidden="1" customWidth="1"/>
    <col min="4391" max="4608" width="7.75" style="434"/>
    <col min="4609" max="4609" width="4.625" style="434" customWidth="1"/>
    <col min="4610" max="4610" width="20.25" style="434" customWidth="1"/>
    <col min="4611" max="4611" width="8.75" style="434" customWidth="1"/>
    <col min="4612" max="4612" width="9.125" style="434" customWidth="1"/>
    <col min="4613" max="4613" width="7.25" style="434" customWidth="1"/>
    <col min="4614" max="4616" width="0" style="434" hidden="1" customWidth="1"/>
    <col min="4617" max="4622" width="5.75" style="434" customWidth="1"/>
    <col min="4623" max="4625" width="6.625" style="434" customWidth="1"/>
    <col min="4626" max="4627" width="6.75" style="434" customWidth="1"/>
    <col min="4628" max="4628" width="5.75" style="434" customWidth="1"/>
    <col min="4629" max="4631" width="6" style="434" customWidth="1"/>
    <col min="4632" max="4639" width="6.25" style="434" customWidth="1"/>
    <col min="4640" max="4640" width="5.125" style="434" customWidth="1"/>
    <col min="4641" max="4641" width="5.25" style="434" customWidth="1"/>
    <col min="4642" max="4642" width="8.125" style="434" customWidth="1"/>
    <col min="4643" max="4643" width="5.25" style="434" customWidth="1"/>
    <col min="4644" max="4646" width="0" style="434" hidden="1" customWidth="1"/>
    <col min="4647" max="4864" width="7.75" style="434"/>
    <col min="4865" max="4865" width="4.625" style="434" customWidth="1"/>
    <col min="4866" max="4866" width="20.25" style="434" customWidth="1"/>
    <col min="4867" max="4867" width="8.75" style="434" customWidth="1"/>
    <col min="4868" max="4868" width="9.125" style="434" customWidth="1"/>
    <col min="4869" max="4869" width="7.25" style="434" customWidth="1"/>
    <col min="4870" max="4872" width="0" style="434" hidden="1" customWidth="1"/>
    <col min="4873" max="4878" width="5.75" style="434" customWidth="1"/>
    <col min="4879" max="4881" width="6.625" style="434" customWidth="1"/>
    <col min="4882" max="4883" width="6.75" style="434" customWidth="1"/>
    <col min="4884" max="4884" width="5.75" style="434" customWidth="1"/>
    <col min="4885" max="4887" width="6" style="434" customWidth="1"/>
    <col min="4888" max="4895" width="6.25" style="434" customWidth="1"/>
    <col min="4896" max="4896" width="5.125" style="434" customWidth="1"/>
    <col min="4897" max="4897" width="5.25" style="434" customWidth="1"/>
    <col min="4898" max="4898" width="8.125" style="434" customWidth="1"/>
    <col min="4899" max="4899" width="5.25" style="434" customWidth="1"/>
    <col min="4900" max="4902" width="0" style="434" hidden="1" customWidth="1"/>
    <col min="4903" max="5120" width="7.75" style="434"/>
    <col min="5121" max="5121" width="4.625" style="434" customWidth="1"/>
    <col min="5122" max="5122" width="20.25" style="434" customWidth="1"/>
    <col min="5123" max="5123" width="8.75" style="434" customWidth="1"/>
    <col min="5124" max="5124" width="9.125" style="434" customWidth="1"/>
    <col min="5125" max="5125" width="7.25" style="434" customWidth="1"/>
    <col min="5126" max="5128" width="0" style="434" hidden="1" customWidth="1"/>
    <col min="5129" max="5134" width="5.75" style="434" customWidth="1"/>
    <col min="5135" max="5137" width="6.625" style="434" customWidth="1"/>
    <col min="5138" max="5139" width="6.75" style="434" customWidth="1"/>
    <col min="5140" max="5140" width="5.75" style="434" customWidth="1"/>
    <col min="5141" max="5143" width="6" style="434" customWidth="1"/>
    <col min="5144" max="5151" width="6.25" style="434" customWidth="1"/>
    <col min="5152" max="5152" width="5.125" style="434" customWidth="1"/>
    <col min="5153" max="5153" width="5.25" style="434" customWidth="1"/>
    <col min="5154" max="5154" width="8.125" style="434" customWidth="1"/>
    <col min="5155" max="5155" width="5.25" style="434" customWidth="1"/>
    <col min="5156" max="5158" width="0" style="434" hidden="1" customWidth="1"/>
    <col min="5159" max="5376" width="7.75" style="434"/>
    <col min="5377" max="5377" width="4.625" style="434" customWidth="1"/>
    <col min="5378" max="5378" width="20.25" style="434" customWidth="1"/>
    <col min="5379" max="5379" width="8.75" style="434" customWidth="1"/>
    <col min="5380" max="5380" width="9.125" style="434" customWidth="1"/>
    <col min="5381" max="5381" width="7.25" style="434" customWidth="1"/>
    <col min="5382" max="5384" width="0" style="434" hidden="1" customWidth="1"/>
    <col min="5385" max="5390" width="5.75" style="434" customWidth="1"/>
    <col min="5391" max="5393" width="6.625" style="434" customWidth="1"/>
    <col min="5394" max="5395" width="6.75" style="434" customWidth="1"/>
    <col min="5396" max="5396" width="5.75" style="434" customWidth="1"/>
    <col min="5397" max="5399" width="6" style="434" customWidth="1"/>
    <col min="5400" max="5407" width="6.25" style="434" customWidth="1"/>
    <col min="5408" max="5408" width="5.125" style="434" customWidth="1"/>
    <col min="5409" max="5409" width="5.25" style="434" customWidth="1"/>
    <col min="5410" max="5410" width="8.125" style="434" customWidth="1"/>
    <col min="5411" max="5411" width="5.25" style="434" customWidth="1"/>
    <col min="5412" max="5414" width="0" style="434" hidden="1" customWidth="1"/>
    <col min="5415" max="5632" width="7.75" style="434"/>
    <col min="5633" max="5633" width="4.625" style="434" customWidth="1"/>
    <col min="5634" max="5634" width="20.25" style="434" customWidth="1"/>
    <col min="5635" max="5635" width="8.75" style="434" customWidth="1"/>
    <col min="5636" max="5636" width="9.125" style="434" customWidth="1"/>
    <col min="5637" max="5637" width="7.25" style="434" customWidth="1"/>
    <col min="5638" max="5640" width="0" style="434" hidden="1" customWidth="1"/>
    <col min="5641" max="5646" width="5.75" style="434" customWidth="1"/>
    <col min="5647" max="5649" width="6.625" style="434" customWidth="1"/>
    <col min="5650" max="5651" width="6.75" style="434" customWidth="1"/>
    <col min="5652" max="5652" width="5.75" style="434" customWidth="1"/>
    <col min="5653" max="5655" width="6" style="434" customWidth="1"/>
    <col min="5656" max="5663" width="6.25" style="434" customWidth="1"/>
    <col min="5664" max="5664" width="5.125" style="434" customWidth="1"/>
    <col min="5665" max="5665" width="5.25" style="434" customWidth="1"/>
    <col min="5666" max="5666" width="8.125" style="434" customWidth="1"/>
    <col min="5667" max="5667" width="5.25" style="434" customWidth="1"/>
    <col min="5668" max="5670" width="0" style="434" hidden="1" customWidth="1"/>
    <col min="5671" max="5888" width="7.75" style="434"/>
    <col min="5889" max="5889" width="4.625" style="434" customWidth="1"/>
    <col min="5890" max="5890" width="20.25" style="434" customWidth="1"/>
    <col min="5891" max="5891" width="8.75" style="434" customWidth="1"/>
    <col min="5892" max="5892" width="9.125" style="434" customWidth="1"/>
    <col min="5893" max="5893" width="7.25" style="434" customWidth="1"/>
    <col min="5894" max="5896" width="0" style="434" hidden="1" customWidth="1"/>
    <col min="5897" max="5902" width="5.75" style="434" customWidth="1"/>
    <col min="5903" max="5905" width="6.625" style="434" customWidth="1"/>
    <col min="5906" max="5907" width="6.75" style="434" customWidth="1"/>
    <col min="5908" max="5908" width="5.75" style="434" customWidth="1"/>
    <col min="5909" max="5911" width="6" style="434" customWidth="1"/>
    <col min="5912" max="5919" width="6.25" style="434" customWidth="1"/>
    <col min="5920" max="5920" width="5.125" style="434" customWidth="1"/>
    <col min="5921" max="5921" width="5.25" style="434" customWidth="1"/>
    <col min="5922" max="5922" width="8.125" style="434" customWidth="1"/>
    <col min="5923" max="5923" width="5.25" style="434" customWidth="1"/>
    <col min="5924" max="5926" width="0" style="434" hidden="1" customWidth="1"/>
    <col min="5927" max="6144" width="7.75" style="434"/>
    <col min="6145" max="6145" width="4.625" style="434" customWidth="1"/>
    <col min="6146" max="6146" width="20.25" style="434" customWidth="1"/>
    <col min="6147" max="6147" width="8.75" style="434" customWidth="1"/>
    <col min="6148" max="6148" width="9.125" style="434" customWidth="1"/>
    <col min="6149" max="6149" width="7.25" style="434" customWidth="1"/>
    <col min="6150" max="6152" width="0" style="434" hidden="1" customWidth="1"/>
    <col min="6153" max="6158" width="5.75" style="434" customWidth="1"/>
    <col min="6159" max="6161" width="6.625" style="434" customWidth="1"/>
    <col min="6162" max="6163" width="6.75" style="434" customWidth="1"/>
    <col min="6164" max="6164" width="5.75" style="434" customWidth="1"/>
    <col min="6165" max="6167" width="6" style="434" customWidth="1"/>
    <col min="6168" max="6175" width="6.25" style="434" customWidth="1"/>
    <col min="6176" max="6176" width="5.125" style="434" customWidth="1"/>
    <col min="6177" max="6177" width="5.25" style="434" customWidth="1"/>
    <col min="6178" max="6178" width="8.125" style="434" customWidth="1"/>
    <col min="6179" max="6179" width="5.25" style="434" customWidth="1"/>
    <col min="6180" max="6182" width="0" style="434" hidden="1" customWidth="1"/>
    <col min="6183" max="6400" width="7.75" style="434"/>
    <col min="6401" max="6401" width="4.625" style="434" customWidth="1"/>
    <col min="6402" max="6402" width="20.25" style="434" customWidth="1"/>
    <col min="6403" max="6403" width="8.75" style="434" customWidth="1"/>
    <col min="6404" max="6404" width="9.125" style="434" customWidth="1"/>
    <col min="6405" max="6405" width="7.25" style="434" customWidth="1"/>
    <col min="6406" max="6408" width="0" style="434" hidden="1" customWidth="1"/>
    <col min="6409" max="6414" width="5.75" style="434" customWidth="1"/>
    <col min="6415" max="6417" width="6.625" style="434" customWidth="1"/>
    <col min="6418" max="6419" width="6.75" style="434" customWidth="1"/>
    <col min="6420" max="6420" width="5.75" style="434" customWidth="1"/>
    <col min="6421" max="6423" width="6" style="434" customWidth="1"/>
    <col min="6424" max="6431" width="6.25" style="434" customWidth="1"/>
    <col min="6432" max="6432" width="5.125" style="434" customWidth="1"/>
    <col min="6433" max="6433" width="5.25" style="434" customWidth="1"/>
    <col min="6434" max="6434" width="8.125" style="434" customWidth="1"/>
    <col min="6435" max="6435" width="5.25" style="434" customWidth="1"/>
    <col min="6436" max="6438" width="0" style="434" hidden="1" customWidth="1"/>
    <col min="6439" max="6656" width="7.75" style="434"/>
    <col min="6657" max="6657" width="4.625" style="434" customWidth="1"/>
    <col min="6658" max="6658" width="20.25" style="434" customWidth="1"/>
    <col min="6659" max="6659" width="8.75" style="434" customWidth="1"/>
    <col min="6660" max="6660" width="9.125" style="434" customWidth="1"/>
    <col min="6661" max="6661" width="7.25" style="434" customWidth="1"/>
    <col min="6662" max="6664" width="0" style="434" hidden="1" customWidth="1"/>
    <col min="6665" max="6670" width="5.75" style="434" customWidth="1"/>
    <col min="6671" max="6673" width="6.625" style="434" customWidth="1"/>
    <col min="6674" max="6675" width="6.75" style="434" customWidth="1"/>
    <col min="6676" max="6676" width="5.75" style="434" customWidth="1"/>
    <col min="6677" max="6679" width="6" style="434" customWidth="1"/>
    <col min="6680" max="6687" width="6.25" style="434" customWidth="1"/>
    <col min="6688" max="6688" width="5.125" style="434" customWidth="1"/>
    <col min="6689" max="6689" width="5.25" style="434" customWidth="1"/>
    <col min="6690" max="6690" width="8.125" style="434" customWidth="1"/>
    <col min="6691" max="6691" width="5.25" style="434" customWidth="1"/>
    <col min="6692" max="6694" width="0" style="434" hidden="1" customWidth="1"/>
    <col min="6695" max="6912" width="7.75" style="434"/>
    <col min="6913" max="6913" width="4.625" style="434" customWidth="1"/>
    <col min="6914" max="6914" width="20.25" style="434" customWidth="1"/>
    <col min="6915" max="6915" width="8.75" style="434" customWidth="1"/>
    <col min="6916" max="6916" width="9.125" style="434" customWidth="1"/>
    <col min="6917" max="6917" width="7.25" style="434" customWidth="1"/>
    <col min="6918" max="6920" width="0" style="434" hidden="1" customWidth="1"/>
    <col min="6921" max="6926" width="5.75" style="434" customWidth="1"/>
    <col min="6927" max="6929" width="6.625" style="434" customWidth="1"/>
    <col min="6930" max="6931" width="6.75" style="434" customWidth="1"/>
    <col min="6932" max="6932" width="5.75" style="434" customWidth="1"/>
    <col min="6933" max="6935" width="6" style="434" customWidth="1"/>
    <col min="6936" max="6943" width="6.25" style="434" customWidth="1"/>
    <col min="6944" max="6944" width="5.125" style="434" customWidth="1"/>
    <col min="6945" max="6945" width="5.25" style="434" customWidth="1"/>
    <col min="6946" max="6946" width="8.125" style="434" customWidth="1"/>
    <col min="6947" max="6947" width="5.25" style="434" customWidth="1"/>
    <col min="6948" max="6950" width="0" style="434" hidden="1" customWidth="1"/>
    <col min="6951" max="7168" width="7.75" style="434"/>
    <col min="7169" max="7169" width="4.625" style="434" customWidth="1"/>
    <col min="7170" max="7170" width="20.25" style="434" customWidth="1"/>
    <col min="7171" max="7171" width="8.75" style="434" customWidth="1"/>
    <col min="7172" max="7172" width="9.125" style="434" customWidth="1"/>
    <col min="7173" max="7173" width="7.25" style="434" customWidth="1"/>
    <col min="7174" max="7176" width="0" style="434" hidden="1" customWidth="1"/>
    <col min="7177" max="7182" width="5.75" style="434" customWidth="1"/>
    <col min="7183" max="7185" width="6.625" style="434" customWidth="1"/>
    <col min="7186" max="7187" width="6.75" style="434" customWidth="1"/>
    <col min="7188" max="7188" width="5.75" style="434" customWidth="1"/>
    <col min="7189" max="7191" width="6" style="434" customWidth="1"/>
    <col min="7192" max="7199" width="6.25" style="434" customWidth="1"/>
    <col min="7200" max="7200" width="5.125" style="434" customWidth="1"/>
    <col min="7201" max="7201" width="5.25" style="434" customWidth="1"/>
    <col min="7202" max="7202" width="8.125" style="434" customWidth="1"/>
    <col min="7203" max="7203" width="5.25" style="434" customWidth="1"/>
    <col min="7204" max="7206" width="0" style="434" hidden="1" customWidth="1"/>
    <col min="7207" max="7424" width="7.75" style="434"/>
    <col min="7425" max="7425" width="4.625" style="434" customWidth="1"/>
    <col min="7426" max="7426" width="20.25" style="434" customWidth="1"/>
    <col min="7427" max="7427" width="8.75" style="434" customWidth="1"/>
    <col min="7428" max="7428" width="9.125" style="434" customWidth="1"/>
    <col min="7429" max="7429" width="7.25" style="434" customWidth="1"/>
    <col min="7430" max="7432" width="0" style="434" hidden="1" customWidth="1"/>
    <col min="7433" max="7438" width="5.75" style="434" customWidth="1"/>
    <col min="7439" max="7441" width="6.625" style="434" customWidth="1"/>
    <col min="7442" max="7443" width="6.75" style="434" customWidth="1"/>
    <col min="7444" max="7444" width="5.75" style="434" customWidth="1"/>
    <col min="7445" max="7447" width="6" style="434" customWidth="1"/>
    <col min="7448" max="7455" width="6.25" style="434" customWidth="1"/>
    <col min="7456" max="7456" width="5.125" style="434" customWidth="1"/>
    <col min="7457" max="7457" width="5.25" style="434" customWidth="1"/>
    <col min="7458" max="7458" width="8.125" style="434" customWidth="1"/>
    <col min="7459" max="7459" width="5.25" style="434" customWidth="1"/>
    <col min="7460" max="7462" width="0" style="434" hidden="1" customWidth="1"/>
    <col min="7463" max="7680" width="7.75" style="434"/>
    <col min="7681" max="7681" width="4.625" style="434" customWidth="1"/>
    <col min="7682" max="7682" width="20.25" style="434" customWidth="1"/>
    <col min="7683" max="7683" width="8.75" style="434" customWidth="1"/>
    <col min="7684" max="7684" width="9.125" style="434" customWidth="1"/>
    <col min="7685" max="7685" width="7.25" style="434" customWidth="1"/>
    <col min="7686" max="7688" width="0" style="434" hidden="1" customWidth="1"/>
    <col min="7689" max="7694" width="5.75" style="434" customWidth="1"/>
    <col min="7695" max="7697" width="6.625" style="434" customWidth="1"/>
    <col min="7698" max="7699" width="6.75" style="434" customWidth="1"/>
    <col min="7700" max="7700" width="5.75" style="434" customWidth="1"/>
    <col min="7701" max="7703" width="6" style="434" customWidth="1"/>
    <col min="7704" max="7711" width="6.25" style="434" customWidth="1"/>
    <col min="7712" max="7712" width="5.125" style="434" customWidth="1"/>
    <col min="7713" max="7713" width="5.25" style="434" customWidth="1"/>
    <col min="7714" max="7714" width="8.125" style="434" customWidth="1"/>
    <col min="7715" max="7715" width="5.25" style="434" customWidth="1"/>
    <col min="7716" max="7718" width="0" style="434" hidden="1" customWidth="1"/>
    <col min="7719" max="7936" width="7.75" style="434"/>
    <col min="7937" max="7937" width="4.625" style="434" customWidth="1"/>
    <col min="7938" max="7938" width="20.25" style="434" customWidth="1"/>
    <col min="7939" max="7939" width="8.75" style="434" customWidth="1"/>
    <col min="7940" max="7940" width="9.125" style="434" customWidth="1"/>
    <col min="7941" max="7941" width="7.25" style="434" customWidth="1"/>
    <col min="7942" max="7944" width="0" style="434" hidden="1" customWidth="1"/>
    <col min="7945" max="7950" width="5.75" style="434" customWidth="1"/>
    <col min="7951" max="7953" width="6.625" style="434" customWidth="1"/>
    <col min="7954" max="7955" width="6.75" style="434" customWidth="1"/>
    <col min="7956" max="7956" width="5.75" style="434" customWidth="1"/>
    <col min="7957" max="7959" width="6" style="434" customWidth="1"/>
    <col min="7960" max="7967" width="6.25" style="434" customWidth="1"/>
    <col min="7968" max="7968" width="5.125" style="434" customWidth="1"/>
    <col min="7969" max="7969" width="5.25" style="434" customWidth="1"/>
    <col min="7970" max="7970" width="8.125" style="434" customWidth="1"/>
    <col min="7971" max="7971" width="5.25" style="434" customWidth="1"/>
    <col min="7972" max="7974" width="0" style="434" hidden="1" customWidth="1"/>
    <col min="7975" max="8192" width="7.75" style="434"/>
    <col min="8193" max="8193" width="4.625" style="434" customWidth="1"/>
    <col min="8194" max="8194" width="20.25" style="434" customWidth="1"/>
    <col min="8195" max="8195" width="8.75" style="434" customWidth="1"/>
    <col min="8196" max="8196" width="9.125" style="434" customWidth="1"/>
    <col min="8197" max="8197" width="7.25" style="434" customWidth="1"/>
    <col min="8198" max="8200" width="0" style="434" hidden="1" customWidth="1"/>
    <col min="8201" max="8206" width="5.75" style="434" customWidth="1"/>
    <col min="8207" max="8209" width="6.625" style="434" customWidth="1"/>
    <col min="8210" max="8211" width="6.75" style="434" customWidth="1"/>
    <col min="8212" max="8212" width="5.75" style="434" customWidth="1"/>
    <col min="8213" max="8215" width="6" style="434" customWidth="1"/>
    <col min="8216" max="8223" width="6.25" style="434" customWidth="1"/>
    <col min="8224" max="8224" width="5.125" style="434" customWidth="1"/>
    <col min="8225" max="8225" width="5.25" style="434" customWidth="1"/>
    <col min="8226" max="8226" width="8.125" style="434" customWidth="1"/>
    <col min="8227" max="8227" width="5.25" style="434" customWidth="1"/>
    <col min="8228" max="8230" width="0" style="434" hidden="1" customWidth="1"/>
    <col min="8231" max="8448" width="7.75" style="434"/>
    <col min="8449" max="8449" width="4.625" style="434" customWidth="1"/>
    <col min="8450" max="8450" width="20.25" style="434" customWidth="1"/>
    <col min="8451" max="8451" width="8.75" style="434" customWidth="1"/>
    <col min="8452" max="8452" width="9.125" style="434" customWidth="1"/>
    <col min="8453" max="8453" width="7.25" style="434" customWidth="1"/>
    <col min="8454" max="8456" width="0" style="434" hidden="1" customWidth="1"/>
    <col min="8457" max="8462" width="5.75" style="434" customWidth="1"/>
    <col min="8463" max="8465" width="6.625" style="434" customWidth="1"/>
    <col min="8466" max="8467" width="6.75" style="434" customWidth="1"/>
    <col min="8468" max="8468" width="5.75" style="434" customWidth="1"/>
    <col min="8469" max="8471" width="6" style="434" customWidth="1"/>
    <col min="8472" max="8479" width="6.25" style="434" customWidth="1"/>
    <col min="8480" max="8480" width="5.125" style="434" customWidth="1"/>
    <col min="8481" max="8481" width="5.25" style="434" customWidth="1"/>
    <col min="8482" max="8482" width="8.125" style="434" customWidth="1"/>
    <col min="8483" max="8483" width="5.25" style="434" customWidth="1"/>
    <col min="8484" max="8486" width="0" style="434" hidden="1" customWidth="1"/>
    <col min="8487" max="8704" width="7.75" style="434"/>
    <col min="8705" max="8705" width="4.625" style="434" customWidth="1"/>
    <col min="8706" max="8706" width="20.25" style="434" customWidth="1"/>
    <col min="8707" max="8707" width="8.75" style="434" customWidth="1"/>
    <col min="8708" max="8708" width="9.125" style="434" customWidth="1"/>
    <col min="8709" max="8709" width="7.25" style="434" customWidth="1"/>
    <col min="8710" max="8712" width="0" style="434" hidden="1" customWidth="1"/>
    <col min="8713" max="8718" width="5.75" style="434" customWidth="1"/>
    <col min="8719" max="8721" width="6.625" style="434" customWidth="1"/>
    <col min="8722" max="8723" width="6.75" style="434" customWidth="1"/>
    <col min="8724" max="8724" width="5.75" style="434" customWidth="1"/>
    <col min="8725" max="8727" width="6" style="434" customWidth="1"/>
    <col min="8728" max="8735" width="6.25" style="434" customWidth="1"/>
    <col min="8736" max="8736" width="5.125" style="434" customWidth="1"/>
    <col min="8737" max="8737" width="5.25" style="434" customWidth="1"/>
    <col min="8738" max="8738" width="8.125" style="434" customWidth="1"/>
    <col min="8739" max="8739" width="5.25" style="434" customWidth="1"/>
    <col min="8740" max="8742" width="0" style="434" hidden="1" customWidth="1"/>
    <col min="8743" max="8960" width="7.75" style="434"/>
    <col min="8961" max="8961" width="4.625" style="434" customWidth="1"/>
    <col min="8962" max="8962" width="20.25" style="434" customWidth="1"/>
    <col min="8963" max="8963" width="8.75" style="434" customWidth="1"/>
    <col min="8964" max="8964" width="9.125" style="434" customWidth="1"/>
    <col min="8965" max="8965" width="7.25" style="434" customWidth="1"/>
    <col min="8966" max="8968" width="0" style="434" hidden="1" customWidth="1"/>
    <col min="8969" max="8974" width="5.75" style="434" customWidth="1"/>
    <col min="8975" max="8977" width="6.625" style="434" customWidth="1"/>
    <col min="8978" max="8979" width="6.75" style="434" customWidth="1"/>
    <col min="8980" max="8980" width="5.75" style="434" customWidth="1"/>
    <col min="8981" max="8983" width="6" style="434" customWidth="1"/>
    <col min="8984" max="8991" width="6.25" style="434" customWidth="1"/>
    <col min="8992" max="8992" width="5.125" style="434" customWidth="1"/>
    <col min="8993" max="8993" width="5.25" style="434" customWidth="1"/>
    <col min="8994" max="8994" width="8.125" style="434" customWidth="1"/>
    <col min="8995" max="8995" width="5.25" style="434" customWidth="1"/>
    <col min="8996" max="8998" width="0" style="434" hidden="1" customWidth="1"/>
    <col min="8999" max="9216" width="7.75" style="434"/>
    <col min="9217" max="9217" width="4.625" style="434" customWidth="1"/>
    <col min="9218" max="9218" width="20.25" style="434" customWidth="1"/>
    <col min="9219" max="9219" width="8.75" style="434" customWidth="1"/>
    <col min="9220" max="9220" width="9.125" style="434" customWidth="1"/>
    <col min="9221" max="9221" width="7.25" style="434" customWidth="1"/>
    <col min="9222" max="9224" width="0" style="434" hidden="1" customWidth="1"/>
    <col min="9225" max="9230" width="5.75" style="434" customWidth="1"/>
    <col min="9231" max="9233" width="6.625" style="434" customWidth="1"/>
    <col min="9234" max="9235" width="6.75" style="434" customWidth="1"/>
    <col min="9236" max="9236" width="5.75" style="434" customWidth="1"/>
    <col min="9237" max="9239" width="6" style="434" customWidth="1"/>
    <col min="9240" max="9247" width="6.25" style="434" customWidth="1"/>
    <col min="9248" max="9248" width="5.125" style="434" customWidth="1"/>
    <col min="9249" max="9249" width="5.25" style="434" customWidth="1"/>
    <col min="9250" max="9250" width="8.125" style="434" customWidth="1"/>
    <col min="9251" max="9251" width="5.25" style="434" customWidth="1"/>
    <col min="9252" max="9254" width="0" style="434" hidden="1" customWidth="1"/>
    <col min="9255" max="9472" width="7.75" style="434"/>
    <col min="9473" max="9473" width="4.625" style="434" customWidth="1"/>
    <col min="9474" max="9474" width="20.25" style="434" customWidth="1"/>
    <col min="9475" max="9475" width="8.75" style="434" customWidth="1"/>
    <col min="9476" max="9476" width="9.125" style="434" customWidth="1"/>
    <col min="9477" max="9477" width="7.25" style="434" customWidth="1"/>
    <col min="9478" max="9480" width="0" style="434" hidden="1" customWidth="1"/>
    <col min="9481" max="9486" width="5.75" style="434" customWidth="1"/>
    <col min="9487" max="9489" width="6.625" style="434" customWidth="1"/>
    <col min="9490" max="9491" width="6.75" style="434" customWidth="1"/>
    <col min="9492" max="9492" width="5.75" style="434" customWidth="1"/>
    <col min="9493" max="9495" width="6" style="434" customWidth="1"/>
    <col min="9496" max="9503" width="6.25" style="434" customWidth="1"/>
    <col min="9504" max="9504" width="5.125" style="434" customWidth="1"/>
    <col min="9505" max="9505" width="5.25" style="434" customWidth="1"/>
    <col min="9506" max="9506" width="8.125" style="434" customWidth="1"/>
    <col min="9507" max="9507" width="5.25" style="434" customWidth="1"/>
    <col min="9508" max="9510" width="0" style="434" hidden="1" customWidth="1"/>
    <col min="9511" max="9728" width="7.75" style="434"/>
    <col min="9729" max="9729" width="4.625" style="434" customWidth="1"/>
    <col min="9730" max="9730" width="20.25" style="434" customWidth="1"/>
    <col min="9731" max="9731" width="8.75" style="434" customWidth="1"/>
    <col min="9732" max="9732" width="9.125" style="434" customWidth="1"/>
    <col min="9733" max="9733" width="7.25" style="434" customWidth="1"/>
    <col min="9734" max="9736" width="0" style="434" hidden="1" customWidth="1"/>
    <col min="9737" max="9742" width="5.75" style="434" customWidth="1"/>
    <col min="9743" max="9745" width="6.625" style="434" customWidth="1"/>
    <col min="9746" max="9747" width="6.75" style="434" customWidth="1"/>
    <col min="9748" max="9748" width="5.75" style="434" customWidth="1"/>
    <col min="9749" max="9751" width="6" style="434" customWidth="1"/>
    <col min="9752" max="9759" width="6.25" style="434" customWidth="1"/>
    <col min="9760" max="9760" width="5.125" style="434" customWidth="1"/>
    <col min="9761" max="9761" width="5.25" style="434" customWidth="1"/>
    <col min="9762" max="9762" width="8.125" style="434" customWidth="1"/>
    <col min="9763" max="9763" width="5.25" style="434" customWidth="1"/>
    <col min="9764" max="9766" width="0" style="434" hidden="1" customWidth="1"/>
    <col min="9767" max="9984" width="7.75" style="434"/>
    <col min="9985" max="9985" width="4.625" style="434" customWidth="1"/>
    <col min="9986" max="9986" width="20.25" style="434" customWidth="1"/>
    <col min="9987" max="9987" width="8.75" style="434" customWidth="1"/>
    <col min="9988" max="9988" width="9.125" style="434" customWidth="1"/>
    <col min="9989" max="9989" width="7.25" style="434" customWidth="1"/>
    <col min="9990" max="9992" width="0" style="434" hidden="1" customWidth="1"/>
    <col min="9993" max="9998" width="5.75" style="434" customWidth="1"/>
    <col min="9999" max="10001" width="6.625" style="434" customWidth="1"/>
    <col min="10002" max="10003" width="6.75" style="434" customWidth="1"/>
    <col min="10004" max="10004" width="5.75" style="434" customWidth="1"/>
    <col min="10005" max="10007" width="6" style="434" customWidth="1"/>
    <col min="10008" max="10015" width="6.25" style="434" customWidth="1"/>
    <col min="10016" max="10016" width="5.125" style="434" customWidth="1"/>
    <col min="10017" max="10017" width="5.25" style="434" customWidth="1"/>
    <col min="10018" max="10018" width="8.125" style="434" customWidth="1"/>
    <col min="10019" max="10019" width="5.25" style="434" customWidth="1"/>
    <col min="10020" max="10022" width="0" style="434" hidden="1" customWidth="1"/>
    <col min="10023" max="10240" width="7.75" style="434"/>
    <col min="10241" max="10241" width="4.625" style="434" customWidth="1"/>
    <col min="10242" max="10242" width="20.25" style="434" customWidth="1"/>
    <col min="10243" max="10243" width="8.75" style="434" customWidth="1"/>
    <col min="10244" max="10244" width="9.125" style="434" customWidth="1"/>
    <col min="10245" max="10245" width="7.25" style="434" customWidth="1"/>
    <col min="10246" max="10248" width="0" style="434" hidden="1" customWidth="1"/>
    <col min="10249" max="10254" width="5.75" style="434" customWidth="1"/>
    <col min="10255" max="10257" width="6.625" style="434" customWidth="1"/>
    <col min="10258" max="10259" width="6.75" style="434" customWidth="1"/>
    <col min="10260" max="10260" width="5.75" style="434" customWidth="1"/>
    <col min="10261" max="10263" width="6" style="434" customWidth="1"/>
    <col min="10264" max="10271" width="6.25" style="434" customWidth="1"/>
    <col min="10272" max="10272" width="5.125" style="434" customWidth="1"/>
    <col min="10273" max="10273" width="5.25" style="434" customWidth="1"/>
    <col min="10274" max="10274" width="8.125" style="434" customWidth="1"/>
    <col min="10275" max="10275" width="5.25" style="434" customWidth="1"/>
    <col min="10276" max="10278" width="0" style="434" hidden="1" customWidth="1"/>
    <col min="10279" max="10496" width="7.75" style="434"/>
    <col min="10497" max="10497" width="4.625" style="434" customWidth="1"/>
    <col min="10498" max="10498" width="20.25" style="434" customWidth="1"/>
    <col min="10499" max="10499" width="8.75" style="434" customWidth="1"/>
    <col min="10500" max="10500" width="9.125" style="434" customWidth="1"/>
    <col min="10501" max="10501" width="7.25" style="434" customWidth="1"/>
    <col min="10502" max="10504" width="0" style="434" hidden="1" customWidth="1"/>
    <col min="10505" max="10510" width="5.75" style="434" customWidth="1"/>
    <col min="10511" max="10513" width="6.625" style="434" customWidth="1"/>
    <col min="10514" max="10515" width="6.75" style="434" customWidth="1"/>
    <col min="10516" max="10516" width="5.75" style="434" customWidth="1"/>
    <col min="10517" max="10519" width="6" style="434" customWidth="1"/>
    <col min="10520" max="10527" width="6.25" style="434" customWidth="1"/>
    <col min="10528" max="10528" width="5.125" style="434" customWidth="1"/>
    <col min="10529" max="10529" width="5.25" style="434" customWidth="1"/>
    <col min="10530" max="10530" width="8.125" style="434" customWidth="1"/>
    <col min="10531" max="10531" width="5.25" style="434" customWidth="1"/>
    <col min="10532" max="10534" width="0" style="434" hidden="1" customWidth="1"/>
    <col min="10535" max="10752" width="7.75" style="434"/>
    <col min="10753" max="10753" width="4.625" style="434" customWidth="1"/>
    <col min="10754" max="10754" width="20.25" style="434" customWidth="1"/>
    <col min="10755" max="10755" width="8.75" style="434" customWidth="1"/>
    <col min="10756" max="10756" width="9.125" style="434" customWidth="1"/>
    <col min="10757" max="10757" width="7.25" style="434" customWidth="1"/>
    <col min="10758" max="10760" width="0" style="434" hidden="1" customWidth="1"/>
    <col min="10761" max="10766" width="5.75" style="434" customWidth="1"/>
    <col min="10767" max="10769" width="6.625" style="434" customWidth="1"/>
    <col min="10770" max="10771" width="6.75" style="434" customWidth="1"/>
    <col min="10772" max="10772" width="5.75" style="434" customWidth="1"/>
    <col min="10773" max="10775" width="6" style="434" customWidth="1"/>
    <col min="10776" max="10783" width="6.25" style="434" customWidth="1"/>
    <col min="10784" max="10784" width="5.125" style="434" customWidth="1"/>
    <col min="10785" max="10785" width="5.25" style="434" customWidth="1"/>
    <col min="10786" max="10786" width="8.125" style="434" customWidth="1"/>
    <col min="10787" max="10787" width="5.25" style="434" customWidth="1"/>
    <col min="10788" max="10790" width="0" style="434" hidden="1" customWidth="1"/>
    <col min="10791" max="11008" width="7.75" style="434"/>
    <col min="11009" max="11009" width="4.625" style="434" customWidth="1"/>
    <col min="11010" max="11010" width="20.25" style="434" customWidth="1"/>
    <col min="11011" max="11011" width="8.75" style="434" customWidth="1"/>
    <col min="11012" max="11012" width="9.125" style="434" customWidth="1"/>
    <col min="11013" max="11013" width="7.25" style="434" customWidth="1"/>
    <col min="11014" max="11016" width="0" style="434" hidden="1" customWidth="1"/>
    <col min="11017" max="11022" width="5.75" style="434" customWidth="1"/>
    <col min="11023" max="11025" width="6.625" style="434" customWidth="1"/>
    <col min="11026" max="11027" width="6.75" style="434" customWidth="1"/>
    <col min="11028" max="11028" width="5.75" style="434" customWidth="1"/>
    <col min="11029" max="11031" width="6" style="434" customWidth="1"/>
    <col min="11032" max="11039" width="6.25" style="434" customWidth="1"/>
    <col min="11040" max="11040" width="5.125" style="434" customWidth="1"/>
    <col min="11041" max="11041" width="5.25" style="434" customWidth="1"/>
    <col min="11042" max="11042" width="8.125" style="434" customWidth="1"/>
    <col min="11043" max="11043" width="5.25" style="434" customWidth="1"/>
    <col min="11044" max="11046" width="0" style="434" hidden="1" customWidth="1"/>
    <col min="11047" max="11264" width="7.75" style="434"/>
    <col min="11265" max="11265" width="4.625" style="434" customWidth="1"/>
    <col min="11266" max="11266" width="20.25" style="434" customWidth="1"/>
    <col min="11267" max="11267" width="8.75" style="434" customWidth="1"/>
    <col min="11268" max="11268" width="9.125" style="434" customWidth="1"/>
    <col min="11269" max="11269" width="7.25" style="434" customWidth="1"/>
    <col min="11270" max="11272" width="0" style="434" hidden="1" customWidth="1"/>
    <col min="11273" max="11278" width="5.75" style="434" customWidth="1"/>
    <col min="11279" max="11281" width="6.625" style="434" customWidth="1"/>
    <col min="11282" max="11283" width="6.75" style="434" customWidth="1"/>
    <col min="11284" max="11284" width="5.75" style="434" customWidth="1"/>
    <col min="11285" max="11287" width="6" style="434" customWidth="1"/>
    <col min="11288" max="11295" width="6.25" style="434" customWidth="1"/>
    <col min="11296" max="11296" width="5.125" style="434" customWidth="1"/>
    <col min="11297" max="11297" width="5.25" style="434" customWidth="1"/>
    <col min="11298" max="11298" width="8.125" style="434" customWidth="1"/>
    <col min="11299" max="11299" width="5.25" style="434" customWidth="1"/>
    <col min="11300" max="11302" width="0" style="434" hidden="1" customWidth="1"/>
    <col min="11303" max="11520" width="7.75" style="434"/>
    <col min="11521" max="11521" width="4.625" style="434" customWidth="1"/>
    <col min="11522" max="11522" width="20.25" style="434" customWidth="1"/>
    <col min="11523" max="11523" width="8.75" style="434" customWidth="1"/>
    <col min="11524" max="11524" width="9.125" style="434" customWidth="1"/>
    <col min="11525" max="11525" width="7.25" style="434" customWidth="1"/>
    <col min="11526" max="11528" width="0" style="434" hidden="1" customWidth="1"/>
    <col min="11529" max="11534" width="5.75" style="434" customWidth="1"/>
    <col min="11535" max="11537" width="6.625" style="434" customWidth="1"/>
    <col min="11538" max="11539" width="6.75" style="434" customWidth="1"/>
    <col min="11540" max="11540" width="5.75" style="434" customWidth="1"/>
    <col min="11541" max="11543" width="6" style="434" customWidth="1"/>
    <col min="11544" max="11551" width="6.25" style="434" customWidth="1"/>
    <col min="11552" max="11552" width="5.125" style="434" customWidth="1"/>
    <col min="11553" max="11553" width="5.25" style="434" customWidth="1"/>
    <col min="11554" max="11554" width="8.125" style="434" customWidth="1"/>
    <col min="11555" max="11555" width="5.25" style="434" customWidth="1"/>
    <col min="11556" max="11558" width="0" style="434" hidden="1" customWidth="1"/>
    <col min="11559" max="11776" width="7.75" style="434"/>
    <col min="11777" max="11777" width="4.625" style="434" customWidth="1"/>
    <col min="11778" max="11778" width="20.25" style="434" customWidth="1"/>
    <col min="11779" max="11779" width="8.75" style="434" customWidth="1"/>
    <col min="11780" max="11780" width="9.125" style="434" customWidth="1"/>
    <col min="11781" max="11781" width="7.25" style="434" customWidth="1"/>
    <col min="11782" max="11784" width="0" style="434" hidden="1" customWidth="1"/>
    <col min="11785" max="11790" width="5.75" style="434" customWidth="1"/>
    <col min="11791" max="11793" width="6.625" style="434" customWidth="1"/>
    <col min="11794" max="11795" width="6.75" style="434" customWidth="1"/>
    <col min="11796" max="11796" width="5.75" style="434" customWidth="1"/>
    <col min="11797" max="11799" width="6" style="434" customWidth="1"/>
    <col min="11800" max="11807" width="6.25" style="434" customWidth="1"/>
    <col min="11808" max="11808" width="5.125" style="434" customWidth="1"/>
    <col min="11809" max="11809" width="5.25" style="434" customWidth="1"/>
    <col min="11810" max="11810" width="8.125" style="434" customWidth="1"/>
    <col min="11811" max="11811" width="5.25" style="434" customWidth="1"/>
    <col min="11812" max="11814" width="0" style="434" hidden="1" customWidth="1"/>
    <col min="11815" max="12032" width="7.75" style="434"/>
    <col min="12033" max="12033" width="4.625" style="434" customWidth="1"/>
    <col min="12034" max="12034" width="20.25" style="434" customWidth="1"/>
    <col min="12035" max="12035" width="8.75" style="434" customWidth="1"/>
    <col min="12036" max="12036" width="9.125" style="434" customWidth="1"/>
    <col min="12037" max="12037" width="7.25" style="434" customWidth="1"/>
    <col min="12038" max="12040" width="0" style="434" hidden="1" customWidth="1"/>
    <col min="12041" max="12046" width="5.75" style="434" customWidth="1"/>
    <col min="12047" max="12049" width="6.625" style="434" customWidth="1"/>
    <col min="12050" max="12051" width="6.75" style="434" customWidth="1"/>
    <col min="12052" max="12052" width="5.75" style="434" customWidth="1"/>
    <col min="12053" max="12055" width="6" style="434" customWidth="1"/>
    <col min="12056" max="12063" width="6.25" style="434" customWidth="1"/>
    <col min="12064" max="12064" width="5.125" style="434" customWidth="1"/>
    <col min="12065" max="12065" width="5.25" style="434" customWidth="1"/>
    <col min="12066" max="12066" width="8.125" style="434" customWidth="1"/>
    <col min="12067" max="12067" width="5.25" style="434" customWidth="1"/>
    <col min="12068" max="12070" width="0" style="434" hidden="1" customWidth="1"/>
    <col min="12071" max="12288" width="7.75" style="434"/>
    <col min="12289" max="12289" width="4.625" style="434" customWidth="1"/>
    <col min="12290" max="12290" width="20.25" style="434" customWidth="1"/>
    <col min="12291" max="12291" width="8.75" style="434" customWidth="1"/>
    <col min="12292" max="12292" width="9.125" style="434" customWidth="1"/>
    <col min="12293" max="12293" width="7.25" style="434" customWidth="1"/>
    <col min="12294" max="12296" width="0" style="434" hidden="1" customWidth="1"/>
    <col min="12297" max="12302" width="5.75" style="434" customWidth="1"/>
    <col min="12303" max="12305" width="6.625" style="434" customWidth="1"/>
    <col min="12306" max="12307" width="6.75" style="434" customWidth="1"/>
    <col min="12308" max="12308" width="5.75" style="434" customWidth="1"/>
    <col min="12309" max="12311" width="6" style="434" customWidth="1"/>
    <col min="12312" max="12319" width="6.25" style="434" customWidth="1"/>
    <col min="12320" max="12320" width="5.125" style="434" customWidth="1"/>
    <col min="12321" max="12321" width="5.25" style="434" customWidth="1"/>
    <col min="12322" max="12322" width="8.125" style="434" customWidth="1"/>
    <col min="12323" max="12323" width="5.25" style="434" customWidth="1"/>
    <col min="12324" max="12326" width="0" style="434" hidden="1" customWidth="1"/>
    <col min="12327" max="12544" width="7.75" style="434"/>
    <col min="12545" max="12545" width="4.625" style="434" customWidth="1"/>
    <col min="12546" max="12546" width="20.25" style="434" customWidth="1"/>
    <col min="12547" max="12547" width="8.75" style="434" customWidth="1"/>
    <col min="12548" max="12548" width="9.125" style="434" customWidth="1"/>
    <col min="12549" max="12549" width="7.25" style="434" customWidth="1"/>
    <col min="12550" max="12552" width="0" style="434" hidden="1" customWidth="1"/>
    <col min="12553" max="12558" width="5.75" style="434" customWidth="1"/>
    <col min="12559" max="12561" width="6.625" style="434" customWidth="1"/>
    <col min="12562" max="12563" width="6.75" style="434" customWidth="1"/>
    <col min="12564" max="12564" width="5.75" style="434" customWidth="1"/>
    <col min="12565" max="12567" width="6" style="434" customWidth="1"/>
    <col min="12568" max="12575" width="6.25" style="434" customWidth="1"/>
    <col min="12576" max="12576" width="5.125" style="434" customWidth="1"/>
    <col min="12577" max="12577" width="5.25" style="434" customWidth="1"/>
    <col min="12578" max="12578" width="8.125" style="434" customWidth="1"/>
    <col min="12579" max="12579" width="5.25" style="434" customWidth="1"/>
    <col min="12580" max="12582" width="0" style="434" hidden="1" customWidth="1"/>
    <col min="12583" max="12800" width="7.75" style="434"/>
    <col min="12801" max="12801" width="4.625" style="434" customWidth="1"/>
    <col min="12802" max="12802" width="20.25" style="434" customWidth="1"/>
    <col min="12803" max="12803" width="8.75" style="434" customWidth="1"/>
    <col min="12804" max="12804" width="9.125" style="434" customWidth="1"/>
    <col min="12805" max="12805" width="7.25" style="434" customWidth="1"/>
    <col min="12806" max="12808" width="0" style="434" hidden="1" customWidth="1"/>
    <col min="12809" max="12814" width="5.75" style="434" customWidth="1"/>
    <col min="12815" max="12817" width="6.625" style="434" customWidth="1"/>
    <col min="12818" max="12819" width="6.75" style="434" customWidth="1"/>
    <col min="12820" max="12820" width="5.75" style="434" customWidth="1"/>
    <col min="12821" max="12823" width="6" style="434" customWidth="1"/>
    <col min="12824" max="12831" width="6.25" style="434" customWidth="1"/>
    <col min="12832" max="12832" width="5.125" style="434" customWidth="1"/>
    <col min="12833" max="12833" width="5.25" style="434" customWidth="1"/>
    <col min="12834" max="12834" width="8.125" style="434" customWidth="1"/>
    <col min="12835" max="12835" width="5.25" style="434" customWidth="1"/>
    <col min="12836" max="12838" width="0" style="434" hidden="1" customWidth="1"/>
    <col min="12839" max="13056" width="7.75" style="434"/>
    <col min="13057" max="13057" width="4.625" style="434" customWidth="1"/>
    <col min="13058" max="13058" width="20.25" style="434" customWidth="1"/>
    <col min="13059" max="13059" width="8.75" style="434" customWidth="1"/>
    <col min="13060" max="13060" width="9.125" style="434" customWidth="1"/>
    <col min="13061" max="13061" width="7.25" style="434" customWidth="1"/>
    <col min="13062" max="13064" width="0" style="434" hidden="1" customWidth="1"/>
    <col min="13065" max="13070" width="5.75" style="434" customWidth="1"/>
    <col min="13071" max="13073" width="6.625" style="434" customWidth="1"/>
    <col min="13074" max="13075" width="6.75" style="434" customWidth="1"/>
    <col min="13076" max="13076" width="5.75" style="434" customWidth="1"/>
    <col min="13077" max="13079" width="6" style="434" customWidth="1"/>
    <col min="13080" max="13087" width="6.25" style="434" customWidth="1"/>
    <col min="13088" max="13088" width="5.125" style="434" customWidth="1"/>
    <col min="13089" max="13089" width="5.25" style="434" customWidth="1"/>
    <col min="13090" max="13090" width="8.125" style="434" customWidth="1"/>
    <col min="13091" max="13091" width="5.25" style="434" customWidth="1"/>
    <col min="13092" max="13094" width="0" style="434" hidden="1" customWidth="1"/>
    <col min="13095" max="13312" width="7.75" style="434"/>
    <col min="13313" max="13313" width="4.625" style="434" customWidth="1"/>
    <col min="13314" max="13314" width="20.25" style="434" customWidth="1"/>
    <col min="13315" max="13315" width="8.75" style="434" customWidth="1"/>
    <col min="13316" max="13316" width="9.125" style="434" customWidth="1"/>
    <col min="13317" max="13317" width="7.25" style="434" customWidth="1"/>
    <col min="13318" max="13320" width="0" style="434" hidden="1" customWidth="1"/>
    <col min="13321" max="13326" width="5.75" style="434" customWidth="1"/>
    <col min="13327" max="13329" width="6.625" style="434" customWidth="1"/>
    <col min="13330" max="13331" width="6.75" style="434" customWidth="1"/>
    <col min="13332" max="13332" width="5.75" style="434" customWidth="1"/>
    <col min="13333" max="13335" width="6" style="434" customWidth="1"/>
    <col min="13336" max="13343" width="6.25" style="434" customWidth="1"/>
    <col min="13344" max="13344" width="5.125" style="434" customWidth="1"/>
    <col min="13345" max="13345" width="5.25" style="434" customWidth="1"/>
    <col min="13346" max="13346" width="8.125" style="434" customWidth="1"/>
    <col min="13347" max="13347" width="5.25" style="434" customWidth="1"/>
    <col min="13348" max="13350" width="0" style="434" hidden="1" customWidth="1"/>
    <col min="13351" max="13568" width="7.75" style="434"/>
    <col min="13569" max="13569" width="4.625" style="434" customWidth="1"/>
    <col min="13570" max="13570" width="20.25" style="434" customWidth="1"/>
    <col min="13571" max="13571" width="8.75" style="434" customWidth="1"/>
    <col min="13572" max="13572" width="9.125" style="434" customWidth="1"/>
    <col min="13573" max="13573" width="7.25" style="434" customWidth="1"/>
    <col min="13574" max="13576" width="0" style="434" hidden="1" customWidth="1"/>
    <col min="13577" max="13582" width="5.75" style="434" customWidth="1"/>
    <col min="13583" max="13585" width="6.625" style="434" customWidth="1"/>
    <col min="13586" max="13587" width="6.75" style="434" customWidth="1"/>
    <col min="13588" max="13588" width="5.75" style="434" customWidth="1"/>
    <col min="13589" max="13591" width="6" style="434" customWidth="1"/>
    <col min="13592" max="13599" width="6.25" style="434" customWidth="1"/>
    <col min="13600" max="13600" width="5.125" style="434" customWidth="1"/>
    <col min="13601" max="13601" width="5.25" style="434" customWidth="1"/>
    <col min="13602" max="13602" width="8.125" style="434" customWidth="1"/>
    <col min="13603" max="13603" width="5.25" style="434" customWidth="1"/>
    <col min="13604" max="13606" width="0" style="434" hidden="1" customWidth="1"/>
    <col min="13607" max="13824" width="7.75" style="434"/>
    <col min="13825" max="13825" width="4.625" style="434" customWidth="1"/>
    <col min="13826" max="13826" width="20.25" style="434" customWidth="1"/>
    <col min="13827" max="13827" width="8.75" style="434" customWidth="1"/>
    <col min="13828" max="13828" width="9.125" style="434" customWidth="1"/>
    <col min="13829" max="13829" width="7.25" style="434" customWidth="1"/>
    <col min="13830" max="13832" width="0" style="434" hidden="1" customWidth="1"/>
    <col min="13833" max="13838" width="5.75" style="434" customWidth="1"/>
    <col min="13839" max="13841" width="6.625" style="434" customWidth="1"/>
    <col min="13842" max="13843" width="6.75" style="434" customWidth="1"/>
    <col min="13844" max="13844" width="5.75" style="434" customWidth="1"/>
    <col min="13845" max="13847" width="6" style="434" customWidth="1"/>
    <col min="13848" max="13855" width="6.25" style="434" customWidth="1"/>
    <col min="13856" max="13856" width="5.125" style="434" customWidth="1"/>
    <col min="13857" max="13857" width="5.25" style="434" customWidth="1"/>
    <col min="13858" max="13858" width="8.125" style="434" customWidth="1"/>
    <col min="13859" max="13859" width="5.25" style="434" customWidth="1"/>
    <col min="13860" max="13862" width="0" style="434" hidden="1" customWidth="1"/>
    <col min="13863" max="14080" width="7.75" style="434"/>
    <col min="14081" max="14081" width="4.625" style="434" customWidth="1"/>
    <col min="14082" max="14082" width="20.25" style="434" customWidth="1"/>
    <col min="14083" max="14083" width="8.75" style="434" customWidth="1"/>
    <col min="14084" max="14084" width="9.125" style="434" customWidth="1"/>
    <col min="14085" max="14085" width="7.25" style="434" customWidth="1"/>
    <col min="14086" max="14088" width="0" style="434" hidden="1" customWidth="1"/>
    <col min="14089" max="14094" width="5.75" style="434" customWidth="1"/>
    <col min="14095" max="14097" width="6.625" style="434" customWidth="1"/>
    <col min="14098" max="14099" width="6.75" style="434" customWidth="1"/>
    <col min="14100" max="14100" width="5.75" style="434" customWidth="1"/>
    <col min="14101" max="14103" width="6" style="434" customWidth="1"/>
    <col min="14104" max="14111" width="6.25" style="434" customWidth="1"/>
    <col min="14112" max="14112" width="5.125" style="434" customWidth="1"/>
    <col min="14113" max="14113" width="5.25" style="434" customWidth="1"/>
    <col min="14114" max="14114" width="8.125" style="434" customWidth="1"/>
    <col min="14115" max="14115" width="5.25" style="434" customWidth="1"/>
    <col min="14116" max="14118" width="0" style="434" hidden="1" customWidth="1"/>
    <col min="14119" max="14336" width="7.75" style="434"/>
    <col min="14337" max="14337" width="4.625" style="434" customWidth="1"/>
    <col min="14338" max="14338" width="20.25" style="434" customWidth="1"/>
    <col min="14339" max="14339" width="8.75" style="434" customWidth="1"/>
    <col min="14340" max="14340" width="9.125" style="434" customWidth="1"/>
    <col min="14341" max="14341" width="7.25" style="434" customWidth="1"/>
    <col min="14342" max="14344" width="0" style="434" hidden="1" customWidth="1"/>
    <col min="14345" max="14350" width="5.75" style="434" customWidth="1"/>
    <col min="14351" max="14353" width="6.625" style="434" customWidth="1"/>
    <col min="14354" max="14355" width="6.75" style="434" customWidth="1"/>
    <col min="14356" max="14356" width="5.75" style="434" customWidth="1"/>
    <col min="14357" max="14359" width="6" style="434" customWidth="1"/>
    <col min="14360" max="14367" width="6.25" style="434" customWidth="1"/>
    <col min="14368" max="14368" width="5.125" style="434" customWidth="1"/>
    <col min="14369" max="14369" width="5.25" style="434" customWidth="1"/>
    <col min="14370" max="14370" width="8.125" style="434" customWidth="1"/>
    <col min="14371" max="14371" width="5.25" style="434" customWidth="1"/>
    <col min="14372" max="14374" width="0" style="434" hidden="1" customWidth="1"/>
    <col min="14375" max="14592" width="7.75" style="434"/>
    <col min="14593" max="14593" width="4.625" style="434" customWidth="1"/>
    <col min="14594" max="14594" width="20.25" style="434" customWidth="1"/>
    <col min="14595" max="14595" width="8.75" style="434" customWidth="1"/>
    <col min="14596" max="14596" width="9.125" style="434" customWidth="1"/>
    <col min="14597" max="14597" width="7.25" style="434" customWidth="1"/>
    <col min="14598" max="14600" width="0" style="434" hidden="1" customWidth="1"/>
    <col min="14601" max="14606" width="5.75" style="434" customWidth="1"/>
    <col min="14607" max="14609" width="6.625" style="434" customWidth="1"/>
    <col min="14610" max="14611" width="6.75" style="434" customWidth="1"/>
    <col min="14612" max="14612" width="5.75" style="434" customWidth="1"/>
    <col min="14613" max="14615" width="6" style="434" customWidth="1"/>
    <col min="14616" max="14623" width="6.25" style="434" customWidth="1"/>
    <col min="14624" max="14624" width="5.125" style="434" customWidth="1"/>
    <col min="14625" max="14625" width="5.25" style="434" customWidth="1"/>
    <col min="14626" max="14626" width="8.125" style="434" customWidth="1"/>
    <col min="14627" max="14627" width="5.25" style="434" customWidth="1"/>
    <col min="14628" max="14630" width="0" style="434" hidden="1" customWidth="1"/>
    <col min="14631" max="14848" width="7.75" style="434"/>
    <col min="14849" max="14849" width="4.625" style="434" customWidth="1"/>
    <col min="14850" max="14850" width="20.25" style="434" customWidth="1"/>
    <col min="14851" max="14851" width="8.75" style="434" customWidth="1"/>
    <col min="14852" max="14852" width="9.125" style="434" customWidth="1"/>
    <col min="14853" max="14853" width="7.25" style="434" customWidth="1"/>
    <col min="14854" max="14856" width="0" style="434" hidden="1" customWidth="1"/>
    <col min="14857" max="14862" width="5.75" style="434" customWidth="1"/>
    <col min="14863" max="14865" width="6.625" style="434" customWidth="1"/>
    <col min="14866" max="14867" width="6.75" style="434" customWidth="1"/>
    <col min="14868" max="14868" width="5.75" style="434" customWidth="1"/>
    <col min="14869" max="14871" width="6" style="434" customWidth="1"/>
    <col min="14872" max="14879" width="6.25" style="434" customWidth="1"/>
    <col min="14880" max="14880" width="5.125" style="434" customWidth="1"/>
    <col min="14881" max="14881" width="5.25" style="434" customWidth="1"/>
    <col min="14882" max="14882" width="8.125" style="434" customWidth="1"/>
    <col min="14883" max="14883" width="5.25" style="434" customWidth="1"/>
    <col min="14884" max="14886" width="0" style="434" hidden="1" customWidth="1"/>
    <col min="14887" max="15104" width="7.75" style="434"/>
    <col min="15105" max="15105" width="4.625" style="434" customWidth="1"/>
    <col min="15106" max="15106" width="20.25" style="434" customWidth="1"/>
    <col min="15107" max="15107" width="8.75" style="434" customWidth="1"/>
    <col min="15108" max="15108" width="9.125" style="434" customWidth="1"/>
    <col min="15109" max="15109" width="7.25" style="434" customWidth="1"/>
    <col min="15110" max="15112" width="0" style="434" hidden="1" customWidth="1"/>
    <col min="15113" max="15118" width="5.75" style="434" customWidth="1"/>
    <col min="15119" max="15121" width="6.625" style="434" customWidth="1"/>
    <col min="15122" max="15123" width="6.75" style="434" customWidth="1"/>
    <col min="15124" max="15124" width="5.75" style="434" customWidth="1"/>
    <col min="15125" max="15127" width="6" style="434" customWidth="1"/>
    <col min="15128" max="15135" width="6.25" style="434" customWidth="1"/>
    <col min="15136" max="15136" width="5.125" style="434" customWidth="1"/>
    <col min="15137" max="15137" width="5.25" style="434" customWidth="1"/>
    <col min="15138" max="15138" width="8.125" style="434" customWidth="1"/>
    <col min="15139" max="15139" width="5.25" style="434" customWidth="1"/>
    <col min="15140" max="15142" width="0" style="434" hidden="1" customWidth="1"/>
    <col min="15143" max="15360" width="7.75" style="434"/>
    <col min="15361" max="15361" width="4.625" style="434" customWidth="1"/>
    <col min="15362" max="15362" width="20.25" style="434" customWidth="1"/>
    <col min="15363" max="15363" width="8.75" style="434" customWidth="1"/>
    <col min="15364" max="15364" width="9.125" style="434" customWidth="1"/>
    <col min="15365" max="15365" width="7.25" style="434" customWidth="1"/>
    <col min="15366" max="15368" width="0" style="434" hidden="1" customWidth="1"/>
    <col min="15369" max="15374" width="5.75" style="434" customWidth="1"/>
    <col min="15375" max="15377" width="6.625" style="434" customWidth="1"/>
    <col min="15378" max="15379" width="6.75" style="434" customWidth="1"/>
    <col min="15380" max="15380" width="5.75" style="434" customWidth="1"/>
    <col min="15381" max="15383" width="6" style="434" customWidth="1"/>
    <col min="15384" max="15391" width="6.25" style="434" customWidth="1"/>
    <col min="15392" max="15392" width="5.125" style="434" customWidth="1"/>
    <col min="15393" max="15393" width="5.25" style="434" customWidth="1"/>
    <col min="15394" max="15394" width="8.125" style="434" customWidth="1"/>
    <col min="15395" max="15395" width="5.25" style="434" customWidth="1"/>
    <col min="15396" max="15398" width="0" style="434" hidden="1" customWidth="1"/>
    <col min="15399" max="15616" width="7.75" style="434"/>
    <col min="15617" max="15617" width="4.625" style="434" customWidth="1"/>
    <col min="15618" max="15618" width="20.25" style="434" customWidth="1"/>
    <col min="15619" max="15619" width="8.75" style="434" customWidth="1"/>
    <col min="15620" max="15620" width="9.125" style="434" customWidth="1"/>
    <col min="15621" max="15621" width="7.25" style="434" customWidth="1"/>
    <col min="15622" max="15624" width="0" style="434" hidden="1" customWidth="1"/>
    <col min="15625" max="15630" width="5.75" style="434" customWidth="1"/>
    <col min="15631" max="15633" width="6.625" style="434" customWidth="1"/>
    <col min="15634" max="15635" width="6.75" style="434" customWidth="1"/>
    <col min="15636" max="15636" width="5.75" style="434" customWidth="1"/>
    <col min="15637" max="15639" width="6" style="434" customWidth="1"/>
    <col min="15640" max="15647" width="6.25" style="434" customWidth="1"/>
    <col min="15648" max="15648" width="5.125" style="434" customWidth="1"/>
    <col min="15649" max="15649" width="5.25" style="434" customWidth="1"/>
    <col min="15650" max="15650" width="8.125" style="434" customWidth="1"/>
    <col min="15651" max="15651" width="5.25" style="434" customWidth="1"/>
    <col min="15652" max="15654" width="0" style="434" hidden="1" customWidth="1"/>
    <col min="15655" max="15872" width="7.75" style="434"/>
    <col min="15873" max="15873" width="4.625" style="434" customWidth="1"/>
    <col min="15874" max="15874" width="20.25" style="434" customWidth="1"/>
    <col min="15875" max="15875" width="8.75" style="434" customWidth="1"/>
    <col min="15876" max="15876" width="9.125" style="434" customWidth="1"/>
    <col min="15877" max="15877" width="7.25" style="434" customWidth="1"/>
    <col min="15878" max="15880" width="0" style="434" hidden="1" customWidth="1"/>
    <col min="15881" max="15886" width="5.75" style="434" customWidth="1"/>
    <col min="15887" max="15889" width="6.625" style="434" customWidth="1"/>
    <col min="15890" max="15891" width="6.75" style="434" customWidth="1"/>
    <col min="15892" max="15892" width="5.75" style="434" customWidth="1"/>
    <col min="15893" max="15895" width="6" style="434" customWidth="1"/>
    <col min="15896" max="15903" width="6.25" style="434" customWidth="1"/>
    <col min="15904" max="15904" width="5.125" style="434" customWidth="1"/>
    <col min="15905" max="15905" width="5.25" style="434" customWidth="1"/>
    <col min="15906" max="15906" width="8.125" style="434" customWidth="1"/>
    <col min="15907" max="15907" width="5.25" style="434" customWidth="1"/>
    <col min="15908" max="15910" width="0" style="434" hidden="1" customWidth="1"/>
    <col min="15911" max="16128" width="7.75" style="434"/>
    <col min="16129" max="16129" width="4.625" style="434" customWidth="1"/>
    <col min="16130" max="16130" width="20.25" style="434" customWidth="1"/>
    <col min="16131" max="16131" width="8.75" style="434" customWidth="1"/>
    <col min="16132" max="16132" width="9.125" style="434" customWidth="1"/>
    <col min="16133" max="16133" width="7.25" style="434" customWidth="1"/>
    <col min="16134" max="16136" width="0" style="434" hidden="1" customWidth="1"/>
    <col min="16137" max="16142" width="5.75" style="434" customWidth="1"/>
    <col min="16143" max="16145" width="6.625" style="434" customWidth="1"/>
    <col min="16146" max="16147" width="6.75" style="434" customWidth="1"/>
    <col min="16148" max="16148" width="5.75" style="434" customWidth="1"/>
    <col min="16149" max="16151" width="6" style="434" customWidth="1"/>
    <col min="16152" max="16159" width="6.25" style="434" customWidth="1"/>
    <col min="16160" max="16160" width="5.125" style="434" customWidth="1"/>
    <col min="16161" max="16161" width="5.25" style="434" customWidth="1"/>
    <col min="16162" max="16162" width="8.125" style="434" customWidth="1"/>
    <col min="16163" max="16163" width="5.25" style="434" customWidth="1"/>
    <col min="16164" max="16166" width="0" style="434" hidden="1" customWidth="1"/>
    <col min="16167" max="16384" width="7.75" style="434"/>
  </cols>
  <sheetData>
    <row r="1" spans="1:38" s="432" customFormat="1" ht="26.25" customHeight="1" x14ac:dyDescent="0.25">
      <c r="A1" s="1128" t="s">
        <v>1263</v>
      </c>
      <c r="B1" s="1128"/>
      <c r="C1" s="1128"/>
      <c r="D1" s="1128"/>
      <c r="E1" s="1128"/>
      <c r="F1" s="1128"/>
      <c r="G1" s="1128"/>
      <c r="H1" s="1128"/>
      <c r="I1" s="1128"/>
      <c r="J1" s="1128"/>
      <c r="K1" s="1128"/>
      <c r="L1" s="1128"/>
      <c r="M1" s="1128"/>
      <c r="N1" s="1128"/>
      <c r="O1" s="1128"/>
      <c r="P1" s="1128"/>
      <c r="Q1" s="1128"/>
      <c r="R1" s="1128"/>
      <c r="S1" s="1128"/>
      <c r="T1" s="1128"/>
      <c r="U1" s="1128"/>
      <c r="V1" s="1128"/>
      <c r="W1" s="1128"/>
      <c r="X1" s="1128"/>
      <c r="Y1" s="1128"/>
      <c r="Z1" s="1128"/>
      <c r="AA1" s="1128"/>
      <c r="AB1" s="1128"/>
      <c r="AC1" s="1128"/>
      <c r="AD1" s="1128"/>
      <c r="AE1" s="1128"/>
      <c r="AF1" s="1128"/>
      <c r="AG1" s="1128"/>
      <c r="AH1" s="1128"/>
      <c r="AI1" s="1128"/>
      <c r="AJ1" s="1128"/>
      <c r="AK1" s="1128"/>
      <c r="AL1" s="1128"/>
    </row>
    <row r="2" spans="1:38" s="432" customFormat="1" ht="26.25" x14ac:dyDescent="0.25">
      <c r="A2" s="1016" t="str">
        <f>'7a NTM'!A2:U2</f>
        <v>(Kèm theo Nghị quyết số          /NQ-HĐND ngày        tháng 12 năm 2023 của HĐND tỉnh Bắc Kạn)</v>
      </c>
      <c r="B2" s="1016"/>
      <c r="C2" s="1016"/>
      <c r="D2" s="1016"/>
      <c r="E2" s="1016"/>
      <c r="F2" s="1016"/>
      <c r="G2" s="1016"/>
      <c r="H2" s="1016"/>
      <c r="I2" s="1016"/>
      <c r="J2" s="1016"/>
      <c r="K2" s="1016"/>
      <c r="L2" s="1016"/>
      <c r="M2" s="1016"/>
      <c r="N2" s="1016"/>
      <c r="O2" s="1016"/>
      <c r="P2" s="1016"/>
      <c r="Q2" s="1016"/>
      <c r="R2" s="1016"/>
      <c r="S2" s="1016"/>
      <c r="T2" s="1016"/>
      <c r="U2" s="1016"/>
      <c r="V2" s="1016"/>
      <c r="W2" s="1016"/>
      <c r="X2" s="1016"/>
      <c r="Y2" s="1016"/>
      <c r="Z2" s="1016"/>
      <c r="AA2" s="1016"/>
      <c r="AB2" s="1016"/>
      <c r="AC2" s="1016"/>
      <c r="AD2" s="1016"/>
      <c r="AE2" s="1016"/>
      <c r="AF2" s="1016"/>
      <c r="AG2" s="1016"/>
      <c r="AH2" s="1016"/>
      <c r="AI2" s="1016"/>
      <c r="AJ2" s="1016"/>
      <c r="AK2" s="1016"/>
      <c r="AL2" s="1016"/>
    </row>
    <row r="3" spans="1:38" ht="23.25" x14ac:dyDescent="0.25">
      <c r="H3" s="464"/>
      <c r="I3" s="459"/>
      <c r="J3" s="465"/>
      <c r="K3" s="465"/>
      <c r="L3" s="459"/>
      <c r="M3" s="465"/>
      <c r="N3" s="465"/>
      <c r="O3" s="465"/>
      <c r="P3" s="465"/>
      <c r="Q3" s="465"/>
      <c r="R3" s="465"/>
      <c r="S3" s="465"/>
      <c r="T3" s="465"/>
      <c r="U3" s="465"/>
      <c r="V3" s="465"/>
      <c r="W3" s="465"/>
      <c r="X3" s="465"/>
      <c r="AA3" s="465"/>
      <c r="AF3" s="1148" t="s">
        <v>449</v>
      </c>
      <c r="AG3" s="1148"/>
      <c r="AH3" s="1148"/>
      <c r="AI3" s="1148"/>
      <c r="AK3" s="1149" t="s">
        <v>449</v>
      </c>
      <c r="AL3" s="1149"/>
    </row>
    <row r="4" spans="1:38" s="436" customFormat="1" ht="27" customHeight="1" x14ac:dyDescent="0.25">
      <c r="A4" s="1125" t="s">
        <v>1</v>
      </c>
      <c r="B4" s="1125" t="s">
        <v>36</v>
      </c>
      <c r="C4" s="1125" t="s">
        <v>322</v>
      </c>
      <c r="D4" s="1125"/>
      <c r="E4" s="1125"/>
      <c r="F4" s="1150" t="s">
        <v>450</v>
      </c>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2"/>
      <c r="AJ4" s="466"/>
      <c r="AK4" s="466"/>
      <c r="AL4" s="466"/>
    </row>
    <row r="5" spans="1:38" s="436" customFormat="1" ht="44.25" customHeight="1" x14ac:dyDescent="0.25">
      <c r="A5" s="1125"/>
      <c r="B5" s="1125"/>
      <c r="C5" s="1125"/>
      <c r="D5" s="1125"/>
      <c r="E5" s="1125"/>
      <c r="F5" s="1126" t="s">
        <v>451</v>
      </c>
      <c r="G5" s="1126"/>
      <c r="H5" s="1126"/>
      <c r="I5" s="1130" t="s">
        <v>1264</v>
      </c>
      <c r="J5" s="1130"/>
      <c r="K5" s="1130"/>
      <c r="L5" s="1130" t="s">
        <v>1265</v>
      </c>
      <c r="M5" s="1130"/>
      <c r="N5" s="1130"/>
      <c r="O5" s="1130" t="s">
        <v>1266</v>
      </c>
      <c r="P5" s="1130"/>
      <c r="Q5" s="1130"/>
      <c r="R5" s="1130" t="s">
        <v>1267</v>
      </c>
      <c r="S5" s="1130"/>
      <c r="T5" s="1130"/>
      <c r="U5" s="1130" t="s">
        <v>1268</v>
      </c>
      <c r="V5" s="1130"/>
      <c r="W5" s="1130"/>
      <c r="X5" s="1130" t="s">
        <v>1276</v>
      </c>
      <c r="Y5" s="1130"/>
      <c r="Z5" s="1130"/>
      <c r="AA5" s="1130" t="s">
        <v>1269</v>
      </c>
      <c r="AB5" s="1130"/>
      <c r="AC5" s="1130"/>
      <c r="AD5" s="1130" t="s">
        <v>1270</v>
      </c>
      <c r="AE5" s="1130"/>
      <c r="AF5" s="1130"/>
      <c r="AG5" s="1130" t="s">
        <v>1271</v>
      </c>
      <c r="AH5" s="1130"/>
      <c r="AI5" s="1130"/>
      <c r="AJ5" s="1126" t="s">
        <v>452</v>
      </c>
      <c r="AK5" s="1126"/>
      <c r="AL5" s="1126"/>
    </row>
    <row r="6" spans="1:38" s="436" customFormat="1" ht="47.25" customHeight="1" x14ac:dyDescent="0.25">
      <c r="A6" s="1125"/>
      <c r="B6" s="1125"/>
      <c r="C6" s="1125"/>
      <c r="D6" s="1125"/>
      <c r="E6" s="1125"/>
      <c r="F6" s="1126"/>
      <c r="G6" s="1126"/>
      <c r="H6" s="1126"/>
      <c r="I6" s="1130"/>
      <c r="J6" s="1130"/>
      <c r="K6" s="1130"/>
      <c r="L6" s="1130"/>
      <c r="M6" s="1130"/>
      <c r="N6" s="1130"/>
      <c r="O6" s="1130"/>
      <c r="P6" s="1130"/>
      <c r="Q6" s="1130"/>
      <c r="R6" s="1130"/>
      <c r="S6" s="1130"/>
      <c r="T6" s="1130"/>
      <c r="U6" s="1130"/>
      <c r="V6" s="1130"/>
      <c r="W6" s="1130"/>
      <c r="X6" s="1130"/>
      <c r="Y6" s="1130"/>
      <c r="Z6" s="1130"/>
      <c r="AA6" s="1130"/>
      <c r="AB6" s="1130"/>
      <c r="AC6" s="1130"/>
      <c r="AD6" s="1130"/>
      <c r="AE6" s="1130"/>
      <c r="AF6" s="1130"/>
      <c r="AG6" s="1130"/>
      <c r="AH6" s="1130"/>
      <c r="AI6" s="1130"/>
      <c r="AJ6" s="1126"/>
      <c r="AK6" s="1126"/>
      <c r="AL6" s="1126"/>
    </row>
    <row r="7" spans="1:38" s="436" customFormat="1" ht="45" customHeight="1" x14ac:dyDescent="0.25">
      <c r="A7" s="1125"/>
      <c r="B7" s="1125"/>
      <c r="C7" s="1125"/>
      <c r="D7" s="1125"/>
      <c r="E7" s="1125"/>
      <c r="F7" s="1126"/>
      <c r="G7" s="1126"/>
      <c r="H7" s="1126"/>
      <c r="I7" s="1130"/>
      <c r="J7" s="1130"/>
      <c r="K7" s="1130"/>
      <c r="L7" s="1130"/>
      <c r="M7" s="1130"/>
      <c r="N7" s="1130"/>
      <c r="O7" s="1130"/>
      <c r="P7" s="1130"/>
      <c r="Q7" s="1130"/>
      <c r="R7" s="1130"/>
      <c r="S7" s="1130"/>
      <c r="T7" s="1130"/>
      <c r="U7" s="1130"/>
      <c r="V7" s="1130"/>
      <c r="W7" s="1130"/>
      <c r="X7" s="1130"/>
      <c r="Y7" s="1130"/>
      <c r="Z7" s="1130"/>
      <c r="AA7" s="1130"/>
      <c r="AB7" s="1130"/>
      <c r="AC7" s="1130"/>
      <c r="AD7" s="1130"/>
      <c r="AE7" s="1130"/>
      <c r="AF7" s="1130"/>
      <c r="AG7" s="1130"/>
      <c r="AH7" s="1130"/>
      <c r="AI7" s="1130"/>
      <c r="AJ7" s="1126"/>
      <c r="AK7" s="1126"/>
      <c r="AL7" s="1126"/>
    </row>
    <row r="8" spans="1:38" s="436" customFormat="1" ht="12.75" x14ac:dyDescent="0.25">
      <c r="A8" s="1125"/>
      <c r="B8" s="1125"/>
      <c r="C8" s="1125"/>
      <c r="D8" s="1125"/>
      <c r="E8" s="1125"/>
      <c r="F8" s="1126"/>
      <c r="G8" s="1126"/>
      <c r="H8" s="1126"/>
      <c r="I8" s="1130"/>
      <c r="J8" s="1130"/>
      <c r="K8" s="1130"/>
      <c r="L8" s="1130"/>
      <c r="M8" s="1130"/>
      <c r="N8" s="1130"/>
      <c r="O8" s="1130"/>
      <c r="P8" s="1130"/>
      <c r="Q8" s="1130"/>
      <c r="R8" s="1130"/>
      <c r="S8" s="1130"/>
      <c r="T8" s="1130"/>
      <c r="U8" s="1130"/>
      <c r="V8" s="1130"/>
      <c r="W8" s="1130"/>
      <c r="X8" s="1130"/>
      <c r="Y8" s="1130"/>
      <c r="Z8" s="1130"/>
      <c r="AA8" s="1130"/>
      <c r="AB8" s="1130"/>
      <c r="AC8" s="1130"/>
      <c r="AD8" s="1130"/>
      <c r="AE8" s="1130"/>
      <c r="AF8" s="1130"/>
      <c r="AG8" s="1130"/>
      <c r="AH8" s="1130"/>
      <c r="AI8" s="1130"/>
      <c r="AJ8" s="1126"/>
      <c r="AK8" s="1126"/>
      <c r="AL8" s="1126"/>
    </row>
    <row r="9" spans="1:38" s="436" customFormat="1" ht="24" customHeight="1" x14ac:dyDescent="0.25">
      <c r="A9" s="530" t="s">
        <v>4</v>
      </c>
      <c r="B9" s="530" t="s">
        <v>5</v>
      </c>
      <c r="C9" s="530">
        <v>1</v>
      </c>
      <c r="D9" s="530">
        <v>2</v>
      </c>
      <c r="E9" s="530">
        <v>3</v>
      </c>
      <c r="F9" s="530">
        <v>4</v>
      </c>
      <c r="G9" s="530">
        <v>5</v>
      </c>
      <c r="H9" s="530">
        <v>6</v>
      </c>
      <c r="I9" s="530">
        <v>4</v>
      </c>
      <c r="J9" s="530">
        <v>5</v>
      </c>
      <c r="K9" s="530">
        <v>6</v>
      </c>
      <c r="L9" s="530">
        <v>7</v>
      </c>
      <c r="M9" s="530">
        <v>8</v>
      </c>
      <c r="N9" s="530">
        <v>9</v>
      </c>
      <c r="O9" s="530">
        <v>10</v>
      </c>
      <c r="P9" s="530">
        <v>11</v>
      </c>
      <c r="Q9" s="530">
        <v>12</v>
      </c>
      <c r="R9" s="530">
        <v>13</v>
      </c>
      <c r="S9" s="530">
        <v>14</v>
      </c>
      <c r="T9" s="530">
        <v>15</v>
      </c>
      <c r="U9" s="530">
        <v>16</v>
      </c>
      <c r="V9" s="530">
        <v>17</v>
      </c>
      <c r="W9" s="530">
        <v>18</v>
      </c>
      <c r="X9" s="530">
        <v>19</v>
      </c>
      <c r="Y9" s="530">
        <v>20</v>
      </c>
      <c r="Z9" s="530">
        <v>21</v>
      </c>
      <c r="AA9" s="530">
        <v>22</v>
      </c>
      <c r="AB9" s="530">
        <v>23</v>
      </c>
      <c r="AC9" s="530">
        <v>24</v>
      </c>
      <c r="AD9" s="530">
        <v>25</v>
      </c>
      <c r="AE9" s="530">
        <v>26</v>
      </c>
      <c r="AF9" s="530">
        <v>27</v>
      </c>
      <c r="AG9" s="530">
        <v>28</v>
      </c>
      <c r="AH9" s="530">
        <v>29</v>
      </c>
      <c r="AI9" s="530">
        <v>30</v>
      </c>
      <c r="AJ9" s="530">
        <v>7</v>
      </c>
      <c r="AK9" s="530">
        <v>8</v>
      </c>
      <c r="AL9" s="530">
        <v>9</v>
      </c>
    </row>
    <row r="10" spans="1:38" s="436" customFormat="1" ht="18.75" customHeight="1" x14ac:dyDescent="0.25">
      <c r="A10" s="1146"/>
      <c r="B10" s="1146" t="s">
        <v>34</v>
      </c>
      <c r="C10" s="530" t="s">
        <v>352</v>
      </c>
      <c r="D10" s="530" t="s">
        <v>218</v>
      </c>
      <c r="E10" s="530" t="s">
        <v>353</v>
      </c>
      <c r="F10" s="530" t="s">
        <v>352</v>
      </c>
      <c r="G10" s="530" t="s">
        <v>218</v>
      </c>
      <c r="H10" s="530" t="s">
        <v>353</v>
      </c>
      <c r="I10" s="530" t="s">
        <v>352</v>
      </c>
      <c r="J10" s="531" t="s">
        <v>218</v>
      </c>
      <c r="K10" s="531" t="s">
        <v>353</v>
      </c>
      <c r="L10" s="530" t="s">
        <v>352</v>
      </c>
      <c r="M10" s="531" t="s">
        <v>218</v>
      </c>
      <c r="N10" s="531" t="s">
        <v>353</v>
      </c>
      <c r="O10" s="530" t="s">
        <v>37</v>
      </c>
      <c r="P10" s="531" t="s">
        <v>218</v>
      </c>
      <c r="Q10" s="531" t="s">
        <v>353</v>
      </c>
      <c r="R10" s="530" t="s">
        <v>37</v>
      </c>
      <c r="S10" s="531" t="s">
        <v>218</v>
      </c>
      <c r="T10" s="531" t="s">
        <v>353</v>
      </c>
      <c r="U10" s="531" t="s">
        <v>37</v>
      </c>
      <c r="V10" s="530" t="s">
        <v>218</v>
      </c>
      <c r="W10" s="530" t="s">
        <v>353</v>
      </c>
      <c r="X10" s="530" t="s">
        <v>37</v>
      </c>
      <c r="Y10" s="530" t="s">
        <v>218</v>
      </c>
      <c r="Z10" s="530" t="s">
        <v>353</v>
      </c>
      <c r="AA10" s="530" t="s">
        <v>37</v>
      </c>
      <c r="AB10" s="530" t="s">
        <v>218</v>
      </c>
      <c r="AC10" s="530" t="s">
        <v>353</v>
      </c>
      <c r="AD10" s="531" t="s">
        <v>37</v>
      </c>
      <c r="AE10" s="530" t="s">
        <v>218</v>
      </c>
      <c r="AF10" s="530" t="s">
        <v>353</v>
      </c>
      <c r="AG10" s="530" t="s">
        <v>352</v>
      </c>
      <c r="AH10" s="530" t="s">
        <v>218</v>
      </c>
      <c r="AI10" s="530" t="s">
        <v>353</v>
      </c>
      <c r="AJ10" s="530" t="s">
        <v>352</v>
      </c>
      <c r="AK10" s="530" t="s">
        <v>218</v>
      </c>
      <c r="AL10" s="530" t="s">
        <v>353</v>
      </c>
    </row>
    <row r="11" spans="1:38" s="436" customFormat="1" ht="18.75" customHeight="1" x14ac:dyDescent="0.25">
      <c r="A11" s="1147"/>
      <c r="B11" s="1147"/>
      <c r="C11" s="438">
        <f>C12+C36</f>
        <v>27938</v>
      </c>
      <c r="D11" s="438">
        <f t="shared" ref="D11:AI11" si="0">D12+D36</f>
        <v>26607</v>
      </c>
      <c r="E11" s="438">
        <f t="shared" si="0"/>
        <v>1331</v>
      </c>
      <c r="F11" s="438">
        <f t="shared" si="0"/>
        <v>0</v>
      </c>
      <c r="G11" s="438">
        <f t="shared" si="0"/>
        <v>0</v>
      </c>
      <c r="H11" s="438">
        <f t="shared" si="0"/>
        <v>0</v>
      </c>
      <c r="I11" s="438">
        <f t="shared" si="0"/>
        <v>4032</v>
      </c>
      <c r="J11" s="438">
        <f t="shared" si="0"/>
        <v>3840</v>
      </c>
      <c r="K11" s="438">
        <f t="shared" si="0"/>
        <v>192</v>
      </c>
      <c r="L11" s="438">
        <f t="shared" si="0"/>
        <v>14034</v>
      </c>
      <c r="M11" s="438">
        <f t="shared" si="0"/>
        <v>13366</v>
      </c>
      <c r="N11" s="438">
        <f t="shared" si="0"/>
        <v>668</v>
      </c>
      <c r="O11" s="438">
        <f t="shared" si="0"/>
        <v>52</v>
      </c>
      <c r="P11" s="438">
        <f t="shared" si="0"/>
        <v>50</v>
      </c>
      <c r="Q11" s="438">
        <f t="shared" si="0"/>
        <v>2</v>
      </c>
      <c r="R11" s="438">
        <f t="shared" si="0"/>
        <v>1100</v>
      </c>
      <c r="S11" s="438">
        <f t="shared" si="0"/>
        <v>1047</v>
      </c>
      <c r="T11" s="438">
        <f t="shared" si="0"/>
        <v>53</v>
      </c>
      <c r="U11" s="438">
        <f t="shared" si="0"/>
        <v>3630</v>
      </c>
      <c r="V11" s="438">
        <f t="shared" si="0"/>
        <v>3457</v>
      </c>
      <c r="W11" s="438">
        <f t="shared" si="0"/>
        <v>173</v>
      </c>
      <c r="X11" s="438">
        <f t="shared" si="0"/>
        <v>1050</v>
      </c>
      <c r="Y11" s="438">
        <f t="shared" si="0"/>
        <v>1000</v>
      </c>
      <c r="Z11" s="438">
        <f t="shared" si="0"/>
        <v>50</v>
      </c>
      <c r="AA11" s="438">
        <f t="shared" si="0"/>
        <v>874</v>
      </c>
      <c r="AB11" s="438">
        <f t="shared" si="0"/>
        <v>832</v>
      </c>
      <c r="AC11" s="438">
        <f t="shared" si="0"/>
        <v>42</v>
      </c>
      <c r="AD11" s="438">
        <f t="shared" si="0"/>
        <v>591</v>
      </c>
      <c r="AE11" s="438">
        <f t="shared" si="0"/>
        <v>563</v>
      </c>
      <c r="AF11" s="438">
        <f t="shared" si="0"/>
        <v>28</v>
      </c>
      <c r="AG11" s="438">
        <f t="shared" si="0"/>
        <v>2575</v>
      </c>
      <c r="AH11" s="438">
        <f t="shared" si="0"/>
        <v>2452</v>
      </c>
      <c r="AI11" s="438">
        <f t="shared" si="0"/>
        <v>123</v>
      </c>
      <c r="AJ11" s="438">
        <f>SUM(AJ13:AJ44)</f>
        <v>0</v>
      </c>
      <c r="AK11" s="438">
        <f>SUM(AK13:AK44)</f>
        <v>0</v>
      </c>
      <c r="AL11" s="438">
        <f>SUM(AL13:AL44)</f>
        <v>0</v>
      </c>
    </row>
    <row r="12" spans="1:38" s="436" customFormat="1" ht="18.75" customHeight="1" x14ac:dyDescent="0.25">
      <c r="A12" s="467" t="s">
        <v>46</v>
      </c>
      <c r="B12" s="467" t="s">
        <v>241</v>
      </c>
      <c r="C12" s="468">
        <f t="shared" ref="C12:AI12" si="1">SUM(C13:C35)</f>
        <v>6882</v>
      </c>
      <c r="D12" s="468">
        <f t="shared" si="1"/>
        <v>6554</v>
      </c>
      <c r="E12" s="468">
        <f t="shared" si="1"/>
        <v>328</v>
      </c>
      <c r="F12" s="468">
        <f t="shared" si="1"/>
        <v>0</v>
      </c>
      <c r="G12" s="468">
        <f t="shared" si="1"/>
        <v>0</v>
      </c>
      <c r="H12" s="468">
        <f t="shared" si="1"/>
        <v>0</v>
      </c>
      <c r="I12" s="468">
        <f t="shared" si="1"/>
        <v>132</v>
      </c>
      <c r="J12" s="468">
        <f t="shared" si="1"/>
        <v>126</v>
      </c>
      <c r="K12" s="468">
        <f t="shared" si="1"/>
        <v>6</v>
      </c>
      <c r="L12" s="468">
        <f t="shared" si="1"/>
        <v>2118</v>
      </c>
      <c r="M12" s="468">
        <f t="shared" si="1"/>
        <v>2016</v>
      </c>
      <c r="N12" s="468">
        <f t="shared" si="1"/>
        <v>102</v>
      </c>
      <c r="O12" s="468">
        <f t="shared" si="1"/>
        <v>52</v>
      </c>
      <c r="P12" s="468">
        <f t="shared" si="1"/>
        <v>50</v>
      </c>
      <c r="Q12" s="468">
        <f t="shared" si="1"/>
        <v>2</v>
      </c>
      <c r="R12" s="468">
        <f t="shared" si="1"/>
        <v>0</v>
      </c>
      <c r="S12" s="468">
        <f t="shared" si="1"/>
        <v>0</v>
      </c>
      <c r="T12" s="468">
        <f t="shared" si="1"/>
        <v>0</v>
      </c>
      <c r="U12" s="468">
        <f t="shared" si="1"/>
        <v>300</v>
      </c>
      <c r="V12" s="468">
        <f t="shared" si="1"/>
        <v>286</v>
      </c>
      <c r="W12" s="468">
        <f t="shared" si="1"/>
        <v>14</v>
      </c>
      <c r="X12" s="468">
        <f t="shared" si="1"/>
        <v>1050</v>
      </c>
      <c r="Y12" s="468">
        <f t="shared" si="1"/>
        <v>1000</v>
      </c>
      <c r="Z12" s="468">
        <f t="shared" si="1"/>
        <v>50</v>
      </c>
      <c r="AA12" s="468">
        <f t="shared" si="1"/>
        <v>714</v>
      </c>
      <c r="AB12" s="468">
        <f t="shared" si="1"/>
        <v>681</v>
      </c>
      <c r="AC12" s="468">
        <f t="shared" si="1"/>
        <v>33</v>
      </c>
      <c r="AD12" s="468">
        <f t="shared" si="1"/>
        <v>591</v>
      </c>
      <c r="AE12" s="468">
        <f t="shared" si="1"/>
        <v>563</v>
      </c>
      <c r="AF12" s="468">
        <f t="shared" si="1"/>
        <v>28</v>
      </c>
      <c r="AG12" s="468">
        <f t="shared" si="1"/>
        <v>1925</v>
      </c>
      <c r="AH12" s="468">
        <f t="shared" si="1"/>
        <v>1832</v>
      </c>
      <c r="AI12" s="468">
        <f t="shared" si="1"/>
        <v>93</v>
      </c>
      <c r="AJ12" s="468"/>
      <c r="AK12" s="468"/>
      <c r="AL12" s="468"/>
    </row>
    <row r="13" spans="1:38" s="449" customFormat="1" ht="39.75" customHeight="1" x14ac:dyDescent="0.25">
      <c r="A13" s="440">
        <v>1</v>
      </c>
      <c r="B13" s="469" t="s">
        <v>1275</v>
      </c>
      <c r="C13" s="442">
        <f t="shared" ref="C13:C35" si="2">D13+E13</f>
        <v>2837</v>
      </c>
      <c r="D13" s="442">
        <f>G13+M13+P13+S13+V13+AB13+AE13+AH13+AK13+Y13+J13</f>
        <v>2702</v>
      </c>
      <c r="E13" s="442">
        <f>H13+N13+Q13+T13+W13+AC13+AF13+AI13+AL13+Z13+K13</f>
        <v>135</v>
      </c>
      <c r="F13" s="442">
        <f>G13+H13</f>
        <v>0</v>
      </c>
      <c r="G13" s="443"/>
      <c r="H13" s="443"/>
      <c r="I13" s="442">
        <f>J13+K13</f>
        <v>0</v>
      </c>
      <c r="J13" s="443"/>
      <c r="K13" s="443"/>
      <c r="L13" s="442">
        <f>M13+N13</f>
        <v>1307</v>
      </c>
      <c r="M13" s="443">
        <f>'[8]Mục 3'!D12</f>
        <v>1244</v>
      </c>
      <c r="N13" s="443">
        <f>'[8]Mục 3'!E12</f>
        <v>63</v>
      </c>
      <c r="O13" s="443">
        <f t="shared" ref="O13:O18" si="3">P13+Q13</f>
        <v>0</v>
      </c>
      <c r="P13" s="442"/>
      <c r="Q13" s="442"/>
      <c r="R13" s="443">
        <f>S13+T13</f>
        <v>0</v>
      </c>
      <c r="S13" s="442"/>
      <c r="T13" s="442"/>
      <c r="U13" s="442">
        <f>V13+W13</f>
        <v>0</v>
      </c>
      <c r="V13" s="442"/>
      <c r="W13" s="442"/>
      <c r="X13" s="442">
        <f t="shared" ref="X13:X22" si="4">Y13+Z13</f>
        <v>0</v>
      </c>
      <c r="Y13" s="443"/>
      <c r="Z13" s="443"/>
      <c r="AA13" s="442">
        <f t="shared" ref="AA13:AA23" si="5">AB13+AC13</f>
        <v>0</v>
      </c>
      <c r="AB13" s="443"/>
      <c r="AC13" s="443"/>
      <c r="AD13" s="442">
        <f>AE13+AF13</f>
        <v>0</v>
      </c>
      <c r="AE13" s="443"/>
      <c r="AF13" s="443"/>
      <c r="AG13" s="442">
        <f>AH13+AI13</f>
        <v>1530</v>
      </c>
      <c r="AH13" s="442">
        <f>'[8]Mục 10'!D12</f>
        <v>1458</v>
      </c>
      <c r="AI13" s="442">
        <f>'[8]Mục 10'!E12</f>
        <v>72</v>
      </c>
      <c r="AJ13" s="442">
        <f>AK13+AL13</f>
        <v>0</v>
      </c>
      <c r="AK13" s="443"/>
      <c r="AL13" s="443"/>
    </row>
    <row r="14" spans="1:38" s="439" customFormat="1" ht="30" customHeight="1" x14ac:dyDescent="0.25">
      <c r="A14" s="448">
        <v>2</v>
      </c>
      <c r="B14" s="470" t="s">
        <v>383</v>
      </c>
      <c r="C14" s="446">
        <f>D14+E14</f>
        <v>1218</v>
      </c>
      <c r="D14" s="446">
        <f t="shared" ref="D14:E44" si="6">G14+M14+P14+S14+V14+AB14+AE14+AH14+AK14+Y14+J14</f>
        <v>1160</v>
      </c>
      <c r="E14" s="446">
        <f t="shared" si="6"/>
        <v>58</v>
      </c>
      <c r="F14" s="446">
        <f>G14+H14</f>
        <v>0</v>
      </c>
      <c r="G14" s="447"/>
      <c r="H14" s="447"/>
      <c r="I14" s="446">
        <f>J14+K14</f>
        <v>132</v>
      </c>
      <c r="J14" s="447">
        <f>'[8]Mục 2'!D10</f>
        <v>126</v>
      </c>
      <c r="K14" s="447">
        <f>'[8]Mục 2'!E10</f>
        <v>6</v>
      </c>
      <c r="L14" s="446">
        <f>M14+N14</f>
        <v>231</v>
      </c>
      <c r="M14" s="447">
        <f>'[8]Mục 3'!D14</f>
        <v>220</v>
      </c>
      <c r="N14" s="447">
        <f>'[8]Mục 3'!E14</f>
        <v>11</v>
      </c>
      <c r="O14" s="447">
        <f t="shared" si="3"/>
        <v>0</v>
      </c>
      <c r="P14" s="446"/>
      <c r="Q14" s="446"/>
      <c r="R14" s="447">
        <f>S14+T14</f>
        <v>0</v>
      </c>
      <c r="S14" s="446"/>
      <c r="T14" s="446"/>
      <c r="U14" s="446">
        <f>V14+W14</f>
        <v>300</v>
      </c>
      <c r="V14" s="446">
        <f>'[8]Mục 6'!D12</f>
        <v>286</v>
      </c>
      <c r="W14" s="446">
        <f>'[8]Mục 6'!E12</f>
        <v>14</v>
      </c>
      <c r="X14" s="446">
        <f t="shared" si="4"/>
        <v>500</v>
      </c>
      <c r="Y14" s="447">
        <f>'[8]Mục 7'!D13</f>
        <v>476</v>
      </c>
      <c r="Z14" s="447">
        <f>'[8]Mục 7'!E13</f>
        <v>24</v>
      </c>
      <c r="AA14" s="446">
        <f t="shared" si="5"/>
        <v>0</v>
      </c>
      <c r="AB14" s="447"/>
      <c r="AC14" s="447"/>
      <c r="AD14" s="446">
        <f>AE14+AF14</f>
        <v>0</v>
      </c>
      <c r="AE14" s="447"/>
      <c r="AF14" s="447"/>
      <c r="AG14" s="446">
        <f>AH14+AI14</f>
        <v>55</v>
      </c>
      <c r="AH14" s="446">
        <f>'[8]Mục 10'!D13</f>
        <v>52</v>
      </c>
      <c r="AI14" s="446">
        <f>'[8]Mục 10'!E13</f>
        <v>3</v>
      </c>
      <c r="AJ14" s="446">
        <f>AK14+AL14</f>
        <v>0</v>
      </c>
      <c r="AK14" s="447"/>
      <c r="AL14" s="447"/>
    </row>
    <row r="15" spans="1:38" s="439" customFormat="1" ht="23.25" customHeight="1" x14ac:dyDescent="0.25">
      <c r="A15" s="448">
        <v>3</v>
      </c>
      <c r="B15" s="470" t="s">
        <v>221</v>
      </c>
      <c r="C15" s="446">
        <f t="shared" si="2"/>
        <v>67</v>
      </c>
      <c r="D15" s="446">
        <f t="shared" si="6"/>
        <v>64</v>
      </c>
      <c r="E15" s="446">
        <f t="shared" si="6"/>
        <v>3</v>
      </c>
      <c r="F15" s="446"/>
      <c r="G15" s="447"/>
      <c r="H15" s="447"/>
      <c r="I15" s="446">
        <f t="shared" ref="I15:I22" si="7">J15+K15</f>
        <v>0</v>
      </c>
      <c r="J15" s="447"/>
      <c r="K15" s="447"/>
      <c r="L15" s="446">
        <f t="shared" ref="L15:L22" si="8">M15+N15</f>
        <v>0</v>
      </c>
      <c r="M15" s="447"/>
      <c r="N15" s="447"/>
      <c r="O15" s="447">
        <f t="shared" si="3"/>
        <v>52</v>
      </c>
      <c r="P15" s="446">
        <f>'[8]Mục 4'!D11</f>
        <v>50</v>
      </c>
      <c r="Q15" s="446">
        <f>'[8]Mục 4'!E11</f>
        <v>2</v>
      </c>
      <c r="R15" s="447"/>
      <c r="S15" s="446"/>
      <c r="T15" s="446"/>
      <c r="U15" s="446">
        <f>V15+W15</f>
        <v>0</v>
      </c>
      <c r="V15" s="446"/>
      <c r="W15" s="446"/>
      <c r="X15" s="446">
        <f t="shared" si="4"/>
        <v>0</v>
      </c>
      <c r="Y15" s="447"/>
      <c r="Z15" s="447"/>
      <c r="AA15" s="446">
        <f t="shared" si="5"/>
        <v>0</v>
      </c>
      <c r="AB15" s="447"/>
      <c r="AC15" s="447"/>
      <c r="AD15" s="446"/>
      <c r="AE15" s="447"/>
      <c r="AF15" s="447"/>
      <c r="AG15" s="446">
        <f>AH15+AI15</f>
        <v>15</v>
      </c>
      <c r="AH15" s="446">
        <f>'[8]Mục 10'!D15</f>
        <v>14</v>
      </c>
      <c r="AI15" s="446">
        <f>'[8]Mục 10'!E15</f>
        <v>1</v>
      </c>
      <c r="AJ15" s="446"/>
      <c r="AK15" s="447"/>
      <c r="AL15" s="447"/>
    </row>
    <row r="16" spans="1:38" ht="23.25" customHeight="1" x14ac:dyDescent="0.25">
      <c r="A16" s="448">
        <v>4</v>
      </c>
      <c r="B16" s="470" t="s">
        <v>89</v>
      </c>
      <c r="C16" s="446">
        <f t="shared" si="2"/>
        <v>405</v>
      </c>
      <c r="D16" s="446">
        <f t="shared" si="6"/>
        <v>386</v>
      </c>
      <c r="E16" s="446">
        <f t="shared" si="6"/>
        <v>19</v>
      </c>
      <c r="F16" s="446"/>
      <c r="G16" s="447"/>
      <c r="H16" s="447"/>
      <c r="I16" s="446">
        <f t="shared" si="7"/>
        <v>0</v>
      </c>
      <c r="J16" s="447"/>
      <c r="K16" s="447"/>
      <c r="L16" s="446">
        <f t="shared" si="8"/>
        <v>0</v>
      </c>
      <c r="M16" s="447"/>
      <c r="N16" s="447"/>
      <c r="O16" s="447">
        <f t="shared" si="3"/>
        <v>0</v>
      </c>
      <c r="P16" s="446"/>
      <c r="Q16" s="446"/>
      <c r="R16" s="447">
        <f>S16+T16</f>
        <v>0</v>
      </c>
      <c r="S16" s="446"/>
      <c r="T16" s="446"/>
      <c r="U16" s="446">
        <f t="shared" ref="U16:U22" si="9">V16+W16</f>
        <v>0</v>
      </c>
      <c r="V16" s="446"/>
      <c r="W16" s="446"/>
      <c r="X16" s="446">
        <f t="shared" si="4"/>
        <v>390</v>
      </c>
      <c r="Y16" s="447">
        <f>'[8]Mục 7'!D12</f>
        <v>372</v>
      </c>
      <c r="Z16" s="447">
        <f>'[8]Mục 7'!E12</f>
        <v>18</v>
      </c>
      <c r="AA16" s="446">
        <f t="shared" si="5"/>
        <v>0</v>
      </c>
      <c r="AB16" s="447"/>
      <c r="AC16" s="447"/>
      <c r="AD16" s="446"/>
      <c r="AE16" s="447"/>
      <c r="AF16" s="447"/>
      <c r="AG16" s="446">
        <f>AH16+AI16</f>
        <v>15</v>
      </c>
      <c r="AH16" s="446">
        <f>'[8]Mục 10'!D14</f>
        <v>14</v>
      </c>
      <c r="AI16" s="446">
        <f>'[8]Mục 10'!E14</f>
        <v>1</v>
      </c>
      <c r="AJ16" s="446"/>
      <c r="AK16" s="447"/>
      <c r="AL16" s="447"/>
    </row>
    <row r="17" spans="1:38" ht="23.25" customHeight="1" x14ac:dyDescent="0.25">
      <c r="A17" s="448">
        <v>5</v>
      </c>
      <c r="B17" s="470" t="s">
        <v>131</v>
      </c>
      <c r="C17" s="446">
        <f t="shared" si="2"/>
        <v>175</v>
      </c>
      <c r="D17" s="446">
        <f t="shared" si="6"/>
        <v>166</v>
      </c>
      <c r="E17" s="446">
        <f t="shared" si="6"/>
        <v>9</v>
      </c>
      <c r="F17" s="446"/>
      <c r="G17" s="447"/>
      <c r="H17" s="447"/>
      <c r="I17" s="446">
        <f t="shared" si="7"/>
        <v>0</v>
      </c>
      <c r="J17" s="447"/>
      <c r="K17" s="447"/>
      <c r="L17" s="446">
        <f t="shared" si="8"/>
        <v>0</v>
      </c>
      <c r="M17" s="447"/>
      <c r="N17" s="447"/>
      <c r="O17" s="447">
        <f t="shared" si="3"/>
        <v>0</v>
      </c>
      <c r="P17" s="446"/>
      <c r="Q17" s="446"/>
      <c r="R17" s="447">
        <f>S17+T17</f>
        <v>0</v>
      </c>
      <c r="S17" s="446"/>
      <c r="T17" s="446"/>
      <c r="U17" s="446">
        <f t="shared" si="9"/>
        <v>0</v>
      </c>
      <c r="V17" s="446"/>
      <c r="W17" s="446"/>
      <c r="X17" s="446">
        <f t="shared" si="4"/>
        <v>160</v>
      </c>
      <c r="Y17" s="447">
        <f>'[8]Mục 7'!D14</f>
        <v>152</v>
      </c>
      <c r="Z17" s="447">
        <f>'[8]Mục 7'!E14</f>
        <v>8</v>
      </c>
      <c r="AA17" s="446">
        <f t="shared" si="5"/>
        <v>0</v>
      </c>
      <c r="AB17" s="447"/>
      <c r="AC17" s="447"/>
      <c r="AD17" s="446"/>
      <c r="AE17" s="447"/>
      <c r="AF17" s="447"/>
      <c r="AG17" s="446">
        <f t="shared" ref="AG17:AG35" si="10">AH17+AI17</f>
        <v>15</v>
      </c>
      <c r="AH17" s="446">
        <f>'[8]Mục 10'!D17</f>
        <v>14</v>
      </c>
      <c r="AI17" s="446">
        <f>'[8]Mục 10'!E17</f>
        <v>1</v>
      </c>
      <c r="AJ17" s="446"/>
      <c r="AK17" s="447"/>
      <c r="AL17" s="447"/>
    </row>
    <row r="18" spans="1:38" ht="31.5" customHeight="1" x14ac:dyDescent="0.25">
      <c r="A18" s="448">
        <v>6</v>
      </c>
      <c r="B18" s="470" t="s">
        <v>453</v>
      </c>
      <c r="C18" s="446">
        <f t="shared" si="2"/>
        <v>45</v>
      </c>
      <c r="D18" s="446">
        <f t="shared" si="6"/>
        <v>42</v>
      </c>
      <c r="E18" s="446">
        <f t="shared" si="6"/>
        <v>3</v>
      </c>
      <c r="F18" s="446"/>
      <c r="G18" s="447"/>
      <c r="H18" s="447"/>
      <c r="I18" s="446">
        <f t="shared" si="7"/>
        <v>0</v>
      </c>
      <c r="J18" s="447"/>
      <c r="K18" s="447"/>
      <c r="L18" s="446">
        <f t="shared" si="8"/>
        <v>30</v>
      </c>
      <c r="M18" s="447">
        <f>'[8]Mục 3'!D13</f>
        <v>28</v>
      </c>
      <c r="N18" s="447">
        <f>'[8]Mục 3'!E13</f>
        <v>2</v>
      </c>
      <c r="O18" s="447">
        <f t="shared" si="3"/>
        <v>0</v>
      </c>
      <c r="P18" s="446"/>
      <c r="Q18" s="446"/>
      <c r="R18" s="447">
        <f>S18+T18</f>
        <v>0</v>
      </c>
      <c r="S18" s="446"/>
      <c r="T18" s="446"/>
      <c r="U18" s="446">
        <f t="shared" si="9"/>
        <v>0</v>
      </c>
      <c r="V18" s="446"/>
      <c r="W18" s="446"/>
      <c r="X18" s="446">
        <f t="shared" si="4"/>
        <v>0</v>
      </c>
      <c r="Y18" s="447"/>
      <c r="Z18" s="447"/>
      <c r="AA18" s="446">
        <f t="shared" si="5"/>
        <v>0</v>
      </c>
      <c r="AB18" s="447"/>
      <c r="AC18" s="447"/>
      <c r="AD18" s="446"/>
      <c r="AE18" s="447"/>
      <c r="AF18" s="447"/>
      <c r="AG18" s="446">
        <f t="shared" si="10"/>
        <v>15</v>
      </c>
      <c r="AH18" s="446">
        <f>'[8]Mục 10'!D21</f>
        <v>14</v>
      </c>
      <c r="AI18" s="446">
        <f>'[8]Mục 10'!E21</f>
        <v>1</v>
      </c>
      <c r="AJ18" s="446"/>
      <c r="AK18" s="447"/>
      <c r="AL18" s="447"/>
    </row>
    <row r="19" spans="1:38" ht="28.5" customHeight="1" x14ac:dyDescent="0.25">
      <c r="A19" s="448">
        <v>7</v>
      </c>
      <c r="B19" s="470" t="s">
        <v>219</v>
      </c>
      <c r="C19" s="446">
        <f>D19+E19</f>
        <v>15</v>
      </c>
      <c r="D19" s="446">
        <f>G19+M19+P19+S19+V19+AB19+AE19+AH19+AK19+Y19+J19</f>
        <v>14</v>
      </c>
      <c r="E19" s="446">
        <f>H19+N19+Q19+T19+W19+AC19+AF19+AI19+AL19+Z19+K19</f>
        <v>1</v>
      </c>
      <c r="F19" s="446"/>
      <c r="G19" s="447"/>
      <c r="H19" s="447"/>
      <c r="I19" s="446"/>
      <c r="J19" s="447"/>
      <c r="K19" s="447"/>
      <c r="L19" s="446"/>
      <c r="M19" s="447"/>
      <c r="N19" s="447"/>
      <c r="O19" s="447"/>
      <c r="P19" s="446"/>
      <c r="Q19" s="446"/>
      <c r="R19" s="447"/>
      <c r="S19" s="446"/>
      <c r="T19" s="446"/>
      <c r="U19" s="446"/>
      <c r="V19" s="446"/>
      <c r="W19" s="446"/>
      <c r="X19" s="446">
        <f t="shared" si="4"/>
        <v>0</v>
      </c>
      <c r="Y19" s="447"/>
      <c r="Z19" s="447"/>
      <c r="AA19" s="446">
        <f t="shared" si="5"/>
        <v>0</v>
      </c>
      <c r="AB19" s="447"/>
      <c r="AC19" s="447"/>
      <c r="AD19" s="446"/>
      <c r="AE19" s="447"/>
      <c r="AF19" s="447"/>
      <c r="AG19" s="446">
        <f>AH19+AI19</f>
        <v>15</v>
      </c>
      <c r="AH19" s="446">
        <f>'[8]Mục 10'!D28</f>
        <v>14</v>
      </c>
      <c r="AI19" s="446">
        <f>'[8]Mục 10'!E28</f>
        <v>1</v>
      </c>
      <c r="AJ19" s="446"/>
      <c r="AK19" s="446"/>
      <c r="AL19" s="446"/>
    </row>
    <row r="20" spans="1:38" ht="31.5" customHeight="1" x14ac:dyDescent="0.25">
      <c r="A20" s="448">
        <v>8</v>
      </c>
      <c r="B20" s="470" t="s">
        <v>224</v>
      </c>
      <c r="C20" s="446">
        <f>D20+E20</f>
        <v>168</v>
      </c>
      <c r="D20" s="446">
        <f>G20+M20+P20+S20+V20+AB20+AE20+AH20+AK20+Y20+J20</f>
        <v>160</v>
      </c>
      <c r="E20" s="446">
        <f>H20+N20+Q20+T20+W20+AC20+AF20+AI20+AL20+Z20+K20</f>
        <v>8</v>
      </c>
      <c r="F20" s="446"/>
      <c r="G20" s="447"/>
      <c r="H20" s="447"/>
      <c r="I20" s="446"/>
      <c r="J20" s="447"/>
      <c r="K20" s="447"/>
      <c r="L20" s="446"/>
      <c r="M20" s="447"/>
      <c r="N20" s="447"/>
      <c r="O20" s="447"/>
      <c r="P20" s="446"/>
      <c r="Q20" s="446"/>
      <c r="R20" s="447"/>
      <c r="S20" s="446"/>
      <c r="T20" s="446"/>
      <c r="U20" s="446"/>
      <c r="V20" s="446"/>
      <c r="W20" s="446"/>
      <c r="X20" s="446">
        <f t="shared" si="4"/>
        <v>0</v>
      </c>
      <c r="Y20" s="447"/>
      <c r="Z20" s="447"/>
      <c r="AA20" s="446">
        <f t="shared" si="5"/>
        <v>88</v>
      </c>
      <c r="AB20" s="447">
        <f>'[8]Mục 8'!D14</f>
        <v>84</v>
      </c>
      <c r="AC20" s="447">
        <f>'[8]Mục 8'!E14</f>
        <v>4</v>
      </c>
      <c r="AD20" s="446"/>
      <c r="AE20" s="447"/>
      <c r="AF20" s="447"/>
      <c r="AG20" s="446">
        <f>AH20+AI20</f>
        <v>80</v>
      </c>
      <c r="AH20" s="446">
        <f>'[8]Mục 10'!D33</f>
        <v>76</v>
      </c>
      <c r="AI20" s="446">
        <f>'[8]Mục 10'!E33</f>
        <v>4</v>
      </c>
      <c r="AJ20" s="446"/>
      <c r="AK20" s="447"/>
      <c r="AL20" s="447"/>
    </row>
    <row r="21" spans="1:38" ht="23.25" customHeight="1" x14ac:dyDescent="0.25">
      <c r="A21" s="448">
        <v>9</v>
      </c>
      <c r="B21" s="470" t="s">
        <v>231</v>
      </c>
      <c r="C21" s="446">
        <f>D21+E21</f>
        <v>290</v>
      </c>
      <c r="D21" s="446">
        <f t="shared" si="6"/>
        <v>277</v>
      </c>
      <c r="E21" s="446">
        <f t="shared" si="6"/>
        <v>13</v>
      </c>
      <c r="F21" s="446"/>
      <c r="G21" s="447"/>
      <c r="H21" s="447"/>
      <c r="I21" s="446">
        <f t="shared" si="7"/>
        <v>0</v>
      </c>
      <c r="J21" s="447"/>
      <c r="K21" s="447"/>
      <c r="L21" s="446">
        <f t="shared" si="8"/>
        <v>0</v>
      </c>
      <c r="M21" s="447">
        <f>'[8]Mục 3'!D16</f>
        <v>0</v>
      </c>
      <c r="N21" s="447">
        <f>'[8]Mục 3'!E16</f>
        <v>0</v>
      </c>
      <c r="O21" s="447">
        <f>P21+Q21</f>
        <v>0</v>
      </c>
      <c r="P21" s="446"/>
      <c r="Q21" s="446"/>
      <c r="R21" s="447">
        <f>S21+T21</f>
        <v>0</v>
      </c>
      <c r="S21" s="446"/>
      <c r="T21" s="446"/>
      <c r="U21" s="446">
        <f t="shared" si="9"/>
        <v>0</v>
      </c>
      <c r="V21" s="446"/>
      <c r="W21" s="446"/>
      <c r="X21" s="446">
        <f t="shared" si="4"/>
        <v>0</v>
      </c>
      <c r="Y21" s="447"/>
      <c r="Z21" s="447"/>
      <c r="AA21" s="446">
        <f t="shared" si="5"/>
        <v>280</v>
      </c>
      <c r="AB21" s="447">
        <f>'[8]Mục 8'!D12</f>
        <v>267</v>
      </c>
      <c r="AC21" s="447">
        <f>'[8]Mục 8'!E12</f>
        <v>13</v>
      </c>
      <c r="AD21" s="446"/>
      <c r="AE21" s="447"/>
      <c r="AF21" s="447"/>
      <c r="AG21" s="446">
        <f t="shared" si="10"/>
        <v>10</v>
      </c>
      <c r="AH21" s="446">
        <f>'[8]Mục 10'!D16</f>
        <v>10</v>
      </c>
      <c r="AI21" s="446">
        <f>'[8]Mục 10'!E16</f>
        <v>0</v>
      </c>
      <c r="AJ21" s="446"/>
      <c r="AK21" s="447"/>
      <c r="AL21" s="447"/>
    </row>
    <row r="22" spans="1:38" ht="28.5" customHeight="1" x14ac:dyDescent="0.25">
      <c r="A22" s="448">
        <v>10</v>
      </c>
      <c r="B22" s="470" t="s">
        <v>547</v>
      </c>
      <c r="C22" s="446">
        <f t="shared" si="2"/>
        <v>160</v>
      </c>
      <c r="D22" s="446">
        <f t="shared" si="6"/>
        <v>153</v>
      </c>
      <c r="E22" s="446">
        <f t="shared" si="6"/>
        <v>7</v>
      </c>
      <c r="F22" s="446"/>
      <c r="G22" s="447"/>
      <c r="H22" s="447"/>
      <c r="I22" s="446">
        <f t="shared" si="7"/>
        <v>0</v>
      </c>
      <c r="J22" s="447"/>
      <c r="K22" s="447"/>
      <c r="L22" s="446">
        <f t="shared" si="8"/>
        <v>0</v>
      </c>
      <c r="M22" s="447"/>
      <c r="N22" s="447"/>
      <c r="O22" s="447">
        <f>P22+Q22</f>
        <v>0</v>
      </c>
      <c r="P22" s="446"/>
      <c r="Q22" s="446"/>
      <c r="R22" s="447">
        <f>S22+T22</f>
        <v>0</v>
      </c>
      <c r="S22" s="446"/>
      <c r="T22" s="446"/>
      <c r="U22" s="446">
        <f t="shared" si="9"/>
        <v>0</v>
      </c>
      <c r="V22" s="446">
        <f>'[8]Mục 6'!D13</f>
        <v>0</v>
      </c>
      <c r="W22" s="446">
        <f>'[8]Mục 6'!E13</f>
        <v>0</v>
      </c>
      <c r="X22" s="446">
        <f t="shared" si="4"/>
        <v>0</v>
      </c>
      <c r="Y22" s="447"/>
      <c r="Z22" s="447"/>
      <c r="AA22" s="446">
        <f t="shared" si="5"/>
        <v>150</v>
      </c>
      <c r="AB22" s="447">
        <f>'[8]Mục 8'!D13</f>
        <v>143</v>
      </c>
      <c r="AC22" s="447">
        <f>'[8]Mục 8'!E13</f>
        <v>7</v>
      </c>
      <c r="AD22" s="446"/>
      <c r="AE22" s="447"/>
      <c r="AF22" s="447"/>
      <c r="AG22" s="446">
        <f t="shared" si="10"/>
        <v>10</v>
      </c>
      <c r="AH22" s="446">
        <f>'[8]Mục 10'!D20</f>
        <v>10</v>
      </c>
      <c r="AI22" s="446">
        <f>'[8]Mục 10'!E20</f>
        <v>0</v>
      </c>
      <c r="AJ22" s="446"/>
      <c r="AK22" s="447"/>
      <c r="AL22" s="447"/>
    </row>
    <row r="23" spans="1:38" ht="23.25" customHeight="1" x14ac:dyDescent="0.25">
      <c r="A23" s="448">
        <v>11</v>
      </c>
      <c r="B23" s="470" t="s">
        <v>1380</v>
      </c>
      <c r="C23" s="446">
        <f t="shared" si="2"/>
        <v>206</v>
      </c>
      <c r="D23" s="446">
        <f t="shared" si="6"/>
        <v>197</v>
      </c>
      <c r="E23" s="446">
        <f t="shared" si="6"/>
        <v>9</v>
      </c>
      <c r="F23" s="446"/>
      <c r="G23" s="447"/>
      <c r="H23" s="447"/>
      <c r="I23" s="446"/>
      <c r="J23" s="447"/>
      <c r="K23" s="447"/>
      <c r="L23" s="446"/>
      <c r="M23" s="447"/>
      <c r="N23" s="447"/>
      <c r="O23" s="447"/>
      <c r="P23" s="446"/>
      <c r="Q23" s="446"/>
      <c r="R23" s="447"/>
      <c r="S23" s="446"/>
      <c r="T23" s="446"/>
      <c r="U23" s="446"/>
      <c r="V23" s="446"/>
      <c r="W23" s="446"/>
      <c r="X23" s="446"/>
      <c r="Y23" s="447"/>
      <c r="Z23" s="447"/>
      <c r="AA23" s="446">
        <f t="shared" si="5"/>
        <v>196</v>
      </c>
      <c r="AB23" s="447">
        <f>'[8]Mục 8'!D15</f>
        <v>187</v>
      </c>
      <c r="AC23" s="447">
        <f>'[8]Mục 8'!E15</f>
        <v>9</v>
      </c>
      <c r="AD23" s="446"/>
      <c r="AE23" s="447"/>
      <c r="AF23" s="447"/>
      <c r="AG23" s="446">
        <f t="shared" si="10"/>
        <v>10</v>
      </c>
      <c r="AH23" s="446">
        <f>'[8]Mục 10'!D18</f>
        <v>10</v>
      </c>
      <c r="AI23" s="446">
        <f>'[8]Mục 10'!E18</f>
        <v>0</v>
      </c>
      <c r="AJ23" s="446"/>
      <c r="AK23" s="447"/>
      <c r="AL23" s="447"/>
    </row>
    <row r="24" spans="1:38" ht="23.25" customHeight="1" x14ac:dyDescent="0.25">
      <c r="A24" s="448">
        <v>12</v>
      </c>
      <c r="B24" s="470" t="s">
        <v>229</v>
      </c>
      <c r="C24" s="446">
        <f t="shared" si="2"/>
        <v>606</v>
      </c>
      <c r="D24" s="446">
        <f t="shared" si="6"/>
        <v>577</v>
      </c>
      <c r="E24" s="446">
        <f t="shared" si="6"/>
        <v>29</v>
      </c>
      <c r="F24" s="446"/>
      <c r="G24" s="447"/>
      <c r="H24" s="447"/>
      <c r="I24" s="446"/>
      <c r="J24" s="447"/>
      <c r="K24" s="447"/>
      <c r="L24" s="446"/>
      <c r="M24" s="447"/>
      <c r="N24" s="447"/>
      <c r="O24" s="447"/>
      <c r="P24" s="446"/>
      <c r="Q24" s="446"/>
      <c r="R24" s="447"/>
      <c r="S24" s="446"/>
      <c r="T24" s="446"/>
      <c r="U24" s="446"/>
      <c r="V24" s="446"/>
      <c r="W24" s="446"/>
      <c r="X24" s="446"/>
      <c r="Y24" s="447"/>
      <c r="Z24" s="447"/>
      <c r="AA24" s="446"/>
      <c r="AB24" s="447"/>
      <c r="AC24" s="447"/>
      <c r="AD24" s="446">
        <f>AE24+AF24</f>
        <v>591</v>
      </c>
      <c r="AE24" s="447">
        <f>'[8]Mục 9'!G10</f>
        <v>563</v>
      </c>
      <c r="AF24" s="447">
        <f>'[8]Mục 9'!E10</f>
        <v>28</v>
      </c>
      <c r="AG24" s="446">
        <f t="shared" si="10"/>
        <v>15</v>
      </c>
      <c r="AH24" s="446">
        <f>'[8]Mục 10'!D19</f>
        <v>14</v>
      </c>
      <c r="AI24" s="446">
        <f>'[8]Mục 10'!E19</f>
        <v>1</v>
      </c>
      <c r="AJ24" s="446"/>
      <c r="AK24" s="447"/>
      <c r="AL24" s="447"/>
    </row>
    <row r="25" spans="1:38" ht="23.25" customHeight="1" x14ac:dyDescent="0.25">
      <c r="A25" s="448">
        <v>13</v>
      </c>
      <c r="B25" s="471" t="s">
        <v>143</v>
      </c>
      <c r="C25" s="446">
        <f t="shared" si="2"/>
        <v>15</v>
      </c>
      <c r="D25" s="446">
        <f t="shared" si="6"/>
        <v>14</v>
      </c>
      <c r="E25" s="446">
        <f t="shared" si="6"/>
        <v>1</v>
      </c>
      <c r="F25" s="472"/>
      <c r="G25" s="806"/>
      <c r="H25" s="806"/>
      <c r="I25" s="472"/>
      <c r="J25" s="806"/>
      <c r="K25" s="806"/>
      <c r="L25" s="472"/>
      <c r="M25" s="806"/>
      <c r="N25" s="806"/>
      <c r="O25" s="806"/>
      <c r="P25" s="472"/>
      <c r="Q25" s="472"/>
      <c r="R25" s="806"/>
      <c r="S25" s="472"/>
      <c r="T25" s="472"/>
      <c r="U25" s="472"/>
      <c r="V25" s="472"/>
      <c r="W25" s="472"/>
      <c r="X25" s="472"/>
      <c r="Y25" s="806"/>
      <c r="Z25" s="806"/>
      <c r="AA25" s="472"/>
      <c r="AB25" s="806"/>
      <c r="AC25" s="806"/>
      <c r="AD25" s="472"/>
      <c r="AE25" s="806"/>
      <c r="AF25" s="806"/>
      <c r="AG25" s="446">
        <f t="shared" si="10"/>
        <v>15</v>
      </c>
      <c r="AH25" s="472">
        <f>'[8]Mục 10'!D22</f>
        <v>14</v>
      </c>
      <c r="AI25" s="472">
        <f>'[8]Mục 10'!E22</f>
        <v>1</v>
      </c>
      <c r="AJ25" s="446"/>
      <c r="AK25" s="447"/>
      <c r="AL25" s="447"/>
    </row>
    <row r="26" spans="1:38" ht="23.25" customHeight="1" x14ac:dyDescent="0.25">
      <c r="A26" s="448">
        <v>14</v>
      </c>
      <c r="B26" s="471" t="s">
        <v>225</v>
      </c>
      <c r="C26" s="446">
        <f t="shared" si="2"/>
        <v>15</v>
      </c>
      <c r="D26" s="446">
        <f t="shared" si="6"/>
        <v>14</v>
      </c>
      <c r="E26" s="446">
        <f t="shared" si="6"/>
        <v>1</v>
      </c>
      <c r="F26" s="472"/>
      <c r="G26" s="806"/>
      <c r="H26" s="806"/>
      <c r="I26" s="472"/>
      <c r="J26" s="806"/>
      <c r="K26" s="806"/>
      <c r="L26" s="472"/>
      <c r="M26" s="806"/>
      <c r="N26" s="806"/>
      <c r="O26" s="806"/>
      <c r="P26" s="472"/>
      <c r="Q26" s="472"/>
      <c r="R26" s="806"/>
      <c r="S26" s="472"/>
      <c r="T26" s="472"/>
      <c r="U26" s="472"/>
      <c r="V26" s="472"/>
      <c r="W26" s="472"/>
      <c r="X26" s="472"/>
      <c r="Y26" s="806"/>
      <c r="Z26" s="806"/>
      <c r="AA26" s="472"/>
      <c r="AB26" s="806"/>
      <c r="AC26" s="806"/>
      <c r="AD26" s="472"/>
      <c r="AE26" s="806"/>
      <c r="AF26" s="806"/>
      <c r="AG26" s="446">
        <f t="shared" si="10"/>
        <v>15</v>
      </c>
      <c r="AH26" s="472">
        <f>'[8]Mục 10'!D23</f>
        <v>14</v>
      </c>
      <c r="AI26" s="472">
        <f>'[8]Mục 10'!E23</f>
        <v>1</v>
      </c>
      <c r="AJ26" s="446"/>
      <c r="AK26" s="447"/>
      <c r="AL26" s="447"/>
    </row>
    <row r="27" spans="1:38" ht="23.25" customHeight="1" x14ac:dyDescent="0.25">
      <c r="A27" s="448">
        <v>15</v>
      </c>
      <c r="B27" s="471" t="s">
        <v>144</v>
      </c>
      <c r="C27" s="446">
        <f t="shared" si="2"/>
        <v>15</v>
      </c>
      <c r="D27" s="446">
        <f t="shared" si="6"/>
        <v>14</v>
      </c>
      <c r="E27" s="446">
        <f t="shared" si="6"/>
        <v>1</v>
      </c>
      <c r="F27" s="472"/>
      <c r="G27" s="806"/>
      <c r="H27" s="806"/>
      <c r="I27" s="472"/>
      <c r="J27" s="806"/>
      <c r="K27" s="806"/>
      <c r="L27" s="472"/>
      <c r="M27" s="806"/>
      <c r="N27" s="806"/>
      <c r="O27" s="806"/>
      <c r="P27" s="472"/>
      <c r="Q27" s="472"/>
      <c r="R27" s="806"/>
      <c r="S27" s="472"/>
      <c r="T27" s="472"/>
      <c r="U27" s="472"/>
      <c r="V27" s="472"/>
      <c r="W27" s="472"/>
      <c r="X27" s="472"/>
      <c r="Y27" s="806"/>
      <c r="Z27" s="806"/>
      <c r="AA27" s="472"/>
      <c r="AB27" s="806"/>
      <c r="AC27" s="806"/>
      <c r="AD27" s="472"/>
      <c r="AE27" s="806"/>
      <c r="AF27" s="806"/>
      <c r="AG27" s="446">
        <f t="shared" si="10"/>
        <v>15</v>
      </c>
      <c r="AH27" s="472">
        <f>'[8]Mục 10'!D24</f>
        <v>14</v>
      </c>
      <c r="AI27" s="472">
        <f>'[8]Mục 10'!E24</f>
        <v>1</v>
      </c>
      <c r="AJ27" s="446"/>
      <c r="AK27" s="447"/>
      <c r="AL27" s="447"/>
    </row>
    <row r="28" spans="1:38" ht="28.5" customHeight="1" x14ac:dyDescent="0.25">
      <c r="A28" s="448">
        <v>16</v>
      </c>
      <c r="B28" s="471" t="s">
        <v>494</v>
      </c>
      <c r="C28" s="446">
        <f t="shared" si="2"/>
        <v>15</v>
      </c>
      <c r="D28" s="446">
        <f t="shared" si="6"/>
        <v>14</v>
      </c>
      <c r="E28" s="446">
        <f t="shared" si="6"/>
        <v>1</v>
      </c>
      <c r="F28" s="472"/>
      <c r="G28" s="806"/>
      <c r="H28" s="806"/>
      <c r="I28" s="472"/>
      <c r="J28" s="806"/>
      <c r="K28" s="806"/>
      <c r="L28" s="472"/>
      <c r="M28" s="806"/>
      <c r="N28" s="806"/>
      <c r="O28" s="806"/>
      <c r="P28" s="472"/>
      <c r="Q28" s="472"/>
      <c r="R28" s="806"/>
      <c r="S28" s="472"/>
      <c r="T28" s="472"/>
      <c r="U28" s="472"/>
      <c r="V28" s="472"/>
      <c r="W28" s="472"/>
      <c r="X28" s="472"/>
      <c r="Y28" s="806"/>
      <c r="Z28" s="806"/>
      <c r="AA28" s="472"/>
      <c r="AB28" s="806"/>
      <c r="AC28" s="806"/>
      <c r="AD28" s="472"/>
      <c r="AE28" s="806"/>
      <c r="AF28" s="806"/>
      <c r="AG28" s="446">
        <f t="shared" si="10"/>
        <v>15</v>
      </c>
      <c r="AH28" s="472">
        <f>'[8]Mục 10'!D25</f>
        <v>14</v>
      </c>
      <c r="AI28" s="472">
        <f>'[8]Mục 10'!E25</f>
        <v>1</v>
      </c>
      <c r="AJ28" s="446"/>
      <c r="AK28" s="447"/>
      <c r="AL28" s="447"/>
    </row>
    <row r="29" spans="1:38" ht="30" customHeight="1" x14ac:dyDescent="0.25">
      <c r="A29" s="448">
        <v>17</v>
      </c>
      <c r="B29" s="471" t="s">
        <v>1272</v>
      </c>
      <c r="C29" s="446">
        <f t="shared" si="2"/>
        <v>15</v>
      </c>
      <c r="D29" s="446">
        <f t="shared" si="6"/>
        <v>14</v>
      </c>
      <c r="E29" s="446">
        <f t="shared" si="6"/>
        <v>1</v>
      </c>
      <c r="F29" s="472"/>
      <c r="G29" s="806"/>
      <c r="H29" s="806"/>
      <c r="I29" s="472"/>
      <c r="J29" s="806"/>
      <c r="K29" s="806"/>
      <c r="L29" s="472"/>
      <c r="M29" s="806"/>
      <c r="N29" s="806"/>
      <c r="O29" s="806"/>
      <c r="P29" s="472"/>
      <c r="Q29" s="472"/>
      <c r="R29" s="806"/>
      <c r="S29" s="472"/>
      <c r="T29" s="472"/>
      <c r="U29" s="472"/>
      <c r="V29" s="472"/>
      <c r="W29" s="472"/>
      <c r="X29" s="472"/>
      <c r="Y29" s="806"/>
      <c r="Z29" s="806"/>
      <c r="AA29" s="472"/>
      <c r="AB29" s="806"/>
      <c r="AC29" s="806"/>
      <c r="AD29" s="472"/>
      <c r="AE29" s="806"/>
      <c r="AF29" s="806"/>
      <c r="AG29" s="446">
        <f t="shared" si="10"/>
        <v>15</v>
      </c>
      <c r="AH29" s="472">
        <f>'[8]Mục 10'!D26</f>
        <v>14</v>
      </c>
      <c r="AI29" s="472">
        <f>'[8]Mục 10'!E26</f>
        <v>1</v>
      </c>
      <c r="AJ29" s="446"/>
      <c r="AK29" s="447"/>
      <c r="AL29" s="447"/>
    </row>
    <row r="30" spans="1:38" ht="23.25" customHeight="1" x14ac:dyDescent="0.25">
      <c r="A30" s="448">
        <v>18</v>
      </c>
      <c r="B30" s="470" t="s">
        <v>117</v>
      </c>
      <c r="C30" s="446">
        <f t="shared" si="2"/>
        <v>15</v>
      </c>
      <c r="D30" s="446">
        <f t="shared" si="6"/>
        <v>14</v>
      </c>
      <c r="E30" s="446">
        <f t="shared" si="6"/>
        <v>1</v>
      </c>
      <c r="F30" s="446"/>
      <c r="G30" s="447"/>
      <c r="H30" s="447"/>
      <c r="I30" s="446"/>
      <c r="J30" s="447"/>
      <c r="K30" s="447"/>
      <c r="L30" s="446"/>
      <c r="M30" s="447"/>
      <c r="N30" s="447"/>
      <c r="O30" s="447"/>
      <c r="P30" s="446"/>
      <c r="Q30" s="446"/>
      <c r="R30" s="447"/>
      <c r="S30" s="446"/>
      <c r="T30" s="446"/>
      <c r="U30" s="446"/>
      <c r="V30" s="446"/>
      <c r="W30" s="446"/>
      <c r="X30" s="446"/>
      <c r="Y30" s="447"/>
      <c r="Z30" s="447"/>
      <c r="AA30" s="446"/>
      <c r="AB30" s="447"/>
      <c r="AC30" s="447"/>
      <c r="AD30" s="446"/>
      <c r="AE30" s="447"/>
      <c r="AF30" s="447"/>
      <c r="AG30" s="446">
        <f t="shared" si="10"/>
        <v>15</v>
      </c>
      <c r="AH30" s="472">
        <f>'[8]Mục 10'!D27</f>
        <v>14</v>
      </c>
      <c r="AI30" s="472">
        <f>'[8]Mục 10'!E27</f>
        <v>1</v>
      </c>
      <c r="AJ30" s="446"/>
      <c r="AK30" s="447"/>
      <c r="AL30" s="447"/>
    </row>
    <row r="31" spans="1:38" ht="27.75" customHeight="1" x14ac:dyDescent="0.25">
      <c r="A31" s="448">
        <v>19</v>
      </c>
      <c r="B31" s="470" t="s">
        <v>473</v>
      </c>
      <c r="C31" s="446">
        <f t="shared" si="2"/>
        <v>10</v>
      </c>
      <c r="D31" s="446">
        <f t="shared" si="6"/>
        <v>10</v>
      </c>
      <c r="E31" s="446">
        <f t="shared" si="6"/>
        <v>0</v>
      </c>
      <c r="F31" s="446"/>
      <c r="G31" s="447"/>
      <c r="H31" s="447"/>
      <c r="I31" s="446"/>
      <c r="J31" s="447"/>
      <c r="K31" s="447"/>
      <c r="L31" s="446"/>
      <c r="M31" s="447"/>
      <c r="N31" s="447"/>
      <c r="O31" s="447"/>
      <c r="P31" s="446"/>
      <c r="Q31" s="446"/>
      <c r="R31" s="447"/>
      <c r="S31" s="446"/>
      <c r="T31" s="446"/>
      <c r="U31" s="446"/>
      <c r="V31" s="446"/>
      <c r="W31" s="446"/>
      <c r="X31" s="446"/>
      <c r="Y31" s="447"/>
      <c r="Z31" s="447"/>
      <c r="AA31" s="446"/>
      <c r="AB31" s="447"/>
      <c r="AC31" s="447"/>
      <c r="AD31" s="446"/>
      <c r="AE31" s="447"/>
      <c r="AF31" s="447"/>
      <c r="AG31" s="446">
        <f t="shared" si="10"/>
        <v>10</v>
      </c>
      <c r="AH31" s="472">
        <f>'[8]Mục 10'!D29</f>
        <v>10</v>
      </c>
      <c r="AI31" s="472">
        <f>'[8]Mục 10'!E29</f>
        <v>0</v>
      </c>
      <c r="AJ31" s="446"/>
      <c r="AK31" s="447"/>
      <c r="AL31" s="447"/>
    </row>
    <row r="32" spans="1:38" ht="26.25" customHeight="1" x14ac:dyDescent="0.25">
      <c r="A32" s="448">
        <v>20</v>
      </c>
      <c r="B32" s="470" t="s">
        <v>1273</v>
      </c>
      <c r="C32" s="446">
        <f t="shared" si="2"/>
        <v>15</v>
      </c>
      <c r="D32" s="446">
        <f t="shared" si="6"/>
        <v>14</v>
      </c>
      <c r="E32" s="446">
        <f t="shared" si="6"/>
        <v>1</v>
      </c>
      <c r="F32" s="446"/>
      <c r="G32" s="447"/>
      <c r="H32" s="447"/>
      <c r="I32" s="446"/>
      <c r="J32" s="447"/>
      <c r="K32" s="447"/>
      <c r="L32" s="446"/>
      <c r="M32" s="447"/>
      <c r="N32" s="447"/>
      <c r="O32" s="447"/>
      <c r="P32" s="446"/>
      <c r="Q32" s="446"/>
      <c r="R32" s="447"/>
      <c r="S32" s="446"/>
      <c r="T32" s="446"/>
      <c r="U32" s="446"/>
      <c r="V32" s="446"/>
      <c r="W32" s="446"/>
      <c r="X32" s="446"/>
      <c r="Y32" s="447"/>
      <c r="Z32" s="447"/>
      <c r="AA32" s="446"/>
      <c r="AB32" s="447"/>
      <c r="AC32" s="447"/>
      <c r="AD32" s="446"/>
      <c r="AE32" s="447"/>
      <c r="AF32" s="447"/>
      <c r="AG32" s="446">
        <f t="shared" si="10"/>
        <v>15</v>
      </c>
      <c r="AH32" s="472">
        <f>'[8]Mục 10'!D30</f>
        <v>14</v>
      </c>
      <c r="AI32" s="472">
        <f>'[8]Mục 10'!E30</f>
        <v>1</v>
      </c>
      <c r="AJ32" s="446"/>
      <c r="AK32" s="447"/>
      <c r="AL32" s="447"/>
    </row>
    <row r="33" spans="1:38" ht="21" customHeight="1" x14ac:dyDescent="0.25">
      <c r="A33" s="448">
        <v>21</v>
      </c>
      <c r="B33" s="471" t="s">
        <v>1274</v>
      </c>
      <c r="C33" s="446">
        <f t="shared" si="2"/>
        <v>15</v>
      </c>
      <c r="D33" s="446">
        <f t="shared" si="6"/>
        <v>14</v>
      </c>
      <c r="E33" s="446">
        <f t="shared" si="6"/>
        <v>1</v>
      </c>
      <c r="F33" s="472"/>
      <c r="G33" s="806"/>
      <c r="H33" s="806"/>
      <c r="I33" s="472"/>
      <c r="J33" s="806"/>
      <c r="K33" s="806"/>
      <c r="L33" s="472"/>
      <c r="M33" s="806"/>
      <c r="N33" s="806"/>
      <c r="O33" s="806"/>
      <c r="P33" s="472"/>
      <c r="Q33" s="472"/>
      <c r="R33" s="806"/>
      <c r="S33" s="472"/>
      <c r="T33" s="472"/>
      <c r="U33" s="472"/>
      <c r="V33" s="472"/>
      <c r="W33" s="472"/>
      <c r="X33" s="472"/>
      <c r="Y33" s="806"/>
      <c r="Z33" s="806"/>
      <c r="AA33" s="472"/>
      <c r="AB33" s="806"/>
      <c r="AC33" s="806"/>
      <c r="AD33" s="472"/>
      <c r="AE33" s="806"/>
      <c r="AF33" s="806"/>
      <c r="AG33" s="446">
        <f t="shared" si="10"/>
        <v>15</v>
      </c>
      <c r="AH33" s="472">
        <f>'[8]Mục 10'!D31</f>
        <v>14</v>
      </c>
      <c r="AI33" s="472">
        <f>'[8]Mục 10'!E31</f>
        <v>1</v>
      </c>
      <c r="AJ33" s="446"/>
      <c r="AK33" s="447"/>
      <c r="AL33" s="447"/>
    </row>
    <row r="34" spans="1:38" ht="27.75" customHeight="1" x14ac:dyDescent="0.25">
      <c r="A34" s="448">
        <v>22</v>
      </c>
      <c r="B34" s="471" t="s">
        <v>485</v>
      </c>
      <c r="C34" s="446">
        <f t="shared" si="2"/>
        <v>10</v>
      </c>
      <c r="D34" s="446">
        <f t="shared" si="6"/>
        <v>10</v>
      </c>
      <c r="E34" s="446">
        <f t="shared" si="6"/>
        <v>0</v>
      </c>
      <c r="F34" s="472"/>
      <c r="G34" s="806"/>
      <c r="H34" s="806"/>
      <c r="I34" s="472"/>
      <c r="J34" s="806"/>
      <c r="K34" s="806"/>
      <c r="L34" s="472"/>
      <c r="M34" s="806"/>
      <c r="N34" s="806"/>
      <c r="O34" s="806"/>
      <c r="P34" s="472"/>
      <c r="Q34" s="472"/>
      <c r="R34" s="806"/>
      <c r="S34" s="472"/>
      <c r="T34" s="472"/>
      <c r="U34" s="472"/>
      <c r="V34" s="472"/>
      <c r="W34" s="472"/>
      <c r="X34" s="472"/>
      <c r="Y34" s="806"/>
      <c r="Z34" s="806"/>
      <c r="AA34" s="472"/>
      <c r="AB34" s="806"/>
      <c r="AC34" s="806"/>
      <c r="AD34" s="472"/>
      <c r="AE34" s="806"/>
      <c r="AF34" s="806"/>
      <c r="AG34" s="446">
        <f t="shared" si="10"/>
        <v>10</v>
      </c>
      <c r="AH34" s="472">
        <f>'[8]Mục 10'!D32</f>
        <v>10</v>
      </c>
      <c r="AI34" s="472">
        <f>'[8]Mục 10'!E32</f>
        <v>0</v>
      </c>
      <c r="AJ34" s="446"/>
      <c r="AK34" s="447"/>
      <c r="AL34" s="447"/>
    </row>
    <row r="35" spans="1:38" ht="23.25" customHeight="1" x14ac:dyDescent="0.25">
      <c r="A35" s="448">
        <v>23</v>
      </c>
      <c r="B35" s="471" t="s">
        <v>230</v>
      </c>
      <c r="C35" s="472">
        <f t="shared" si="2"/>
        <v>550</v>
      </c>
      <c r="D35" s="472">
        <f>G35+M35+P35+S35+V35+AB35+AE35+AH35+AK35+Y35+J35</f>
        <v>524</v>
      </c>
      <c r="E35" s="472">
        <f>H35+N35+Q35+T35+W35+AC35+AF35+AI35+AL35+Z35+K35</f>
        <v>26</v>
      </c>
      <c r="F35" s="472"/>
      <c r="G35" s="806"/>
      <c r="H35" s="806"/>
      <c r="I35" s="472">
        <f>J35+K35</f>
        <v>0</v>
      </c>
      <c r="J35" s="806"/>
      <c r="K35" s="806"/>
      <c r="L35" s="472">
        <f>M35+N35</f>
        <v>550</v>
      </c>
      <c r="M35" s="806">
        <f>'[8]Mục 3'!D17</f>
        <v>524</v>
      </c>
      <c r="N35" s="806">
        <f>'[8]Mục 3'!E17</f>
        <v>26</v>
      </c>
      <c r="O35" s="806">
        <f>P35+Q35</f>
        <v>0</v>
      </c>
      <c r="P35" s="472"/>
      <c r="Q35" s="472"/>
      <c r="R35" s="806">
        <f>S35+T35</f>
        <v>0</v>
      </c>
      <c r="S35" s="472"/>
      <c r="T35" s="472"/>
      <c r="U35" s="472">
        <f>V35+W35</f>
        <v>0</v>
      </c>
      <c r="V35" s="472"/>
      <c r="W35" s="472"/>
      <c r="X35" s="472">
        <f>Y35+Z35</f>
        <v>0</v>
      </c>
      <c r="Y35" s="806"/>
      <c r="Z35" s="806"/>
      <c r="AA35" s="472">
        <f>AB35+AC35</f>
        <v>0</v>
      </c>
      <c r="AB35" s="806"/>
      <c r="AC35" s="806"/>
      <c r="AD35" s="472"/>
      <c r="AE35" s="806"/>
      <c r="AF35" s="806"/>
      <c r="AG35" s="446">
        <f t="shared" si="10"/>
        <v>0</v>
      </c>
      <c r="AH35" s="472"/>
      <c r="AI35" s="472"/>
      <c r="AJ35" s="446"/>
      <c r="AK35" s="447"/>
      <c r="AL35" s="447"/>
    </row>
    <row r="36" spans="1:38" ht="23.25" customHeight="1" x14ac:dyDescent="0.25">
      <c r="A36" s="531" t="s">
        <v>31</v>
      </c>
      <c r="B36" s="473" t="s">
        <v>455</v>
      </c>
      <c r="C36" s="438">
        <f>SUM(C37:C44)</f>
        <v>21056</v>
      </c>
      <c r="D36" s="438">
        <f t="shared" ref="D36:AI36" si="11">SUM(D37:D44)</f>
        <v>20053</v>
      </c>
      <c r="E36" s="438">
        <f t="shared" si="11"/>
        <v>1003</v>
      </c>
      <c r="F36" s="438">
        <f t="shared" si="11"/>
        <v>0</v>
      </c>
      <c r="G36" s="438">
        <f t="shared" si="11"/>
        <v>0</v>
      </c>
      <c r="H36" s="438">
        <f t="shared" si="11"/>
        <v>0</v>
      </c>
      <c r="I36" s="438">
        <f t="shared" si="11"/>
        <v>3900</v>
      </c>
      <c r="J36" s="438">
        <f t="shared" si="11"/>
        <v>3714</v>
      </c>
      <c r="K36" s="438">
        <f t="shared" si="11"/>
        <v>186</v>
      </c>
      <c r="L36" s="438">
        <f t="shared" si="11"/>
        <v>11916</v>
      </c>
      <c r="M36" s="438">
        <f t="shared" si="11"/>
        <v>11350</v>
      </c>
      <c r="N36" s="438">
        <f t="shared" si="11"/>
        <v>566</v>
      </c>
      <c r="O36" s="438">
        <f t="shared" si="11"/>
        <v>0</v>
      </c>
      <c r="P36" s="438">
        <f t="shared" si="11"/>
        <v>0</v>
      </c>
      <c r="Q36" s="438">
        <f t="shared" si="11"/>
        <v>0</v>
      </c>
      <c r="R36" s="438">
        <f t="shared" si="11"/>
        <v>1100</v>
      </c>
      <c r="S36" s="438">
        <f t="shared" si="11"/>
        <v>1047</v>
      </c>
      <c r="T36" s="438">
        <f t="shared" si="11"/>
        <v>53</v>
      </c>
      <c r="U36" s="438">
        <f t="shared" si="11"/>
        <v>3330</v>
      </c>
      <c r="V36" s="438">
        <f t="shared" si="11"/>
        <v>3171</v>
      </c>
      <c r="W36" s="438">
        <f t="shared" si="11"/>
        <v>159</v>
      </c>
      <c r="X36" s="438">
        <f t="shared" si="11"/>
        <v>0</v>
      </c>
      <c r="Y36" s="438">
        <f t="shared" si="11"/>
        <v>0</v>
      </c>
      <c r="Z36" s="438">
        <f t="shared" si="11"/>
        <v>0</v>
      </c>
      <c r="AA36" s="438">
        <f t="shared" si="11"/>
        <v>160</v>
      </c>
      <c r="AB36" s="438">
        <f t="shared" si="11"/>
        <v>151</v>
      </c>
      <c r="AC36" s="438">
        <f t="shared" si="11"/>
        <v>9</v>
      </c>
      <c r="AD36" s="438">
        <f t="shared" si="11"/>
        <v>0</v>
      </c>
      <c r="AE36" s="438">
        <f t="shared" si="11"/>
        <v>0</v>
      </c>
      <c r="AF36" s="438">
        <f t="shared" si="11"/>
        <v>0</v>
      </c>
      <c r="AG36" s="438">
        <f t="shared" si="11"/>
        <v>650</v>
      </c>
      <c r="AH36" s="438">
        <f t="shared" si="11"/>
        <v>620</v>
      </c>
      <c r="AI36" s="438">
        <f t="shared" si="11"/>
        <v>30</v>
      </c>
      <c r="AJ36" s="446"/>
      <c r="AK36" s="447"/>
      <c r="AL36" s="447"/>
    </row>
    <row r="37" spans="1:38" s="439" customFormat="1" ht="23.25" customHeight="1" x14ac:dyDescent="0.25">
      <c r="A37" s="474">
        <v>1</v>
      </c>
      <c r="B37" s="475" t="s">
        <v>41</v>
      </c>
      <c r="C37" s="807">
        <f t="shared" ref="C37:C44" si="12">D37+E37</f>
        <v>3210</v>
      </c>
      <c r="D37" s="807">
        <f t="shared" si="6"/>
        <v>3056</v>
      </c>
      <c r="E37" s="807">
        <f t="shared" si="6"/>
        <v>154</v>
      </c>
      <c r="F37" s="807">
        <f t="shared" ref="F37:F44" si="13">G37+H37</f>
        <v>0</v>
      </c>
      <c r="G37" s="807"/>
      <c r="H37" s="807"/>
      <c r="I37" s="807">
        <f t="shared" ref="I37:I44" si="14">J37+K37</f>
        <v>350</v>
      </c>
      <c r="J37" s="807">
        <f>'[8]Mục 2'!D14</f>
        <v>333</v>
      </c>
      <c r="K37" s="807">
        <f>'[8]Mục 2'!E14</f>
        <v>17</v>
      </c>
      <c r="L37" s="807">
        <f t="shared" ref="L37:L44" si="15">M37+N37</f>
        <v>2675</v>
      </c>
      <c r="M37" s="807">
        <f>'[8]Mục 3'!D19</f>
        <v>2548</v>
      </c>
      <c r="N37" s="807">
        <f>'[8]Mục 3'!E19</f>
        <v>127</v>
      </c>
      <c r="O37" s="808">
        <f>P37+Q37</f>
        <v>0</v>
      </c>
      <c r="P37" s="807"/>
      <c r="Q37" s="807"/>
      <c r="R37" s="808">
        <f>S37+T37</f>
        <v>0</v>
      </c>
      <c r="S37" s="807"/>
      <c r="T37" s="807"/>
      <c r="U37" s="807">
        <f t="shared" ref="U37:U44" si="16">V37+W37</f>
        <v>50</v>
      </c>
      <c r="V37" s="807">
        <f>'[8]Mục 6'!D15</f>
        <v>47</v>
      </c>
      <c r="W37" s="807">
        <f>'[8]Mục 6'!E15</f>
        <v>3</v>
      </c>
      <c r="X37" s="807">
        <f t="shared" ref="X37:X44" si="17">Y37+Z37</f>
        <v>0</v>
      </c>
      <c r="Y37" s="807"/>
      <c r="Z37" s="807"/>
      <c r="AA37" s="807">
        <f t="shared" ref="AA37:AA44" si="18">AB37+AC37</f>
        <v>30</v>
      </c>
      <c r="AB37" s="807">
        <f>'[8]Mục 8'!D17</f>
        <v>28</v>
      </c>
      <c r="AC37" s="807">
        <f>'[8]Mục 8'!E17</f>
        <v>2</v>
      </c>
      <c r="AD37" s="807">
        <f t="shared" ref="AD37:AD44" si="19">AE37+AF37</f>
        <v>0</v>
      </c>
      <c r="AE37" s="807"/>
      <c r="AF37" s="807"/>
      <c r="AG37" s="807">
        <f t="shared" ref="AG37:AG44" si="20">AH37+AI37</f>
        <v>105</v>
      </c>
      <c r="AH37" s="807">
        <f>'[8]Mục 10'!D35</f>
        <v>100</v>
      </c>
      <c r="AI37" s="807">
        <f>'[8]Mục 10'!E35</f>
        <v>5</v>
      </c>
      <c r="AJ37" s="446">
        <f t="shared" ref="AJ37:AJ44" si="21">AK37+AL37</f>
        <v>0</v>
      </c>
      <c r="AK37" s="446">
        <f>'[8]Mục 11'!G11</f>
        <v>0</v>
      </c>
      <c r="AL37" s="446">
        <f>'[8]Mục 11'!H11</f>
        <v>0</v>
      </c>
    </row>
    <row r="38" spans="1:38" s="439" customFormat="1" ht="23.25" customHeight="1" x14ac:dyDescent="0.25">
      <c r="A38" s="448">
        <v>2</v>
      </c>
      <c r="B38" s="476" t="s">
        <v>44</v>
      </c>
      <c r="C38" s="446">
        <f t="shared" si="12"/>
        <v>1472</v>
      </c>
      <c r="D38" s="446">
        <f t="shared" si="6"/>
        <v>1403</v>
      </c>
      <c r="E38" s="446">
        <f t="shared" si="6"/>
        <v>69</v>
      </c>
      <c r="F38" s="446">
        <f t="shared" si="13"/>
        <v>0</v>
      </c>
      <c r="G38" s="446"/>
      <c r="H38" s="446"/>
      <c r="I38" s="446">
        <f t="shared" si="14"/>
        <v>350</v>
      </c>
      <c r="J38" s="446">
        <f>'[8]Mục 2'!D13</f>
        <v>333</v>
      </c>
      <c r="K38" s="446">
        <f>'[8]Mục 2'!E13</f>
        <v>17</v>
      </c>
      <c r="L38" s="446">
        <f t="shared" si="15"/>
        <v>1012</v>
      </c>
      <c r="M38" s="446">
        <f>'[8]Mục 3'!D20</f>
        <v>965</v>
      </c>
      <c r="N38" s="446">
        <f>'[8]Mục 3'!E20</f>
        <v>47</v>
      </c>
      <c r="O38" s="447">
        <f t="shared" ref="O38:O44" si="22">P38+Q38</f>
        <v>0</v>
      </c>
      <c r="P38" s="446"/>
      <c r="Q38" s="446"/>
      <c r="R38" s="447">
        <f>S38+T38</f>
        <v>0</v>
      </c>
      <c r="S38" s="446"/>
      <c r="T38" s="446"/>
      <c r="U38" s="446">
        <f t="shared" si="16"/>
        <v>0</v>
      </c>
      <c r="V38" s="446">
        <f>'[8]Mục 6'!D16</f>
        <v>0</v>
      </c>
      <c r="W38" s="446">
        <f>'[8]Mục 6'!E16</f>
        <v>0</v>
      </c>
      <c r="X38" s="446">
        <f t="shared" si="17"/>
        <v>0</v>
      </c>
      <c r="Y38" s="446"/>
      <c r="Z38" s="446"/>
      <c r="AA38" s="446">
        <f t="shared" si="18"/>
        <v>0</v>
      </c>
      <c r="AB38" s="446">
        <f>'[8]Mục 8'!D18</f>
        <v>0</v>
      </c>
      <c r="AC38" s="446">
        <f>'[8]Mục 8'!E18</f>
        <v>0</v>
      </c>
      <c r="AD38" s="446">
        <f t="shared" si="19"/>
        <v>0</v>
      </c>
      <c r="AE38" s="446"/>
      <c r="AF38" s="446"/>
      <c r="AG38" s="446">
        <f t="shared" si="20"/>
        <v>110</v>
      </c>
      <c r="AH38" s="446">
        <f>'[8]Mục 10'!D36</f>
        <v>105</v>
      </c>
      <c r="AI38" s="446">
        <f>'[8]Mục 10'!E36</f>
        <v>5</v>
      </c>
      <c r="AJ38" s="446">
        <f t="shared" si="21"/>
        <v>0</v>
      </c>
      <c r="AK38" s="446"/>
      <c r="AL38" s="446"/>
    </row>
    <row r="39" spans="1:38" s="439" customFormat="1" ht="23.25" customHeight="1" x14ac:dyDescent="0.25">
      <c r="A39" s="448">
        <v>3</v>
      </c>
      <c r="B39" s="476" t="s">
        <v>39</v>
      </c>
      <c r="C39" s="446">
        <f t="shared" si="12"/>
        <v>7272</v>
      </c>
      <c r="D39" s="446">
        <f t="shared" si="6"/>
        <v>6925</v>
      </c>
      <c r="E39" s="446">
        <f t="shared" si="6"/>
        <v>347</v>
      </c>
      <c r="F39" s="446">
        <f t="shared" si="13"/>
        <v>0</v>
      </c>
      <c r="G39" s="446"/>
      <c r="H39" s="446"/>
      <c r="I39" s="446">
        <f t="shared" si="14"/>
        <v>1800</v>
      </c>
      <c r="J39" s="446">
        <f>'[8]Mục 2'!D15</f>
        <v>1715</v>
      </c>
      <c r="K39" s="446">
        <f>'[8]Mục 2'!E15</f>
        <v>85</v>
      </c>
      <c r="L39" s="446">
        <f t="shared" si="15"/>
        <v>5077</v>
      </c>
      <c r="M39" s="446">
        <f>'[8]Mục 3'!D21</f>
        <v>4835</v>
      </c>
      <c r="N39" s="446">
        <f>'[8]Mục 3'!E21</f>
        <v>242</v>
      </c>
      <c r="O39" s="447">
        <f t="shared" si="22"/>
        <v>0</v>
      </c>
      <c r="P39" s="446"/>
      <c r="Q39" s="446"/>
      <c r="R39" s="447">
        <f>S39+T39</f>
        <v>240</v>
      </c>
      <c r="S39" s="446">
        <f>'[8]Mục 5'!D10</f>
        <v>228</v>
      </c>
      <c r="T39" s="446">
        <f>'[8]Mục 5'!E10</f>
        <v>12</v>
      </c>
      <c r="U39" s="446">
        <f t="shared" si="16"/>
        <v>0</v>
      </c>
      <c r="V39" s="446">
        <f>'[8]Mục 6'!D17</f>
        <v>0</v>
      </c>
      <c r="W39" s="446">
        <f>'[8]Mục 6'!E17</f>
        <v>0</v>
      </c>
      <c r="X39" s="446">
        <f t="shared" si="17"/>
        <v>0</v>
      </c>
      <c r="Y39" s="446"/>
      <c r="Z39" s="446"/>
      <c r="AA39" s="446">
        <f t="shared" si="18"/>
        <v>50</v>
      </c>
      <c r="AB39" s="446">
        <f>'[8]Mục 8'!D19</f>
        <v>47</v>
      </c>
      <c r="AC39" s="446">
        <f>'[8]Mục 8'!E19</f>
        <v>3</v>
      </c>
      <c r="AD39" s="446">
        <f t="shared" si="19"/>
        <v>0</v>
      </c>
      <c r="AE39" s="446"/>
      <c r="AF39" s="446"/>
      <c r="AG39" s="446">
        <f t="shared" si="20"/>
        <v>105</v>
      </c>
      <c r="AH39" s="446">
        <f>'[8]Mục 10'!D37</f>
        <v>100</v>
      </c>
      <c r="AI39" s="446">
        <f>'[8]Mục 10'!E37</f>
        <v>5</v>
      </c>
      <c r="AJ39" s="446">
        <f t="shared" si="21"/>
        <v>0</v>
      </c>
      <c r="AK39" s="446">
        <f>'[8]Mục 11'!G13</f>
        <v>0</v>
      </c>
      <c r="AL39" s="446">
        <f>'[8]Mục 11'!H13</f>
        <v>0</v>
      </c>
    </row>
    <row r="40" spans="1:38" s="439" customFormat="1" ht="23.25" customHeight="1" x14ac:dyDescent="0.25">
      <c r="A40" s="448">
        <v>4</v>
      </c>
      <c r="B40" s="476" t="s">
        <v>38</v>
      </c>
      <c r="C40" s="446">
        <f t="shared" si="12"/>
        <v>1615</v>
      </c>
      <c r="D40" s="446">
        <f t="shared" si="6"/>
        <v>1539</v>
      </c>
      <c r="E40" s="446">
        <f t="shared" si="6"/>
        <v>76</v>
      </c>
      <c r="F40" s="446">
        <f t="shared" si="13"/>
        <v>0</v>
      </c>
      <c r="G40" s="446"/>
      <c r="H40" s="446"/>
      <c r="I40" s="446">
        <f t="shared" si="14"/>
        <v>700</v>
      </c>
      <c r="J40" s="446">
        <f>'[8]Mục 2'!D16</f>
        <v>667</v>
      </c>
      <c r="K40" s="446">
        <f>'[8]Mục 2'!E16</f>
        <v>33</v>
      </c>
      <c r="L40" s="446">
        <f t="shared" si="15"/>
        <v>750</v>
      </c>
      <c r="M40" s="446">
        <f>'[8]Mục 3'!D22</f>
        <v>714</v>
      </c>
      <c r="N40" s="446">
        <f>'[8]Mục 3'!E22</f>
        <v>36</v>
      </c>
      <c r="O40" s="447">
        <f t="shared" si="22"/>
        <v>0</v>
      </c>
      <c r="P40" s="446"/>
      <c r="Q40" s="446"/>
      <c r="R40" s="447">
        <f>S40+T40</f>
        <v>80</v>
      </c>
      <c r="S40" s="446">
        <f>'[8]Mục 5'!D12</f>
        <v>76</v>
      </c>
      <c r="T40" s="446">
        <f>'[8]Mục 5'!E12</f>
        <v>4</v>
      </c>
      <c r="U40" s="446">
        <f t="shared" si="16"/>
        <v>0</v>
      </c>
      <c r="V40" s="446">
        <f>'[8]Mục 6'!D18</f>
        <v>0</v>
      </c>
      <c r="W40" s="446">
        <f>'[8]Mục 6'!E18</f>
        <v>0</v>
      </c>
      <c r="X40" s="446">
        <f t="shared" si="17"/>
        <v>0</v>
      </c>
      <c r="Y40" s="446"/>
      <c r="Z40" s="446"/>
      <c r="AA40" s="446">
        <f t="shared" si="18"/>
        <v>10</v>
      </c>
      <c r="AB40" s="446">
        <f>'[8]Mục 8'!D20</f>
        <v>10</v>
      </c>
      <c r="AC40" s="446">
        <f>'[8]Mục 8'!E20</f>
        <v>0</v>
      </c>
      <c r="AD40" s="446">
        <f t="shared" si="19"/>
        <v>0</v>
      </c>
      <c r="AE40" s="446"/>
      <c r="AF40" s="446"/>
      <c r="AG40" s="446">
        <f t="shared" si="20"/>
        <v>75</v>
      </c>
      <c r="AH40" s="446">
        <f>'[8]Mục 10'!D38</f>
        <v>72</v>
      </c>
      <c r="AI40" s="446">
        <f>'[8]Mục 10'!E38</f>
        <v>3</v>
      </c>
      <c r="AJ40" s="446">
        <f t="shared" si="21"/>
        <v>0</v>
      </c>
      <c r="AK40" s="446">
        <f>'[8]Mục 11'!G14</f>
        <v>0</v>
      </c>
      <c r="AL40" s="446">
        <f>'[8]Mục 11'!H14</f>
        <v>0</v>
      </c>
    </row>
    <row r="41" spans="1:38" s="449" customFormat="1" ht="23.25" customHeight="1" x14ac:dyDescent="0.25">
      <c r="A41" s="448">
        <v>5</v>
      </c>
      <c r="B41" s="476" t="s">
        <v>42</v>
      </c>
      <c r="C41" s="446">
        <f t="shared" si="12"/>
        <v>1705</v>
      </c>
      <c r="D41" s="446">
        <f t="shared" si="6"/>
        <v>1625</v>
      </c>
      <c r="E41" s="446">
        <f t="shared" si="6"/>
        <v>80</v>
      </c>
      <c r="F41" s="446">
        <f t="shared" si="13"/>
        <v>0</v>
      </c>
      <c r="G41" s="446"/>
      <c r="H41" s="446"/>
      <c r="I41" s="446">
        <f t="shared" si="14"/>
        <v>0</v>
      </c>
      <c r="J41" s="446">
        <f>'[8]Mục 2'!D17</f>
        <v>0</v>
      </c>
      <c r="K41" s="446">
        <f>'[8]Mục 2'!E17</f>
        <v>0</v>
      </c>
      <c r="L41" s="446">
        <f t="shared" si="15"/>
        <v>250</v>
      </c>
      <c r="M41" s="446">
        <f>'[8]Mục 3'!D23</f>
        <v>238</v>
      </c>
      <c r="N41" s="446">
        <f>'[8]Mục 3'!E23</f>
        <v>12</v>
      </c>
      <c r="O41" s="447">
        <f t="shared" si="22"/>
        <v>0</v>
      </c>
      <c r="P41" s="446"/>
      <c r="Q41" s="446"/>
      <c r="R41" s="447">
        <f>S41+T41</f>
        <v>560</v>
      </c>
      <c r="S41" s="446">
        <f>'[8]Mục 5'!D13</f>
        <v>534</v>
      </c>
      <c r="T41" s="446">
        <f>'[8]Mục 5'!E13</f>
        <v>26</v>
      </c>
      <c r="U41" s="446">
        <f t="shared" si="16"/>
        <v>780</v>
      </c>
      <c r="V41" s="446">
        <f>'[8]Mục 6'!D19</f>
        <v>743</v>
      </c>
      <c r="W41" s="446">
        <f>'[8]Mục 6'!E19</f>
        <v>37</v>
      </c>
      <c r="X41" s="446">
        <f t="shared" si="17"/>
        <v>0</v>
      </c>
      <c r="Y41" s="446"/>
      <c r="Z41" s="446"/>
      <c r="AA41" s="446">
        <f t="shared" si="18"/>
        <v>25</v>
      </c>
      <c r="AB41" s="446">
        <f>'[8]Mục 8'!D21</f>
        <v>24</v>
      </c>
      <c r="AC41" s="446">
        <f>'[8]Mục 8'!E21</f>
        <v>1</v>
      </c>
      <c r="AD41" s="446">
        <f t="shared" si="19"/>
        <v>0</v>
      </c>
      <c r="AE41" s="446"/>
      <c r="AF41" s="446"/>
      <c r="AG41" s="446">
        <f t="shared" si="20"/>
        <v>90</v>
      </c>
      <c r="AH41" s="446">
        <f>'[8]Mục 10'!D39</f>
        <v>86</v>
      </c>
      <c r="AI41" s="446">
        <f>'[8]Mục 10'!E39</f>
        <v>4</v>
      </c>
      <c r="AJ41" s="477">
        <f t="shared" si="21"/>
        <v>0</v>
      </c>
      <c r="AK41" s="446">
        <f>'[8]Mục 11'!G15</f>
        <v>0</v>
      </c>
      <c r="AL41" s="446">
        <f>'[8]Mục 11'!H15</f>
        <v>0</v>
      </c>
    </row>
    <row r="42" spans="1:38" s="479" customFormat="1" ht="23.25" customHeight="1" x14ac:dyDescent="0.25">
      <c r="A42" s="448">
        <v>6</v>
      </c>
      <c r="B42" s="476" t="s">
        <v>43</v>
      </c>
      <c r="C42" s="446">
        <f>D42+E42</f>
        <v>850</v>
      </c>
      <c r="D42" s="446">
        <f t="shared" si="6"/>
        <v>808</v>
      </c>
      <c r="E42" s="446">
        <f t="shared" si="6"/>
        <v>42</v>
      </c>
      <c r="F42" s="446">
        <f>G42+H42</f>
        <v>0</v>
      </c>
      <c r="G42" s="446"/>
      <c r="H42" s="446"/>
      <c r="I42" s="446">
        <f>J42+K42</f>
        <v>350</v>
      </c>
      <c r="J42" s="446">
        <f>'[8]Mục 2'!D18</f>
        <v>333</v>
      </c>
      <c r="K42" s="446">
        <f>'[8]Mục 2'!E18</f>
        <v>17</v>
      </c>
      <c r="L42" s="446">
        <f>M42+N42</f>
        <v>410</v>
      </c>
      <c r="M42" s="446">
        <f>'[8]Mục 3'!D24</f>
        <v>390</v>
      </c>
      <c r="N42" s="446">
        <f>'[8]Mục 3'!E24</f>
        <v>20</v>
      </c>
      <c r="O42" s="447">
        <f>P42+Q42</f>
        <v>0</v>
      </c>
      <c r="P42" s="446"/>
      <c r="Q42" s="446"/>
      <c r="R42" s="447"/>
      <c r="S42" s="446"/>
      <c r="T42" s="446"/>
      <c r="U42" s="446">
        <f>V42+W42</f>
        <v>0</v>
      </c>
      <c r="V42" s="446">
        <v>0</v>
      </c>
      <c r="W42" s="446">
        <v>0</v>
      </c>
      <c r="X42" s="446">
        <f>Y42+Z42</f>
        <v>0</v>
      </c>
      <c r="Y42" s="446"/>
      <c r="Z42" s="446"/>
      <c r="AA42" s="446">
        <f>AB42+AC42</f>
        <v>30</v>
      </c>
      <c r="AB42" s="446">
        <f>'[8]Mục 8'!D22</f>
        <v>28</v>
      </c>
      <c r="AC42" s="446">
        <f>'[8]Mục 8'!E22</f>
        <v>2</v>
      </c>
      <c r="AD42" s="446">
        <f>AE42+AF42</f>
        <v>0</v>
      </c>
      <c r="AE42" s="446"/>
      <c r="AF42" s="446"/>
      <c r="AG42" s="446">
        <f>AH42+AI42</f>
        <v>60</v>
      </c>
      <c r="AH42" s="446">
        <f>'[8]Mục 10'!D40</f>
        <v>57</v>
      </c>
      <c r="AI42" s="446">
        <f>'[8]Mục 10'!E40</f>
        <v>3</v>
      </c>
      <c r="AJ42" s="478">
        <f>AK42+AL42</f>
        <v>0</v>
      </c>
      <c r="AK42" s="472"/>
      <c r="AL42" s="472"/>
    </row>
    <row r="43" spans="1:38" s="479" customFormat="1" ht="23.25" customHeight="1" x14ac:dyDescent="0.25">
      <c r="A43" s="448">
        <v>7</v>
      </c>
      <c r="B43" s="476" t="s">
        <v>40</v>
      </c>
      <c r="C43" s="446">
        <f t="shared" si="12"/>
        <v>1030</v>
      </c>
      <c r="D43" s="446">
        <f t="shared" si="6"/>
        <v>981</v>
      </c>
      <c r="E43" s="446">
        <f t="shared" si="6"/>
        <v>49</v>
      </c>
      <c r="F43" s="446">
        <f t="shared" si="13"/>
        <v>0</v>
      </c>
      <c r="G43" s="446"/>
      <c r="H43" s="446"/>
      <c r="I43" s="446">
        <f t="shared" si="14"/>
        <v>350</v>
      </c>
      <c r="J43" s="446">
        <f>'[8]Mục 2'!D19</f>
        <v>333</v>
      </c>
      <c r="K43" s="446">
        <f>'[8]Mục 2'!E19</f>
        <v>17</v>
      </c>
      <c r="L43" s="446">
        <f t="shared" si="15"/>
        <v>450</v>
      </c>
      <c r="M43" s="446">
        <f>'[8]Mục 3'!D25</f>
        <v>429</v>
      </c>
      <c r="N43" s="446">
        <f>'[8]Mục 3'!E25</f>
        <v>21</v>
      </c>
      <c r="O43" s="447">
        <f t="shared" si="22"/>
        <v>0</v>
      </c>
      <c r="P43" s="446"/>
      <c r="Q43" s="446"/>
      <c r="R43" s="447">
        <f>S43+T43</f>
        <v>160</v>
      </c>
      <c r="S43" s="446">
        <f>'[8]Mục 5'!D14</f>
        <v>152</v>
      </c>
      <c r="T43" s="446">
        <f>'[8]Mục 5'!E14</f>
        <v>8</v>
      </c>
      <c r="U43" s="446">
        <f t="shared" si="16"/>
        <v>0</v>
      </c>
      <c r="V43" s="446">
        <f>'[8]Mục 6'!D20</f>
        <v>0</v>
      </c>
      <c r="W43" s="446">
        <f>'[8]Mục 6'!E20</f>
        <v>0</v>
      </c>
      <c r="X43" s="446">
        <f t="shared" si="17"/>
        <v>0</v>
      </c>
      <c r="Y43" s="446"/>
      <c r="Z43" s="446"/>
      <c r="AA43" s="446">
        <f t="shared" si="18"/>
        <v>15</v>
      </c>
      <c r="AB43" s="446">
        <f>'[8]Mục 8'!D23</f>
        <v>14</v>
      </c>
      <c r="AC43" s="446">
        <f>'[8]Mục 8'!E23</f>
        <v>1</v>
      </c>
      <c r="AD43" s="446">
        <f t="shared" si="19"/>
        <v>0</v>
      </c>
      <c r="AE43" s="446"/>
      <c r="AF43" s="446"/>
      <c r="AG43" s="446">
        <f t="shared" si="20"/>
        <v>55</v>
      </c>
      <c r="AH43" s="446">
        <f>'[8]Mục 10'!D41</f>
        <v>53</v>
      </c>
      <c r="AI43" s="446">
        <f>'[8]Mục 10'!E41</f>
        <v>2</v>
      </c>
      <c r="AJ43" s="478">
        <f t="shared" si="21"/>
        <v>0</v>
      </c>
      <c r="AK43" s="472"/>
      <c r="AL43" s="472"/>
    </row>
    <row r="44" spans="1:38" s="439" customFormat="1" ht="23.25" customHeight="1" x14ac:dyDescent="0.25">
      <c r="A44" s="480">
        <v>8</v>
      </c>
      <c r="B44" s="481" t="s">
        <v>45</v>
      </c>
      <c r="C44" s="452">
        <f t="shared" si="12"/>
        <v>3902</v>
      </c>
      <c r="D44" s="452">
        <f t="shared" si="6"/>
        <v>3716</v>
      </c>
      <c r="E44" s="452">
        <f t="shared" si="6"/>
        <v>186</v>
      </c>
      <c r="F44" s="452">
        <f t="shared" si="13"/>
        <v>0</v>
      </c>
      <c r="G44" s="452"/>
      <c r="H44" s="452"/>
      <c r="I44" s="452">
        <f t="shared" si="14"/>
        <v>0</v>
      </c>
      <c r="J44" s="452">
        <f>'[8]Mục 2'!D20</f>
        <v>0</v>
      </c>
      <c r="K44" s="452">
        <f>'[8]Mục 2'!E20</f>
        <v>0</v>
      </c>
      <c r="L44" s="452">
        <f t="shared" si="15"/>
        <v>1292</v>
      </c>
      <c r="M44" s="452">
        <f>'[8]Mục 3'!D26</f>
        <v>1231</v>
      </c>
      <c r="N44" s="452">
        <f>'[8]Mục 3'!E26</f>
        <v>61</v>
      </c>
      <c r="O44" s="453">
        <f t="shared" si="22"/>
        <v>0</v>
      </c>
      <c r="P44" s="452">
        <f>'[8]Mục 4'!D13</f>
        <v>0</v>
      </c>
      <c r="Q44" s="452">
        <f>'[8]Mục 4'!E13</f>
        <v>0</v>
      </c>
      <c r="R44" s="453">
        <f>S44+T44</f>
        <v>60</v>
      </c>
      <c r="S44" s="452">
        <f>'[8]Mục 5'!D11</f>
        <v>57</v>
      </c>
      <c r="T44" s="452">
        <f>'[8]Mục 5'!E11</f>
        <v>3</v>
      </c>
      <c r="U44" s="452">
        <f t="shared" si="16"/>
        <v>2500</v>
      </c>
      <c r="V44" s="452">
        <f>'[8]Mục 6'!D21</f>
        <v>2381</v>
      </c>
      <c r="W44" s="452">
        <f>'[8]Mục 6'!E21</f>
        <v>119</v>
      </c>
      <c r="X44" s="452">
        <f t="shared" si="17"/>
        <v>0</v>
      </c>
      <c r="Y44" s="452"/>
      <c r="Z44" s="452"/>
      <c r="AA44" s="452">
        <f t="shared" si="18"/>
        <v>0</v>
      </c>
      <c r="AB44" s="452">
        <f>'[8]Mục 8'!D24</f>
        <v>0</v>
      </c>
      <c r="AC44" s="452">
        <v>0</v>
      </c>
      <c r="AD44" s="452">
        <f t="shared" si="19"/>
        <v>0</v>
      </c>
      <c r="AE44" s="452"/>
      <c r="AF44" s="452"/>
      <c r="AG44" s="452">
        <f t="shared" si="20"/>
        <v>50</v>
      </c>
      <c r="AH44" s="452">
        <f>'[8]Mục 10'!D42</f>
        <v>47</v>
      </c>
      <c r="AI44" s="452">
        <f>'[8]Mục 10'!E42</f>
        <v>3</v>
      </c>
      <c r="AJ44" s="482">
        <f t="shared" si="21"/>
        <v>0</v>
      </c>
      <c r="AK44" s="483">
        <f>'[8]Mục 11'!G17</f>
        <v>0</v>
      </c>
      <c r="AL44" s="483">
        <f>'[8]Mục 11'!H17</f>
        <v>0</v>
      </c>
    </row>
  </sheetData>
  <mergeCells count="21">
    <mergeCell ref="A1:AL1"/>
    <mergeCell ref="A2:AL2"/>
    <mergeCell ref="AF3:AI3"/>
    <mergeCell ref="AK3:AL3"/>
    <mergeCell ref="A4:A8"/>
    <mergeCell ref="B4:B8"/>
    <mergeCell ref="C4:E8"/>
    <mergeCell ref="F4:AI4"/>
    <mergeCell ref="F5:H8"/>
    <mergeCell ref="I5:K8"/>
    <mergeCell ref="AD5:AF8"/>
    <mergeCell ref="AG5:AI8"/>
    <mergeCell ref="AJ5:AL8"/>
    <mergeCell ref="U5:W8"/>
    <mergeCell ref="X5:Z8"/>
    <mergeCell ref="AA5:AC8"/>
    <mergeCell ref="A10:A11"/>
    <mergeCell ref="B10:B11"/>
    <mergeCell ref="L5:N8"/>
    <mergeCell ref="O5:Q8"/>
    <mergeCell ref="R5:T8"/>
  </mergeCells>
  <pageMargins left="0.59055118110236227" right="0.31496062992125984" top="0.59055118110236227" bottom="0.59055118110236227" header="0.31496062992125984" footer="0.31496062992125984"/>
  <pageSetup paperSize="9" scale="60" firstPageNumber="91" orientation="landscape" useFirstPageNumber="1" r:id="rId1"/>
  <headerFooter>
    <oddHeader>&amp;C&amp;P&amp;RPhụ lục số 7B</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IV34"/>
  <sheetViews>
    <sheetView topLeftCell="A6" zoomScale="85" zoomScaleNormal="85" workbookViewId="0">
      <pane xSplit="2" ySplit="1" topLeftCell="C7" activePane="bottomRight" state="frozen"/>
      <selection activeCell="A6" sqref="A6"/>
      <selection pane="topRight" activeCell="C6" sqref="C6"/>
      <selection pane="bottomLeft" activeCell="A7" sqref="A7"/>
      <selection pane="bottomRight" activeCell="C7" sqref="C7"/>
    </sheetView>
  </sheetViews>
  <sheetFormatPr defaultColWidth="7.75" defaultRowHeight="18.75" x14ac:dyDescent="0.25"/>
  <cols>
    <col min="1" max="1" width="6.75" style="8" customWidth="1"/>
    <col min="2" max="2" width="47.125" style="85" customWidth="1"/>
    <col min="3" max="3" width="12.5" style="8" customWidth="1"/>
    <col min="4" max="4" width="13.25" style="85" customWidth="1"/>
    <col min="5" max="7" width="13.25" style="91" customWidth="1"/>
    <col min="8" max="10" width="13.25" style="85" customWidth="1"/>
    <col min="11" max="11" width="13.25" style="91" customWidth="1"/>
    <col min="12" max="12" width="13.25" style="85" customWidth="1"/>
    <col min="13" max="13" width="13.75" style="85" customWidth="1"/>
    <col min="14" max="14" width="9.25" style="85" bestFit="1" customWidth="1"/>
    <col min="15" max="16384" width="7.75" style="85"/>
  </cols>
  <sheetData>
    <row r="1" spans="1:256" s="84" customFormat="1" ht="24.75" customHeight="1" x14ac:dyDescent="0.25">
      <c r="A1" s="4"/>
      <c r="B1" s="4"/>
      <c r="C1" s="5"/>
      <c r="D1" s="5"/>
      <c r="E1" s="5"/>
      <c r="F1" s="5"/>
      <c r="G1" s="5"/>
      <c r="H1" s="5"/>
      <c r="I1" s="1153" t="s">
        <v>146</v>
      </c>
      <c r="J1" s="1153"/>
      <c r="K1" s="1153"/>
      <c r="L1" s="1153"/>
      <c r="M1" s="1153"/>
      <c r="N1" s="1153"/>
      <c r="O1" s="15"/>
      <c r="P1" s="15"/>
      <c r="Q1" s="15"/>
      <c r="R1" s="15"/>
      <c r="S1" s="15"/>
      <c r="T1" s="15"/>
      <c r="U1" s="15"/>
      <c r="V1" s="15"/>
      <c r="W1" s="15"/>
      <c r="X1" s="15"/>
    </row>
    <row r="2" spans="1:256" s="84" customFormat="1" ht="21.75" customHeight="1" x14ac:dyDescent="0.25">
      <c r="A2" s="1006" t="s">
        <v>58</v>
      </c>
      <c r="B2" s="1006"/>
      <c r="C2" s="1006"/>
      <c r="D2" s="1006"/>
      <c r="E2" s="1006"/>
      <c r="F2" s="1006"/>
      <c r="G2" s="1006"/>
      <c r="H2" s="1006"/>
      <c r="I2" s="1006"/>
      <c r="J2" s="1006"/>
      <c r="K2" s="1006"/>
      <c r="L2" s="1006"/>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1154"/>
      <c r="BK2" s="1154"/>
      <c r="BL2" s="1154"/>
      <c r="BM2" s="1154"/>
      <c r="BN2" s="1154"/>
      <c r="BO2" s="1154"/>
      <c r="BP2" s="1154"/>
      <c r="BQ2" s="1154"/>
      <c r="BR2" s="1154"/>
      <c r="BS2" s="1154"/>
      <c r="BT2" s="1154"/>
      <c r="BU2" s="1154"/>
      <c r="BV2" s="1154"/>
      <c r="BW2" s="1154"/>
      <c r="BX2" s="1154"/>
      <c r="BY2" s="1154"/>
      <c r="BZ2" s="1154"/>
      <c r="CA2" s="1154"/>
      <c r="CB2" s="1154"/>
      <c r="CC2" s="1154"/>
      <c r="CD2" s="1154"/>
      <c r="CE2" s="1154"/>
      <c r="CF2" s="1154"/>
      <c r="CG2" s="1154"/>
      <c r="CH2" s="1154"/>
      <c r="CI2" s="1154"/>
      <c r="CJ2" s="1154"/>
      <c r="CK2" s="1154"/>
      <c r="CL2" s="1154"/>
      <c r="CM2" s="1154"/>
      <c r="CN2" s="1154"/>
      <c r="CO2" s="1154"/>
      <c r="CP2" s="1154"/>
      <c r="CQ2" s="1154"/>
      <c r="CR2" s="1154"/>
      <c r="CS2" s="1154"/>
      <c r="CT2" s="1154"/>
      <c r="CU2" s="1154"/>
      <c r="CV2" s="1154"/>
      <c r="CW2" s="1154"/>
      <c r="CX2" s="1154"/>
      <c r="CY2" s="1154"/>
      <c r="CZ2" s="1154"/>
      <c r="DA2" s="1154"/>
      <c r="DB2" s="1154"/>
      <c r="DC2" s="1154"/>
      <c r="DD2" s="1154"/>
      <c r="DE2" s="1154"/>
      <c r="DF2" s="1154"/>
      <c r="DG2" s="1154"/>
      <c r="DH2" s="1154"/>
      <c r="DI2" s="1154"/>
      <c r="DJ2" s="1154"/>
      <c r="DK2" s="1154"/>
      <c r="DL2" s="1154"/>
      <c r="DM2" s="1154"/>
      <c r="DN2" s="1154"/>
      <c r="DO2" s="1154"/>
      <c r="DP2" s="1154"/>
      <c r="DQ2" s="1154"/>
      <c r="DR2" s="1154"/>
      <c r="DS2" s="1154"/>
      <c r="DT2" s="1154"/>
      <c r="DU2" s="1154"/>
      <c r="DV2" s="1154"/>
      <c r="DW2" s="1154"/>
      <c r="DX2" s="1154"/>
      <c r="DY2" s="1154"/>
      <c r="DZ2" s="1154"/>
      <c r="EA2" s="1154"/>
      <c r="EB2" s="1154"/>
      <c r="EC2" s="1154"/>
      <c r="ED2" s="1154"/>
      <c r="EE2" s="1154"/>
      <c r="EF2" s="1154"/>
      <c r="EG2" s="1154"/>
      <c r="EH2" s="1154"/>
      <c r="EI2" s="1154"/>
      <c r="EJ2" s="1154"/>
      <c r="EK2" s="1154"/>
      <c r="EL2" s="1154"/>
      <c r="EM2" s="1154"/>
      <c r="EN2" s="1154"/>
      <c r="EO2" s="1154"/>
      <c r="EP2" s="1154"/>
      <c r="EQ2" s="1154"/>
      <c r="ER2" s="1154"/>
      <c r="ES2" s="1154"/>
      <c r="ET2" s="1154"/>
      <c r="EU2" s="1154"/>
      <c r="EV2" s="1154"/>
      <c r="EW2" s="1154"/>
      <c r="EX2" s="1154"/>
      <c r="EY2" s="1154"/>
      <c r="EZ2" s="1154"/>
      <c r="FA2" s="1154"/>
      <c r="FB2" s="1154"/>
      <c r="FC2" s="1154"/>
      <c r="FD2" s="1154"/>
      <c r="FE2" s="1154"/>
      <c r="FF2" s="1154"/>
      <c r="FG2" s="1154"/>
      <c r="FH2" s="1154"/>
      <c r="FI2" s="1154"/>
      <c r="FJ2" s="1154"/>
      <c r="FK2" s="1154"/>
      <c r="FL2" s="1154"/>
      <c r="FM2" s="1154"/>
      <c r="FN2" s="1154"/>
      <c r="FO2" s="1154"/>
      <c r="FP2" s="1154"/>
      <c r="FQ2" s="1154"/>
      <c r="FR2" s="1154"/>
      <c r="FS2" s="1154"/>
      <c r="FT2" s="1154"/>
      <c r="FU2" s="1154"/>
      <c r="FV2" s="1154"/>
      <c r="FW2" s="1154"/>
      <c r="FX2" s="1154"/>
      <c r="FY2" s="1154"/>
      <c r="FZ2" s="1154"/>
      <c r="GA2" s="1154"/>
      <c r="GB2" s="1154"/>
      <c r="GC2" s="1154"/>
      <c r="GD2" s="1154"/>
      <c r="GE2" s="1154"/>
      <c r="GF2" s="1154"/>
      <c r="GG2" s="1154"/>
      <c r="GH2" s="1154"/>
      <c r="GI2" s="1154"/>
      <c r="GJ2" s="1154"/>
      <c r="GK2" s="1154"/>
      <c r="GL2" s="1154"/>
      <c r="GM2" s="1154"/>
      <c r="GN2" s="1154"/>
      <c r="GO2" s="1154"/>
      <c r="GP2" s="1154"/>
      <c r="GQ2" s="1154"/>
      <c r="GR2" s="1154"/>
      <c r="GS2" s="1154"/>
      <c r="GT2" s="1154"/>
      <c r="GU2" s="1154"/>
      <c r="GV2" s="1154"/>
      <c r="GW2" s="1154"/>
      <c r="GX2" s="1154"/>
      <c r="GY2" s="1154"/>
      <c r="GZ2" s="1154"/>
      <c r="HA2" s="1154"/>
      <c r="HB2" s="1154"/>
      <c r="HC2" s="1154"/>
      <c r="HD2" s="1154"/>
      <c r="HE2" s="1154"/>
      <c r="HF2" s="1154"/>
      <c r="HG2" s="1154"/>
      <c r="HH2" s="1154"/>
      <c r="HI2" s="1154"/>
      <c r="HJ2" s="1154"/>
      <c r="HK2" s="1154"/>
      <c r="HL2" s="1154"/>
      <c r="HM2" s="1154"/>
      <c r="HN2" s="1154"/>
      <c r="HO2" s="1154"/>
      <c r="HP2" s="1154"/>
      <c r="HQ2" s="1154"/>
      <c r="HR2" s="1154"/>
      <c r="HS2" s="1154"/>
      <c r="HT2" s="1154"/>
      <c r="HU2" s="1154"/>
      <c r="HV2" s="1154"/>
      <c r="HW2" s="1154"/>
      <c r="HX2" s="1154"/>
      <c r="HY2" s="1154"/>
      <c r="HZ2" s="1154"/>
      <c r="IA2" s="1154"/>
      <c r="IB2" s="1154"/>
      <c r="IC2" s="1154"/>
      <c r="ID2" s="1154"/>
      <c r="IE2" s="1154"/>
      <c r="IF2" s="1154"/>
      <c r="IG2" s="1154"/>
      <c r="IH2" s="1154"/>
      <c r="II2" s="1154"/>
      <c r="IJ2" s="1154"/>
      <c r="IK2" s="1154"/>
      <c r="IL2" s="1154"/>
      <c r="IM2" s="1154"/>
      <c r="IN2" s="1154"/>
      <c r="IO2" s="1154"/>
      <c r="IP2" s="1154"/>
      <c r="IQ2" s="1154"/>
      <c r="IR2" s="1154"/>
      <c r="IS2" s="1154"/>
      <c r="IT2" s="1154"/>
      <c r="IU2" s="1154"/>
      <c r="IV2" s="1154"/>
    </row>
    <row r="3" spans="1:256" s="84" customFormat="1" ht="21.75" customHeight="1" x14ac:dyDescent="0.25">
      <c r="A3" s="1006" t="s">
        <v>59</v>
      </c>
      <c r="B3" s="1006"/>
      <c r="C3" s="1006"/>
      <c r="D3" s="1006"/>
      <c r="E3" s="1006"/>
      <c r="F3" s="1006"/>
      <c r="G3" s="1006"/>
      <c r="H3" s="1006"/>
      <c r="I3" s="1006"/>
      <c r="J3" s="1006"/>
      <c r="K3" s="1006"/>
      <c r="L3" s="1006"/>
      <c r="M3" s="9"/>
      <c r="N3" s="9"/>
      <c r="O3" s="15"/>
      <c r="P3" s="15"/>
      <c r="Q3" s="15"/>
      <c r="R3" s="15"/>
      <c r="S3" s="15"/>
      <c r="T3" s="15"/>
      <c r="U3" s="15"/>
      <c r="V3" s="15"/>
      <c r="W3" s="15"/>
      <c r="X3" s="15"/>
    </row>
    <row r="4" spans="1:256" s="84" customFormat="1" ht="21.75" customHeight="1" x14ac:dyDescent="0.25">
      <c r="A4" s="1154" t="s">
        <v>145</v>
      </c>
      <c r="B4" s="1154"/>
      <c r="C4" s="1154"/>
      <c r="D4" s="1154"/>
      <c r="E4" s="1154"/>
      <c r="F4" s="1154"/>
      <c r="G4" s="1154"/>
      <c r="H4" s="1154"/>
      <c r="I4" s="1154"/>
      <c r="J4" s="1154"/>
      <c r="K4" s="1154"/>
      <c r="L4" s="1154"/>
      <c r="M4" s="9"/>
      <c r="N4" s="9"/>
      <c r="O4" s="15"/>
      <c r="P4" s="15"/>
      <c r="Q4" s="15"/>
      <c r="R4" s="15"/>
      <c r="S4" s="15"/>
      <c r="T4" s="15"/>
      <c r="U4" s="15"/>
      <c r="V4" s="15"/>
      <c r="W4" s="15"/>
      <c r="X4" s="15"/>
    </row>
    <row r="5" spans="1:256" ht="24" customHeight="1" x14ac:dyDescent="0.25">
      <c r="A5" s="104"/>
      <c r="B5" s="105"/>
      <c r="C5" s="104"/>
      <c r="D5" s="105"/>
      <c r="E5" s="106"/>
      <c r="F5" s="106"/>
      <c r="G5" s="106"/>
      <c r="H5" s="106"/>
      <c r="I5" s="106"/>
      <c r="J5" s="1155"/>
      <c r="K5" s="1155"/>
      <c r="L5" s="1155"/>
    </row>
    <row r="6" spans="1:256" s="7" customFormat="1" ht="50.25" customHeight="1" x14ac:dyDescent="0.25">
      <c r="A6" s="102" t="s">
        <v>1</v>
      </c>
      <c r="B6" s="102" t="s">
        <v>35</v>
      </c>
      <c r="C6" s="102" t="s">
        <v>36</v>
      </c>
      <c r="D6" s="102" t="s">
        <v>37</v>
      </c>
      <c r="E6" s="103" t="s">
        <v>38</v>
      </c>
      <c r="F6" s="103" t="s">
        <v>39</v>
      </c>
      <c r="G6" s="103" t="s">
        <v>40</v>
      </c>
      <c r="H6" s="102" t="s">
        <v>41</v>
      </c>
      <c r="I6" s="102" t="s">
        <v>42</v>
      </c>
      <c r="J6" s="102" t="s">
        <v>43</v>
      </c>
      <c r="K6" s="103" t="s">
        <v>44</v>
      </c>
      <c r="L6" s="102" t="s">
        <v>45</v>
      </c>
      <c r="M6" s="12"/>
      <c r="N6" s="12"/>
      <c r="O6" s="12"/>
      <c r="P6" s="12"/>
      <c r="Q6" s="12"/>
      <c r="R6" s="12"/>
      <c r="S6" s="12"/>
      <c r="T6" s="12"/>
      <c r="U6" s="12"/>
      <c r="V6" s="12"/>
      <c r="W6" s="12"/>
      <c r="X6" s="12"/>
    </row>
    <row r="7" spans="1:256" s="7" customFormat="1" ht="24" customHeight="1" x14ac:dyDescent="0.25">
      <c r="A7" s="107" t="s">
        <v>46</v>
      </c>
      <c r="B7" s="122" t="s">
        <v>47</v>
      </c>
      <c r="C7" s="107"/>
      <c r="D7" s="107"/>
      <c r="E7" s="108"/>
      <c r="F7" s="108"/>
      <c r="G7" s="108"/>
      <c r="H7" s="107"/>
      <c r="I7" s="107"/>
      <c r="J7" s="107"/>
      <c r="K7" s="108"/>
      <c r="L7" s="107"/>
      <c r="M7" s="12"/>
      <c r="N7" s="12"/>
      <c r="O7" s="12"/>
      <c r="P7" s="12"/>
      <c r="Q7" s="12"/>
      <c r="R7" s="12"/>
      <c r="S7" s="12"/>
      <c r="T7" s="12"/>
      <c r="U7" s="12"/>
      <c r="V7" s="12"/>
      <c r="W7" s="12"/>
      <c r="X7" s="12"/>
    </row>
    <row r="8" spans="1:256" s="7" customFormat="1" ht="24" customHeight="1" x14ac:dyDescent="0.25">
      <c r="A8" s="109"/>
      <c r="B8" s="121" t="s">
        <v>139</v>
      </c>
      <c r="C8" s="109"/>
      <c r="D8" s="109"/>
      <c r="E8" s="110"/>
      <c r="F8" s="110"/>
      <c r="G8" s="110"/>
      <c r="H8" s="109"/>
      <c r="I8" s="109"/>
      <c r="J8" s="109"/>
      <c r="K8" s="110"/>
      <c r="L8" s="109"/>
      <c r="M8" s="12"/>
      <c r="N8" s="12"/>
      <c r="O8" s="12"/>
      <c r="P8" s="12"/>
      <c r="Q8" s="12"/>
      <c r="R8" s="12"/>
      <c r="S8" s="12"/>
      <c r="T8" s="12"/>
      <c r="U8" s="12"/>
      <c r="V8" s="12"/>
      <c r="W8" s="12"/>
      <c r="X8" s="12"/>
    </row>
    <row r="9" spans="1:256" ht="24" customHeight="1" x14ac:dyDescent="0.25">
      <c r="A9" s="111">
        <v>1</v>
      </c>
      <c r="B9" s="112" t="s">
        <v>48</v>
      </c>
      <c r="C9" s="111" t="s">
        <v>49</v>
      </c>
      <c r="D9" s="124">
        <f>SUM(E9:L9)</f>
        <v>905</v>
      </c>
      <c r="E9" s="125">
        <v>239</v>
      </c>
      <c r="F9" s="125">
        <v>53</v>
      </c>
      <c r="G9" s="125">
        <v>0</v>
      </c>
      <c r="H9" s="124">
        <v>11</v>
      </c>
      <c r="I9" s="124">
        <v>22</v>
      </c>
      <c r="J9" s="124">
        <v>441</v>
      </c>
      <c r="K9" s="125">
        <v>139</v>
      </c>
      <c r="L9" s="124">
        <v>0</v>
      </c>
      <c r="M9" s="16"/>
      <c r="N9" s="16"/>
      <c r="O9" s="16"/>
      <c r="P9" s="16"/>
      <c r="Q9" s="16"/>
      <c r="R9" s="16"/>
      <c r="S9" s="16"/>
      <c r="T9" s="16"/>
      <c r="U9" s="16"/>
      <c r="V9" s="16"/>
      <c r="W9" s="16"/>
      <c r="X9" s="16"/>
    </row>
    <row r="10" spans="1:256" ht="24" customHeight="1" x14ac:dyDescent="0.25">
      <c r="A10" s="111">
        <v>2</v>
      </c>
      <c r="B10" s="112" t="s">
        <v>50</v>
      </c>
      <c r="C10" s="111" t="s">
        <v>49</v>
      </c>
      <c r="D10" s="124">
        <f>SUM(E10:L10)</f>
        <v>3973</v>
      </c>
      <c r="E10" s="125">
        <v>385</v>
      </c>
      <c r="F10" s="125">
        <v>442</v>
      </c>
      <c r="G10" s="125">
        <v>414</v>
      </c>
      <c r="H10" s="124">
        <v>248</v>
      </c>
      <c r="I10" s="124">
        <v>746</v>
      </c>
      <c r="J10" s="124">
        <v>1117</v>
      </c>
      <c r="K10" s="125">
        <v>614</v>
      </c>
      <c r="L10" s="124">
        <v>7</v>
      </c>
      <c r="M10" s="16"/>
      <c r="N10" s="16"/>
      <c r="O10" s="16"/>
      <c r="P10" s="16"/>
      <c r="Q10" s="16"/>
      <c r="R10" s="16"/>
      <c r="S10" s="16"/>
      <c r="T10" s="16"/>
      <c r="U10" s="16"/>
      <c r="V10" s="16"/>
      <c r="W10" s="16"/>
      <c r="X10" s="16"/>
    </row>
    <row r="11" spans="1:256" ht="39.75" customHeight="1" x14ac:dyDescent="0.25">
      <c r="A11" s="109"/>
      <c r="B11" s="121" t="s">
        <v>140</v>
      </c>
      <c r="C11" s="109"/>
      <c r="D11" s="124"/>
      <c r="E11" s="125"/>
      <c r="F11" s="125"/>
      <c r="G11" s="125"/>
      <c r="H11" s="124"/>
      <c r="I11" s="124"/>
      <c r="J11" s="124"/>
      <c r="K11" s="125"/>
      <c r="L11" s="124"/>
      <c r="M11" s="16"/>
      <c r="N11" s="16"/>
      <c r="O11" s="16"/>
      <c r="P11" s="16"/>
      <c r="Q11" s="16"/>
      <c r="R11" s="16"/>
      <c r="S11" s="16"/>
      <c r="T11" s="16"/>
      <c r="U11" s="16"/>
      <c r="V11" s="16"/>
      <c r="W11" s="16"/>
      <c r="X11" s="16"/>
    </row>
    <row r="12" spans="1:256" ht="24" customHeight="1" x14ac:dyDescent="0.25">
      <c r="A12" s="111">
        <v>1</v>
      </c>
      <c r="B12" s="112" t="s">
        <v>48</v>
      </c>
      <c r="C12" s="111" t="s">
        <v>49</v>
      </c>
      <c r="D12" s="124">
        <f>SUM(E12:L12)</f>
        <v>246</v>
      </c>
      <c r="E12" s="125">
        <v>50</v>
      </c>
      <c r="F12" s="125">
        <v>19</v>
      </c>
      <c r="G12" s="125">
        <v>0</v>
      </c>
      <c r="H12" s="124">
        <v>8</v>
      </c>
      <c r="I12" s="124">
        <v>6</v>
      </c>
      <c r="J12" s="124">
        <v>134</v>
      </c>
      <c r="K12" s="125">
        <v>29</v>
      </c>
      <c r="L12" s="124">
        <v>0</v>
      </c>
      <c r="M12" s="16"/>
      <c r="N12" s="16"/>
      <c r="O12" s="16"/>
      <c r="P12" s="16"/>
      <c r="Q12" s="16"/>
      <c r="R12" s="16"/>
      <c r="S12" s="16"/>
      <c r="T12" s="16"/>
      <c r="U12" s="16"/>
      <c r="V12" s="16"/>
      <c r="W12" s="16"/>
      <c r="X12" s="16"/>
    </row>
    <row r="13" spans="1:256" ht="24" customHeight="1" x14ac:dyDescent="0.25">
      <c r="A13" s="111">
        <v>2</v>
      </c>
      <c r="B13" s="112" t="s">
        <v>50</v>
      </c>
      <c r="C13" s="111" t="s">
        <v>49</v>
      </c>
      <c r="D13" s="124">
        <f>SUM(E13:L13)</f>
        <v>490</v>
      </c>
      <c r="E13" s="125">
        <v>58</v>
      </c>
      <c r="F13" s="125">
        <v>50</v>
      </c>
      <c r="G13" s="125">
        <v>70</v>
      </c>
      <c r="H13" s="124">
        <v>31</v>
      </c>
      <c r="I13" s="124">
        <v>119</v>
      </c>
      <c r="J13" s="124">
        <v>62</v>
      </c>
      <c r="K13" s="125">
        <v>98</v>
      </c>
      <c r="L13" s="124">
        <v>2</v>
      </c>
      <c r="M13" s="16"/>
      <c r="N13" s="16"/>
      <c r="O13" s="16"/>
      <c r="P13" s="16"/>
      <c r="Q13" s="16"/>
      <c r="R13" s="16"/>
      <c r="S13" s="16"/>
      <c r="T13" s="16"/>
      <c r="U13" s="16"/>
      <c r="V13" s="16"/>
      <c r="W13" s="16"/>
      <c r="X13" s="16"/>
    </row>
    <row r="14" spans="1:256" ht="24" customHeight="1" x14ac:dyDescent="0.25">
      <c r="A14" s="109"/>
      <c r="B14" s="121" t="s">
        <v>147</v>
      </c>
      <c r="C14" s="109"/>
      <c r="D14" s="124"/>
      <c r="E14" s="125"/>
      <c r="F14" s="125"/>
      <c r="G14" s="125"/>
      <c r="H14" s="124"/>
      <c r="I14" s="124"/>
      <c r="J14" s="124"/>
      <c r="K14" s="125"/>
      <c r="L14" s="124"/>
      <c r="M14" s="16"/>
      <c r="N14" s="16"/>
      <c r="O14" s="16"/>
      <c r="P14" s="16"/>
      <c r="Q14" s="16"/>
      <c r="R14" s="16"/>
      <c r="S14" s="16"/>
      <c r="T14" s="16"/>
      <c r="U14" s="16"/>
      <c r="V14" s="16"/>
      <c r="W14" s="16"/>
      <c r="X14" s="16"/>
    </row>
    <row r="15" spans="1:256" ht="24" customHeight="1" x14ac:dyDescent="0.25">
      <c r="A15" s="111">
        <v>1</v>
      </c>
      <c r="B15" s="112" t="s">
        <v>48</v>
      </c>
      <c r="C15" s="111" t="s">
        <v>49</v>
      </c>
      <c r="D15" s="124">
        <f>SUM(E15:L15)</f>
        <v>659</v>
      </c>
      <c r="E15" s="125">
        <f>E9-E12</f>
        <v>189</v>
      </c>
      <c r="F15" s="125">
        <f t="shared" ref="F15:L15" si="0">F9-F12</f>
        <v>34</v>
      </c>
      <c r="G15" s="125">
        <f t="shared" si="0"/>
        <v>0</v>
      </c>
      <c r="H15" s="125">
        <f t="shared" si="0"/>
        <v>3</v>
      </c>
      <c r="I15" s="125">
        <f t="shared" si="0"/>
        <v>16</v>
      </c>
      <c r="J15" s="125">
        <f t="shared" si="0"/>
        <v>307</v>
      </c>
      <c r="K15" s="125">
        <f t="shared" si="0"/>
        <v>110</v>
      </c>
      <c r="L15" s="125">
        <f t="shared" si="0"/>
        <v>0</v>
      </c>
      <c r="M15" s="16"/>
      <c r="N15" s="16"/>
      <c r="O15" s="16"/>
      <c r="P15" s="16"/>
      <c r="Q15" s="16"/>
      <c r="R15" s="16"/>
      <c r="S15" s="16"/>
      <c r="T15" s="16"/>
      <c r="U15" s="16"/>
      <c r="V15" s="16"/>
      <c r="W15" s="16"/>
      <c r="X15" s="16"/>
    </row>
    <row r="16" spans="1:256" ht="24" customHeight="1" x14ac:dyDescent="0.25">
      <c r="A16" s="111">
        <v>2</v>
      </c>
      <c r="B16" s="112" t="s">
        <v>50</v>
      </c>
      <c r="C16" s="111" t="s">
        <v>49</v>
      </c>
      <c r="D16" s="124">
        <f>SUM(E16:L16)</f>
        <v>3483</v>
      </c>
      <c r="E16" s="125">
        <f>E10-E13</f>
        <v>327</v>
      </c>
      <c r="F16" s="125">
        <f t="shared" ref="F16:L16" si="1">F10-F13</f>
        <v>392</v>
      </c>
      <c r="G16" s="125">
        <f t="shared" si="1"/>
        <v>344</v>
      </c>
      <c r="H16" s="125">
        <f t="shared" si="1"/>
        <v>217</v>
      </c>
      <c r="I16" s="125">
        <f t="shared" si="1"/>
        <v>627</v>
      </c>
      <c r="J16" s="125">
        <f t="shared" si="1"/>
        <v>1055</v>
      </c>
      <c r="K16" s="125">
        <f t="shared" si="1"/>
        <v>516</v>
      </c>
      <c r="L16" s="125">
        <f t="shared" si="1"/>
        <v>5</v>
      </c>
      <c r="M16" s="16"/>
      <c r="N16" s="16"/>
      <c r="O16" s="16"/>
      <c r="P16" s="16"/>
      <c r="Q16" s="16"/>
      <c r="R16" s="16"/>
      <c r="S16" s="16"/>
      <c r="T16" s="16"/>
      <c r="U16" s="16"/>
      <c r="V16" s="16"/>
      <c r="W16" s="16"/>
      <c r="X16" s="16"/>
    </row>
    <row r="17" spans="1:24" ht="24" customHeight="1" x14ac:dyDescent="0.25">
      <c r="A17" s="109"/>
      <c r="B17" s="121" t="s">
        <v>141</v>
      </c>
      <c r="C17" s="111"/>
      <c r="D17" s="124"/>
      <c r="E17" s="125"/>
      <c r="F17" s="125"/>
      <c r="G17" s="125"/>
      <c r="H17" s="124"/>
      <c r="I17" s="124"/>
      <c r="J17" s="124"/>
      <c r="K17" s="125"/>
      <c r="L17" s="124"/>
      <c r="M17" s="16"/>
      <c r="N17" s="16"/>
      <c r="O17" s="16"/>
      <c r="P17" s="16"/>
      <c r="Q17" s="16"/>
      <c r="R17" s="16"/>
      <c r="S17" s="16"/>
      <c r="T17" s="16"/>
      <c r="U17" s="16"/>
      <c r="V17" s="16"/>
      <c r="W17" s="16"/>
      <c r="X17" s="16"/>
    </row>
    <row r="18" spans="1:24" ht="24" customHeight="1" x14ac:dyDescent="0.25">
      <c r="A18" s="111">
        <v>1</v>
      </c>
      <c r="B18" s="112" t="s">
        <v>48</v>
      </c>
      <c r="C18" s="111" t="s">
        <v>49</v>
      </c>
      <c r="D18" s="124">
        <f t="shared" ref="D18:D19" si="2">SUM(E18:L18)</f>
        <v>0</v>
      </c>
      <c r="E18" s="125">
        <f>E9-E12-E15</f>
        <v>0</v>
      </c>
      <c r="F18" s="125">
        <f t="shared" ref="F18:L18" si="3">F9-F12-F15</f>
        <v>0</v>
      </c>
      <c r="G18" s="125">
        <f t="shared" si="3"/>
        <v>0</v>
      </c>
      <c r="H18" s="125">
        <f t="shared" si="3"/>
        <v>0</v>
      </c>
      <c r="I18" s="125">
        <f t="shared" si="3"/>
        <v>0</v>
      </c>
      <c r="J18" s="125">
        <f t="shared" si="3"/>
        <v>0</v>
      </c>
      <c r="K18" s="125">
        <f t="shared" si="3"/>
        <v>0</v>
      </c>
      <c r="L18" s="125">
        <f t="shared" si="3"/>
        <v>0</v>
      </c>
      <c r="M18" s="16"/>
      <c r="N18" s="16"/>
      <c r="O18" s="16"/>
      <c r="P18" s="16"/>
      <c r="Q18" s="16"/>
      <c r="R18" s="16"/>
      <c r="S18" s="16"/>
      <c r="T18" s="16"/>
      <c r="U18" s="16"/>
      <c r="V18" s="16"/>
      <c r="W18" s="16"/>
      <c r="X18" s="16"/>
    </row>
    <row r="19" spans="1:24" ht="24" customHeight="1" x14ac:dyDescent="0.25">
      <c r="A19" s="111">
        <v>2</v>
      </c>
      <c r="B19" s="112" t="s">
        <v>50</v>
      </c>
      <c r="C19" s="111" t="s">
        <v>49</v>
      </c>
      <c r="D19" s="124">
        <f t="shared" si="2"/>
        <v>0</v>
      </c>
      <c r="E19" s="125">
        <f>E10-E13-E16</f>
        <v>0</v>
      </c>
      <c r="F19" s="125">
        <f t="shared" ref="F19:L19" si="4">F10-F13-F16</f>
        <v>0</v>
      </c>
      <c r="G19" s="125">
        <f t="shared" si="4"/>
        <v>0</v>
      </c>
      <c r="H19" s="125">
        <f t="shared" si="4"/>
        <v>0</v>
      </c>
      <c r="I19" s="125">
        <f t="shared" si="4"/>
        <v>0</v>
      </c>
      <c r="J19" s="125">
        <f t="shared" si="4"/>
        <v>0</v>
      </c>
      <c r="K19" s="125">
        <f t="shared" si="4"/>
        <v>0</v>
      </c>
      <c r="L19" s="125">
        <f t="shared" si="4"/>
        <v>0</v>
      </c>
      <c r="M19" s="16"/>
      <c r="N19" s="16"/>
      <c r="O19" s="16"/>
      <c r="P19" s="16"/>
      <c r="Q19" s="16"/>
      <c r="R19" s="16"/>
      <c r="S19" s="16"/>
      <c r="T19" s="16"/>
      <c r="U19" s="16"/>
      <c r="V19" s="16"/>
      <c r="W19" s="16"/>
      <c r="X19" s="16"/>
    </row>
    <row r="20" spans="1:24" s="86" customFormat="1" ht="24" customHeight="1" x14ac:dyDescent="0.25">
      <c r="A20" s="109" t="s">
        <v>31</v>
      </c>
      <c r="B20" s="121" t="s">
        <v>79</v>
      </c>
      <c r="C20" s="109"/>
      <c r="D20" s="126">
        <f>SUM(D21:D22)</f>
        <v>170.39</v>
      </c>
      <c r="E20" s="126">
        <f t="shared" ref="E20:L20" si="5">SUM(E21:E22)</f>
        <v>28.71</v>
      </c>
      <c r="F20" s="126">
        <f t="shared" si="5"/>
        <v>15.16</v>
      </c>
      <c r="G20" s="126">
        <f t="shared" si="5"/>
        <v>10.32</v>
      </c>
      <c r="H20" s="126">
        <f t="shared" si="5"/>
        <v>6.81</v>
      </c>
      <c r="I20" s="126">
        <f t="shared" si="5"/>
        <v>20.41</v>
      </c>
      <c r="J20" s="126">
        <f t="shared" si="5"/>
        <v>62.35</v>
      </c>
      <c r="K20" s="126">
        <f t="shared" si="5"/>
        <v>26.479999999999997</v>
      </c>
      <c r="L20" s="126">
        <f t="shared" si="5"/>
        <v>0.15</v>
      </c>
      <c r="M20" s="17"/>
      <c r="N20" s="17"/>
      <c r="O20" s="17"/>
      <c r="P20" s="17"/>
      <c r="Q20" s="17"/>
      <c r="R20" s="17"/>
      <c r="S20" s="17"/>
      <c r="T20" s="17"/>
      <c r="U20" s="17"/>
      <c r="V20" s="17"/>
      <c r="W20" s="17"/>
      <c r="X20" s="17"/>
    </row>
    <row r="21" spans="1:24" ht="24" customHeight="1" x14ac:dyDescent="0.25">
      <c r="A21" s="111">
        <v>1</v>
      </c>
      <c r="B21" s="112" t="s">
        <v>52</v>
      </c>
      <c r="C21" s="111">
        <v>0.1</v>
      </c>
      <c r="D21" s="124">
        <f>SUM(E21:L21)</f>
        <v>65.900000000000006</v>
      </c>
      <c r="E21" s="125">
        <f>$C$21*E15</f>
        <v>18.900000000000002</v>
      </c>
      <c r="F21" s="125">
        <f t="shared" ref="F21:L21" si="6">$C$21*F15</f>
        <v>3.4000000000000004</v>
      </c>
      <c r="G21" s="125">
        <f t="shared" si="6"/>
        <v>0</v>
      </c>
      <c r="H21" s="125">
        <f t="shared" si="6"/>
        <v>0.30000000000000004</v>
      </c>
      <c r="I21" s="125">
        <f t="shared" si="6"/>
        <v>1.6</v>
      </c>
      <c r="J21" s="125">
        <f t="shared" si="6"/>
        <v>30.700000000000003</v>
      </c>
      <c r="K21" s="125">
        <f t="shared" si="6"/>
        <v>11</v>
      </c>
      <c r="L21" s="125">
        <f t="shared" si="6"/>
        <v>0</v>
      </c>
      <c r="M21" s="16"/>
      <c r="N21" s="16"/>
      <c r="O21" s="16"/>
      <c r="P21" s="16"/>
      <c r="Q21" s="16"/>
      <c r="R21" s="16"/>
      <c r="S21" s="16"/>
      <c r="T21" s="16"/>
      <c r="U21" s="16"/>
      <c r="V21" s="16"/>
      <c r="W21" s="16"/>
      <c r="X21" s="16"/>
    </row>
    <row r="22" spans="1:24" ht="24" customHeight="1" x14ac:dyDescent="0.25">
      <c r="A22" s="111">
        <v>2</v>
      </c>
      <c r="B22" s="112" t="s">
        <v>53</v>
      </c>
      <c r="C22" s="111">
        <v>0.03</v>
      </c>
      <c r="D22" s="124">
        <f>SUM(E22:L22)</f>
        <v>104.49</v>
      </c>
      <c r="E22" s="125">
        <f>$C$22*E16</f>
        <v>9.81</v>
      </c>
      <c r="F22" s="125">
        <f t="shared" ref="F22:L22" si="7">$C$22*F16</f>
        <v>11.76</v>
      </c>
      <c r="G22" s="125">
        <f t="shared" si="7"/>
        <v>10.32</v>
      </c>
      <c r="H22" s="125">
        <f t="shared" si="7"/>
        <v>6.51</v>
      </c>
      <c r="I22" s="125">
        <f t="shared" si="7"/>
        <v>18.809999999999999</v>
      </c>
      <c r="J22" s="125">
        <f t="shared" si="7"/>
        <v>31.65</v>
      </c>
      <c r="K22" s="125">
        <f t="shared" si="7"/>
        <v>15.479999999999999</v>
      </c>
      <c r="L22" s="125">
        <f t="shared" si="7"/>
        <v>0.15</v>
      </c>
      <c r="M22" s="16"/>
      <c r="N22" s="16"/>
      <c r="O22" s="16"/>
      <c r="P22" s="16"/>
      <c r="Q22" s="16"/>
      <c r="R22" s="16"/>
      <c r="S22" s="16"/>
      <c r="T22" s="16"/>
      <c r="U22" s="16"/>
      <c r="V22" s="16"/>
      <c r="W22" s="16"/>
      <c r="X22" s="16"/>
    </row>
    <row r="23" spans="1:24" s="88" customFormat="1" ht="24" customHeight="1" x14ac:dyDescent="0.25">
      <c r="A23" s="114" t="s">
        <v>54</v>
      </c>
      <c r="B23" s="115" t="s">
        <v>148</v>
      </c>
      <c r="C23" s="114"/>
      <c r="D23" s="128">
        <v>17933</v>
      </c>
      <c r="E23" s="129">
        <f t="shared" ref="E23:L23" si="8">SUM(E24:E25)</f>
        <v>3021.6352485474508</v>
      </c>
      <c r="F23" s="129">
        <f t="shared" si="8"/>
        <v>1595.5412876342509</v>
      </c>
      <c r="G23" s="127">
        <f t="shared" si="8"/>
        <v>1086.1468396032633</v>
      </c>
      <c r="H23" s="126">
        <f t="shared" si="8"/>
        <v>716.73061799401376</v>
      </c>
      <c r="I23" s="126">
        <f t="shared" si="8"/>
        <v>2148.0869182463762</v>
      </c>
      <c r="J23" s="126">
        <f t="shared" si="8"/>
        <v>6562.1371559363815</v>
      </c>
      <c r="K23" s="129">
        <f t="shared" si="8"/>
        <v>2786.934914020776</v>
      </c>
      <c r="L23" s="128">
        <f t="shared" si="8"/>
        <v>15.78701801748929</v>
      </c>
      <c r="M23" s="87"/>
      <c r="N23" s="87"/>
      <c r="O23" s="87"/>
      <c r="P23" s="87"/>
      <c r="Q23" s="87"/>
      <c r="R23" s="87"/>
      <c r="S23" s="87"/>
      <c r="T23" s="87"/>
      <c r="U23" s="87"/>
      <c r="V23" s="87"/>
      <c r="W23" s="87"/>
      <c r="X23" s="87"/>
    </row>
    <row r="24" spans="1:24" s="89" customFormat="1" ht="24" customHeight="1" x14ac:dyDescent="0.25">
      <c r="A24" s="116">
        <v>1</v>
      </c>
      <c r="B24" s="117" t="s">
        <v>151</v>
      </c>
      <c r="C24" s="116" t="s">
        <v>55</v>
      </c>
      <c r="D24" s="130">
        <f>SUM(E24:L24)</f>
        <v>6935.7632490169617</v>
      </c>
      <c r="E24" s="131">
        <f>$D$23/$D$20*E21</f>
        <v>1989.1642702036509</v>
      </c>
      <c r="F24" s="131">
        <f>$D$23/$D$20*F21</f>
        <v>357.8390750630906</v>
      </c>
      <c r="G24" s="131">
        <f t="shared" ref="G24:L24" si="9">$D$23/$D$20*G21</f>
        <v>0</v>
      </c>
      <c r="H24" s="131">
        <f t="shared" si="9"/>
        <v>31.574036034978587</v>
      </c>
      <c r="I24" s="131">
        <f t="shared" si="9"/>
        <v>168.39485885321912</v>
      </c>
      <c r="J24" s="131">
        <f t="shared" si="9"/>
        <v>3231.0763542461418</v>
      </c>
      <c r="K24" s="131">
        <f>$D$23/$D$20*K21</f>
        <v>1157.7146546158813</v>
      </c>
      <c r="L24" s="131">
        <f t="shared" si="9"/>
        <v>0</v>
      </c>
      <c r="M24" s="18"/>
      <c r="N24" s="18"/>
      <c r="O24" s="18"/>
      <c r="P24" s="18"/>
      <c r="Q24" s="18"/>
      <c r="R24" s="18"/>
      <c r="S24" s="18"/>
      <c r="T24" s="18"/>
      <c r="U24" s="18"/>
      <c r="V24" s="18"/>
      <c r="W24" s="18"/>
      <c r="X24" s="18"/>
    </row>
    <row r="25" spans="1:24" s="89" customFormat="1" ht="24" customHeight="1" x14ac:dyDescent="0.25">
      <c r="A25" s="116">
        <v>2</v>
      </c>
      <c r="B25" s="118" t="s">
        <v>152</v>
      </c>
      <c r="C25" s="116" t="s">
        <v>55</v>
      </c>
      <c r="D25" s="130">
        <f>SUM(E25:L25)</f>
        <v>10997.236750983038</v>
      </c>
      <c r="E25" s="131">
        <f>$D$23/$D$20*E22</f>
        <v>1032.4709783437997</v>
      </c>
      <c r="F25" s="131">
        <f t="shared" ref="F25:L25" si="10">$D$23/$D$20*F22</f>
        <v>1237.7022125711603</v>
      </c>
      <c r="G25" s="131">
        <f t="shared" si="10"/>
        <v>1086.1468396032633</v>
      </c>
      <c r="H25" s="131">
        <f t="shared" si="10"/>
        <v>685.15658195903518</v>
      </c>
      <c r="I25" s="131">
        <f t="shared" si="10"/>
        <v>1979.692059393157</v>
      </c>
      <c r="J25" s="131">
        <f t="shared" si="10"/>
        <v>3331.0608016902402</v>
      </c>
      <c r="K25" s="131">
        <f t="shared" si="10"/>
        <v>1629.2202594048947</v>
      </c>
      <c r="L25" s="131">
        <f t="shared" si="10"/>
        <v>15.78701801748929</v>
      </c>
      <c r="M25" s="18"/>
      <c r="N25" s="18"/>
      <c r="O25" s="18"/>
      <c r="P25" s="18"/>
      <c r="Q25" s="18"/>
      <c r="R25" s="18"/>
      <c r="S25" s="18"/>
      <c r="T25" s="18"/>
      <c r="U25" s="18"/>
      <c r="V25" s="18"/>
      <c r="W25" s="18"/>
      <c r="X25" s="18"/>
    </row>
    <row r="26" spans="1:24" ht="39" customHeight="1" x14ac:dyDescent="0.25">
      <c r="A26" s="119" t="s">
        <v>56</v>
      </c>
      <c r="B26" s="120" t="s">
        <v>149</v>
      </c>
      <c r="C26" s="116" t="s">
        <v>55</v>
      </c>
      <c r="D26" s="128">
        <f>SUM(D27:D28)</f>
        <v>897</v>
      </c>
      <c r="E26" s="128">
        <f t="shared" ref="E26:L26" si="11">SUM(E27:E28)</f>
        <v>151</v>
      </c>
      <c r="F26" s="128">
        <f t="shared" si="11"/>
        <v>80</v>
      </c>
      <c r="G26" s="128">
        <f t="shared" si="11"/>
        <v>54</v>
      </c>
      <c r="H26" s="128">
        <f t="shared" si="11"/>
        <v>36</v>
      </c>
      <c r="I26" s="128">
        <f t="shared" si="11"/>
        <v>107</v>
      </c>
      <c r="J26" s="128">
        <f t="shared" si="11"/>
        <v>329</v>
      </c>
      <c r="K26" s="128">
        <f t="shared" si="11"/>
        <v>139</v>
      </c>
      <c r="L26" s="128">
        <f t="shared" si="11"/>
        <v>1</v>
      </c>
      <c r="M26" s="90"/>
    </row>
    <row r="27" spans="1:24" ht="24" customHeight="1" x14ac:dyDescent="0.25">
      <c r="A27" s="116">
        <v>1</v>
      </c>
      <c r="B27" s="117" t="s">
        <v>151</v>
      </c>
      <c r="C27" s="116" t="s">
        <v>55</v>
      </c>
      <c r="D27" s="131">
        <f>SUM(E27:L27)</f>
        <v>347</v>
      </c>
      <c r="E27" s="131">
        <f>ROUND(E24*5%,0)</f>
        <v>99</v>
      </c>
      <c r="F27" s="131">
        <f t="shared" ref="F27:L27" si="12">ROUND(F24*5%,0)</f>
        <v>18</v>
      </c>
      <c r="G27" s="131">
        <f t="shared" si="12"/>
        <v>0</v>
      </c>
      <c r="H27" s="131">
        <f t="shared" si="12"/>
        <v>2</v>
      </c>
      <c r="I27" s="131">
        <f t="shared" si="12"/>
        <v>8</v>
      </c>
      <c r="J27" s="131">
        <f t="shared" si="12"/>
        <v>162</v>
      </c>
      <c r="K27" s="131">
        <f t="shared" si="12"/>
        <v>58</v>
      </c>
      <c r="L27" s="131">
        <f t="shared" si="12"/>
        <v>0</v>
      </c>
      <c r="M27" s="94"/>
      <c r="N27" s="94"/>
    </row>
    <row r="28" spans="1:24" ht="24" customHeight="1" x14ac:dyDescent="0.25">
      <c r="A28" s="116">
        <v>2</v>
      </c>
      <c r="B28" s="118" t="s">
        <v>152</v>
      </c>
      <c r="C28" s="116" t="s">
        <v>55</v>
      </c>
      <c r="D28" s="131">
        <f>SUM(E28:L28)</f>
        <v>550</v>
      </c>
      <c r="E28" s="131">
        <f>ROUND(E25*5%,0)</f>
        <v>52</v>
      </c>
      <c r="F28" s="131">
        <f t="shared" ref="F28:L28" si="13">ROUND(F25*5%,0)</f>
        <v>62</v>
      </c>
      <c r="G28" s="131">
        <f t="shared" si="13"/>
        <v>54</v>
      </c>
      <c r="H28" s="131">
        <f t="shared" si="13"/>
        <v>34</v>
      </c>
      <c r="I28" s="131">
        <f t="shared" si="13"/>
        <v>99</v>
      </c>
      <c r="J28" s="131">
        <f t="shared" si="13"/>
        <v>167</v>
      </c>
      <c r="K28" s="131">
        <f t="shared" si="13"/>
        <v>81</v>
      </c>
      <c r="L28" s="131">
        <f t="shared" si="13"/>
        <v>1</v>
      </c>
      <c r="M28" s="94"/>
      <c r="N28" s="94"/>
    </row>
    <row r="29" spans="1:24" ht="24" customHeight="1" x14ac:dyDescent="0.25">
      <c r="A29" s="119" t="s">
        <v>57</v>
      </c>
      <c r="B29" s="120" t="s">
        <v>150</v>
      </c>
      <c r="C29" s="116" t="s">
        <v>55</v>
      </c>
      <c r="D29" s="128">
        <f>SUM(D30:D31)</f>
        <v>18830</v>
      </c>
      <c r="E29" s="128">
        <f t="shared" ref="E29:L29" si="14">SUM(E30:E31)</f>
        <v>3172</v>
      </c>
      <c r="F29" s="128">
        <f t="shared" si="14"/>
        <v>1676</v>
      </c>
      <c r="G29" s="128">
        <f t="shared" si="14"/>
        <v>1140</v>
      </c>
      <c r="H29" s="128">
        <f t="shared" si="14"/>
        <v>753</v>
      </c>
      <c r="I29" s="128">
        <f t="shared" si="14"/>
        <v>2255</v>
      </c>
      <c r="J29" s="128">
        <f t="shared" si="14"/>
        <v>6891</v>
      </c>
      <c r="K29" s="128">
        <f t="shared" si="14"/>
        <v>2926</v>
      </c>
      <c r="L29" s="128">
        <f t="shared" si="14"/>
        <v>17</v>
      </c>
      <c r="M29" s="90"/>
    </row>
    <row r="30" spans="1:24" ht="24" customHeight="1" x14ac:dyDescent="0.25">
      <c r="A30" s="116">
        <v>1</v>
      </c>
      <c r="B30" s="117" t="s">
        <v>151</v>
      </c>
      <c r="C30" s="116" t="s">
        <v>55</v>
      </c>
      <c r="D30" s="131">
        <f>SUM(E30:L30)</f>
        <v>7283</v>
      </c>
      <c r="E30" s="131">
        <f>ROUND(E24+E27,0)</f>
        <v>2088</v>
      </c>
      <c r="F30" s="131">
        <f t="shared" ref="F30:L30" si="15">ROUND(F24+F27,0)</f>
        <v>376</v>
      </c>
      <c r="G30" s="131">
        <f t="shared" si="15"/>
        <v>0</v>
      </c>
      <c r="H30" s="131">
        <f t="shared" si="15"/>
        <v>34</v>
      </c>
      <c r="I30" s="131">
        <f t="shared" si="15"/>
        <v>176</v>
      </c>
      <c r="J30" s="131">
        <f t="shared" si="15"/>
        <v>3393</v>
      </c>
      <c r="K30" s="131">
        <f t="shared" si="15"/>
        <v>1216</v>
      </c>
      <c r="L30" s="131">
        <f t="shared" si="15"/>
        <v>0</v>
      </c>
      <c r="M30" s="94"/>
      <c r="N30" s="94"/>
    </row>
    <row r="31" spans="1:24" ht="24" customHeight="1" x14ac:dyDescent="0.25">
      <c r="A31" s="123">
        <v>2</v>
      </c>
      <c r="B31" s="132" t="s">
        <v>152</v>
      </c>
      <c r="C31" s="123" t="s">
        <v>55</v>
      </c>
      <c r="D31" s="133">
        <f>SUM(E31:L31)</f>
        <v>11547</v>
      </c>
      <c r="E31" s="133">
        <f>ROUND(E25+E28,0)</f>
        <v>1084</v>
      </c>
      <c r="F31" s="133">
        <f t="shared" ref="F31:L31" si="16">ROUND(F25+F28,0)</f>
        <v>1300</v>
      </c>
      <c r="G31" s="133">
        <f t="shared" si="16"/>
        <v>1140</v>
      </c>
      <c r="H31" s="133">
        <f t="shared" si="16"/>
        <v>719</v>
      </c>
      <c r="I31" s="133">
        <f t="shared" si="16"/>
        <v>2079</v>
      </c>
      <c r="J31" s="133">
        <f t="shared" si="16"/>
        <v>3498</v>
      </c>
      <c r="K31" s="133">
        <f t="shared" si="16"/>
        <v>1710</v>
      </c>
      <c r="L31" s="133">
        <f t="shared" si="16"/>
        <v>17</v>
      </c>
      <c r="M31" s="94"/>
      <c r="N31" s="94"/>
    </row>
    <row r="32" spans="1:24" x14ac:dyDescent="0.25">
      <c r="E32" s="92"/>
      <c r="F32" s="92"/>
      <c r="G32" s="92"/>
      <c r="H32" s="92"/>
      <c r="I32" s="92"/>
      <c r="J32" s="92"/>
      <c r="K32" s="92"/>
      <c r="L32" s="92"/>
    </row>
    <row r="33" spans="5:12" x14ac:dyDescent="0.25">
      <c r="E33" s="92"/>
      <c r="F33" s="92"/>
      <c r="G33" s="92"/>
      <c r="H33" s="92"/>
      <c r="I33" s="92"/>
      <c r="J33" s="92"/>
      <c r="K33" s="92"/>
      <c r="L33" s="92"/>
    </row>
    <row r="34" spans="5:12" x14ac:dyDescent="0.25">
      <c r="E34" s="92"/>
      <c r="F34" s="92"/>
      <c r="G34" s="92"/>
      <c r="H34" s="92"/>
      <c r="I34" s="92"/>
      <c r="J34" s="92"/>
      <c r="K34" s="92"/>
      <c r="L34" s="92"/>
    </row>
  </sheetData>
  <mergeCells count="27">
    <mergeCell ref="J5:L5"/>
    <mergeCell ref="A4:L4"/>
    <mergeCell ref="A3:L3"/>
    <mergeCell ref="FM2:FX2"/>
    <mergeCell ref="FY2:GJ2"/>
    <mergeCell ref="A2:L2"/>
    <mergeCell ref="IG2:IR2"/>
    <mergeCell ref="IS2:IV2"/>
    <mergeCell ref="HI2:HT2"/>
    <mergeCell ref="HU2:IF2"/>
    <mergeCell ref="AW2:BH2"/>
    <mergeCell ref="BI2:BT2"/>
    <mergeCell ref="BU2:CF2"/>
    <mergeCell ref="CG2:CR2"/>
    <mergeCell ref="CS2:DD2"/>
    <mergeCell ref="DE2:DP2"/>
    <mergeCell ref="GK2:GV2"/>
    <mergeCell ref="GW2:HH2"/>
    <mergeCell ref="DQ2:EB2"/>
    <mergeCell ref="EC2:EN2"/>
    <mergeCell ref="EO2:EZ2"/>
    <mergeCell ref="FA2:FL2"/>
    <mergeCell ref="M1:N1"/>
    <mergeCell ref="I1:L1"/>
    <mergeCell ref="M2:X2"/>
    <mergeCell ref="Y2:AJ2"/>
    <mergeCell ref="AK2:AV2"/>
  </mergeCells>
  <pageMargins left="0.7" right="0.51" top="0.44" bottom="0.45" header="0.3" footer="0.3"/>
  <pageSetup paperSize="9" scale="75" fitToHeight="0" orientation="landscape"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IV25"/>
  <sheetViews>
    <sheetView topLeftCell="A5" zoomScaleNormal="100" workbookViewId="0">
      <pane xSplit="2" ySplit="1" topLeftCell="C9" activePane="bottomRight" state="frozen"/>
      <selection activeCell="A5" sqref="A5"/>
      <selection pane="topRight" activeCell="C5" sqref="C5"/>
      <selection pane="bottomLeft" activeCell="A6" sqref="A6"/>
      <selection pane="bottomRight" activeCell="P10" sqref="P10"/>
    </sheetView>
  </sheetViews>
  <sheetFormatPr defaultColWidth="7.75" defaultRowHeight="15.75" x14ac:dyDescent="0.25"/>
  <cols>
    <col min="1" max="1" width="6.75" style="19" customWidth="1"/>
    <col min="2" max="2" width="42.75" style="16" customWidth="1"/>
    <col min="3" max="3" width="10.75" style="19" customWidth="1"/>
    <col min="4" max="4" width="10.75" style="16" customWidth="1"/>
    <col min="5" max="7" width="10.75" style="20" customWidth="1"/>
    <col min="8" max="10" width="10.75" style="16" customWidth="1"/>
    <col min="11" max="11" width="10.75" style="20" customWidth="1"/>
    <col min="12" max="12" width="10.75" style="16" customWidth="1"/>
    <col min="13" max="13" width="10.75" style="19" customWidth="1"/>
    <col min="14" max="16384" width="7.75" style="16"/>
  </cols>
  <sheetData>
    <row r="1" spans="1:256" s="15" customFormat="1" ht="29.25" customHeight="1" x14ac:dyDescent="0.25">
      <c r="A1" s="4"/>
      <c r="B1" s="4"/>
      <c r="C1" s="5"/>
      <c r="D1" s="5"/>
      <c r="E1" s="5"/>
      <c r="F1" s="5"/>
      <c r="G1" s="5"/>
      <c r="H1" s="5"/>
      <c r="I1" s="1153" t="s">
        <v>159</v>
      </c>
      <c r="J1" s="1153"/>
      <c r="K1" s="1153"/>
      <c r="L1" s="1153"/>
      <c r="M1" s="1153"/>
      <c r="N1" s="4"/>
    </row>
    <row r="2" spans="1:256" s="15" customFormat="1" ht="23.25" customHeight="1" x14ac:dyDescent="0.25">
      <c r="A2" s="1154" t="s">
        <v>61</v>
      </c>
      <c r="B2" s="1154"/>
      <c r="C2" s="1154"/>
      <c r="D2" s="1154"/>
      <c r="E2" s="1154"/>
      <c r="F2" s="1154"/>
      <c r="G2" s="1154"/>
      <c r="H2" s="1154"/>
      <c r="I2" s="1154"/>
      <c r="J2" s="1154"/>
      <c r="K2" s="1154"/>
      <c r="L2" s="1154"/>
      <c r="M2" s="1154"/>
      <c r="N2" s="9"/>
      <c r="O2" s="9"/>
      <c r="P2" s="9"/>
      <c r="Q2" s="9"/>
      <c r="R2" s="9"/>
      <c r="S2" s="9"/>
      <c r="T2" s="9"/>
      <c r="U2" s="9"/>
      <c r="V2" s="9"/>
      <c r="W2" s="9"/>
      <c r="X2" s="9"/>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1154"/>
      <c r="BK2" s="1154"/>
      <c r="BL2" s="1154"/>
      <c r="BM2" s="1154"/>
      <c r="BN2" s="1154"/>
      <c r="BO2" s="1154"/>
      <c r="BP2" s="1154"/>
      <c r="BQ2" s="1154"/>
      <c r="BR2" s="1154"/>
      <c r="BS2" s="1154"/>
      <c r="BT2" s="1154"/>
      <c r="BU2" s="1154"/>
      <c r="BV2" s="1154"/>
      <c r="BW2" s="1154"/>
      <c r="BX2" s="1154"/>
      <c r="BY2" s="1154"/>
      <c r="BZ2" s="1154"/>
      <c r="CA2" s="1154"/>
      <c r="CB2" s="1154"/>
      <c r="CC2" s="1154"/>
      <c r="CD2" s="1154"/>
      <c r="CE2" s="1154"/>
      <c r="CF2" s="1154"/>
      <c r="CG2" s="1154"/>
      <c r="CH2" s="1154"/>
      <c r="CI2" s="1154"/>
      <c r="CJ2" s="1154"/>
      <c r="CK2" s="1154"/>
      <c r="CL2" s="1154"/>
      <c r="CM2" s="1154"/>
      <c r="CN2" s="1154"/>
      <c r="CO2" s="1154"/>
      <c r="CP2" s="1154"/>
      <c r="CQ2" s="1154"/>
      <c r="CR2" s="1154"/>
      <c r="CS2" s="1154"/>
      <c r="CT2" s="1154"/>
      <c r="CU2" s="1154"/>
      <c r="CV2" s="1154"/>
      <c r="CW2" s="1154"/>
      <c r="CX2" s="1154"/>
      <c r="CY2" s="1154"/>
      <c r="CZ2" s="1154"/>
      <c r="DA2" s="1154"/>
      <c r="DB2" s="1154"/>
      <c r="DC2" s="1154"/>
      <c r="DD2" s="1154"/>
      <c r="DE2" s="1154"/>
      <c r="DF2" s="1154"/>
      <c r="DG2" s="1154"/>
      <c r="DH2" s="1154"/>
      <c r="DI2" s="1154"/>
      <c r="DJ2" s="1154"/>
      <c r="DK2" s="1154"/>
      <c r="DL2" s="1154"/>
      <c r="DM2" s="1154"/>
      <c r="DN2" s="1154"/>
      <c r="DO2" s="1154"/>
      <c r="DP2" s="1154"/>
      <c r="DQ2" s="1154"/>
      <c r="DR2" s="1154"/>
      <c r="DS2" s="1154"/>
      <c r="DT2" s="1154"/>
      <c r="DU2" s="1154"/>
      <c r="DV2" s="1154"/>
      <c r="DW2" s="1154"/>
      <c r="DX2" s="1154"/>
      <c r="DY2" s="1154"/>
      <c r="DZ2" s="1154"/>
      <c r="EA2" s="1154"/>
      <c r="EB2" s="1154"/>
      <c r="EC2" s="1154"/>
      <c r="ED2" s="1154"/>
      <c r="EE2" s="1154"/>
      <c r="EF2" s="1154"/>
      <c r="EG2" s="1154"/>
      <c r="EH2" s="1154"/>
      <c r="EI2" s="1154"/>
      <c r="EJ2" s="1154"/>
      <c r="EK2" s="1154"/>
      <c r="EL2" s="1154"/>
      <c r="EM2" s="1154"/>
      <c r="EN2" s="1154"/>
      <c r="EO2" s="1154"/>
      <c r="EP2" s="1154"/>
      <c r="EQ2" s="1154"/>
      <c r="ER2" s="1154"/>
      <c r="ES2" s="1154"/>
      <c r="ET2" s="1154"/>
      <c r="EU2" s="1154"/>
      <c r="EV2" s="1154"/>
      <c r="EW2" s="1154"/>
      <c r="EX2" s="1154"/>
      <c r="EY2" s="1154"/>
      <c r="EZ2" s="1154"/>
      <c r="FA2" s="1154"/>
      <c r="FB2" s="1154"/>
      <c r="FC2" s="1154"/>
      <c r="FD2" s="1154"/>
      <c r="FE2" s="1154"/>
      <c r="FF2" s="1154"/>
      <c r="FG2" s="1154"/>
      <c r="FH2" s="1154"/>
      <c r="FI2" s="1154"/>
      <c r="FJ2" s="1154"/>
      <c r="FK2" s="1154"/>
      <c r="FL2" s="1154"/>
      <c r="FM2" s="1154"/>
      <c r="FN2" s="1154"/>
      <c r="FO2" s="1154"/>
      <c r="FP2" s="1154"/>
      <c r="FQ2" s="1154"/>
      <c r="FR2" s="1154"/>
      <c r="FS2" s="1154"/>
      <c r="FT2" s="1154"/>
      <c r="FU2" s="1154"/>
      <c r="FV2" s="1154"/>
      <c r="FW2" s="1154"/>
      <c r="FX2" s="1154"/>
      <c r="FY2" s="1154"/>
      <c r="FZ2" s="1154"/>
      <c r="GA2" s="1154"/>
      <c r="GB2" s="1154"/>
      <c r="GC2" s="1154"/>
      <c r="GD2" s="1154"/>
      <c r="GE2" s="1154"/>
      <c r="GF2" s="1154"/>
      <c r="GG2" s="1154"/>
      <c r="GH2" s="1154"/>
      <c r="GI2" s="1154"/>
      <c r="GJ2" s="1154"/>
      <c r="GK2" s="1154"/>
      <c r="GL2" s="1154"/>
      <c r="GM2" s="1154"/>
      <c r="GN2" s="1154"/>
      <c r="GO2" s="1154"/>
      <c r="GP2" s="1154"/>
      <c r="GQ2" s="1154"/>
      <c r="GR2" s="1154"/>
      <c r="GS2" s="1154"/>
      <c r="GT2" s="1154"/>
      <c r="GU2" s="1154"/>
      <c r="GV2" s="1154"/>
      <c r="GW2" s="1154"/>
      <c r="GX2" s="1154"/>
      <c r="GY2" s="1154"/>
      <c r="GZ2" s="1154"/>
      <c r="HA2" s="1154"/>
      <c r="HB2" s="1154"/>
      <c r="HC2" s="1154"/>
      <c r="HD2" s="1154"/>
      <c r="HE2" s="1154"/>
      <c r="HF2" s="1154"/>
      <c r="HG2" s="1154"/>
      <c r="HH2" s="1154"/>
      <c r="HI2" s="1154"/>
      <c r="HJ2" s="1154"/>
      <c r="HK2" s="1154"/>
      <c r="HL2" s="1154"/>
      <c r="HM2" s="1154"/>
      <c r="HN2" s="1154"/>
      <c r="HO2" s="1154"/>
      <c r="HP2" s="1154"/>
      <c r="HQ2" s="1154"/>
      <c r="HR2" s="1154"/>
      <c r="HS2" s="1154"/>
      <c r="HT2" s="1154"/>
      <c r="HU2" s="1154"/>
      <c r="HV2" s="1154"/>
      <c r="HW2" s="1154"/>
      <c r="HX2" s="1154"/>
      <c r="HY2" s="1154"/>
      <c r="HZ2" s="1154"/>
      <c r="IA2" s="1154"/>
      <c r="IB2" s="1154"/>
      <c r="IC2" s="1154"/>
      <c r="ID2" s="1154"/>
      <c r="IE2" s="1154"/>
      <c r="IF2" s="1154"/>
      <c r="IG2" s="1154"/>
      <c r="IH2" s="1154"/>
      <c r="II2" s="1154"/>
      <c r="IJ2" s="1154"/>
      <c r="IK2" s="1154"/>
      <c r="IL2" s="1154"/>
      <c r="IM2" s="1154"/>
      <c r="IN2" s="1154"/>
      <c r="IO2" s="1154"/>
      <c r="IP2" s="1154"/>
      <c r="IQ2" s="1154"/>
      <c r="IR2" s="1154"/>
      <c r="IS2" s="1154"/>
      <c r="IT2" s="1154"/>
      <c r="IU2" s="1154"/>
      <c r="IV2" s="1154"/>
    </row>
    <row r="3" spans="1:256" s="15" customFormat="1" ht="23.25" customHeight="1" x14ac:dyDescent="0.25">
      <c r="A3" s="1154" t="s">
        <v>60</v>
      </c>
      <c r="B3" s="1154"/>
      <c r="C3" s="1154"/>
      <c r="D3" s="1154"/>
      <c r="E3" s="1154"/>
      <c r="F3" s="1154"/>
      <c r="G3" s="1154"/>
      <c r="H3" s="1154"/>
      <c r="I3" s="1154"/>
      <c r="J3" s="1154"/>
      <c r="K3" s="1154"/>
      <c r="L3" s="1154"/>
      <c r="M3" s="1154"/>
      <c r="N3" s="9"/>
    </row>
    <row r="4" spans="1:256" s="15" customFormat="1" ht="31.5" customHeight="1" x14ac:dyDescent="0.25">
      <c r="A4" s="1156" t="str">
        <f>'B3-DA1'!A4:L4</f>
        <v>(Kèm theo Tờ trình số:          /TTr-UBND ngày          tháng 11 năm 2022 của UBND tỉnh)</v>
      </c>
      <c r="B4" s="1156"/>
      <c r="C4" s="1156"/>
      <c r="D4" s="1156"/>
      <c r="E4" s="1156"/>
      <c r="F4" s="1156"/>
      <c r="G4" s="1156"/>
      <c r="H4" s="1156"/>
      <c r="I4" s="1156"/>
      <c r="J4" s="1156"/>
      <c r="K4" s="1156"/>
      <c r="L4" s="1156"/>
      <c r="M4" s="93"/>
      <c r="N4" s="9"/>
    </row>
    <row r="5" spans="1:256" s="12" customFormat="1" ht="57" customHeight="1" x14ac:dyDescent="0.25">
      <c r="A5" s="10" t="s">
        <v>1</v>
      </c>
      <c r="B5" s="10" t="s">
        <v>35</v>
      </c>
      <c r="C5" s="10" t="s">
        <v>36</v>
      </c>
      <c r="D5" s="10" t="s">
        <v>37</v>
      </c>
      <c r="E5" s="11" t="s">
        <v>38</v>
      </c>
      <c r="F5" s="11" t="s">
        <v>39</v>
      </c>
      <c r="G5" s="11" t="s">
        <v>40</v>
      </c>
      <c r="H5" s="10" t="s">
        <v>41</v>
      </c>
      <c r="I5" s="10" t="s">
        <v>42</v>
      </c>
      <c r="J5" s="10" t="s">
        <v>43</v>
      </c>
      <c r="K5" s="11" t="s">
        <v>44</v>
      </c>
      <c r="L5" s="10" t="s">
        <v>45</v>
      </c>
      <c r="M5" s="10" t="s">
        <v>156</v>
      </c>
    </row>
    <row r="6" spans="1:256" s="12" customFormat="1" ht="23.25" customHeight="1" x14ac:dyDescent="0.25">
      <c r="A6" s="107" t="s">
        <v>46</v>
      </c>
      <c r="B6" s="122" t="s">
        <v>47</v>
      </c>
      <c r="C6" s="107"/>
      <c r="D6" s="107"/>
      <c r="E6" s="108"/>
      <c r="F6" s="108"/>
      <c r="G6" s="108"/>
      <c r="H6" s="107"/>
      <c r="I6" s="107"/>
      <c r="J6" s="107"/>
      <c r="K6" s="108"/>
      <c r="L6" s="107"/>
      <c r="M6" s="107"/>
    </row>
    <row r="7" spans="1:256" ht="70.5" customHeight="1" x14ac:dyDescent="0.25">
      <c r="A7" s="111">
        <v>1</v>
      </c>
      <c r="B7" s="134" t="s">
        <v>153</v>
      </c>
      <c r="C7" s="135" t="s">
        <v>154</v>
      </c>
      <c r="D7" s="124">
        <f>SUM(E7:M7)</f>
        <v>67858.720000000001</v>
      </c>
      <c r="E7" s="131">
        <v>5375.7699999999995</v>
      </c>
      <c r="F7" s="131">
        <v>9261.880000000001</v>
      </c>
      <c r="G7" s="131">
        <v>11421.409999999998</v>
      </c>
      <c r="H7" s="131">
        <v>7362.29</v>
      </c>
      <c r="I7" s="131">
        <v>10774.67</v>
      </c>
      <c r="J7" s="131">
        <v>9497.2099999999991</v>
      </c>
      <c r="K7" s="131">
        <v>11737.08</v>
      </c>
      <c r="L7" s="124"/>
      <c r="M7" s="124">
        <v>2428.41</v>
      </c>
    </row>
    <row r="8" spans="1:256" ht="52.5" customHeight="1" x14ac:dyDescent="0.25">
      <c r="A8" s="111">
        <v>2</v>
      </c>
      <c r="B8" s="134" t="s">
        <v>62</v>
      </c>
      <c r="C8" s="135" t="s">
        <v>154</v>
      </c>
      <c r="D8" s="124">
        <f t="shared" ref="D8:D12" si="0">SUM(E8:M8)</f>
        <v>107734.64000000001</v>
      </c>
      <c r="E8" s="131">
        <v>12618.66</v>
      </c>
      <c r="F8" s="131">
        <v>14574.48</v>
      </c>
      <c r="G8" s="131">
        <v>21033.43</v>
      </c>
      <c r="H8" s="131">
        <v>12285.330000000002</v>
      </c>
      <c r="I8" s="131">
        <v>27105.269999999993</v>
      </c>
      <c r="J8" s="131">
        <v>12680.21</v>
      </c>
      <c r="K8" s="131">
        <v>7437.260000000002</v>
      </c>
      <c r="L8" s="131"/>
      <c r="M8" s="124"/>
    </row>
    <row r="9" spans="1:256" s="95" customFormat="1" ht="36" customHeight="1" x14ac:dyDescent="0.25">
      <c r="A9" s="136">
        <v>3</v>
      </c>
      <c r="B9" s="137" t="s">
        <v>63</v>
      </c>
      <c r="C9" s="135" t="s">
        <v>154</v>
      </c>
      <c r="D9" s="124">
        <f t="shared" si="0"/>
        <v>9664.0399999999991</v>
      </c>
      <c r="E9" s="138">
        <v>680.67</v>
      </c>
      <c r="F9" s="138">
        <v>506.78999999999991</v>
      </c>
      <c r="G9" s="138">
        <v>2505.6</v>
      </c>
      <c r="H9" s="138">
        <v>329.53</v>
      </c>
      <c r="I9" s="138">
        <v>1707.49</v>
      </c>
      <c r="J9" s="138">
        <v>2276.02</v>
      </c>
      <c r="K9" s="138">
        <v>1657.94</v>
      </c>
      <c r="L9" s="138"/>
      <c r="M9" s="139"/>
    </row>
    <row r="10" spans="1:256" s="95" customFormat="1" ht="36" customHeight="1" x14ac:dyDescent="0.25">
      <c r="A10" s="136">
        <v>4</v>
      </c>
      <c r="B10" s="137" t="s">
        <v>64</v>
      </c>
      <c r="C10" s="135" t="s">
        <v>154</v>
      </c>
      <c r="D10" s="124">
        <f t="shared" si="0"/>
        <v>1568</v>
      </c>
      <c r="E10" s="138">
        <v>400</v>
      </c>
      <c r="F10" s="138"/>
      <c r="G10" s="138">
        <v>40</v>
      </c>
      <c r="H10" s="138">
        <v>20</v>
      </c>
      <c r="I10" s="138">
        <v>453</v>
      </c>
      <c r="J10" s="138">
        <v>145</v>
      </c>
      <c r="K10" s="138">
        <v>510</v>
      </c>
      <c r="L10" s="138"/>
      <c r="M10" s="139"/>
    </row>
    <row r="11" spans="1:256" s="95" customFormat="1" ht="23.25" customHeight="1" x14ac:dyDescent="0.25">
      <c r="A11" s="136">
        <v>5</v>
      </c>
      <c r="B11" s="137" t="s">
        <v>65</v>
      </c>
      <c r="C11" s="135" t="s">
        <v>154</v>
      </c>
      <c r="D11" s="124">
        <f t="shared" si="0"/>
        <v>62</v>
      </c>
      <c r="E11" s="138"/>
      <c r="F11" s="138"/>
      <c r="G11" s="138">
        <v>10</v>
      </c>
      <c r="H11" s="138">
        <v>15</v>
      </c>
      <c r="I11" s="138">
        <v>37</v>
      </c>
      <c r="J11" s="138"/>
      <c r="K11" s="138"/>
      <c r="L11" s="138"/>
      <c r="M11" s="139"/>
    </row>
    <row r="12" spans="1:256" s="95" customFormat="1" ht="52.5" customHeight="1" x14ac:dyDescent="0.25">
      <c r="A12" s="136">
        <v>6</v>
      </c>
      <c r="B12" s="137" t="s">
        <v>66</v>
      </c>
      <c r="C12" s="140" t="s">
        <v>155</v>
      </c>
      <c r="D12" s="124">
        <f t="shared" si="0"/>
        <v>1323.9</v>
      </c>
      <c r="E12" s="138">
        <v>276.3</v>
      </c>
      <c r="F12" s="138">
        <v>0.72</v>
      </c>
      <c r="G12" s="138">
        <v>351.9</v>
      </c>
      <c r="H12" s="138">
        <v>3.78</v>
      </c>
      <c r="I12" s="138">
        <v>9.5399999999999991</v>
      </c>
      <c r="J12" s="138">
        <v>429.66</v>
      </c>
      <c r="K12" s="138">
        <v>252</v>
      </c>
      <c r="L12" s="138"/>
      <c r="M12" s="139"/>
    </row>
    <row r="13" spans="1:256" s="17" customFormat="1" ht="23.25" customHeight="1" x14ac:dyDescent="0.25">
      <c r="A13" s="109" t="s">
        <v>31</v>
      </c>
      <c r="B13" s="141" t="s">
        <v>51</v>
      </c>
      <c r="C13" s="142"/>
      <c r="D13" s="126">
        <f>SUM(D14:D19)</f>
        <v>1191.2660799999999</v>
      </c>
      <c r="E13" s="126">
        <f t="shared" ref="E13:M13" si="1">SUM(E14:E19)</f>
        <v>156.02444</v>
      </c>
      <c r="F13" s="126">
        <f t="shared" si="1"/>
        <v>103.54047999999999</v>
      </c>
      <c r="G13" s="126">
        <f t="shared" si="1"/>
        <v>219.13695999999999</v>
      </c>
      <c r="H13" s="126">
        <f t="shared" si="1"/>
        <v>90.81656000000001</v>
      </c>
      <c r="I13" s="126">
        <f t="shared" si="1"/>
        <v>236.38439999999997</v>
      </c>
      <c r="J13" s="126">
        <f t="shared" si="1"/>
        <v>191.18519999999998</v>
      </c>
      <c r="K13" s="126">
        <f t="shared" si="1"/>
        <v>184.46440000000001</v>
      </c>
      <c r="L13" s="126">
        <f t="shared" si="1"/>
        <v>0</v>
      </c>
      <c r="M13" s="126">
        <f t="shared" si="1"/>
        <v>9.7136399999999998</v>
      </c>
    </row>
    <row r="14" spans="1:256" ht="70.5" customHeight="1" x14ac:dyDescent="0.25">
      <c r="A14" s="111">
        <v>1</v>
      </c>
      <c r="B14" s="134" t="s">
        <v>153</v>
      </c>
      <c r="C14" s="135">
        <v>4.0000000000000001E-3</v>
      </c>
      <c r="D14" s="124">
        <f>SUM(E14:M14)</f>
        <v>271.43488000000002</v>
      </c>
      <c r="E14" s="124">
        <f>$C14*E7</f>
        <v>21.503079999999997</v>
      </c>
      <c r="F14" s="124">
        <f>$C14*F7</f>
        <v>37.047520000000006</v>
      </c>
      <c r="G14" s="124">
        <f t="shared" ref="G14:M14" si="2">$C14*G7</f>
        <v>45.685639999999992</v>
      </c>
      <c r="H14" s="124">
        <f t="shared" si="2"/>
        <v>29.449159999999999</v>
      </c>
      <c r="I14" s="124">
        <f t="shared" si="2"/>
        <v>43.098680000000002</v>
      </c>
      <c r="J14" s="124">
        <f t="shared" si="2"/>
        <v>37.988839999999996</v>
      </c>
      <c r="K14" s="124">
        <f t="shared" si="2"/>
        <v>46.948320000000002</v>
      </c>
      <c r="L14" s="124">
        <f t="shared" si="2"/>
        <v>0</v>
      </c>
      <c r="M14" s="124">
        <f t="shared" si="2"/>
        <v>9.7136399999999998</v>
      </c>
    </row>
    <row r="15" spans="1:256" ht="52.5" customHeight="1" x14ac:dyDescent="0.25">
      <c r="A15" s="111">
        <v>2</v>
      </c>
      <c r="B15" s="134" t="s">
        <v>62</v>
      </c>
      <c r="C15" s="135">
        <v>4.0000000000000001E-3</v>
      </c>
      <c r="D15" s="124">
        <f t="shared" ref="D15:D19" si="3">SUM(E15:M15)</f>
        <v>430.93855999999994</v>
      </c>
      <c r="E15" s="124">
        <f>$C15*E8</f>
        <v>50.474640000000001</v>
      </c>
      <c r="F15" s="124">
        <f t="shared" ref="F15:M15" si="4">$C15*F8</f>
        <v>58.297919999999998</v>
      </c>
      <c r="G15" s="124">
        <f t="shared" si="4"/>
        <v>84.133719999999997</v>
      </c>
      <c r="H15" s="124">
        <f t="shared" si="4"/>
        <v>49.141320000000007</v>
      </c>
      <c r="I15" s="124">
        <f t="shared" si="4"/>
        <v>108.42107999999998</v>
      </c>
      <c r="J15" s="124">
        <f t="shared" si="4"/>
        <v>50.720839999999995</v>
      </c>
      <c r="K15" s="124">
        <f t="shared" si="4"/>
        <v>29.749040000000008</v>
      </c>
      <c r="L15" s="124">
        <f t="shared" si="4"/>
        <v>0</v>
      </c>
      <c r="M15" s="124">
        <f t="shared" si="4"/>
        <v>0</v>
      </c>
    </row>
    <row r="16" spans="1:256" ht="36" customHeight="1" x14ac:dyDescent="0.25">
      <c r="A16" s="111">
        <v>3</v>
      </c>
      <c r="B16" s="134" t="s">
        <v>63</v>
      </c>
      <c r="C16" s="143">
        <v>1.6E-2</v>
      </c>
      <c r="D16" s="124">
        <f t="shared" si="3"/>
        <v>154.62464</v>
      </c>
      <c r="E16" s="124">
        <f t="shared" ref="E16:M18" si="5">$C16*E9</f>
        <v>10.89072</v>
      </c>
      <c r="F16" s="124">
        <f t="shared" si="5"/>
        <v>8.1086399999999994</v>
      </c>
      <c r="G16" s="124">
        <f t="shared" si="5"/>
        <v>40.089599999999997</v>
      </c>
      <c r="H16" s="124">
        <f t="shared" si="5"/>
        <v>5.2724799999999998</v>
      </c>
      <c r="I16" s="124">
        <f t="shared" si="5"/>
        <v>27.319839999999999</v>
      </c>
      <c r="J16" s="124">
        <f t="shared" si="5"/>
        <v>36.416319999999999</v>
      </c>
      <c r="K16" s="124">
        <f t="shared" si="5"/>
        <v>26.527040000000003</v>
      </c>
      <c r="L16" s="124">
        <f t="shared" si="5"/>
        <v>0</v>
      </c>
      <c r="M16" s="124">
        <f t="shared" si="5"/>
        <v>0</v>
      </c>
    </row>
    <row r="17" spans="1:13" ht="35.25" customHeight="1" x14ac:dyDescent="0.25">
      <c r="A17" s="111">
        <v>4</v>
      </c>
      <c r="B17" s="134" t="s">
        <v>64</v>
      </c>
      <c r="C17" s="144">
        <v>0.1</v>
      </c>
      <c r="D17" s="124">
        <f t="shared" si="3"/>
        <v>156.80000000000001</v>
      </c>
      <c r="E17" s="124">
        <f t="shared" si="5"/>
        <v>40</v>
      </c>
      <c r="F17" s="124">
        <f t="shared" si="5"/>
        <v>0</v>
      </c>
      <c r="G17" s="124">
        <f t="shared" si="5"/>
        <v>4</v>
      </c>
      <c r="H17" s="124">
        <f t="shared" si="5"/>
        <v>2</v>
      </c>
      <c r="I17" s="124">
        <f t="shared" si="5"/>
        <v>45.300000000000004</v>
      </c>
      <c r="J17" s="124">
        <f t="shared" si="5"/>
        <v>14.5</v>
      </c>
      <c r="K17" s="124">
        <f t="shared" si="5"/>
        <v>51</v>
      </c>
      <c r="L17" s="124">
        <f t="shared" si="5"/>
        <v>0</v>
      </c>
      <c r="M17" s="124">
        <f t="shared" si="5"/>
        <v>0</v>
      </c>
    </row>
    <row r="18" spans="1:13" ht="23.25" customHeight="1" x14ac:dyDescent="0.25">
      <c r="A18" s="111">
        <v>5</v>
      </c>
      <c r="B18" s="134" t="s">
        <v>65</v>
      </c>
      <c r="C18" s="144">
        <v>0.3</v>
      </c>
      <c r="D18" s="124">
        <f t="shared" si="3"/>
        <v>18.600000000000001</v>
      </c>
      <c r="E18" s="124">
        <f t="shared" si="5"/>
        <v>0</v>
      </c>
      <c r="F18" s="124">
        <f t="shared" si="5"/>
        <v>0</v>
      </c>
      <c r="G18" s="124">
        <f t="shared" si="5"/>
        <v>3</v>
      </c>
      <c r="H18" s="124">
        <f t="shared" si="5"/>
        <v>4.5</v>
      </c>
      <c r="I18" s="124">
        <f t="shared" si="5"/>
        <v>11.1</v>
      </c>
      <c r="J18" s="124">
        <f t="shared" si="5"/>
        <v>0</v>
      </c>
      <c r="K18" s="124">
        <f t="shared" si="5"/>
        <v>0</v>
      </c>
      <c r="L18" s="124">
        <f t="shared" si="5"/>
        <v>0</v>
      </c>
      <c r="M18" s="124">
        <f t="shared" si="5"/>
        <v>0</v>
      </c>
    </row>
    <row r="19" spans="1:13" ht="52.5" customHeight="1" x14ac:dyDescent="0.25">
      <c r="A19" s="111">
        <v>6</v>
      </c>
      <c r="B19" s="134" t="s">
        <v>66</v>
      </c>
      <c r="C19" s="140">
        <v>0.12</v>
      </c>
      <c r="D19" s="124">
        <f t="shared" si="3"/>
        <v>158.86799999999999</v>
      </c>
      <c r="E19" s="124">
        <f>$C19*E12</f>
        <v>33.155999999999999</v>
      </c>
      <c r="F19" s="124">
        <f t="shared" ref="F19:M19" si="6">$C19*F12</f>
        <v>8.6399999999999991E-2</v>
      </c>
      <c r="G19" s="124">
        <f t="shared" si="6"/>
        <v>42.227999999999994</v>
      </c>
      <c r="H19" s="124">
        <f t="shared" si="6"/>
        <v>0.45359999999999995</v>
      </c>
      <c r="I19" s="124">
        <f t="shared" si="6"/>
        <v>1.1447999999999998</v>
      </c>
      <c r="J19" s="124">
        <f t="shared" si="6"/>
        <v>51.559200000000004</v>
      </c>
      <c r="K19" s="124">
        <f t="shared" si="6"/>
        <v>30.24</v>
      </c>
      <c r="L19" s="124">
        <f t="shared" si="6"/>
        <v>0</v>
      </c>
      <c r="M19" s="124">
        <f t="shared" si="6"/>
        <v>0</v>
      </c>
    </row>
    <row r="20" spans="1:13" s="21" customFormat="1" ht="23.25" customHeight="1" x14ac:dyDescent="0.25">
      <c r="A20" s="109" t="s">
        <v>54</v>
      </c>
      <c r="B20" s="115" t="s">
        <v>148</v>
      </c>
      <c r="C20" s="145"/>
      <c r="D20" s="145">
        <v>105576</v>
      </c>
      <c r="E20" s="145">
        <f>E21</f>
        <v>13828</v>
      </c>
      <c r="F20" s="145">
        <f t="shared" ref="F20:M20" si="7">F21</f>
        <v>9176</v>
      </c>
      <c r="G20" s="145">
        <f t="shared" si="7"/>
        <v>19421</v>
      </c>
      <c r="H20" s="145">
        <f t="shared" si="7"/>
        <v>8049</v>
      </c>
      <c r="I20" s="145">
        <f t="shared" si="7"/>
        <v>20950</v>
      </c>
      <c r="J20" s="145">
        <f t="shared" si="7"/>
        <v>16944</v>
      </c>
      <c r="K20" s="145">
        <f t="shared" si="7"/>
        <v>16348</v>
      </c>
      <c r="L20" s="145">
        <f t="shared" si="7"/>
        <v>0</v>
      </c>
      <c r="M20" s="145">
        <f t="shared" si="7"/>
        <v>860</v>
      </c>
    </row>
    <row r="21" spans="1:13" s="22" customFormat="1" ht="35.25" customHeight="1" x14ac:dyDescent="0.25">
      <c r="A21" s="146">
        <v>1</v>
      </c>
      <c r="B21" s="147" t="s">
        <v>157</v>
      </c>
      <c r="C21" s="130" t="s">
        <v>55</v>
      </c>
      <c r="D21" s="130">
        <f>SUM(E21:M21)</f>
        <v>105576</v>
      </c>
      <c r="E21" s="125">
        <f>ROUND(($D$20/$D$13*E13),0)</f>
        <v>13828</v>
      </c>
      <c r="F21" s="125">
        <f t="shared" ref="F21:L21" si="8">ROUND(($D$20/$D$13*F13),0)</f>
        <v>9176</v>
      </c>
      <c r="G21" s="125">
        <f t="shared" si="8"/>
        <v>19421</v>
      </c>
      <c r="H21" s="125">
        <f t="shared" si="8"/>
        <v>8049</v>
      </c>
      <c r="I21" s="125">
        <f t="shared" si="8"/>
        <v>20950</v>
      </c>
      <c r="J21" s="125">
        <f t="shared" si="8"/>
        <v>16944</v>
      </c>
      <c r="K21" s="125">
        <f t="shared" si="8"/>
        <v>16348</v>
      </c>
      <c r="L21" s="125">
        <f t="shared" si="8"/>
        <v>0</v>
      </c>
      <c r="M21" s="125">
        <f>ROUND(($D$20/$D$13*M13-0.5),0)</f>
        <v>860</v>
      </c>
    </row>
    <row r="22" spans="1:13" s="21" customFormat="1" ht="36" customHeight="1" x14ac:dyDescent="0.25">
      <c r="A22" s="119" t="s">
        <v>56</v>
      </c>
      <c r="B22" s="120" t="s">
        <v>158</v>
      </c>
      <c r="C22" s="145"/>
      <c r="D22" s="145">
        <v>0</v>
      </c>
      <c r="E22" s="145">
        <f>E23</f>
        <v>0</v>
      </c>
      <c r="F22" s="145">
        <f t="shared" ref="F22" si="9">F23</f>
        <v>0</v>
      </c>
      <c r="G22" s="145">
        <f t="shared" ref="G22" si="10">G23</f>
        <v>0</v>
      </c>
      <c r="H22" s="145">
        <f t="shared" ref="H22" si="11">H23</f>
        <v>0</v>
      </c>
      <c r="I22" s="145">
        <f t="shared" ref="I22" si="12">I23</f>
        <v>0</v>
      </c>
      <c r="J22" s="145">
        <f t="shared" ref="J22" si="13">J23</f>
        <v>0</v>
      </c>
      <c r="K22" s="145">
        <f t="shared" ref="K22" si="14">K23</f>
        <v>0</v>
      </c>
      <c r="L22" s="145">
        <f t="shared" ref="L22" si="15">L23</f>
        <v>0</v>
      </c>
      <c r="M22" s="145">
        <f t="shared" ref="M22" si="16">M23</f>
        <v>0</v>
      </c>
    </row>
    <row r="23" spans="1:13" s="22" customFormat="1" ht="35.25" customHeight="1" x14ac:dyDescent="0.25">
      <c r="A23" s="146">
        <v>1</v>
      </c>
      <c r="B23" s="147" t="s">
        <v>157</v>
      </c>
      <c r="C23" s="130" t="s">
        <v>55</v>
      </c>
      <c r="D23" s="130">
        <f>SUM(E23:M23)</f>
        <v>0</v>
      </c>
      <c r="E23" s="125">
        <v>0</v>
      </c>
      <c r="F23" s="125">
        <v>0</v>
      </c>
      <c r="G23" s="125">
        <v>0</v>
      </c>
      <c r="H23" s="125">
        <v>0</v>
      </c>
      <c r="I23" s="125">
        <v>0</v>
      </c>
      <c r="J23" s="125">
        <v>0</v>
      </c>
      <c r="K23" s="125">
        <v>0</v>
      </c>
      <c r="L23" s="125">
        <v>0</v>
      </c>
      <c r="M23" s="125">
        <v>0</v>
      </c>
    </row>
    <row r="24" spans="1:13" s="21" customFormat="1" ht="23.25" customHeight="1" x14ac:dyDescent="0.25">
      <c r="A24" s="119" t="s">
        <v>57</v>
      </c>
      <c r="B24" s="120" t="s">
        <v>150</v>
      </c>
      <c r="C24" s="145"/>
      <c r="D24" s="145">
        <f>D25</f>
        <v>105576</v>
      </c>
      <c r="E24" s="145">
        <f t="shared" ref="E24:M24" si="17">E25</f>
        <v>13828</v>
      </c>
      <c r="F24" s="145">
        <f t="shared" si="17"/>
        <v>9176</v>
      </c>
      <c r="G24" s="145">
        <f t="shared" si="17"/>
        <v>19421</v>
      </c>
      <c r="H24" s="145">
        <f t="shared" si="17"/>
        <v>8049</v>
      </c>
      <c r="I24" s="145">
        <f t="shared" si="17"/>
        <v>20950</v>
      </c>
      <c r="J24" s="145">
        <f t="shared" si="17"/>
        <v>16944</v>
      </c>
      <c r="K24" s="145">
        <f t="shared" si="17"/>
        <v>16348</v>
      </c>
      <c r="L24" s="145">
        <f t="shared" si="17"/>
        <v>0</v>
      </c>
      <c r="M24" s="145">
        <f t="shared" si="17"/>
        <v>860</v>
      </c>
    </row>
    <row r="25" spans="1:13" s="22" customFormat="1" ht="35.25" customHeight="1" x14ac:dyDescent="0.25">
      <c r="A25" s="148">
        <v>1</v>
      </c>
      <c r="B25" s="149" t="s">
        <v>157</v>
      </c>
      <c r="C25" s="150" t="s">
        <v>55</v>
      </c>
      <c r="D25" s="150">
        <f>SUM(E25:M25)</f>
        <v>105576</v>
      </c>
      <c r="E25" s="151">
        <f>E21+E23</f>
        <v>13828</v>
      </c>
      <c r="F25" s="151">
        <f t="shared" ref="F25:M25" si="18">F21+F23</f>
        <v>9176</v>
      </c>
      <c r="G25" s="151">
        <f t="shared" si="18"/>
        <v>19421</v>
      </c>
      <c r="H25" s="151">
        <f t="shared" si="18"/>
        <v>8049</v>
      </c>
      <c r="I25" s="151">
        <f t="shared" si="18"/>
        <v>20950</v>
      </c>
      <c r="J25" s="151">
        <f t="shared" si="18"/>
        <v>16944</v>
      </c>
      <c r="K25" s="151">
        <f t="shared" si="18"/>
        <v>16348</v>
      </c>
      <c r="L25" s="151">
        <f t="shared" si="18"/>
        <v>0</v>
      </c>
      <c r="M25" s="151">
        <f t="shared" si="18"/>
        <v>860</v>
      </c>
    </row>
  </sheetData>
  <mergeCells count="24">
    <mergeCell ref="I1:M1"/>
    <mergeCell ref="A2:M2"/>
    <mergeCell ref="A3:M3"/>
    <mergeCell ref="IS2:IV2"/>
    <mergeCell ref="A4:L4"/>
    <mergeCell ref="FY2:GJ2"/>
    <mergeCell ref="IG2:IR2"/>
    <mergeCell ref="DE2:DP2"/>
    <mergeCell ref="DQ2:EB2"/>
    <mergeCell ref="EC2:EN2"/>
    <mergeCell ref="EO2:EZ2"/>
    <mergeCell ref="FA2:FL2"/>
    <mergeCell ref="CG2:CR2"/>
    <mergeCell ref="CS2:DD2"/>
    <mergeCell ref="GK2:GV2"/>
    <mergeCell ref="GW2:HH2"/>
    <mergeCell ref="HI2:HT2"/>
    <mergeCell ref="HU2:IF2"/>
    <mergeCell ref="Y2:AJ2"/>
    <mergeCell ref="FM2:FX2"/>
    <mergeCell ref="AK2:AV2"/>
    <mergeCell ref="AW2:BH2"/>
    <mergeCell ref="BI2:BT2"/>
    <mergeCell ref="BU2:CF2"/>
  </mergeCells>
  <pageMargins left="0.7" right="0.51" top="0.44" bottom="0.45" header="0.3" footer="0.3"/>
  <pageSetup paperSize="9" scale="75" fitToHeight="0" orientation="landscape" verticalDpi="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IL9"/>
  <sheetViews>
    <sheetView zoomScaleNormal="100" workbookViewId="0">
      <selection activeCell="F7" sqref="F7"/>
    </sheetView>
  </sheetViews>
  <sheetFormatPr defaultColWidth="9" defaultRowHeight="15.75" x14ac:dyDescent="0.25"/>
  <cols>
    <col min="1" max="1" width="5.25" style="29" customWidth="1"/>
    <col min="2" max="2" width="32.75" style="29" customWidth="1"/>
    <col min="3" max="3" width="9.75" style="30" customWidth="1"/>
    <col min="4" max="4" width="9.75" style="29" customWidth="1"/>
    <col min="5" max="5" width="10.625" style="29" customWidth="1"/>
    <col min="6" max="6" width="9.75" style="29" customWidth="1"/>
    <col min="7" max="7" width="10.625" style="30" customWidth="1"/>
    <col min="8" max="8" width="58" style="29" customWidth="1"/>
    <col min="9" max="16384" width="9" style="29"/>
  </cols>
  <sheetData>
    <row r="1" spans="1:246" s="27" customFormat="1" ht="29.25" customHeight="1" x14ac:dyDescent="0.25">
      <c r="A1" s="23"/>
      <c r="B1" s="23"/>
      <c r="C1" s="25"/>
      <c r="D1" s="24"/>
      <c r="E1" s="26"/>
      <c r="F1" s="26"/>
      <c r="G1" s="31"/>
      <c r="H1" s="5" t="s">
        <v>165</v>
      </c>
      <c r="I1" s="4"/>
      <c r="J1" s="4"/>
      <c r="K1" s="4"/>
    </row>
    <row r="2" spans="1:246" s="27" customFormat="1" ht="21" customHeight="1" x14ac:dyDescent="0.25">
      <c r="A2" s="1157" t="s">
        <v>61</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1157"/>
      <c r="BK2" s="1157"/>
      <c r="BL2" s="1157"/>
      <c r="BM2" s="1157"/>
      <c r="BN2" s="1157"/>
      <c r="BO2" s="1157"/>
      <c r="BP2" s="1157"/>
      <c r="BQ2" s="1157"/>
      <c r="BR2" s="1157"/>
      <c r="BS2" s="1157"/>
      <c r="BT2" s="1157"/>
      <c r="BU2" s="1157"/>
      <c r="BV2" s="1157"/>
      <c r="BW2" s="1157"/>
      <c r="BX2" s="1157"/>
      <c r="BY2" s="1157"/>
      <c r="BZ2" s="1157"/>
      <c r="CA2" s="1157"/>
      <c r="CB2" s="1157"/>
      <c r="CC2" s="1157"/>
      <c r="CD2" s="1157"/>
      <c r="CE2" s="1157"/>
      <c r="CF2" s="1157"/>
      <c r="CG2" s="1157"/>
      <c r="CH2" s="1157"/>
      <c r="CI2" s="1157"/>
      <c r="CJ2" s="1157"/>
      <c r="CK2" s="1157"/>
      <c r="CL2" s="1157"/>
      <c r="CM2" s="1157"/>
      <c r="CN2" s="1157"/>
      <c r="CO2" s="1157"/>
      <c r="CP2" s="1157"/>
      <c r="CQ2" s="1157"/>
      <c r="CR2" s="1157"/>
      <c r="CS2" s="1157"/>
      <c r="CT2" s="1157"/>
      <c r="CU2" s="1157"/>
      <c r="CV2" s="1157"/>
      <c r="CW2" s="1157"/>
      <c r="CX2" s="1157"/>
      <c r="CY2" s="1157"/>
      <c r="CZ2" s="1157"/>
      <c r="DA2" s="1157"/>
      <c r="DB2" s="1157"/>
      <c r="DC2" s="1157"/>
      <c r="DD2" s="1157"/>
      <c r="DE2" s="1157"/>
      <c r="DF2" s="1157"/>
      <c r="DG2" s="1157"/>
      <c r="DH2" s="1157"/>
      <c r="DI2" s="1157"/>
      <c r="DJ2" s="1157"/>
      <c r="DK2" s="1157"/>
      <c r="DL2" s="1157"/>
      <c r="DM2" s="1157"/>
      <c r="DN2" s="1157"/>
      <c r="DO2" s="1157"/>
      <c r="DP2" s="1157"/>
      <c r="DQ2" s="1157"/>
      <c r="DR2" s="1157"/>
      <c r="DS2" s="1157"/>
      <c r="DT2" s="1157"/>
      <c r="DU2" s="1157"/>
      <c r="DV2" s="1157"/>
      <c r="DW2" s="1157"/>
      <c r="DX2" s="1157"/>
      <c r="DY2" s="1157"/>
      <c r="DZ2" s="1157"/>
      <c r="EA2" s="1157"/>
      <c r="EB2" s="1157"/>
      <c r="EC2" s="1157"/>
      <c r="ED2" s="1157"/>
      <c r="EE2" s="1157"/>
      <c r="EF2" s="1157"/>
      <c r="EG2" s="1157"/>
      <c r="EH2" s="1157"/>
      <c r="EI2" s="1157"/>
      <c r="EJ2" s="1157"/>
      <c r="EK2" s="1157"/>
      <c r="EL2" s="1157"/>
      <c r="EM2" s="1157"/>
      <c r="EN2" s="1157"/>
      <c r="EO2" s="1157"/>
      <c r="EP2" s="1157"/>
      <c r="EQ2" s="1157"/>
      <c r="ER2" s="1157"/>
      <c r="ES2" s="1157"/>
      <c r="ET2" s="1157"/>
      <c r="EU2" s="1157"/>
      <c r="EV2" s="1157"/>
      <c r="EW2" s="1157"/>
      <c r="EX2" s="1157"/>
      <c r="EY2" s="1157"/>
      <c r="EZ2" s="1157"/>
      <c r="FA2" s="1157"/>
      <c r="FB2" s="1157"/>
      <c r="FC2" s="1157"/>
      <c r="FD2" s="1157"/>
      <c r="FE2" s="1157"/>
      <c r="FF2" s="1157"/>
      <c r="FG2" s="1157"/>
      <c r="FH2" s="1157"/>
      <c r="FI2" s="1157"/>
      <c r="FJ2" s="1157"/>
      <c r="FK2" s="1157"/>
      <c r="FL2" s="1157"/>
      <c r="FM2" s="1157"/>
      <c r="FN2" s="1157"/>
      <c r="FO2" s="1157"/>
      <c r="FP2" s="1157"/>
      <c r="FQ2" s="1157"/>
      <c r="FR2" s="1157"/>
      <c r="FS2" s="1157"/>
      <c r="FT2" s="1157"/>
      <c r="FU2" s="1157"/>
      <c r="FV2" s="1157"/>
      <c r="FW2" s="1157"/>
      <c r="FX2" s="1157"/>
      <c r="FY2" s="1157"/>
      <c r="FZ2" s="1157"/>
      <c r="GA2" s="1157"/>
      <c r="GB2" s="1157"/>
      <c r="GC2" s="1157"/>
      <c r="GD2" s="1157"/>
      <c r="GE2" s="1157"/>
      <c r="GF2" s="1157"/>
      <c r="GG2" s="1157"/>
      <c r="GH2" s="1157"/>
      <c r="GI2" s="1157"/>
      <c r="GJ2" s="1157"/>
      <c r="GK2" s="1157"/>
      <c r="GL2" s="1157"/>
      <c r="GM2" s="1157"/>
      <c r="GN2" s="1157"/>
      <c r="GO2" s="1157"/>
      <c r="GP2" s="1157"/>
      <c r="GQ2" s="1157"/>
      <c r="GR2" s="1157"/>
      <c r="GS2" s="1157"/>
      <c r="GT2" s="1157"/>
      <c r="GU2" s="1157"/>
      <c r="GV2" s="1157"/>
      <c r="GW2" s="1157"/>
      <c r="GX2" s="1157"/>
      <c r="GY2" s="1157"/>
      <c r="GZ2" s="1157"/>
      <c r="HA2" s="1157"/>
      <c r="HB2" s="1157"/>
      <c r="HC2" s="1157"/>
      <c r="HD2" s="1157"/>
      <c r="HE2" s="1157"/>
      <c r="HF2" s="1157"/>
      <c r="HG2" s="1157"/>
      <c r="HH2" s="1157"/>
      <c r="HI2" s="1157"/>
      <c r="HJ2" s="1157"/>
      <c r="HK2" s="1157"/>
      <c r="HL2" s="1157"/>
      <c r="HM2" s="1157"/>
      <c r="HN2" s="1157"/>
      <c r="HO2" s="1157"/>
      <c r="HP2" s="1157"/>
      <c r="HQ2" s="1157"/>
      <c r="HR2" s="1157"/>
      <c r="HS2" s="1157"/>
      <c r="HT2" s="1157"/>
      <c r="HU2" s="1157"/>
      <c r="HV2" s="1157"/>
      <c r="HW2" s="1157"/>
      <c r="HX2" s="1157"/>
      <c r="HY2" s="1157"/>
      <c r="HZ2" s="1157"/>
      <c r="IA2" s="1157"/>
      <c r="IB2" s="1157"/>
      <c r="IC2" s="1157"/>
      <c r="ID2" s="1157"/>
      <c r="IE2" s="1157"/>
      <c r="IF2" s="1157"/>
      <c r="IG2" s="1157"/>
      <c r="IH2" s="1157"/>
      <c r="II2" s="1157"/>
      <c r="IJ2" s="1157"/>
      <c r="IK2" s="1157"/>
      <c r="IL2" s="1157"/>
    </row>
    <row r="3" spans="1:246" s="27" customFormat="1" ht="42" customHeight="1" x14ac:dyDescent="0.25">
      <c r="A3" s="1157" t="s">
        <v>68</v>
      </c>
      <c r="B3" s="1157"/>
      <c r="C3" s="1157"/>
      <c r="D3" s="1157"/>
      <c r="E3" s="1157"/>
      <c r="F3" s="1157"/>
      <c r="G3" s="1157"/>
      <c r="H3" s="1157"/>
      <c r="I3" s="1157"/>
      <c r="J3" s="1157"/>
      <c r="K3" s="1157"/>
      <c r="L3" s="1157"/>
      <c r="M3" s="1157"/>
      <c r="N3" s="1157"/>
      <c r="O3" s="1157"/>
      <c r="P3" s="1157"/>
      <c r="Q3" s="1157"/>
      <c r="R3" s="1157"/>
      <c r="S3" s="1157"/>
      <c r="T3" s="1157"/>
      <c r="U3" s="1157"/>
      <c r="V3" s="1157"/>
      <c r="W3" s="1157"/>
      <c r="X3" s="1157"/>
      <c r="Y3" s="1157"/>
      <c r="Z3" s="1157"/>
      <c r="AA3" s="1157"/>
      <c r="AB3" s="1157"/>
      <c r="AC3" s="1157"/>
      <c r="AD3" s="1157"/>
      <c r="AE3" s="1157"/>
      <c r="AF3" s="1157"/>
      <c r="AG3" s="1157"/>
      <c r="AH3" s="1157"/>
      <c r="AI3" s="1157"/>
      <c r="AJ3" s="1157"/>
      <c r="AK3" s="1157"/>
      <c r="AL3" s="1157"/>
      <c r="AM3" s="1157"/>
      <c r="AN3" s="1157"/>
      <c r="AO3" s="1157"/>
      <c r="AP3" s="1157"/>
      <c r="AQ3" s="1157"/>
      <c r="AR3" s="1157"/>
      <c r="AS3" s="1157"/>
      <c r="AT3" s="1157"/>
      <c r="AU3" s="1157"/>
      <c r="AV3" s="1157"/>
      <c r="AW3" s="1157"/>
      <c r="AX3" s="1157"/>
      <c r="AY3" s="1157"/>
      <c r="AZ3" s="1157"/>
      <c r="BA3" s="1157"/>
      <c r="BB3" s="1157"/>
      <c r="BC3" s="1157"/>
      <c r="BD3" s="1157"/>
      <c r="BE3" s="1157"/>
      <c r="BF3" s="1157"/>
      <c r="BG3" s="1157"/>
      <c r="BH3" s="1157"/>
      <c r="BI3" s="1157"/>
      <c r="BJ3" s="1157"/>
      <c r="BK3" s="1157"/>
      <c r="BL3" s="1157"/>
      <c r="BM3" s="1157"/>
      <c r="BN3" s="1157"/>
      <c r="BO3" s="1157"/>
      <c r="BP3" s="1157"/>
      <c r="BQ3" s="1157"/>
      <c r="BR3" s="1157"/>
      <c r="BS3" s="1157"/>
      <c r="BT3" s="1157"/>
      <c r="BU3" s="1157"/>
      <c r="BV3" s="1157"/>
      <c r="BW3" s="1157"/>
      <c r="BX3" s="1157"/>
      <c r="BY3" s="1157"/>
      <c r="BZ3" s="1157"/>
      <c r="CA3" s="1157"/>
      <c r="CB3" s="1157"/>
      <c r="CC3" s="1157"/>
      <c r="CD3" s="1157"/>
      <c r="CE3" s="1157"/>
      <c r="CF3" s="1157"/>
      <c r="CG3" s="1157"/>
      <c r="CH3" s="1157"/>
      <c r="CI3" s="1157"/>
      <c r="CJ3" s="1157"/>
      <c r="CK3" s="1157"/>
      <c r="CL3" s="1157"/>
      <c r="CM3" s="1157"/>
      <c r="CN3" s="1157"/>
      <c r="CO3" s="1157"/>
      <c r="CP3" s="1157"/>
      <c r="CQ3" s="1157"/>
      <c r="CR3" s="1157"/>
      <c r="CS3" s="1157"/>
      <c r="CT3" s="1157"/>
      <c r="CU3" s="1157"/>
      <c r="CV3" s="1157"/>
      <c r="CW3" s="1157"/>
      <c r="CX3" s="1157"/>
      <c r="CY3" s="1157"/>
      <c r="CZ3" s="1157"/>
      <c r="DA3" s="1157"/>
      <c r="DB3" s="1157"/>
      <c r="DC3" s="1157"/>
      <c r="DD3" s="1157"/>
      <c r="DE3" s="1157"/>
      <c r="DF3" s="1157"/>
      <c r="DG3" s="1157"/>
      <c r="DH3" s="1157"/>
      <c r="DI3" s="1157"/>
      <c r="DJ3" s="1157"/>
      <c r="DK3" s="1157"/>
      <c r="DL3" s="1157"/>
      <c r="DM3" s="1157"/>
      <c r="DN3" s="1157"/>
      <c r="DO3" s="1157"/>
      <c r="DP3" s="1157"/>
      <c r="DQ3" s="1157"/>
      <c r="DR3" s="1157"/>
      <c r="DS3" s="1157"/>
      <c r="DT3" s="1157"/>
      <c r="DU3" s="1157"/>
      <c r="DV3" s="1157"/>
      <c r="DW3" s="1157"/>
      <c r="DX3" s="1157"/>
      <c r="DY3" s="1157"/>
      <c r="DZ3" s="1157"/>
      <c r="EA3" s="1157"/>
      <c r="EB3" s="1157"/>
      <c r="EC3" s="1157"/>
      <c r="ED3" s="1157"/>
      <c r="EE3" s="1157"/>
      <c r="EF3" s="1157"/>
      <c r="EG3" s="1157"/>
      <c r="EH3" s="1157"/>
      <c r="EI3" s="1157"/>
      <c r="EJ3" s="1157"/>
      <c r="EK3" s="1157"/>
      <c r="EL3" s="1157"/>
      <c r="EM3" s="1157"/>
      <c r="EN3" s="1157"/>
      <c r="EO3" s="1157"/>
      <c r="EP3" s="1157"/>
      <c r="EQ3" s="1157"/>
      <c r="ER3" s="1157"/>
      <c r="ES3" s="1157"/>
      <c r="ET3" s="1157"/>
      <c r="EU3" s="1157"/>
      <c r="EV3" s="1157"/>
      <c r="EW3" s="1157"/>
      <c r="EX3" s="1157"/>
      <c r="EY3" s="1157"/>
      <c r="EZ3" s="1157"/>
      <c r="FA3" s="1157"/>
      <c r="FB3" s="1157"/>
      <c r="FC3" s="1157"/>
      <c r="FD3" s="1157"/>
      <c r="FE3" s="1157"/>
      <c r="FF3" s="1157"/>
      <c r="FG3" s="1157"/>
      <c r="FH3" s="1157"/>
      <c r="FI3" s="1157"/>
      <c r="FJ3" s="1157"/>
      <c r="FK3" s="1157"/>
      <c r="FL3" s="1157"/>
      <c r="FM3" s="1157"/>
      <c r="FN3" s="1157"/>
      <c r="FO3" s="1157"/>
      <c r="FP3" s="1157"/>
      <c r="FQ3" s="1157"/>
      <c r="FR3" s="1157"/>
      <c r="FS3" s="1157"/>
      <c r="FT3" s="1157"/>
      <c r="FU3" s="1157"/>
      <c r="FV3" s="1157"/>
      <c r="FW3" s="1157"/>
      <c r="FX3" s="1157"/>
      <c r="FY3" s="1157"/>
      <c r="FZ3" s="1157"/>
      <c r="GA3" s="1157"/>
      <c r="GB3" s="1157"/>
      <c r="GC3" s="1157"/>
      <c r="GD3" s="1157"/>
      <c r="GE3" s="1157"/>
      <c r="GF3" s="1157"/>
      <c r="GG3" s="1157"/>
      <c r="GH3" s="1157"/>
      <c r="GI3" s="1157"/>
      <c r="GJ3" s="1157"/>
      <c r="GK3" s="1157"/>
      <c r="GL3" s="1157"/>
      <c r="GM3" s="1157"/>
      <c r="GN3" s="1157"/>
      <c r="GO3" s="1157"/>
      <c r="GP3" s="1157"/>
      <c r="GQ3" s="1157"/>
      <c r="GR3" s="1157"/>
      <c r="GS3" s="1157"/>
      <c r="GT3" s="1157"/>
      <c r="GU3" s="1157"/>
      <c r="GV3" s="1157"/>
      <c r="GW3" s="1157"/>
      <c r="GX3" s="1157"/>
      <c r="GY3" s="1157"/>
      <c r="GZ3" s="1157"/>
      <c r="HA3" s="1157"/>
      <c r="HB3" s="1157"/>
      <c r="HC3" s="1157"/>
      <c r="HD3" s="1157"/>
      <c r="HE3" s="1157"/>
      <c r="HF3" s="1157"/>
      <c r="HG3" s="1157"/>
      <c r="HH3" s="1157"/>
      <c r="HI3" s="1157"/>
      <c r="HJ3" s="1157"/>
      <c r="HK3" s="1157"/>
      <c r="HL3" s="1157"/>
      <c r="HM3" s="1157"/>
      <c r="HN3" s="1157"/>
      <c r="HO3" s="1157"/>
      <c r="HP3" s="1157"/>
      <c r="HQ3" s="1157"/>
      <c r="HR3" s="1157"/>
      <c r="HS3" s="1157"/>
      <c r="HT3" s="1157"/>
      <c r="HU3" s="1157"/>
      <c r="HV3" s="1157"/>
      <c r="HW3" s="1157"/>
      <c r="HX3" s="1157"/>
      <c r="HY3" s="1157"/>
      <c r="HZ3" s="1157"/>
      <c r="IA3" s="1157"/>
      <c r="IB3" s="1157"/>
      <c r="IC3" s="1157"/>
      <c r="ID3" s="1157"/>
      <c r="IE3" s="1157"/>
      <c r="IF3" s="1157"/>
      <c r="IG3" s="1157"/>
      <c r="IH3" s="1157"/>
      <c r="II3" s="1157"/>
      <c r="IJ3" s="1157"/>
      <c r="IK3" s="1157"/>
      <c r="IL3" s="1157"/>
    </row>
    <row r="4" spans="1:246" s="27" customFormat="1" ht="21.75" customHeight="1" x14ac:dyDescent="0.25">
      <c r="A4" s="1159" t="str">
        <f>'B4-TDA1,DA3'!A4:L4</f>
        <v>(Kèm theo Tờ trình số:          /TTr-UBND ngày          tháng 11 năm 2022 của UBND tỉnh)</v>
      </c>
      <c r="B4" s="1160"/>
      <c r="C4" s="1160"/>
      <c r="D4" s="1160"/>
      <c r="E4" s="1160"/>
      <c r="F4" s="1160"/>
      <c r="G4" s="1160"/>
      <c r="H4" s="1160"/>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1157"/>
      <c r="BA4" s="1157"/>
      <c r="BB4" s="1157"/>
      <c r="BC4" s="1157"/>
      <c r="BD4" s="1157"/>
      <c r="BE4" s="1157"/>
      <c r="BF4" s="1157"/>
      <c r="BG4" s="1157"/>
      <c r="BH4" s="1157"/>
      <c r="BI4" s="1157"/>
      <c r="BJ4" s="1157"/>
      <c r="BK4" s="1157"/>
      <c r="BL4" s="1157"/>
      <c r="BM4" s="1157"/>
      <c r="BN4" s="1157"/>
      <c r="BO4" s="1157"/>
      <c r="BP4" s="1157"/>
      <c r="BQ4" s="1157"/>
      <c r="BR4" s="1157"/>
      <c r="BS4" s="1157"/>
      <c r="BT4" s="1157"/>
      <c r="BU4" s="1157"/>
      <c r="BV4" s="1157"/>
      <c r="BW4" s="1157"/>
      <c r="BX4" s="1157"/>
      <c r="BY4" s="1157"/>
      <c r="BZ4" s="1157"/>
      <c r="CA4" s="1157"/>
      <c r="CB4" s="1157"/>
      <c r="CC4" s="1157"/>
      <c r="CD4" s="1157"/>
      <c r="CE4" s="1157"/>
      <c r="CF4" s="1157"/>
      <c r="CG4" s="1157"/>
      <c r="CH4" s="1157"/>
      <c r="CI4" s="1157"/>
      <c r="CJ4" s="1157"/>
      <c r="CK4" s="1157"/>
      <c r="CL4" s="1157"/>
      <c r="CM4" s="1157"/>
      <c r="CN4" s="1157"/>
      <c r="CO4" s="1157"/>
      <c r="CP4" s="1157"/>
      <c r="CQ4" s="1157"/>
      <c r="CR4" s="1157"/>
      <c r="CS4" s="1157"/>
      <c r="CT4" s="1157"/>
      <c r="CU4" s="1157"/>
      <c r="CV4" s="1157"/>
      <c r="CW4" s="1157"/>
      <c r="CX4" s="1157"/>
      <c r="CY4" s="1157"/>
      <c r="CZ4" s="1157"/>
      <c r="DA4" s="1157"/>
      <c r="DB4" s="1157"/>
      <c r="DC4" s="1157"/>
      <c r="DD4" s="1157"/>
      <c r="DE4" s="1157"/>
      <c r="DF4" s="1157"/>
      <c r="DG4" s="1157"/>
      <c r="DH4" s="1157"/>
      <c r="DI4" s="1157"/>
      <c r="DJ4" s="1157"/>
      <c r="DK4" s="1157"/>
      <c r="DL4" s="1157"/>
      <c r="DM4" s="1157"/>
      <c r="DN4" s="1157"/>
      <c r="DO4" s="1157"/>
      <c r="DP4" s="1157"/>
      <c r="DQ4" s="1157"/>
      <c r="DR4" s="1157"/>
      <c r="DS4" s="1157"/>
      <c r="DT4" s="1157"/>
      <c r="DU4" s="1157"/>
      <c r="DV4" s="1157"/>
      <c r="DW4" s="1157"/>
      <c r="DX4" s="1157"/>
      <c r="DY4" s="1157"/>
      <c r="DZ4" s="1157"/>
      <c r="EA4" s="1157"/>
      <c r="EB4" s="1157"/>
      <c r="EC4" s="1157"/>
      <c r="ED4" s="1157"/>
      <c r="EE4" s="1157"/>
      <c r="EF4" s="1157"/>
      <c r="EG4" s="1157"/>
      <c r="EH4" s="1157"/>
      <c r="EI4" s="1157"/>
      <c r="EJ4" s="1157"/>
      <c r="EK4" s="1157"/>
      <c r="EL4" s="1157"/>
      <c r="EM4" s="1157"/>
      <c r="EN4" s="1157"/>
      <c r="EO4" s="1157"/>
      <c r="EP4" s="1157"/>
      <c r="EQ4" s="1157"/>
      <c r="ER4" s="1157"/>
      <c r="ES4" s="1157"/>
      <c r="ET4" s="1157"/>
      <c r="EU4" s="1157"/>
      <c r="EV4" s="1157"/>
      <c r="EW4" s="1157"/>
      <c r="EX4" s="1157"/>
      <c r="EY4" s="1157"/>
      <c r="EZ4" s="1157"/>
      <c r="FA4" s="1157"/>
      <c r="FB4" s="1157"/>
      <c r="FC4" s="1157"/>
      <c r="FD4" s="1157"/>
      <c r="FE4" s="1157"/>
      <c r="FF4" s="1157"/>
      <c r="FG4" s="1157"/>
      <c r="FH4" s="1157"/>
      <c r="FI4" s="1157"/>
      <c r="FJ4" s="1157"/>
      <c r="FK4" s="1157"/>
      <c r="FL4" s="1157"/>
      <c r="FM4" s="1157"/>
      <c r="FN4" s="1157"/>
      <c r="FO4" s="1157"/>
      <c r="FP4" s="1157"/>
      <c r="FQ4" s="1157"/>
      <c r="FR4" s="1157"/>
      <c r="FS4" s="1157"/>
      <c r="FT4" s="1157"/>
      <c r="FU4" s="1157"/>
      <c r="FV4" s="1157"/>
      <c r="FW4" s="1157"/>
      <c r="FX4" s="1157"/>
      <c r="FY4" s="1157"/>
      <c r="FZ4" s="1157"/>
      <c r="GA4" s="1157"/>
      <c r="GB4" s="1157"/>
      <c r="GC4" s="1157"/>
      <c r="GD4" s="1157"/>
      <c r="GE4" s="1157"/>
      <c r="GF4" s="1157"/>
      <c r="GG4" s="1157"/>
      <c r="GH4" s="1157"/>
      <c r="GI4" s="1157"/>
      <c r="GJ4" s="1157"/>
      <c r="GK4" s="1157"/>
      <c r="GL4" s="1157"/>
      <c r="GM4" s="1157"/>
      <c r="GN4" s="1157"/>
      <c r="GO4" s="1157"/>
      <c r="GP4" s="1157"/>
      <c r="GQ4" s="1157"/>
      <c r="GR4" s="1157"/>
      <c r="GS4" s="1157"/>
      <c r="GT4" s="1157"/>
      <c r="GU4" s="1157"/>
      <c r="GV4" s="1157"/>
      <c r="GW4" s="1157"/>
      <c r="GX4" s="1157"/>
      <c r="GY4" s="1157"/>
      <c r="GZ4" s="1157"/>
      <c r="HA4" s="1157"/>
      <c r="HB4" s="1157"/>
      <c r="HC4" s="1157"/>
      <c r="HD4" s="1157"/>
      <c r="HE4" s="1157"/>
      <c r="HF4" s="1157"/>
      <c r="HG4" s="1157"/>
      <c r="HH4" s="1157"/>
      <c r="HI4" s="1157"/>
      <c r="HJ4" s="1157"/>
      <c r="HK4" s="1157"/>
      <c r="HL4" s="1157"/>
      <c r="HM4" s="1157"/>
      <c r="HN4" s="1157"/>
      <c r="HO4" s="1157"/>
      <c r="HP4" s="1157"/>
      <c r="HQ4" s="1157"/>
      <c r="HR4" s="1157"/>
      <c r="HS4" s="1157"/>
      <c r="HT4" s="1157"/>
      <c r="HU4" s="1157"/>
      <c r="HV4" s="1157"/>
      <c r="HW4" s="1157"/>
      <c r="HX4" s="1157"/>
      <c r="HY4" s="1157"/>
      <c r="HZ4" s="1157"/>
      <c r="IA4" s="1157"/>
      <c r="IB4" s="1157"/>
      <c r="IC4" s="1157"/>
      <c r="ID4" s="1157"/>
      <c r="IE4" s="1157"/>
      <c r="IF4" s="1157"/>
      <c r="IG4" s="1157"/>
      <c r="IH4" s="1157"/>
      <c r="II4" s="1157"/>
      <c r="IJ4" s="1157"/>
      <c r="IK4" s="1157"/>
      <c r="IL4" s="1157"/>
    </row>
    <row r="5" spans="1:246" s="27" customFormat="1" ht="24" customHeight="1" x14ac:dyDescent="0.25">
      <c r="A5" s="1163" t="s">
        <v>1</v>
      </c>
      <c r="B5" s="1163" t="s">
        <v>35</v>
      </c>
      <c r="C5" s="1167" t="s">
        <v>37</v>
      </c>
      <c r="D5" s="1163" t="s">
        <v>160</v>
      </c>
      <c r="E5" s="1163"/>
      <c r="F5" s="1163" t="s">
        <v>161</v>
      </c>
      <c r="G5" s="1163"/>
      <c r="H5" s="1161" t="s">
        <v>3</v>
      </c>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row>
    <row r="6" spans="1:246" s="27" customFormat="1" ht="39.75" customHeight="1" x14ac:dyDescent="0.25">
      <c r="A6" s="1163"/>
      <c r="B6" s="1163"/>
      <c r="C6" s="1168"/>
      <c r="D6" s="152" t="s">
        <v>162</v>
      </c>
      <c r="E6" s="152" t="s">
        <v>163</v>
      </c>
      <c r="F6" s="152" t="s">
        <v>162</v>
      </c>
      <c r="G6" s="152" t="s">
        <v>163</v>
      </c>
      <c r="H6" s="1162"/>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row>
    <row r="7" spans="1:246" ht="88.5" customHeight="1" x14ac:dyDescent="0.25">
      <c r="A7" s="153">
        <v>1</v>
      </c>
      <c r="B7" s="238" t="s">
        <v>317</v>
      </c>
      <c r="C7" s="154">
        <f>ROUND(E7+G7,0)</f>
        <v>8673</v>
      </c>
      <c r="D7" s="388">
        <v>0.114</v>
      </c>
      <c r="E7" s="154">
        <f>67431*D7</f>
        <v>7687.134</v>
      </c>
      <c r="F7" s="422">
        <v>0.1283</v>
      </c>
      <c r="G7" s="154">
        <f>E7*F7</f>
        <v>986.2592922</v>
      </c>
      <c r="H7" s="1164" t="s">
        <v>164</v>
      </c>
    </row>
    <row r="8" spans="1:246" ht="88.5" customHeight="1" x14ac:dyDescent="0.25">
      <c r="A8" s="156">
        <v>2</v>
      </c>
      <c r="B8" s="239" t="s">
        <v>316</v>
      </c>
      <c r="C8" s="157">
        <f>ROUND(E8+G8,0)</f>
        <v>67409</v>
      </c>
      <c r="D8" s="389">
        <v>0.88600000000000001</v>
      </c>
      <c r="E8" s="157">
        <f>67431*D8</f>
        <v>59743.866000000002</v>
      </c>
      <c r="F8" s="422">
        <v>0.1283</v>
      </c>
      <c r="G8" s="157">
        <f>E8*F8</f>
        <v>7665.1380078000002</v>
      </c>
      <c r="H8" s="1165"/>
    </row>
    <row r="9" spans="1:246" ht="54" customHeight="1" x14ac:dyDescent="0.25">
      <c r="A9" s="1158" t="s">
        <v>67</v>
      </c>
      <c r="B9" s="1158"/>
      <c r="C9" s="158">
        <f t="shared" ref="C9" si="0">SUM(C7:C8)</f>
        <v>76082</v>
      </c>
      <c r="D9" s="158"/>
      <c r="E9" s="158">
        <f>SUM(E7:E8)</f>
        <v>67431</v>
      </c>
      <c r="F9" s="158"/>
      <c r="G9" s="158">
        <f>SUM(G7:G8)</f>
        <v>8651.3973000000005</v>
      </c>
      <c r="H9" s="1166"/>
    </row>
  </sheetData>
  <mergeCells count="53">
    <mergeCell ref="AQ2:BG2"/>
    <mergeCell ref="DX4:EN4"/>
    <mergeCell ref="EO4:FE4"/>
    <mergeCell ref="FF4:FV4"/>
    <mergeCell ref="BY4:CO4"/>
    <mergeCell ref="DX2:EN2"/>
    <mergeCell ref="AQ4:BG4"/>
    <mergeCell ref="BH4:BX4"/>
    <mergeCell ref="EO2:FE2"/>
    <mergeCell ref="FF2:FV2"/>
    <mergeCell ref="BH2:BX2"/>
    <mergeCell ref="BY2:CO2"/>
    <mergeCell ref="CP2:DF2"/>
    <mergeCell ref="CP3:DF3"/>
    <mergeCell ref="DG3:DW3"/>
    <mergeCell ref="CP4:DF4"/>
    <mergeCell ref="A9:B9"/>
    <mergeCell ref="A4:H4"/>
    <mergeCell ref="I4:Y4"/>
    <mergeCell ref="Z4:AP4"/>
    <mergeCell ref="H5:H6"/>
    <mergeCell ref="A5:A6"/>
    <mergeCell ref="B5:B6"/>
    <mergeCell ref="D5:E5"/>
    <mergeCell ref="H7:H9"/>
    <mergeCell ref="F5:G5"/>
    <mergeCell ref="C5:C6"/>
    <mergeCell ref="FW4:GM4"/>
    <mergeCell ref="EO3:FE3"/>
    <mergeCell ref="FF3:FV3"/>
    <mergeCell ref="FW3:GM3"/>
    <mergeCell ref="DG4:DW4"/>
    <mergeCell ref="HV2:IL2"/>
    <mergeCell ref="A3:H3"/>
    <mergeCell ref="I3:Y3"/>
    <mergeCell ref="Z3:AP3"/>
    <mergeCell ref="AQ3:BG3"/>
    <mergeCell ref="BH3:BX3"/>
    <mergeCell ref="BY3:CO3"/>
    <mergeCell ref="A2:H2"/>
    <mergeCell ref="I2:Y2"/>
    <mergeCell ref="Z2:AP2"/>
    <mergeCell ref="FW2:GM2"/>
    <mergeCell ref="GN2:HD2"/>
    <mergeCell ref="HE2:HU2"/>
    <mergeCell ref="GN3:HD3"/>
    <mergeCell ref="DX3:EN3"/>
    <mergeCell ref="DG2:DW2"/>
    <mergeCell ref="GN4:HD4"/>
    <mergeCell ref="HE4:HU4"/>
    <mergeCell ref="HV4:IL4"/>
    <mergeCell ref="HE3:HU3"/>
    <mergeCell ref="HV3:IL3"/>
  </mergeCells>
  <pageMargins left="0.40625" right="0.375" top="0.47916666666666669" bottom="0.75" header="0.3" footer="0.3"/>
  <pageSetup paperSize="9"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L25"/>
  <sheetViews>
    <sheetView topLeftCell="A4" zoomScale="85" zoomScaleNormal="85" workbookViewId="0">
      <pane xSplit="2" ySplit="1" topLeftCell="C5" activePane="bottomRight" state="frozen"/>
      <selection activeCell="A4" sqref="A4"/>
      <selection pane="topRight" activeCell="C4" sqref="C4"/>
      <selection pane="bottomLeft" activeCell="A5" sqref="A5"/>
      <selection pane="bottomRight" activeCell="N12" sqref="N12"/>
    </sheetView>
  </sheetViews>
  <sheetFormatPr defaultColWidth="7.75" defaultRowHeight="18.75" x14ac:dyDescent="0.25"/>
  <cols>
    <col min="1" max="1" width="6.75" style="39" customWidth="1"/>
    <col min="2" max="2" width="49.125" style="33" customWidth="1"/>
    <col min="3" max="3" width="12.25" style="39" customWidth="1"/>
    <col min="4" max="4" width="11.5" style="33" customWidth="1"/>
    <col min="5" max="5" width="11.5" style="40" customWidth="1"/>
    <col min="6" max="6" width="11.5" style="41" customWidth="1"/>
    <col min="7" max="9" width="11.5" style="40" customWidth="1"/>
    <col min="10" max="10" width="11.5" style="41" customWidth="1"/>
    <col min="11" max="11" width="11.5" style="40" customWidth="1"/>
    <col min="12" max="12" width="11.5" style="33" customWidth="1"/>
    <col min="13" max="13" width="13.25" style="33" bestFit="1" customWidth="1"/>
    <col min="14" max="16384" width="7.75" style="33"/>
  </cols>
  <sheetData>
    <row r="1" spans="1:12" s="31" customFormat="1" ht="24.75" customHeight="1" x14ac:dyDescent="0.25">
      <c r="A1" s="32"/>
      <c r="B1" s="32"/>
      <c r="C1" s="25"/>
      <c r="D1" s="25"/>
      <c r="E1" s="25"/>
      <c r="F1" s="25"/>
      <c r="I1" s="32"/>
      <c r="J1" s="1171" t="s">
        <v>167</v>
      </c>
      <c r="K1" s="1171"/>
      <c r="L1" s="1171"/>
    </row>
    <row r="2" spans="1:12" ht="52.9" customHeight="1" x14ac:dyDescent="0.25">
      <c r="A2" s="1169" t="s">
        <v>166</v>
      </c>
      <c r="B2" s="1169"/>
      <c r="C2" s="1169"/>
      <c r="D2" s="1169"/>
      <c r="E2" s="1169"/>
      <c r="F2" s="1169"/>
      <c r="G2" s="1169"/>
      <c r="H2" s="1169"/>
      <c r="I2" s="1169"/>
      <c r="J2" s="1169"/>
      <c r="K2" s="1169"/>
      <c r="L2" s="1169"/>
    </row>
    <row r="3" spans="1:12" ht="26.25" customHeight="1" x14ac:dyDescent="0.25">
      <c r="A3" s="1170" t="str">
        <f>'B5-TDA2,DA3'!A4:H4</f>
        <v>(Kèm theo Tờ trình số:          /TTr-UBND ngày          tháng 11 năm 2022 của UBND tỉnh)</v>
      </c>
      <c r="B3" s="1170"/>
      <c r="C3" s="1170"/>
      <c r="D3" s="1170"/>
      <c r="E3" s="1170"/>
      <c r="F3" s="1170"/>
      <c r="G3" s="1170"/>
      <c r="H3" s="1170"/>
      <c r="I3" s="1170"/>
      <c r="J3" s="1170"/>
      <c r="K3" s="1170"/>
      <c r="L3" s="1170"/>
    </row>
    <row r="4" spans="1:12" s="37" customFormat="1" ht="62.25" customHeight="1" x14ac:dyDescent="0.25">
      <c r="A4" s="34" t="s">
        <v>1</v>
      </c>
      <c r="B4" s="34" t="s">
        <v>35</v>
      </c>
      <c r="C4" s="34" t="s">
        <v>36</v>
      </c>
      <c r="D4" s="34" t="s">
        <v>37</v>
      </c>
      <c r="E4" s="35" t="s">
        <v>38</v>
      </c>
      <c r="F4" s="36" t="s">
        <v>39</v>
      </c>
      <c r="G4" s="35" t="s">
        <v>40</v>
      </c>
      <c r="H4" s="35" t="s">
        <v>41</v>
      </c>
      <c r="I4" s="35" t="s">
        <v>42</v>
      </c>
      <c r="J4" s="36" t="s">
        <v>43</v>
      </c>
      <c r="K4" s="35" t="s">
        <v>44</v>
      </c>
      <c r="L4" s="34" t="s">
        <v>45</v>
      </c>
    </row>
    <row r="5" spans="1:12" s="37" customFormat="1" ht="21.75" customHeight="1" x14ac:dyDescent="0.25">
      <c r="A5" s="159" t="s">
        <v>46</v>
      </c>
      <c r="B5" s="160" t="s">
        <v>47</v>
      </c>
      <c r="C5" s="159"/>
      <c r="D5" s="159"/>
      <c r="E5" s="161"/>
      <c r="F5" s="162"/>
      <c r="G5" s="161"/>
      <c r="H5" s="161"/>
      <c r="I5" s="161"/>
      <c r="J5" s="162"/>
      <c r="K5" s="161"/>
      <c r="L5" s="159"/>
    </row>
    <row r="6" spans="1:12" s="37" customFormat="1" ht="21.75" customHeight="1" x14ac:dyDescent="0.25">
      <c r="A6" s="163">
        <v>1</v>
      </c>
      <c r="B6" s="164" t="s">
        <v>69</v>
      </c>
      <c r="C6" s="165" t="s">
        <v>70</v>
      </c>
      <c r="D6" s="176">
        <f>SUM(E6:L6)</f>
        <v>66</v>
      </c>
      <c r="E6" s="177">
        <v>8</v>
      </c>
      <c r="F6" s="178">
        <v>8</v>
      </c>
      <c r="G6" s="177">
        <v>9</v>
      </c>
      <c r="H6" s="177">
        <v>8</v>
      </c>
      <c r="I6" s="177">
        <v>13</v>
      </c>
      <c r="J6" s="178">
        <v>10</v>
      </c>
      <c r="K6" s="177">
        <v>10</v>
      </c>
      <c r="L6" s="176">
        <v>0</v>
      </c>
    </row>
    <row r="7" spans="1:12" s="37" customFormat="1" ht="60" customHeight="1" x14ac:dyDescent="0.25">
      <c r="A7" s="163">
        <v>2</v>
      </c>
      <c r="B7" s="164" t="s">
        <v>71</v>
      </c>
      <c r="C7" s="165" t="s">
        <v>70</v>
      </c>
      <c r="D7" s="176">
        <f t="shared" ref="D7:D11" si="0">SUM(E7:L7)</f>
        <v>3</v>
      </c>
      <c r="E7" s="177">
        <v>0</v>
      </c>
      <c r="F7" s="178">
        <v>2</v>
      </c>
      <c r="G7" s="177">
        <v>0</v>
      </c>
      <c r="H7" s="177">
        <v>0</v>
      </c>
      <c r="I7" s="177">
        <v>1</v>
      </c>
      <c r="J7" s="178">
        <v>0</v>
      </c>
      <c r="K7" s="177">
        <v>0</v>
      </c>
      <c r="L7" s="176">
        <v>0</v>
      </c>
    </row>
    <row r="8" spans="1:12" s="37" customFormat="1" ht="60" customHeight="1" x14ac:dyDescent="0.25">
      <c r="A8" s="163">
        <v>3</v>
      </c>
      <c r="B8" s="164" t="s">
        <v>72</v>
      </c>
      <c r="C8" s="165" t="s">
        <v>73</v>
      </c>
      <c r="D8" s="176">
        <f t="shared" si="0"/>
        <v>55</v>
      </c>
      <c r="E8" s="177">
        <v>9</v>
      </c>
      <c r="F8" s="178">
        <v>13</v>
      </c>
      <c r="G8" s="177">
        <v>1</v>
      </c>
      <c r="H8" s="177">
        <v>10</v>
      </c>
      <c r="I8" s="177">
        <v>7</v>
      </c>
      <c r="J8" s="178">
        <v>0</v>
      </c>
      <c r="K8" s="177">
        <v>14</v>
      </c>
      <c r="L8" s="176">
        <v>1</v>
      </c>
    </row>
    <row r="9" spans="1:12" s="37" customFormat="1" ht="21.75" customHeight="1" x14ac:dyDescent="0.25">
      <c r="A9" s="163">
        <v>4</v>
      </c>
      <c r="B9" s="164" t="s">
        <v>74</v>
      </c>
      <c r="C9" s="165" t="s">
        <v>75</v>
      </c>
      <c r="D9" s="176">
        <f t="shared" si="0"/>
        <v>4</v>
      </c>
      <c r="E9" s="177"/>
      <c r="F9" s="178"/>
      <c r="G9" s="177"/>
      <c r="H9" s="177">
        <v>1</v>
      </c>
      <c r="I9" s="177">
        <v>3</v>
      </c>
      <c r="J9" s="178"/>
      <c r="K9" s="177"/>
      <c r="L9" s="176"/>
    </row>
    <row r="10" spans="1:12" s="37" customFormat="1" ht="21.75" customHeight="1" x14ac:dyDescent="0.25">
      <c r="A10" s="163">
        <v>5</v>
      </c>
      <c r="B10" s="166" t="s">
        <v>76</v>
      </c>
      <c r="C10" s="163" t="s">
        <v>70</v>
      </c>
      <c r="D10" s="176">
        <f t="shared" si="0"/>
        <v>9</v>
      </c>
      <c r="E10" s="177">
        <v>0</v>
      </c>
      <c r="F10" s="178">
        <v>2</v>
      </c>
      <c r="G10" s="177">
        <v>0</v>
      </c>
      <c r="H10" s="177">
        <v>3</v>
      </c>
      <c r="I10" s="177">
        <v>4</v>
      </c>
      <c r="J10" s="178">
        <v>0</v>
      </c>
      <c r="K10" s="177">
        <v>0</v>
      </c>
      <c r="L10" s="176">
        <v>0</v>
      </c>
    </row>
    <row r="11" spans="1:12" s="42" customFormat="1" ht="21.75" customHeight="1" x14ac:dyDescent="0.25">
      <c r="A11" s="163">
        <v>6</v>
      </c>
      <c r="B11" s="167" t="s">
        <v>77</v>
      </c>
      <c r="C11" s="168" t="s">
        <v>78</v>
      </c>
      <c r="D11" s="176">
        <f t="shared" si="0"/>
        <v>223.48418803418804</v>
      </c>
      <c r="E11" s="177">
        <f>214/8</f>
        <v>26.75</v>
      </c>
      <c r="F11" s="178">
        <f>242/8</f>
        <v>30.25</v>
      </c>
      <c r="G11" s="177">
        <f>352/9</f>
        <v>39.111111111111114</v>
      </c>
      <c r="H11" s="177">
        <f>230/8</f>
        <v>28.75</v>
      </c>
      <c r="I11" s="177">
        <f>415/13</f>
        <v>31.923076923076923</v>
      </c>
      <c r="J11" s="178">
        <f>351/10</f>
        <v>35.1</v>
      </c>
      <c r="K11" s="177">
        <f>316/10</f>
        <v>31.6</v>
      </c>
      <c r="L11" s="176"/>
    </row>
    <row r="12" spans="1:12" s="43" customFormat="1" ht="21.75" customHeight="1" x14ac:dyDescent="0.25">
      <c r="A12" s="169" t="s">
        <v>31</v>
      </c>
      <c r="B12" s="170" t="s">
        <v>79</v>
      </c>
      <c r="C12" s="169"/>
      <c r="D12" s="179">
        <f>SUM(D13:D18)</f>
        <v>742.70452564102561</v>
      </c>
      <c r="E12" s="179">
        <f t="shared" ref="E12:L12" si="1">SUM(E13:E18)</f>
        <v>89.002499999999998</v>
      </c>
      <c r="F12" s="179">
        <f t="shared" si="1"/>
        <v>114.3075</v>
      </c>
      <c r="G12" s="179">
        <f t="shared" si="1"/>
        <v>83.973333333333329</v>
      </c>
      <c r="H12" s="179">
        <f t="shared" si="1"/>
        <v>96.362499999999997</v>
      </c>
      <c r="I12" s="179">
        <f t="shared" si="1"/>
        <v>150.05769230769229</v>
      </c>
      <c r="J12" s="179">
        <f t="shared" si="1"/>
        <v>91.052999999999997</v>
      </c>
      <c r="K12" s="179">
        <f t="shared" si="1"/>
        <v>116.148</v>
      </c>
      <c r="L12" s="179">
        <f t="shared" si="1"/>
        <v>1.8</v>
      </c>
    </row>
    <row r="13" spans="1:12" ht="21.75" customHeight="1" x14ac:dyDescent="0.25">
      <c r="A13" s="163">
        <v>1</v>
      </c>
      <c r="B13" s="164" t="s">
        <v>69</v>
      </c>
      <c r="C13" s="165">
        <v>9</v>
      </c>
      <c r="D13" s="176">
        <f>SUM(E13:L13)</f>
        <v>594</v>
      </c>
      <c r="E13" s="177">
        <f>$C13*E6</f>
        <v>72</v>
      </c>
      <c r="F13" s="177">
        <f t="shared" ref="F13:L13" si="2">$C13*F6</f>
        <v>72</v>
      </c>
      <c r="G13" s="177">
        <f t="shared" si="2"/>
        <v>81</v>
      </c>
      <c r="H13" s="177">
        <f t="shared" si="2"/>
        <v>72</v>
      </c>
      <c r="I13" s="177">
        <f t="shared" si="2"/>
        <v>117</v>
      </c>
      <c r="J13" s="177">
        <f t="shared" si="2"/>
        <v>90</v>
      </c>
      <c r="K13" s="177">
        <f t="shared" si="2"/>
        <v>90</v>
      </c>
      <c r="L13" s="177">
        <f t="shared" si="2"/>
        <v>0</v>
      </c>
    </row>
    <row r="14" spans="1:12" ht="60" customHeight="1" x14ac:dyDescent="0.25">
      <c r="A14" s="163">
        <v>2</v>
      </c>
      <c r="B14" s="164" t="s">
        <v>71</v>
      </c>
      <c r="C14" s="165">
        <v>8</v>
      </c>
      <c r="D14" s="176">
        <f t="shared" ref="D14:D18" si="3">SUM(E14:L14)</f>
        <v>24</v>
      </c>
      <c r="E14" s="177">
        <f t="shared" ref="E14:L17" si="4">$C14*E7</f>
        <v>0</v>
      </c>
      <c r="F14" s="177">
        <f t="shared" si="4"/>
        <v>16</v>
      </c>
      <c r="G14" s="177">
        <f t="shared" si="4"/>
        <v>0</v>
      </c>
      <c r="H14" s="177">
        <f t="shared" si="4"/>
        <v>0</v>
      </c>
      <c r="I14" s="177">
        <f t="shared" si="4"/>
        <v>8</v>
      </c>
      <c r="J14" s="177">
        <f t="shared" si="4"/>
        <v>0</v>
      </c>
      <c r="K14" s="177">
        <f t="shared" si="4"/>
        <v>0</v>
      </c>
      <c r="L14" s="177">
        <f t="shared" si="4"/>
        <v>0</v>
      </c>
    </row>
    <row r="15" spans="1:12" ht="60" customHeight="1" x14ac:dyDescent="0.25">
      <c r="A15" s="163">
        <v>3</v>
      </c>
      <c r="B15" s="164" t="s">
        <v>72</v>
      </c>
      <c r="C15" s="174">
        <v>1.8</v>
      </c>
      <c r="D15" s="176">
        <f t="shared" si="3"/>
        <v>99</v>
      </c>
      <c r="E15" s="177">
        <f t="shared" si="4"/>
        <v>16.2</v>
      </c>
      <c r="F15" s="177">
        <f t="shared" si="4"/>
        <v>23.400000000000002</v>
      </c>
      <c r="G15" s="177">
        <f t="shared" si="4"/>
        <v>1.8</v>
      </c>
      <c r="H15" s="177">
        <f t="shared" si="4"/>
        <v>18</v>
      </c>
      <c r="I15" s="177">
        <f t="shared" si="4"/>
        <v>12.6</v>
      </c>
      <c r="J15" s="177">
        <f t="shared" si="4"/>
        <v>0</v>
      </c>
      <c r="K15" s="177">
        <f t="shared" si="4"/>
        <v>25.2</v>
      </c>
      <c r="L15" s="177">
        <f t="shared" si="4"/>
        <v>1.8</v>
      </c>
    </row>
    <row r="16" spans="1:12" ht="21.75" customHeight="1" x14ac:dyDescent="0.25">
      <c r="A16" s="163">
        <v>4</v>
      </c>
      <c r="B16" s="164" t="s">
        <v>74</v>
      </c>
      <c r="C16" s="174">
        <v>2.5</v>
      </c>
      <c r="D16" s="176">
        <f t="shared" si="3"/>
        <v>10</v>
      </c>
      <c r="E16" s="177">
        <f t="shared" si="4"/>
        <v>0</v>
      </c>
      <c r="F16" s="177">
        <f t="shared" si="4"/>
        <v>0</v>
      </c>
      <c r="G16" s="177">
        <f t="shared" si="4"/>
        <v>0</v>
      </c>
      <c r="H16" s="177">
        <f t="shared" si="4"/>
        <v>2.5</v>
      </c>
      <c r="I16" s="177">
        <f t="shared" si="4"/>
        <v>7.5</v>
      </c>
      <c r="J16" s="177">
        <f t="shared" si="4"/>
        <v>0</v>
      </c>
      <c r="K16" s="177">
        <f t="shared" si="4"/>
        <v>0</v>
      </c>
      <c r="L16" s="177">
        <f t="shared" si="4"/>
        <v>0</v>
      </c>
    </row>
    <row r="17" spans="1:12" ht="21.75" customHeight="1" x14ac:dyDescent="0.25">
      <c r="A17" s="163">
        <v>5</v>
      </c>
      <c r="B17" s="166" t="s">
        <v>76</v>
      </c>
      <c r="C17" s="165">
        <v>1</v>
      </c>
      <c r="D17" s="176">
        <f t="shared" si="3"/>
        <v>9</v>
      </c>
      <c r="E17" s="177">
        <f t="shared" si="4"/>
        <v>0</v>
      </c>
      <c r="F17" s="177">
        <f t="shared" si="4"/>
        <v>2</v>
      </c>
      <c r="G17" s="177">
        <f t="shared" si="4"/>
        <v>0</v>
      </c>
      <c r="H17" s="177">
        <f t="shared" si="4"/>
        <v>3</v>
      </c>
      <c r="I17" s="177">
        <f t="shared" si="4"/>
        <v>4</v>
      </c>
      <c r="J17" s="177">
        <f t="shared" si="4"/>
        <v>0</v>
      </c>
      <c r="K17" s="177">
        <f t="shared" si="4"/>
        <v>0</v>
      </c>
      <c r="L17" s="177">
        <f t="shared" si="4"/>
        <v>0</v>
      </c>
    </row>
    <row r="18" spans="1:12" ht="21.75" customHeight="1" x14ac:dyDescent="0.25">
      <c r="A18" s="163">
        <v>6</v>
      </c>
      <c r="B18" s="166" t="s">
        <v>77</v>
      </c>
      <c r="C18" s="175">
        <v>0.03</v>
      </c>
      <c r="D18" s="176">
        <f t="shared" si="3"/>
        <v>6.70452564102564</v>
      </c>
      <c r="E18" s="177">
        <f>$C18*E11</f>
        <v>0.80249999999999999</v>
      </c>
      <c r="F18" s="177">
        <f t="shared" ref="F18:L18" si="5">$C18*F11</f>
        <v>0.90749999999999997</v>
      </c>
      <c r="G18" s="177">
        <f t="shared" si="5"/>
        <v>1.1733333333333333</v>
      </c>
      <c r="H18" s="177">
        <f t="shared" si="5"/>
        <v>0.86249999999999993</v>
      </c>
      <c r="I18" s="177">
        <f t="shared" si="5"/>
        <v>0.95769230769230762</v>
      </c>
      <c r="J18" s="177">
        <f t="shared" si="5"/>
        <v>1.0529999999999999</v>
      </c>
      <c r="K18" s="177">
        <f t="shared" si="5"/>
        <v>0.94799999999999995</v>
      </c>
      <c r="L18" s="177">
        <f t="shared" si="5"/>
        <v>0</v>
      </c>
    </row>
    <row r="19" spans="1:12" s="38" customFormat="1" ht="21.75" customHeight="1" x14ac:dyDescent="0.25">
      <c r="A19" s="171" t="s">
        <v>54</v>
      </c>
      <c r="B19" s="172" t="s">
        <v>148</v>
      </c>
      <c r="C19" s="163"/>
      <c r="D19" s="179">
        <v>23291</v>
      </c>
      <c r="E19" s="180">
        <f>E20</f>
        <v>2792</v>
      </c>
      <c r="F19" s="180">
        <f t="shared" ref="F19:L19" si="6">F20</f>
        <v>3585</v>
      </c>
      <c r="G19" s="180">
        <f t="shared" si="6"/>
        <v>2633</v>
      </c>
      <c r="H19" s="180">
        <f t="shared" si="6"/>
        <v>3022</v>
      </c>
      <c r="I19" s="180">
        <f t="shared" si="6"/>
        <v>4706</v>
      </c>
      <c r="J19" s="180">
        <f t="shared" si="6"/>
        <v>2855</v>
      </c>
      <c r="K19" s="180">
        <f t="shared" si="6"/>
        <v>3642</v>
      </c>
      <c r="L19" s="180">
        <f t="shared" si="6"/>
        <v>56</v>
      </c>
    </row>
    <row r="20" spans="1:12" ht="57.75" customHeight="1" x14ac:dyDescent="0.25">
      <c r="A20" s="163">
        <v>1</v>
      </c>
      <c r="B20" s="183" t="s">
        <v>17</v>
      </c>
      <c r="C20" s="163" t="s">
        <v>55</v>
      </c>
      <c r="D20" s="176">
        <f>SUM(E20:L20)</f>
        <v>23291</v>
      </c>
      <c r="E20" s="177">
        <f>ROUND(($D$19/$D$12*E12+0.5),0)</f>
        <v>2792</v>
      </c>
      <c r="F20" s="177">
        <f t="shared" ref="F20:L20" si="7">ROUND(($D$19/$D$12*F12),0)</f>
        <v>3585</v>
      </c>
      <c r="G20" s="177">
        <f t="shared" si="7"/>
        <v>2633</v>
      </c>
      <c r="H20" s="177">
        <f t="shared" si="7"/>
        <v>3022</v>
      </c>
      <c r="I20" s="177">
        <f t="shared" si="7"/>
        <v>4706</v>
      </c>
      <c r="J20" s="177">
        <f t="shared" si="7"/>
        <v>2855</v>
      </c>
      <c r="K20" s="177">
        <f t="shared" si="7"/>
        <v>3642</v>
      </c>
      <c r="L20" s="177">
        <f t="shared" si="7"/>
        <v>56</v>
      </c>
    </row>
    <row r="21" spans="1:12" s="38" customFormat="1" ht="41.25" customHeight="1" x14ac:dyDescent="0.25">
      <c r="A21" s="171" t="s">
        <v>56</v>
      </c>
      <c r="B21" s="172" t="s">
        <v>149</v>
      </c>
      <c r="C21" s="163"/>
      <c r="D21" s="179">
        <f>D22</f>
        <v>1165</v>
      </c>
      <c r="E21" s="179">
        <f t="shared" ref="E21:L21" si="8">E22</f>
        <v>140</v>
      </c>
      <c r="F21" s="179">
        <f t="shared" si="8"/>
        <v>179</v>
      </c>
      <c r="G21" s="179">
        <f t="shared" si="8"/>
        <v>132</v>
      </c>
      <c r="H21" s="179">
        <f t="shared" si="8"/>
        <v>151</v>
      </c>
      <c r="I21" s="179">
        <f t="shared" si="8"/>
        <v>235</v>
      </c>
      <c r="J21" s="179">
        <f t="shared" si="8"/>
        <v>143</v>
      </c>
      <c r="K21" s="179">
        <f t="shared" si="8"/>
        <v>182</v>
      </c>
      <c r="L21" s="179">
        <f t="shared" si="8"/>
        <v>3</v>
      </c>
    </row>
    <row r="22" spans="1:12" ht="57.75" customHeight="1" x14ac:dyDescent="0.25">
      <c r="A22" s="163">
        <v>1</v>
      </c>
      <c r="B22" s="183" t="s">
        <v>17</v>
      </c>
      <c r="C22" s="163" t="s">
        <v>55</v>
      </c>
      <c r="D22" s="176">
        <f>SUM(E22:L22)</f>
        <v>1165</v>
      </c>
      <c r="E22" s="177">
        <f>ROUND(E20*5%,0)</f>
        <v>140</v>
      </c>
      <c r="F22" s="177">
        <f t="shared" ref="F22:L22" si="9">ROUND(F20*5%,0)</f>
        <v>179</v>
      </c>
      <c r="G22" s="177">
        <f t="shared" si="9"/>
        <v>132</v>
      </c>
      <c r="H22" s="177">
        <f t="shared" si="9"/>
        <v>151</v>
      </c>
      <c r="I22" s="177">
        <f t="shared" si="9"/>
        <v>235</v>
      </c>
      <c r="J22" s="177">
        <f t="shared" si="9"/>
        <v>143</v>
      </c>
      <c r="K22" s="177">
        <f t="shared" si="9"/>
        <v>182</v>
      </c>
      <c r="L22" s="177">
        <f t="shared" si="9"/>
        <v>3</v>
      </c>
    </row>
    <row r="23" spans="1:12" s="38" customFormat="1" ht="21.75" customHeight="1" x14ac:dyDescent="0.25">
      <c r="A23" s="181" t="s">
        <v>57</v>
      </c>
      <c r="B23" s="182" t="s">
        <v>150</v>
      </c>
      <c r="C23" s="163"/>
      <c r="D23" s="179">
        <f>D24</f>
        <v>24456</v>
      </c>
      <c r="E23" s="179">
        <f t="shared" ref="E23:L23" si="10">E24</f>
        <v>2932</v>
      </c>
      <c r="F23" s="179">
        <f t="shared" si="10"/>
        <v>3764</v>
      </c>
      <c r="G23" s="179">
        <f t="shared" si="10"/>
        <v>2765</v>
      </c>
      <c r="H23" s="179">
        <f t="shared" si="10"/>
        <v>3173</v>
      </c>
      <c r="I23" s="179">
        <f t="shared" si="10"/>
        <v>4941</v>
      </c>
      <c r="J23" s="179">
        <f t="shared" si="10"/>
        <v>2998</v>
      </c>
      <c r="K23" s="179">
        <f t="shared" si="10"/>
        <v>3824</v>
      </c>
      <c r="L23" s="179">
        <f t="shared" si="10"/>
        <v>59</v>
      </c>
    </row>
    <row r="24" spans="1:12" ht="57.75" customHeight="1" x14ac:dyDescent="0.25">
      <c r="A24" s="173">
        <v>1</v>
      </c>
      <c r="B24" s="184" t="s">
        <v>17</v>
      </c>
      <c r="C24" s="173" t="s">
        <v>55</v>
      </c>
      <c r="D24" s="185">
        <f>SUM(E24:L24)</f>
        <v>24456</v>
      </c>
      <c r="E24" s="186">
        <f>E20+E22</f>
        <v>2932</v>
      </c>
      <c r="F24" s="186">
        <f t="shared" ref="F24:L24" si="11">F20+F22</f>
        <v>3764</v>
      </c>
      <c r="G24" s="186">
        <f t="shared" si="11"/>
        <v>2765</v>
      </c>
      <c r="H24" s="186">
        <f t="shared" si="11"/>
        <v>3173</v>
      </c>
      <c r="I24" s="186">
        <f t="shared" si="11"/>
        <v>4941</v>
      </c>
      <c r="J24" s="186">
        <f t="shared" si="11"/>
        <v>2998</v>
      </c>
      <c r="K24" s="186">
        <f t="shared" si="11"/>
        <v>3824</v>
      </c>
      <c r="L24" s="186">
        <f t="shared" si="11"/>
        <v>59</v>
      </c>
    </row>
    <row r="25" spans="1:12" x14ac:dyDescent="0.25">
      <c r="D25" s="44"/>
    </row>
  </sheetData>
  <mergeCells count="3">
    <mergeCell ref="A2:L2"/>
    <mergeCell ref="A3:L3"/>
    <mergeCell ref="J1:L1"/>
  </mergeCells>
  <pageMargins left="0.70866141732283472" right="0.70866141732283472" top="0.74803149606299213" bottom="0.74803149606299213" header="0.31496062992125984" footer="0.31496062992125984"/>
  <pageSetup paperSize="9" scale="73" fitToHeight="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N26"/>
  <sheetViews>
    <sheetView topLeftCell="A4" zoomScaleNormal="100" workbookViewId="0">
      <selection activeCell="Q9" sqref="Q9"/>
    </sheetView>
  </sheetViews>
  <sheetFormatPr defaultColWidth="7.75" defaultRowHeight="15.75" x14ac:dyDescent="0.25"/>
  <cols>
    <col min="1" max="1" width="6.75" style="50" customWidth="1"/>
    <col min="2" max="2" width="36.25" style="13" customWidth="1"/>
    <col min="3" max="3" width="10.125" style="19" customWidth="1"/>
    <col min="4" max="7" width="11.25" style="13" customWidth="1"/>
    <col min="8" max="9" width="11.25" style="51" customWidth="1"/>
    <col min="10" max="10" width="11.25" style="13" customWidth="1"/>
    <col min="11" max="12" width="11.25" style="51" customWidth="1"/>
    <col min="13" max="14" width="11.25" style="13" customWidth="1"/>
    <col min="15" max="16384" width="7.75" style="13"/>
  </cols>
  <sheetData>
    <row r="1" spans="1:14" s="31" customFormat="1" ht="29.25" customHeight="1" x14ac:dyDescent="0.25">
      <c r="A1" s="32"/>
      <c r="B1" s="32"/>
      <c r="C1" s="25"/>
      <c r="D1" s="25"/>
      <c r="E1" s="25"/>
      <c r="F1" s="25"/>
      <c r="I1" s="32"/>
      <c r="K1" s="32"/>
      <c r="L1" s="1173" t="s">
        <v>172</v>
      </c>
      <c r="M1" s="1173"/>
      <c r="N1" s="1173"/>
    </row>
    <row r="2" spans="1:14" s="31" customFormat="1" ht="63.75" customHeight="1" x14ac:dyDescent="0.25">
      <c r="A2" s="1174" t="s">
        <v>87</v>
      </c>
      <c r="B2" s="1174"/>
      <c r="C2" s="1174"/>
      <c r="D2" s="1174"/>
      <c r="E2" s="1174"/>
      <c r="F2" s="1174"/>
      <c r="G2" s="1174"/>
      <c r="H2" s="1174"/>
      <c r="I2" s="1174"/>
      <c r="J2" s="1174"/>
      <c r="K2" s="1174"/>
      <c r="L2" s="1174"/>
      <c r="M2" s="1174"/>
      <c r="N2" s="1174"/>
    </row>
    <row r="3" spans="1:14" s="31" customFormat="1" ht="31.5" customHeight="1" x14ac:dyDescent="0.25">
      <c r="A3" s="1175" t="str">
        <f>'B6-DA4'!A3:L3</f>
        <v>(Kèm theo Tờ trình số:          /TTr-UBND ngày          tháng 11 năm 2022 của UBND tỉnh)</v>
      </c>
      <c r="B3" s="1175"/>
      <c r="C3" s="1175"/>
      <c r="D3" s="1175"/>
      <c r="E3" s="1175"/>
      <c r="F3" s="1175"/>
      <c r="G3" s="1175"/>
      <c r="H3" s="1175"/>
      <c r="I3" s="1175"/>
      <c r="J3" s="1175"/>
      <c r="K3" s="1175"/>
      <c r="L3" s="1175"/>
      <c r="M3" s="1175"/>
      <c r="N3" s="1175"/>
    </row>
    <row r="4" spans="1:14" x14ac:dyDescent="0.25">
      <c r="A4" s="1172"/>
      <c r="B4" s="1172"/>
      <c r="C4" s="1172"/>
      <c r="D4" s="1172"/>
      <c r="E4" s="1172"/>
      <c r="F4" s="1172"/>
      <c r="G4" s="1172"/>
      <c r="H4" s="1172"/>
      <c r="I4" s="1172"/>
      <c r="J4" s="1172"/>
      <c r="K4" s="1172"/>
      <c r="L4" s="1172"/>
      <c r="M4" s="1172"/>
      <c r="N4" s="1172"/>
    </row>
    <row r="5" spans="1:14" s="12" customFormat="1" ht="83.25" customHeight="1" x14ac:dyDescent="0.25">
      <c r="A5" s="45" t="s">
        <v>1</v>
      </c>
      <c r="B5" s="45" t="s">
        <v>35</v>
      </c>
      <c r="C5" s="45" t="s">
        <v>36</v>
      </c>
      <c r="D5" s="10" t="s">
        <v>37</v>
      </c>
      <c r="E5" s="10" t="s">
        <v>80</v>
      </c>
      <c r="F5" s="10" t="s">
        <v>171</v>
      </c>
      <c r="G5" s="46" t="s">
        <v>38</v>
      </c>
      <c r="H5" s="47" t="s">
        <v>39</v>
      </c>
      <c r="I5" s="47" t="s">
        <v>40</v>
      </c>
      <c r="J5" s="46" t="s">
        <v>41</v>
      </c>
      <c r="K5" s="47" t="s">
        <v>42</v>
      </c>
      <c r="L5" s="47" t="s">
        <v>43</v>
      </c>
      <c r="M5" s="46" t="s">
        <v>44</v>
      </c>
      <c r="N5" s="10" t="s">
        <v>45</v>
      </c>
    </row>
    <row r="6" spans="1:14" s="12" customFormat="1" ht="20.25" customHeight="1" x14ac:dyDescent="0.25">
      <c r="A6" s="107" t="s">
        <v>46</v>
      </c>
      <c r="B6" s="107" t="s">
        <v>47</v>
      </c>
      <c r="C6" s="107"/>
      <c r="D6" s="107"/>
      <c r="E6" s="107"/>
      <c r="F6" s="107"/>
      <c r="G6" s="107"/>
      <c r="H6" s="108"/>
      <c r="I6" s="108"/>
      <c r="J6" s="107"/>
      <c r="K6" s="108"/>
      <c r="L6" s="108"/>
      <c r="M6" s="107"/>
      <c r="N6" s="107"/>
    </row>
    <row r="7" spans="1:14" s="12" customFormat="1" ht="20.25" customHeight="1" x14ac:dyDescent="0.25">
      <c r="A7" s="111">
        <v>1</v>
      </c>
      <c r="B7" s="188" t="s">
        <v>81</v>
      </c>
      <c r="C7" s="111" t="s">
        <v>82</v>
      </c>
      <c r="D7" s="189">
        <f>SUM(E7:N7)</f>
        <v>850</v>
      </c>
      <c r="E7" s="189"/>
      <c r="F7" s="189"/>
      <c r="G7" s="189"/>
      <c r="H7" s="190">
        <v>140</v>
      </c>
      <c r="I7" s="190">
        <v>250</v>
      </c>
      <c r="J7" s="189">
        <v>20</v>
      </c>
      <c r="K7" s="190">
        <v>0</v>
      </c>
      <c r="L7" s="190">
        <v>440</v>
      </c>
      <c r="M7" s="189">
        <v>0</v>
      </c>
      <c r="N7" s="189"/>
    </row>
    <row r="8" spans="1:14" s="12" customFormat="1" ht="20.25" customHeight="1" x14ac:dyDescent="0.25">
      <c r="A8" s="111">
        <v>2</v>
      </c>
      <c r="B8" s="188" t="s">
        <v>83</v>
      </c>
      <c r="C8" s="111" t="s">
        <v>84</v>
      </c>
      <c r="D8" s="189">
        <f t="shared" ref="D8:D10" si="0">SUM(E8:N8)</f>
        <v>37</v>
      </c>
      <c r="E8" s="189"/>
      <c r="F8" s="189"/>
      <c r="G8" s="189"/>
      <c r="H8" s="190">
        <v>6</v>
      </c>
      <c r="I8" s="190">
        <v>10</v>
      </c>
      <c r="J8" s="189">
        <v>1</v>
      </c>
      <c r="K8" s="190">
        <v>0</v>
      </c>
      <c r="L8" s="190">
        <v>20</v>
      </c>
      <c r="M8" s="189">
        <v>0</v>
      </c>
      <c r="N8" s="189"/>
    </row>
    <row r="9" spans="1:14" s="12" customFormat="1" ht="34.5" customHeight="1" x14ac:dyDescent="0.25">
      <c r="A9" s="111">
        <v>3</v>
      </c>
      <c r="B9" s="188" t="s">
        <v>168</v>
      </c>
      <c r="C9" s="111" t="s">
        <v>85</v>
      </c>
      <c r="D9" s="189">
        <f t="shared" si="0"/>
        <v>850</v>
      </c>
      <c r="E9" s="189"/>
      <c r="F9" s="189"/>
      <c r="G9" s="189"/>
      <c r="H9" s="190">
        <v>140</v>
      </c>
      <c r="I9" s="190">
        <v>250</v>
      </c>
      <c r="J9" s="189">
        <v>20</v>
      </c>
      <c r="K9" s="190">
        <v>0</v>
      </c>
      <c r="L9" s="190">
        <v>440</v>
      </c>
      <c r="M9" s="189">
        <v>0</v>
      </c>
      <c r="N9" s="189"/>
    </row>
    <row r="10" spans="1:14" ht="20.25" customHeight="1" x14ac:dyDescent="0.25">
      <c r="A10" s="111">
        <v>4</v>
      </c>
      <c r="B10" s="191" t="s">
        <v>88</v>
      </c>
      <c r="C10" s="111" t="s">
        <v>86</v>
      </c>
      <c r="D10" s="189">
        <f t="shared" si="0"/>
        <v>40</v>
      </c>
      <c r="E10" s="189"/>
      <c r="F10" s="189">
        <v>1</v>
      </c>
      <c r="G10" s="189">
        <v>2</v>
      </c>
      <c r="H10" s="190">
        <v>6</v>
      </c>
      <c r="I10" s="190">
        <v>8</v>
      </c>
      <c r="J10" s="189">
        <v>0</v>
      </c>
      <c r="K10" s="190">
        <v>6</v>
      </c>
      <c r="L10" s="190">
        <v>10</v>
      </c>
      <c r="M10" s="189">
        <v>7</v>
      </c>
      <c r="N10" s="192"/>
    </row>
    <row r="11" spans="1:14" ht="20.25" customHeight="1" x14ac:dyDescent="0.25">
      <c r="A11" s="109" t="s">
        <v>31</v>
      </c>
      <c r="B11" s="193" t="s">
        <v>79</v>
      </c>
      <c r="C11" s="109"/>
      <c r="D11" s="194">
        <f>SUM(D12:D15)</f>
        <v>20837.5</v>
      </c>
      <c r="E11" s="194">
        <f t="shared" ref="E11:N11" si="1">SUM(E12:E15)</f>
        <v>0</v>
      </c>
      <c r="F11" s="194">
        <f t="shared" si="1"/>
        <v>500</v>
      </c>
      <c r="G11" s="194">
        <f t="shared" si="1"/>
        <v>1000</v>
      </c>
      <c r="H11" s="194">
        <f t="shared" si="1"/>
        <v>3137</v>
      </c>
      <c r="I11" s="194">
        <f t="shared" si="1"/>
        <v>4237.5</v>
      </c>
      <c r="J11" s="194">
        <f t="shared" si="1"/>
        <v>21</v>
      </c>
      <c r="K11" s="194">
        <f t="shared" si="1"/>
        <v>3000</v>
      </c>
      <c r="L11" s="194">
        <f t="shared" si="1"/>
        <v>5442</v>
      </c>
      <c r="M11" s="194">
        <f t="shared" si="1"/>
        <v>3500</v>
      </c>
      <c r="N11" s="194">
        <f t="shared" si="1"/>
        <v>0</v>
      </c>
    </row>
    <row r="12" spans="1:14" ht="20.25" customHeight="1" x14ac:dyDescent="0.25">
      <c r="A12" s="111">
        <v>1</v>
      </c>
      <c r="B12" s="188" t="s">
        <v>81</v>
      </c>
      <c r="C12" s="111">
        <v>0.5</v>
      </c>
      <c r="D12" s="189">
        <f>SUM(E12:N12)</f>
        <v>425</v>
      </c>
      <c r="E12" s="189">
        <f>$C12*E7</f>
        <v>0</v>
      </c>
      <c r="F12" s="189">
        <f t="shared" ref="F12:N12" si="2">$C12*F7</f>
        <v>0</v>
      </c>
      <c r="G12" s="189">
        <f t="shared" si="2"/>
        <v>0</v>
      </c>
      <c r="H12" s="189">
        <f t="shared" si="2"/>
        <v>70</v>
      </c>
      <c r="I12" s="189">
        <f t="shared" si="2"/>
        <v>125</v>
      </c>
      <c r="J12" s="189">
        <f t="shared" si="2"/>
        <v>10</v>
      </c>
      <c r="K12" s="189">
        <f t="shared" si="2"/>
        <v>0</v>
      </c>
      <c r="L12" s="189">
        <f t="shared" si="2"/>
        <v>220</v>
      </c>
      <c r="M12" s="189">
        <f t="shared" si="2"/>
        <v>0</v>
      </c>
      <c r="N12" s="189">
        <f t="shared" si="2"/>
        <v>0</v>
      </c>
    </row>
    <row r="13" spans="1:14" ht="20.25" customHeight="1" x14ac:dyDescent="0.25">
      <c r="A13" s="111">
        <v>2</v>
      </c>
      <c r="B13" s="188" t="s">
        <v>83</v>
      </c>
      <c r="C13" s="111">
        <v>10</v>
      </c>
      <c r="D13" s="189">
        <f t="shared" ref="D13:D14" si="3">SUM(E13:N13)</f>
        <v>370</v>
      </c>
      <c r="E13" s="189">
        <f t="shared" ref="E13:N15" si="4">$C13*E8</f>
        <v>0</v>
      </c>
      <c r="F13" s="189">
        <f t="shared" si="4"/>
        <v>0</v>
      </c>
      <c r="G13" s="189">
        <f t="shared" si="4"/>
        <v>0</v>
      </c>
      <c r="H13" s="189">
        <f t="shared" si="4"/>
        <v>60</v>
      </c>
      <c r="I13" s="189">
        <f t="shared" si="4"/>
        <v>100</v>
      </c>
      <c r="J13" s="189">
        <f t="shared" si="4"/>
        <v>10</v>
      </c>
      <c r="K13" s="189">
        <f t="shared" si="4"/>
        <v>0</v>
      </c>
      <c r="L13" s="189">
        <f t="shared" si="4"/>
        <v>200</v>
      </c>
      <c r="M13" s="189">
        <f t="shared" si="4"/>
        <v>0</v>
      </c>
      <c r="N13" s="189">
        <f t="shared" si="4"/>
        <v>0</v>
      </c>
    </row>
    <row r="14" spans="1:14" ht="34.5" customHeight="1" x14ac:dyDescent="0.25">
      <c r="A14" s="111">
        <v>3</v>
      </c>
      <c r="B14" s="188" t="s">
        <v>168</v>
      </c>
      <c r="C14" s="111">
        <v>0.05</v>
      </c>
      <c r="D14" s="189">
        <f t="shared" si="3"/>
        <v>42.5</v>
      </c>
      <c r="E14" s="189">
        <f t="shared" si="4"/>
        <v>0</v>
      </c>
      <c r="F14" s="189">
        <f t="shared" si="4"/>
        <v>0</v>
      </c>
      <c r="G14" s="189">
        <f t="shared" si="4"/>
        <v>0</v>
      </c>
      <c r="H14" s="189">
        <f t="shared" si="4"/>
        <v>7</v>
      </c>
      <c r="I14" s="189">
        <f t="shared" si="4"/>
        <v>12.5</v>
      </c>
      <c r="J14" s="189">
        <f t="shared" si="4"/>
        <v>1</v>
      </c>
      <c r="K14" s="189">
        <f t="shared" si="4"/>
        <v>0</v>
      </c>
      <c r="L14" s="189">
        <f t="shared" si="4"/>
        <v>22</v>
      </c>
      <c r="M14" s="189">
        <f t="shared" si="4"/>
        <v>0</v>
      </c>
      <c r="N14" s="189">
        <f t="shared" si="4"/>
        <v>0</v>
      </c>
    </row>
    <row r="15" spans="1:14" ht="20.25" customHeight="1" x14ac:dyDescent="0.25">
      <c r="A15" s="111">
        <v>4</v>
      </c>
      <c r="B15" s="191" t="s">
        <v>88</v>
      </c>
      <c r="C15" s="111">
        <v>500</v>
      </c>
      <c r="D15" s="189">
        <f>SUM(E15:N15)</f>
        <v>20000</v>
      </c>
      <c r="E15" s="189">
        <f>$C15*E10</f>
        <v>0</v>
      </c>
      <c r="F15" s="189">
        <f t="shared" si="4"/>
        <v>500</v>
      </c>
      <c r="G15" s="189">
        <f t="shared" si="4"/>
        <v>1000</v>
      </c>
      <c r="H15" s="189">
        <f t="shared" si="4"/>
        <v>3000</v>
      </c>
      <c r="I15" s="189">
        <f t="shared" si="4"/>
        <v>4000</v>
      </c>
      <c r="J15" s="189">
        <f t="shared" si="4"/>
        <v>0</v>
      </c>
      <c r="K15" s="189">
        <f t="shared" si="4"/>
        <v>3000</v>
      </c>
      <c r="L15" s="189">
        <f t="shared" si="4"/>
        <v>5000</v>
      </c>
      <c r="M15" s="189">
        <f t="shared" si="4"/>
        <v>3500</v>
      </c>
      <c r="N15" s="189">
        <f t="shared" si="4"/>
        <v>0</v>
      </c>
    </row>
    <row r="16" spans="1:14" ht="34.5" customHeight="1" x14ac:dyDescent="0.25">
      <c r="A16" s="109" t="s">
        <v>54</v>
      </c>
      <c r="B16" s="193" t="s">
        <v>169</v>
      </c>
      <c r="C16" s="111"/>
      <c r="D16" s="194">
        <v>12650</v>
      </c>
      <c r="E16" s="194">
        <f>E17</f>
        <v>1265</v>
      </c>
      <c r="F16" s="194">
        <f t="shared" ref="F16:N16" si="5">F17</f>
        <v>273</v>
      </c>
      <c r="G16" s="194">
        <f t="shared" si="5"/>
        <v>546</v>
      </c>
      <c r="H16" s="194">
        <f t="shared" si="5"/>
        <v>1715</v>
      </c>
      <c r="I16" s="194">
        <f t="shared" si="5"/>
        <v>2315</v>
      </c>
      <c r="J16" s="194">
        <f t="shared" si="5"/>
        <v>11</v>
      </c>
      <c r="K16" s="194">
        <f t="shared" si="5"/>
        <v>1640</v>
      </c>
      <c r="L16" s="194">
        <f t="shared" si="5"/>
        <v>2973</v>
      </c>
      <c r="M16" s="194">
        <f t="shared" si="5"/>
        <v>1912</v>
      </c>
      <c r="N16" s="194">
        <f t="shared" si="5"/>
        <v>0</v>
      </c>
    </row>
    <row r="17" spans="1:14" ht="20.25" customHeight="1" x14ac:dyDescent="0.25">
      <c r="A17" s="111">
        <v>1</v>
      </c>
      <c r="B17" s="188" t="s">
        <v>170</v>
      </c>
      <c r="C17" s="111" t="s">
        <v>55</v>
      </c>
      <c r="D17" s="189">
        <f>SUM(E17:N17)</f>
        <v>12650</v>
      </c>
      <c r="E17" s="189">
        <f>D16*10%</f>
        <v>1265</v>
      </c>
      <c r="F17" s="189">
        <f>ROUND((($D$16-$E$16)/$D$11*F11),0)</f>
        <v>273</v>
      </c>
      <c r="G17" s="189">
        <f t="shared" ref="G17:N17" si="6">ROUND((($D$16-$E$16)/$D$11*G11),0)</f>
        <v>546</v>
      </c>
      <c r="H17" s="189">
        <f>ROUND((($D$16-$E$16)/$D$11*H11+0.6),0)</f>
        <v>1715</v>
      </c>
      <c r="I17" s="189">
        <f t="shared" si="6"/>
        <v>2315</v>
      </c>
      <c r="J17" s="189">
        <f t="shared" si="6"/>
        <v>11</v>
      </c>
      <c r="K17" s="189">
        <f>ROUND((($D$16-$E$16)/$D$11*K11+0.5),0)</f>
        <v>1640</v>
      </c>
      <c r="L17" s="189">
        <f t="shared" si="6"/>
        <v>2973</v>
      </c>
      <c r="M17" s="189">
        <f t="shared" si="6"/>
        <v>1912</v>
      </c>
      <c r="N17" s="189">
        <f t="shared" si="6"/>
        <v>0</v>
      </c>
    </row>
    <row r="18" spans="1:14" ht="34.5" customHeight="1" x14ac:dyDescent="0.25">
      <c r="A18" s="109" t="s">
        <v>56</v>
      </c>
      <c r="B18" s="193" t="s">
        <v>320</v>
      </c>
      <c r="C18" s="111"/>
      <c r="D18" s="194">
        <f>D19</f>
        <v>949</v>
      </c>
      <c r="E18" s="194">
        <f t="shared" ref="E18:N18" si="7">E19</f>
        <v>95</v>
      </c>
      <c r="F18" s="194">
        <f t="shared" si="7"/>
        <v>20</v>
      </c>
      <c r="G18" s="194">
        <f t="shared" si="7"/>
        <v>41</v>
      </c>
      <c r="H18" s="194">
        <f t="shared" si="7"/>
        <v>129</v>
      </c>
      <c r="I18" s="194">
        <f t="shared" si="7"/>
        <v>174</v>
      </c>
      <c r="J18" s="194">
        <f t="shared" si="7"/>
        <v>1</v>
      </c>
      <c r="K18" s="194">
        <f t="shared" si="7"/>
        <v>123</v>
      </c>
      <c r="L18" s="194">
        <f t="shared" si="7"/>
        <v>223</v>
      </c>
      <c r="M18" s="194">
        <f t="shared" si="7"/>
        <v>143</v>
      </c>
      <c r="N18" s="194">
        <f t="shared" si="7"/>
        <v>0</v>
      </c>
    </row>
    <row r="19" spans="1:14" ht="21.75" customHeight="1" x14ac:dyDescent="0.25">
      <c r="A19" s="111">
        <v>1</v>
      </c>
      <c r="B19" s="188" t="s">
        <v>170</v>
      </c>
      <c r="C19" s="111" t="s">
        <v>55</v>
      </c>
      <c r="D19" s="189">
        <f>SUM(E19:N19)</f>
        <v>949</v>
      </c>
      <c r="E19" s="189">
        <f>ROUND(E17*7.5%,0)</f>
        <v>95</v>
      </c>
      <c r="F19" s="189">
        <f t="shared" ref="F19:N19" si="8">ROUND(F17*7.5%,0)</f>
        <v>20</v>
      </c>
      <c r="G19" s="189">
        <f t="shared" si="8"/>
        <v>41</v>
      </c>
      <c r="H19" s="189">
        <f t="shared" si="8"/>
        <v>129</v>
      </c>
      <c r="I19" s="189">
        <f t="shared" si="8"/>
        <v>174</v>
      </c>
      <c r="J19" s="189">
        <f t="shared" si="8"/>
        <v>1</v>
      </c>
      <c r="K19" s="189">
        <f t="shared" si="8"/>
        <v>123</v>
      </c>
      <c r="L19" s="189">
        <f t="shared" si="8"/>
        <v>223</v>
      </c>
      <c r="M19" s="189">
        <f t="shared" si="8"/>
        <v>143</v>
      </c>
      <c r="N19" s="189">
        <f t="shared" si="8"/>
        <v>0</v>
      </c>
    </row>
    <row r="20" spans="1:14" ht="21.75" customHeight="1" x14ac:dyDescent="0.25">
      <c r="A20" s="109" t="s">
        <v>57</v>
      </c>
      <c r="B20" s="193" t="s">
        <v>150</v>
      </c>
      <c r="C20" s="111"/>
      <c r="D20" s="194">
        <f>D21</f>
        <v>13599</v>
      </c>
      <c r="E20" s="194">
        <f t="shared" ref="E20:N20" si="9">E21</f>
        <v>1360</v>
      </c>
      <c r="F20" s="194">
        <f t="shared" si="9"/>
        <v>293</v>
      </c>
      <c r="G20" s="194">
        <f t="shared" si="9"/>
        <v>587</v>
      </c>
      <c r="H20" s="194">
        <f t="shared" si="9"/>
        <v>1844</v>
      </c>
      <c r="I20" s="194">
        <f t="shared" si="9"/>
        <v>2489</v>
      </c>
      <c r="J20" s="194">
        <f t="shared" si="9"/>
        <v>12</v>
      </c>
      <c r="K20" s="194">
        <f t="shared" si="9"/>
        <v>1763</v>
      </c>
      <c r="L20" s="194">
        <f t="shared" si="9"/>
        <v>3196</v>
      </c>
      <c r="M20" s="194">
        <f t="shared" si="9"/>
        <v>2055</v>
      </c>
      <c r="N20" s="194">
        <f t="shared" si="9"/>
        <v>0</v>
      </c>
    </row>
    <row r="21" spans="1:14" ht="21.75" customHeight="1" x14ac:dyDescent="0.25">
      <c r="A21" s="195">
        <v>1</v>
      </c>
      <c r="B21" s="196" t="s">
        <v>170</v>
      </c>
      <c r="C21" s="195" t="s">
        <v>55</v>
      </c>
      <c r="D21" s="197">
        <f>SUM(E21:N21)</f>
        <v>13599</v>
      </c>
      <c r="E21" s="197">
        <f>E17+E19</f>
        <v>1360</v>
      </c>
      <c r="F21" s="197">
        <f t="shared" ref="F21:N21" si="10">F17+F19</f>
        <v>293</v>
      </c>
      <c r="G21" s="197">
        <f t="shared" si="10"/>
        <v>587</v>
      </c>
      <c r="H21" s="197">
        <f t="shared" si="10"/>
        <v>1844</v>
      </c>
      <c r="I21" s="197">
        <f t="shared" si="10"/>
        <v>2489</v>
      </c>
      <c r="J21" s="197">
        <f t="shared" si="10"/>
        <v>12</v>
      </c>
      <c r="K21" s="197">
        <f t="shared" si="10"/>
        <v>1763</v>
      </c>
      <c r="L21" s="197">
        <f t="shared" si="10"/>
        <v>3196</v>
      </c>
      <c r="M21" s="197">
        <f t="shared" si="10"/>
        <v>2055</v>
      </c>
      <c r="N21" s="197">
        <f t="shared" si="10"/>
        <v>0</v>
      </c>
    </row>
    <row r="22" spans="1:14" x14ac:dyDescent="0.25">
      <c r="A22" s="48"/>
      <c r="B22" s="48"/>
      <c r="C22" s="48"/>
      <c r="D22" s="48"/>
      <c r="E22" s="48"/>
      <c r="F22" s="48"/>
      <c r="G22" s="48"/>
      <c r="H22" s="49"/>
      <c r="I22" s="49"/>
      <c r="J22" s="48"/>
      <c r="K22" s="49"/>
      <c r="L22" s="49"/>
      <c r="M22" s="48"/>
      <c r="N22" s="48"/>
    </row>
    <row r="23" spans="1:14" x14ac:dyDescent="0.25">
      <c r="H23" s="13"/>
      <c r="I23" s="13"/>
      <c r="K23" s="13"/>
      <c r="L23" s="13"/>
    </row>
    <row r="25" spans="1:14" x14ac:dyDescent="0.25">
      <c r="I25" s="51">
        <v>85873</v>
      </c>
      <c r="J25" s="13">
        <f>I25*5%</f>
        <v>4293.6500000000005</v>
      </c>
    </row>
    <row r="26" spans="1:14" x14ac:dyDescent="0.25">
      <c r="I26" s="51">
        <f>12650+44984</f>
        <v>57634</v>
      </c>
      <c r="J26" s="187">
        <f>J25/I26</f>
        <v>7.4498559877849896E-2</v>
      </c>
    </row>
  </sheetData>
  <mergeCells count="4">
    <mergeCell ref="A4:N4"/>
    <mergeCell ref="L1:N1"/>
    <mergeCell ref="A2:N2"/>
    <mergeCell ref="A3:N3"/>
  </mergeCells>
  <pageMargins left="0.7" right="0.7" top="0.75" bottom="0.75" header="0.3" footer="0.3"/>
  <pageSetup paperSize="9" scale="69" fitToHeight="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10"/>
  <sheetViews>
    <sheetView zoomScale="85" zoomScaleNormal="85" zoomScalePageLayoutView="70" workbookViewId="0">
      <selection activeCell="N9" sqref="N9"/>
    </sheetView>
  </sheetViews>
  <sheetFormatPr defaultColWidth="7.75" defaultRowHeight="15.75" x14ac:dyDescent="0.25"/>
  <cols>
    <col min="1" max="1" width="6.75" style="55" customWidth="1"/>
    <col min="2" max="2" width="40.5" style="55" customWidth="1"/>
    <col min="3" max="3" width="10.125" style="55" customWidth="1"/>
    <col min="4" max="4" width="9.75" style="55" bestFit="1" customWidth="1"/>
    <col min="5" max="13" width="9.125" style="55" customWidth="1"/>
    <col min="14" max="14" width="45.75" style="55" customWidth="1"/>
    <col min="15" max="16384" width="7.75" style="55"/>
  </cols>
  <sheetData>
    <row r="1" spans="1:15" s="27" customFormat="1" ht="29.25" customHeight="1" x14ac:dyDescent="0.25">
      <c r="A1" s="23"/>
      <c r="B1" s="23"/>
      <c r="C1" s="26"/>
      <c r="D1" s="26"/>
      <c r="E1" s="26"/>
      <c r="F1" s="26"/>
      <c r="I1" s="23"/>
      <c r="K1" s="23"/>
      <c r="L1" s="1176" t="s">
        <v>172</v>
      </c>
      <c r="M1" s="1176"/>
      <c r="N1" s="1176"/>
    </row>
    <row r="2" spans="1:15" s="27" customFormat="1" ht="47.25" customHeight="1" x14ac:dyDescent="0.25">
      <c r="A2" s="1157" t="s">
        <v>91</v>
      </c>
      <c r="B2" s="1157"/>
      <c r="C2" s="1157"/>
      <c r="D2" s="1157"/>
      <c r="E2" s="1157"/>
      <c r="F2" s="1157"/>
      <c r="G2" s="1157"/>
      <c r="H2" s="1157"/>
      <c r="I2" s="1157"/>
      <c r="J2" s="1157"/>
      <c r="K2" s="1157"/>
      <c r="L2" s="1157"/>
      <c r="M2" s="1157"/>
      <c r="N2" s="1157"/>
    </row>
    <row r="3" spans="1:15" s="27" customFormat="1" ht="31.5" customHeight="1" x14ac:dyDescent="0.25">
      <c r="A3" s="1177" t="str">
        <f>'B7-TDA1,DA5'!A3:N3</f>
        <v>(Kèm theo Tờ trình số:          /TTr-UBND ngày          tháng 11 năm 2022 của UBND tỉnh)</v>
      </c>
      <c r="B3" s="1177"/>
      <c r="C3" s="1177"/>
      <c r="D3" s="1177"/>
      <c r="E3" s="1177"/>
      <c r="F3" s="1177"/>
      <c r="G3" s="1177"/>
      <c r="H3" s="1177"/>
      <c r="I3" s="1177"/>
      <c r="J3" s="1177"/>
      <c r="K3" s="1177"/>
      <c r="L3" s="1177"/>
      <c r="M3" s="1177"/>
      <c r="N3" s="1177"/>
    </row>
    <row r="4" spans="1:15" s="53" customFormat="1" ht="70.5" customHeight="1" x14ac:dyDescent="0.25">
      <c r="A4" s="52" t="s">
        <v>1</v>
      </c>
      <c r="B4" s="52" t="s">
        <v>35</v>
      </c>
      <c r="C4" s="52" t="s">
        <v>36</v>
      </c>
      <c r="D4" s="52" t="s">
        <v>37</v>
      </c>
      <c r="E4" s="52" t="s">
        <v>89</v>
      </c>
      <c r="F4" s="52" t="s">
        <v>38</v>
      </c>
      <c r="G4" s="52" t="s">
        <v>39</v>
      </c>
      <c r="H4" s="52" t="s">
        <v>40</v>
      </c>
      <c r="I4" s="52" t="s">
        <v>41</v>
      </c>
      <c r="J4" s="52" t="s">
        <v>42</v>
      </c>
      <c r="K4" s="52" t="s">
        <v>43</v>
      </c>
      <c r="L4" s="52" t="s">
        <v>44</v>
      </c>
      <c r="M4" s="52" t="s">
        <v>45</v>
      </c>
      <c r="N4" s="52" t="s">
        <v>3</v>
      </c>
    </row>
    <row r="5" spans="1:15" s="53" customFormat="1" ht="30.75" customHeight="1" x14ac:dyDescent="0.25">
      <c r="A5" s="198" t="s">
        <v>46</v>
      </c>
      <c r="B5" s="210" t="s">
        <v>47</v>
      </c>
      <c r="C5" s="198"/>
      <c r="D5" s="198"/>
      <c r="E5" s="198"/>
      <c r="F5" s="198"/>
      <c r="G5" s="198"/>
      <c r="H5" s="198"/>
      <c r="I5" s="198"/>
      <c r="J5" s="198"/>
      <c r="K5" s="198"/>
      <c r="L5" s="198"/>
      <c r="M5" s="198"/>
      <c r="N5" s="198"/>
    </row>
    <row r="6" spans="1:15" s="53" customFormat="1" ht="30.75" customHeight="1" x14ac:dyDescent="0.25">
      <c r="A6" s="199">
        <v>1</v>
      </c>
      <c r="B6" s="211" t="s">
        <v>90</v>
      </c>
      <c r="C6" s="200" t="s">
        <v>70</v>
      </c>
      <c r="D6" s="199">
        <f>SUM(F6:M6)</f>
        <v>108</v>
      </c>
      <c r="E6" s="199"/>
      <c r="F6" s="199">
        <v>14</v>
      </c>
      <c r="G6" s="199">
        <v>20</v>
      </c>
      <c r="H6" s="199">
        <v>10</v>
      </c>
      <c r="I6" s="199">
        <v>14</v>
      </c>
      <c r="J6" s="199">
        <v>17</v>
      </c>
      <c r="K6" s="199">
        <v>10</v>
      </c>
      <c r="L6" s="199">
        <v>15</v>
      </c>
      <c r="M6" s="199">
        <v>8</v>
      </c>
      <c r="N6" s="201"/>
    </row>
    <row r="7" spans="1:15" s="54" customFormat="1" ht="30.75" customHeight="1" x14ac:dyDescent="0.25">
      <c r="A7" s="202" t="s">
        <v>31</v>
      </c>
      <c r="B7" s="212" t="s">
        <v>79</v>
      </c>
      <c r="C7" s="202"/>
      <c r="D7" s="202"/>
      <c r="E7" s="202"/>
      <c r="F7" s="202"/>
      <c r="G7" s="202"/>
      <c r="H7" s="202"/>
      <c r="I7" s="202"/>
      <c r="J7" s="202"/>
      <c r="K7" s="202"/>
      <c r="L7" s="202"/>
      <c r="M7" s="202"/>
      <c r="N7" s="202"/>
    </row>
    <row r="8" spans="1:15" ht="30.75" customHeight="1" x14ac:dyDescent="0.25">
      <c r="A8" s="199">
        <v>1</v>
      </c>
      <c r="B8" s="211" t="s">
        <v>90</v>
      </c>
      <c r="C8" s="203">
        <v>0.20399999999999999</v>
      </c>
      <c r="D8" s="199">
        <f>SUM(F8:M8)</f>
        <v>22.032</v>
      </c>
      <c r="E8" s="199"/>
      <c r="F8" s="204">
        <f>F6*$C$8</f>
        <v>2.8559999999999999</v>
      </c>
      <c r="G8" s="204">
        <f t="shared" ref="G8:M8" si="0">G6*$C$8</f>
        <v>4.08</v>
      </c>
      <c r="H8" s="204">
        <f t="shared" si="0"/>
        <v>2.04</v>
      </c>
      <c r="I8" s="204">
        <f t="shared" si="0"/>
        <v>2.8559999999999999</v>
      </c>
      <c r="J8" s="204">
        <f>J6*$C$8</f>
        <v>3.468</v>
      </c>
      <c r="K8" s="204">
        <f t="shared" si="0"/>
        <v>2.04</v>
      </c>
      <c r="L8" s="204">
        <f t="shared" si="0"/>
        <v>3.0599999999999996</v>
      </c>
      <c r="M8" s="204">
        <f t="shared" si="0"/>
        <v>1.6319999999999999</v>
      </c>
      <c r="N8" s="205"/>
    </row>
    <row r="9" spans="1:15" ht="190.5" customHeight="1" x14ac:dyDescent="0.25">
      <c r="A9" s="206" t="s">
        <v>54</v>
      </c>
      <c r="B9" s="213" t="s">
        <v>96</v>
      </c>
      <c r="C9" s="207" t="s">
        <v>55</v>
      </c>
      <c r="D9" s="208">
        <f>'B1-TH DA'!E22</f>
        <v>12425</v>
      </c>
      <c r="E9" s="208"/>
      <c r="F9" s="208"/>
      <c r="G9" s="208"/>
      <c r="H9" s="208"/>
      <c r="I9" s="208"/>
      <c r="J9" s="208"/>
      <c r="K9" s="208"/>
      <c r="L9" s="208"/>
      <c r="M9" s="208"/>
      <c r="N9" s="209" t="s">
        <v>142</v>
      </c>
    </row>
    <row r="10" spans="1:15" x14ac:dyDescent="0.25">
      <c r="A10" s="56"/>
      <c r="B10" s="56"/>
      <c r="C10" s="56"/>
      <c r="D10" s="56"/>
      <c r="E10" s="56"/>
      <c r="F10" s="56"/>
      <c r="G10" s="56"/>
      <c r="H10" s="56"/>
      <c r="I10" s="56"/>
      <c r="J10" s="56"/>
      <c r="K10" s="56"/>
      <c r="L10" s="56"/>
      <c r="M10" s="56"/>
      <c r="N10" s="57"/>
      <c r="O10" s="57"/>
    </row>
  </sheetData>
  <mergeCells count="3">
    <mergeCell ref="L1:N1"/>
    <mergeCell ref="A2:N2"/>
    <mergeCell ref="A3:N3"/>
  </mergeCells>
  <pageMargins left="0.7" right="0.43809523809523809" top="0.75" bottom="0.75" header="0.3" footer="0.3"/>
  <pageSetup paperSize="9" scale="64"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view="pageLayout" zoomScaleNormal="115" workbookViewId="0">
      <selection activeCell="A8" sqref="A8:B8"/>
    </sheetView>
  </sheetViews>
  <sheetFormatPr defaultRowHeight="15.75" x14ac:dyDescent="0.25"/>
  <cols>
    <col min="1" max="1" width="5.75" customWidth="1"/>
    <col min="2" max="2" width="75.625" customWidth="1"/>
    <col min="3" max="3" width="19.75" customWidth="1"/>
  </cols>
  <sheetData>
    <row r="1" spans="1:3" ht="18.75" x14ac:dyDescent="0.25">
      <c r="A1" s="1015" t="s">
        <v>617</v>
      </c>
      <c r="B1" s="1015"/>
      <c r="C1" s="517"/>
    </row>
    <row r="2" spans="1:3" ht="18.75" x14ac:dyDescent="0.25">
      <c r="A2" s="1016" t="s">
        <v>1339</v>
      </c>
      <c r="B2" s="1016"/>
      <c r="C2" s="519"/>
    </row>
    <row r="3" spans="1:3" ht="18.75" x14ac:dyDescent="0.25">
      <c r="A3" s="516"/>
      <c r="B3" s="516"/>
      <c r="C3" s="519"/>
    </row>
    <row r="4" spans="1:3" ht="44.25" customHeight="1" x14ac:dyDescent="0.25">
      <c r="A4" s="1014" t="s">
        <v>1334</v>
      </c>
      <c r="B4" s="1014"/>
      <c r="C4" s="519"/>
    </row>
    <row r="5" spans="1:3" ht="18.75" x14ac:dyDescent="0.25">
      <c r="A5" s="1014" t="s">
        <v>1391</v>
      </c>
      <c r="B5" s="1014"/>
      <c r="C5" s="519"/>
    </row>
    <row r="6" spans="1:3" ht="44.25" customHeight="1" x14ac:dyDescent="0.25">
      <c r="A6" s="1014" t="s">
        <v>1387</v>
      </c>
      <c r="B6" s="1014"/>
      <c r="C6" s="519"/>
    </row>
    <row r="7" spans="1:3" ht="34.9" customHeight="1" x14ac:dyDescent="0.25">
      <c r="A7" s="1014" t="s">
        <v>1390</v>
      </c>
      <c r="B7" s="1014"/>
    </row>
    <row r="8" spans="1:3" ht="61.5" customHeight="1" x14ac:dyDescent="0.25">
      <c r="A8" s="1014" t="s">
        <v>1335</v>
      </c>
      <c r="B8" s="1014"/>
    </row>
    <row r="9" spans="1:3" ht="25.5" customHeight="1" x14ac:dyDescent="0.25">
      <c r="A9" s="517"/>
      <c r="B9" s="517" t="s">
        <v>1333</v>
      </c>
    </row>
    <row r="10" spans="1:3" ht="25.5" customHeight="1" x14ac:dyDescent="0.25">
      <c r="B10" s="518" t="s">
        <v>1381</v>
      </c>
    </row>
    <row r="11" spans="1:3" ht="40.5" customHeight="1" x14ac:dyDescent="0.25">
      <c r="A11" s="1014" t="s">
        <v>1388</v>
      </c>
      <c r="B11" s="1014"/>
    </row>
    <row r="12" spans="1:3" ht="66.75" customHeight="1" x14ac:dyDescent="0.25">
      <c r="A12" s="1014" t="s">
        <v>1386</v>
      </c>
      <c r="B12" s="1014"/>
    </row>
  </sheetData>
  <mergeCells count="9">
    <mergeCell ref="A12:B12"/>
    <mergeCell ref="A8:B8"/>
    <mergeCell ref="A11:B11"/>
    <mergeCell ref="A1:B1"/>
    <mergeCell ref="A2:B2"/>
    <mergeCell ref="A4:B4"/>
    <mergeCell ref="A5:B5"/>
    <mergeCell ref="A6:B6"/>
    <mergeCell ref="A7:B7"/>
  </mergeCells>
  <pageMargins left="0.78740157480314965" right="0.39370078740157483" top="0.78740157480314965" bottom="0.78740157480314965" header="0.31496062992125984" footer="0.31496062992125984"/>
  <pageSetup paperSize="9" firstPageNumber="45" orientation="portrait" useFirstPageNumber="1" r:id="rId1"/>
  <headerFooter>
    <oddHeader>&amp;C&amp;P&amp;RPhụ biểu số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M14"/>
  <sheetViews>
    <sheetView zoomScaleNormal="100" zoomScalePageLayoutView="70" workbookViewId="0">
      <selection activeCell="O4" sqref="O4"/>
    </sheetView>
  </sheetViews>
  <sheetFormatPr defaultColWidth="7.75" defaultRowHeight="15.75" x14ac:dyDescent="0.25"/>
  <cols>
    <col min="1" max="1" width="6.75" style="55" customWidth="1"/>
    <col min="2" max="2" width="40.5" style="55" customWidth="1"/>
    <col min="3" max="3" width="10.75" style="55" customWidth="1"/>
    <col min="4" max="13" width="10.125" style="55" customWidth="1"/>
    <col min="14" max="16384" width="7.75" style="55"/>
  </cols>
  <sheetData>
    <row r="1" spans="1:13" s="27" customFormat="1" ht="29.25" customHeight="1" x14ac:dyDescent="0.25">
      <c r="A1" s="23"/>
      <c r="B1" s="23"/>
      <c r="C1" s="26"/>
      <c r="D1" s="26"/>
      <c r="E1" s="26"/>
      <c r="F1" s="26"/>
      <c r="I1" s="23"/>
      <c r="K1" s="23"/>
      <c r="L1" s="1176" t="s">
        <v>173</v>
      </c>
      <c r="M1" s="1176"/>
    </row>
    <row r="2" spans="1:13" s="27" customFormat="1" ht="47.25" customHeight="1" x14ac:dyDescent="0.25">
      <c r="A2" s="1157" t="s">
        <v>95</v>
      </c>
      <c r="B2" s="1157"/>
      <c r="C2" s="1157"/>
      <c r="D2" s="1157"/>
      <c r="E2" s="1157"/>
      <c r="F2" s="1157"/>
      <c r="G2" s="1157"/>
      <c r="H2" s="1157"/>
      <c r="I2" s="1157"/>
      <c r="J2" s="1157"/>
      <c r="K2" s="1157"/>
      <c r="L2" s="1157"/>
      <c r="M2" s="1157"/>
    </row>
    <row r="3" spans="1:13" s="27" customFormat="1" ht="31.5" customHeight="1" x14ac:dyDescent="0.25">
      <c r="A3" s="1177" t="str">
        <f>'B7-TDA2,DA5'!A3:N3</f>
        <v>(Kèm theo Tờ trình số:          /TTr-UBND ngày          tháng 11 năm 2022 của UBND tỉnh)</v>
      </c>
      <c r="B3" s="1177"/>
      <c r="C3" s="1177"/>
      <c r="D3" s="1177"/>
      <c r="E3" s="1177"/>
      <c r="F3" s="1177"/>
      <c r="G3" s="1177"/>
      <c r="H3" s="1177"/>
      <c r="I3" s="1177"/>
      <c r="J3" s="1177"/>
      <c r="K3" s="1177"/>
      <c r="L3" s="1177"/>
      <c r="M3" s="1177"/>
    </row>
    <row r="4" spans="1:13" s="53" customFormat="1" ht="94.5" customHeight="1" x14ac:dyDescent="0.25">
      <c r="A4" s="52" t="s">
        <v>1</v>
      </c>
      <c r="B4" s="52" t="s">
        <v>35</v>
      </c>
      <c r="C4" s="52" t="s">
        <v>36</v>
      </c>
      <c r="D4" s="52" t="s">
        <v>37</v>
      </c>
      <c r="E4" s="52" t="s">
        <v>92</v>
      </c>
      <c r="F4" s="52" t="s">
        <v>38</v>
      </c>
      <c r="G4" s="52" t="s">
        <v>39</v>
      </c>
      <c r="H4" s="52" t="s">
        <v>40</v>
      </c>
      <c r="I4" s="52" t="s">
        <v>41</v>
      </c>
      <c r="J4" s="52" t="s">
        <v>42</v>
      </c>
      <c r="K4" s="52" t="s">
        <v>43</v>
      </c>
      <c r="L4" s="52" t="s">
        <v>44</v>
      </c>
      <c r="M4" s="52" t="s">
        <v>45</v>
      </c>
    </row>
    <row r="5" spans="1:13" s="53" customFormat="1" ht="24.75" customHeight="1" x14ac:dyDescent="0.25">
      <c r="A5" s="198" t="s">
        <v>46</v>
      </c>
      <c r="B5" s="210" t="s">
        <v>47</v>
      </c>
      <c r="C5" s="198"/>
      <c r="D5" s="198"/>
      <c r="E5" s="198"/>
      <c r="F5" s="198"/>
      <c r="G5" s="198"/>
      <c r="H5" s="198"/>
      <c r="I5" s="198"/>
      <c r="J5" s="198"/>
      <c r="K5" s="198"/>
      <c r="L5" s="198"/>
      <c r="M5" s="198"/>
    </row>
    <row r="6" spans="1:13" s="53" customFormat="1" ht="24.75" customHeight="1" x14ac:dyDescent="0.25">
      <c r="A6" s="199">
        <v>1</v>
      </c>
      <c r="B6" s="211" t="s">
        <v>93</v>
      </c>
      <c r="C6" s="200" t="s">
        <v>94</v>
      </c>
      <c r="D6" s="214">
        <f>SUM(F6:M6)</f>
        <v>3200</v>
      </c>
      <c r="E6" s="214"/>
      <c r="F6" s="214">
        <v>400</v>
      </c>
      <c r="G6" s="214">
        <v>400</v>
      </c>
      <c r="H6" s="214">
        <v>400</v>
      </c>
      <c r="I6" s="214">
        <v>400</v>
      </c>
      <c r="J6" s="214">
        <v>400</v>
      </c>
      <c r="K6" s="214">
        <v>400</v>
      </c>
      <c r="L6" s="214">
        <v>400</v>
      </c>
      <c r="M6" s="214">
        <v>400</v>
      </c>
    </row>
    <row r="7" spans="1:13" s="54" customFormat="1" ht="24.75" customHeight="1" x14ac:dyDescent="0.25">
      <c r="A7" s="202" t="s">
        <v>31</v>
      </c>
      <c r="B7" s="212" t="s">
        <v>79</v>
      </c>
      <c r="C7" s="202"/>
      <c r="D7" s="215"/>
      <c r="E7" s="215"/>
      <c r="F7" s="215"/>
      <c r="G7" s="215"/>
      <c r="H7" s="215"/>
      <c r="I7" s="215"/>
      <c r="J7" s="215"/>
      <c r="K7" s="215"/>
      <c r="L7" s="215"/>
      <c r="M7" s="215"/>
    </row>
    <row r="8" spans="1:13" ht="25.5" customHeight="1" x14ac:dyDescent="0.25">
      <c r="A8" s="199">
        <v>1</v>
      </c>
      <c r="B8" s="211" t="s">
        <v>93</v>
      </c>
      <c r="C8" s="203">
        <v>3.5000000000000003E-2</v>
      </c>
      <c r="D8" s="214">
        <f>SUM(F8:M8)</f>
        <v>112.00000000000001</v>
      </c>
      <c r="E8" s="214"/>
      <c r="F8" s="216">
        <f>F6*$C$8</f>
        <v>14.000000000000002</v>
      </c>
      <c r="G8" s="216">
        <f t="shared" ref="G8:L8" si="0">G6*$C$8</f>
        <v>14.000000000000002</v>
      </c>
      <c r="H8" s="216">
        <f t="shared" si="0"/>
        <v>14.000000000000002</v>
      </c>
      <c r="I8" s="216">
        <f t="shared" si="0"/>
        <v>14.000000000000002</v>
      </c>
      <c r="J8" s="216">
        <f t="shared" si="0"/>
        <v>14.000000000000002</v>
      </c>
      <c r="K8" s="216">
        <f t="shared" si="0"/>
        <v>14.000000000000002</v>
      </c>
      <c r="L8" s="216">
        <f t="shared" si="0"/>
        <v>14.000000000000002</v>
      </c>
      <c r="M8" s="216">
        <f>M6*$C$8</f>
        <v>14.000000000000002</v>
      </c>
    </row>
    <row r="9" spans="1:13" s="221" customFormat="1" ht="38.25" customHeight="1" x14ac:dyDescent="0.25">
      <c r="A9" s="109" t="s">
        <v>54</v>
      </c>
      <c r="B9" s="193" t="s">
        <v>169</v>
      </c>
      <c r="C9" s="201"/>
      <c r="D9" s="220">
        <v>44984</v>
      </c>
      <c r="E9" s="220">
        <f>E10</f>
        <v>1124.6000000000001</v>
      </c>
      <c r="F9" s="220">
        <f>F10</f>
        <v>5482</v>
      </c>
      <c r="G9" s="220">
        <f t="shared" ref="G9:M9" si="1">G10</f>
        <v>5482</v>
      </c>
      <c r="H9" s="220">
        <f t="shared" si="1"/>
        <v>5483</v>
      </c>
      <c r="I9" s="220">
        <f t="shared" si="1"/>
        <v>5483</v>
      </c>
      <c r="J9" s="220">
        <f t="shared" si="1"/>
        <v>5482</v>
      </c>
      <c r="K9" s="220">
        <f t="shared" si="1"/>
        <v>5483</v>
      </c>
      <c r="L9" s="220">
        <f t="shared" si="1"/>
        <v>5482</v>
      </c>
      <c r="M9" s="220">
        <f t="shared" si="1"/>
        <v>5482</v>
      </c>
    </row>
    <row r="10" spans="1:13" ht="24.75" customHeight="1" x14ac:dyDescent="0.25">
      <c r="A10" s="111">
        <v>1</v>
      </c>
      <c r="B10" s="188" t="s">
        <v>174</v>
      </c>
      <c r="C10" s="199" t="s">
        <v>55</v>
      </c>
      <c r="D10" s="214">
        <f>SUM(E10:M10)</f>
        <v>44983.6</v>
      </c>
      <c r="E10" s="214">
        <f>D9*2.5%</f>
        <v>1124.6000000000001</v>
      </c>
      <c r="F10" s="214">
        <f>ROUND(($D$9-$E$9)/$D$8*F8,0)</f>
        <v>5482</v>
      </c>
      <c r="G10" s="214">
        <f>ROUND(($D$9-$E$9)/$D$8*G8,0)</f>
        <v>5482</v>
      </c>
      <c r="H10" s="214">
        <f>ROUND(($D$9-$E$9)/$D$8*H8+0.5,0)</f>
        <v>5483</v>
      </c>
      <c r="I10" s="214">
        <f>ROUND(($D$9-$E$9)/$D$8*I8+0.5,0)</f>
        <v>5483</v>
      </c>
      <c r="J10" s="214">
        <f t="shared" ref="J10:M10" si="2">ROUND(($D$9-$E$9)/$D$8*J8,0)</f>
        <v>5482</v>
      </c>
      <c r="K10" s="214">
        <f>ROUND(($D$9-$E$9)/$D$8*K8+0.5,0)</f>
        <v>5483</v>
      </c>
      <c r="L10" s="214">
        <f t="shared" si="2"/>
        <v>5482</v>
      </c>
      <c r="M10" s="214">
        <f t="shared" si="2"/>
        <v>5482</v>
      </c>
    </row>
    <row r="11" spans="1:13" s="221" customFormat="1" ht="38.25" customHeight="1" x14ac:dyDescent="0.25">
      <c r="A11" s="109" t="s">
        <v>56</v>
      </c>
      <c r="B11" s="193" t="s">
        <v>320</v>
      </c>
      <c r="C11" s="199"/>
      <c r="D11" s="220">
        <f>D12</f>
        <v>3372</v>
      </c>
      <c r="E11" s="220">
        <f t="shared" ref="E11:M11" si="3">E12</f>
        <v>84</v>
      </c>
      <c r="F11" s="220">
        <f t="shared" si="3"/>
        <v>411</v>
      </c>
      <c r="G11" s="220">
        <f t="shared" si="3"/>
        <v>411</v>
      </c>
      <c r="H11" s="220">
        <f t="shared" si="3"/>
        <v>411</v>
      </c>
      <c r="I11" s="220">
        <f t="shared" si="3"/>
        <v>411</v>
      </c>
      <c r="J11" s="220">
        <f t="shared" si="3"/>
        <v>411</v>
      </c>
      <c r="K11" s="220">
        <f t="shared" si="3"/>
        <v>411</v>
      </c>
      <c r="L11" s="220">
        <f t="shared" si="3"/>
        <v>411</v>
      </c>
      <c r="M11" s="220">
        <f t="shared" si="3"/>
        <v>411</v>
      </c>
    </row>
    <row r="12" spans="1:13" ht="24.75" customHeight="1" x14ac:dyDescent="0.25">
      <c r="A12" s="111">
        <v>1</v>
      </c>
      <c r="B12" s="188" t="s">
        <v>174</v>
      </c>
      <c r="C12" s="199" t="s">
        <v>55</v>
      </c>
      <c r="D12" s="214">
        <f>SUM(E12:M12)</f>
        <v>3372</v>
      </c>
      <c r="E12" s="214">
        <f>ROUND(E10*7.5%,0)</f>
        <v>84</v>
      </c>
      <c r="F12" s="214">
        <f t="shared" ref="F12:M12" si="4">ROUND(F10*7.5%,0)</f>
        <v>411</v>
      </c>
      <c r="G12" s="214">
        <f>ROUND(G10*7.5%,0)</f>
        <v>411</v>
      </c>
      <c r="H12" s="214">
        <f t="shared" si="4"/>
        <v>411</v>
      </c>
      <c r="I12" s="214">
        <f t="shared" si="4"/>
        <v>411</v>
      </c>
      <c r="J12" s="214">
        <f t="shared" si="4"/>
        <v>411</v>
      </c>
      <c r="K12" s="214">
        <f t="shared" si="4"/>
        <v>411</v>
      </c>
      <c r="L12" s="214">
        <f t="shared" si="4"/>
        <v>411</v>
      </c>
      <c r="M12" s="214">
        <f t="shared" si="4"/>
        <v>411</v>
      </c>
    </row>
    <row r="13" spans="1:13" s="221" customFormat="1" ht="24.75" customHeight="1" x14ac:dyDescent="0.25">
      <c r="A13" s="109" t="s">
        <v>57</v>
      </c>
      <c r="B13" s="193" t="s">
        <v>150</v>
      </c>
      <c r="C13" s="199"/>
      <c r="D13" s="220">
        <f>D14</f>
        <v>48355.6</v>
      </c>
      <c r="E13" s="220">
        <f t="shared" ref="E13:M13" si="5">E14</f>
        <v>1208.6000000000001</v>
      </c>
      <c r="F13" s="220">
        <f t="shared" si="5"/>
        <v>5893</v>
      </c>
      <c r="G13" s="220">
        <f t="shared" si="5"/>
        <v>5893</v>
      </c>
      <c r="H13" s="220">
        <f t="shared" si="5"/>
        <v>5894</v>
      </c>
      <c r="I13" s="220">
        <f t="shared" si="5"/>
        <v>5894</v>
      </c>
      <c r="J13" s="220">
        <f t="shared" si="5"/>
        <v>5893</v>
      </c>
      <c r="K13" s="220">
        <f t="shared" si="5"/>
        <v>5894</v>
      </c>
      <c r="L13" s="220">
        <f t="shared" si="5"/>
        <v>5893</v>
      </c>
      <c r="M13" s="220">
        <f t="shared" si="5"/>
        <v>5893</v>
      </c>
    </row>
    <row r="14" spans="1:13" ht="24.75" customHeight="1" x14ac:dyDescent="0.25">
      <c r="A14" s="195">
        <v>1</v>
      </c>
      <c r="B14" s="196" t="s">
        <v>174</v>
      </c>
      <c r="C14" s="217" t="s">
        <v>55</v>
      </c>
      <c r="D14" s="218">
        <f>SUM(E14:M14)</f>
        <v>48355.6</v>
      </c>
      <c r="E14" s="218">
        <f>E10+E12</f>
        <v>1208.6000000000001</v>
      </c>
      <c r="F14" s="218">
        <f t="shared" ref="F14:M14" si="6">F10+F12</f>
        <v>5893</v>
      </c>
      <c r="G14" s="218">
        <f t="shared" si="6"/>
        <v>5893</v>
      </c>
      <c r="H14" s="218">
        <f t="shared" si="6"/>
        <v>5894</v>
      </c>
      <c r="I14" s="218">
        <f t="shared" si="6"/>
        <v>5894</v>
      </c>
      <c r="J14" s="218">
        <f t="shared" si="6"/>
        <v>5893</v>
      </c>
      <c r="K14" s="218">
        <f t="shared" si="6"/>
        <v>5894</v>
      </c>
      <c r="L14" s="218">
        <f t="shared" si="6"/>
        <v>5893</v>
      </c>
      <c r="M14" s="218">
        <f t="shared" si="6"/>
        <v>5893</v>
      </c>
    </row>
  </sheetData>
  <mergeCells count="3">
    <mergeCell ref="L1:M1"/>
    <mergeCell ref="A2:M2"/>
    <mergeCell ref="A3:M3"/>
  </mergeCells>
  <pageMargins left="0.7" right="0.7" top="0.75" bottom="0.75" header="0.3" footer="0.3"/>
  <pageSetup paperSize="9" scale="69" fitToHeight="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M16"/>
  <sheetViews>
    <sheetView topLeftCell="A4" zoomScaleNormal="100" zoomScalePageLayoutView="70" workbookViewId="0">
      <pane xSplit="2" ySplit="1" topLeftCell="C5" activePane="bottomRight" state="frozen"/>
      <selection activeCell="A4" sqref="A4"/>
      <selection pane="topRight" activeCell="C4" sqref="C4"/>
      <selection pane="bottomLeft" activeCell="A5" sqref="A5"/>
      <selection pane="bottomRight" activeCell="N6" sqref="N6"/>
    </sheetView>
  </sheetViews>
  <sheetFormatPr defaultColWidth="7.75" defaultRowHeight="15.75" x14ac:dyDescent="0.25"/>
  <cols>
    <col min="1" max="1" width="6.75" style="55" customWidth="1"/>
    <col min="2" max="2" width="40.5" style="55" customWidth="1"/>
    <col min="3" max="3" width="10.75" style="55" customWidth="1"/>
    <col min="4" max="13" width="10.125" style="55" customWidth="1"/>
    <col min="14" max="16384" width="7.75" style="55"/>
  </cols>
  <sheetData>
    <row r="1" spans="1:13" s="27" customFormat="1" ht="29.25" customHeight="1" x14ac:dyDescent="0.25">
      <c r="A1" s="23"/>
      <c r="B1" s="23"/>
      <c r="C1" s="26"/>
      <c r="D1" s="26"/>
      <c r="E1" s="26"/>
      <c r="F1" s="26"/>
      <c r="I1" s="23"/>
      <c r="K1" s="23"/>
      <c r="L1" s="1176" t="s">
        <v>175</v>
      </c>
      <c r="M1" s="1176"/>
    </row>
    <row r="2" spans="1:13" s="27" customFormat="1" ht="47.25" customHeight="1" x14ac:dyDescent="0.25">
      <c r="A2" s="1157" t="s">
        <v>176</v>
      </c>
      <c r="B2" s="1157"/>
      <c r="C2" s="1157"/>
      <c r="D2" s="1157"/>
      <c r="E2" s="1157"/>
      <c r="F2" s="1157"/>
      <c r="G2" s="1157"/>
      <c r="H2" s="1157"/>
      <c r="I2" s="1157"/>
      <c r="J2" s="1157"/>
      <c r="K2" s="1157"/>
      <c r="L2" s="1157"/>
      <c r="M2" s="1157"/>
    </row>
    <row r="3" spans="1:13" s="27" customFormat="1" ht="31.5" customHeight="1" x14ac:dyDescent="0.25">
      <c r="A3" s="1177" t="str">
        <f>'B7-TDA2,DA5'!A3:N3</f>
        <v>(Kèm theo Tờ trình số:          /TTr-UBND ngày          tháng 11 năm 2022 của UBND tỉnh)</v>
      </c>
      <c r="B3" s="1177"/>
      <c r="C3" s="1177"/>
      <c r="D3" s="1177"/>
      <c r="E3" s="1177"/>
      <c r="F3" s="1177"/>
      <c r="G3" s="1177"/>
      <c r="H3" s="1177"/>
      <c r="I3" s="1177"/>
      <c r="J3" s="1177"/>
      <c r="K3" s="1177"/>
      <c r="L3" s="1177"/>
      <c r="M3" s="1177"/>
    </row>
    <row r="4" spans="1:13" s="53" customFormat="1" ht="62.25" customHeight="1" x14ac:dyDescent="0.25">
      <c r="A4" s="52" t="s">
        <v>1</v>
      </c>
      <c r="B4" s="52" t="s">
        <v>35</v>
      </c>
      <c r="C4" s="52" t="s">
        <v>36</v>
      </c>
      <c r="D4" s="52" t="s">
        <v>37</v>
      </c>
      <c r="E4" s="52" t="s">
        <v>130</v>
      </c>
      <c r="F4" s="52" t="s">
        <v>38</v>
      </c>
      <c r="G4" s="52" t="s">
        <v>39</v>
      </c>
      <c r="H4" s="52" t="s">
        <v>40</v>
      </c>
      <c r="I4" s="52" t="s">
        <v>41</v>
      </c>
      <c r="J4" s="52" t="s">
        <v>42</v>
      </c>
      <c r="K4" s="52" t="s">
        <v>43</v>
      </c>
      <c r="L4" s="52" t="s">
        <v>44</v>
      </c>
      <c r="M4" s="52" t="s">
        <v>45</v>
      </c>
    </row>
    <row r="5" spans="1:13" s="53" customFormat="1" ht="24.75" customHeight="1" x14ac:dyDescent="0.25">
      <c r="A5" s="198" t="s">
        <v>46</v>
      </c>
      <c r="B5" s="210" t="s">
        <v>47</v>
      </c>
      <c r="C5" s="198"/>
      <c r="D5" s="198"/>
      <c r="E5" s="198"/>
      <c r="F5" s="198"/>
      <c r="G5" s="198"/>
      <c r="H5" s="198"/>
      <c r="I5" s="198"/>
      <c r="J5" s="198"/>
      <c r="K5" s="198"/>
      <c r="L5" s="198"/>
      <c r="M5" s="198"/>
    </row>
    <row r="6" spans="1:13" s="53" customFormat="1" ht="70.5" customHeight="1" x14ac:dyDescent="0.25">
      <c r="A6" s="199">
        <v>1</v>
      </c>
      <c r="B6" s="211" t="s">
        <v>177</v>
      </c>
      <c r="C6" s="200" t="s">
        <v>70</v>
      </c>
      <c r="D6" s="214">
        <f>SUM(F6:M6)</f>
        <v>69</v>
      </c>
      <c r="E6" s="214"/>
      <c r="F6" s="214">
        <v>8</v>
      </c>
      <c r="G6" s="214">
        <v>10</v>
      </c>
      <c r="H6" s="214">
        <v>9</v>
      </c>
      <c r="I6" s="214">
        <v>8</v>
      </c>
      <c r="J6" s="214">
        <v>14</v>
      </c>
      <c r="K6" s="214">
        <v>10</v>
      </c>
      <c r="L6" s="214">
        <v>10</v>
      </c>
      <c r="M6" s="214">
        <v>0</v>
      </c>
    </row>
    <row r="7" spans="1:13" s="53" customFormat="1" ht="54" customHeight="1" x14ac:dyDescent="0.25">
      <c r="A7" s="199">
        <v>2</v>
      </c>
      <c r="B7" s="211" t="s">
        <v>178</v>
      </c>
      <c r="C7" s="200" t="s">
        <v>73</v>
      </c>
      <c r="D7" s="214">
        <f>SUM(F7:M7)</f>
        <v>55</v>
      </c>
      <c r="E7" s="214"/>
      <c r="F7" s="214">
        <v>9</v>
      </c>
      <c r="G7" s="214">
        <v>13</v>
      </c>
      <c r="H7" s="214">
        <v>1</v>
      </c>
      <c r="I7" s="214">
        <v>10</v>
      </c>
      <c r="J7" s="214">
        <v>7</v>
      </c>
      <c r="K7" s="214">
        <v>0</v>
      </c>
      <c r="L7" s="214">
        <v>14</v>
      </c>
      <c r="M7" s="214">
        <v>1</v>
      </c>
    </row>
    <row r="8" spans="1:13" s="54" customFormat="1" ht="24.75" customHeight="1" x14ac:dyDescent="0.25">
      <c r="A8" s="202" t="s">
        <v>31</v>
      </c>
      <c r="B8" s="212" t="s">
        <v>79</v>
      </c>
      <c r="C8" s="202"/>
      <c r="D8" s="215">
        <f>SUM(D9:D10)</f>
        <v>1117.5</v>
      </c>
      <c r="E8" s="215"/>
      <c r="F8" s="215">
        <f t="shared" ref="F8:M8" si="0">SUM(F9:F10)</f>
        <v>133.5</v>
      </c>
      <c r="G8" s="215">
        <f t="shared" si="0"/>
        <v>169.5</v>
      </c>
      <c r="H8" s="215">
        <f t="shared" si="0"/>
        <v>136.5</v>
      </c>
      <c r="I8" s="215">
        <f t="shared" si="0"/>
        <v>135</v>
      </c>
      <c r="J8" s="215">
        <f t="shared" si="0"/>
        <v>220.5</v>
      </c>
      <c r="K8" s="215">
        <f t="shared" si="0"/>
        <v>150</v>
      </c>
      <c r="L8" s="215">
        <f t="shared" si="0"/>
        <v>171</v>
      </c>
      <c r="M8" s="215">
        <f t="shared" si="0"/>
        <v>1.5</v>
      </c>
    </row>
    <row r="9" spans="1:13" ht="72" customHeight="1" x14ac:dyDescent="0.25">
      <c r="A9" s="199">
        <v>1</v>
      </c>
      <c r="B9" s="211" t="s">
        <v>177</v>
      </c>
      <c r="C9" s="204">
        <v>15</v>
      </c>
      <c r="D9" s="214">
        <f>SUM(E9:M9)</f>
        <v>1035</v>
      </c>
      <c r="E9" s="214"/>
      <c r="F9" s="216">
        <f t="shared" ref="F9:M9" si="1">$C9*F6</f>
        <v>120</v>
      </c>
      <c r="G9" s="216">
        <f t="shared" si="1"/>
        <v>150</v>
      </c>
      <c r="H9" s="216">
        <f t="shared" si="1"/>
        <v>135</v>
      </c>
      <c r="I9" s="216">
        <f t="shared" si="1"/>
        <v>120</v>
      </c>
      <c r="J9" s="216">
        <f t="shared" si="1"/>
        <v>210</v>
      </c>
      <c r="K9" s="216">
        <f t="shared" si="1"/>
        <v>150</v>
      </c>
      <c r="L9" s="216">
        <f t="shared" si="1"/>
        <v>150</v>
      </c>
      <c r="M9" s="216">
        <f t="shared" si="1"/>
        <v>0</v>
      </c>
    </row>
    <row r="10" spans="1:13" ht="57" customHeight="1" x14ac:dyDescent="0.25">
      <c r="A10" s="199">
        <v>2</v>
      </c>
      <c r="B10" s="211" t="s">
        <v>178</v>
      </c>
      <c r="C10" s="219">
        <v>1.5</v>
      </c>
      <c r="D10" s="214">
        <f>SUM(E10:M10)</f>
        <v>82.5</v>
      </c>
      <c r="E10" s="214"/>
      <c r="F10" s="216">
        <f>$C10*F7</f>
        <v>13.5</v>
      </c>
      <c r="G10" s="216">
        <f t="shared" ref="G10:K10" si="2">$C10*G7</f>
        <v>19.5</v>
      </c>
      <c r="H10" s="216">
        <f>$C10*H7</f>
        <v>1.5</v>
      </c>
      <c r="I10" s="216">
        <f>$C10*I7</f>
        <v>15</v>
      </c>
      <c r="J10" s="216">
        <f t="shared" si="2"/>
        <v>10.5</v>
      </c>
      <c r="K10" s="216">
        <f t="shared" si="2"/>
        <v>0</v>
      </c>
      <c r="L10" s="216">
        <f>$C10*L7</f>
        <v>21</v>
      </c>
      <c r="M10" s="216">
        <f>$C10*M7</f>
        <v>1.5</v>
      </c>
    </row>
    <row r="11" spans="1:13" s="221" customFormat="1" ht="38.25" customHeight="1" x14ac:dyDescent="0.25">
      <c r="A11" s="109" t="s">
        <v>54</v>
      </c>
      <c r="B11" s="193" t="s">
        <v>169</v>
      </c>
      <c r="C11" s="201"/>
      <c r="D11" s="220">
        <v>15814</v>
      </c>
      <c r="E11" s="220">
        <f>E12</f>
        <v>4744.2</v>
      </c>
      <c r="F11" s="220">
        <f t="shared" ref="F11:M11" si="3">F12</f>
        <v>1322</v>
      </c>
      <c r="G11" s="220">
        <f t="shared" si="3"/>
        <v>1679</v>
      </c>
      <c r="H11" s="220">
        <f t="shared" si="3"/>
        <v>1352</v>
      </c>
      <c r="I11" s="220">
        <f t="shared" si="3"/>
        <v>1337</v>
      </c>
      <c r="J11" s="220">
        <f t="shared" si="3"/>
        <v>2184</v>
      </c>
      <c r="K11" s="220">
        <f t="shared" si="3"/>
        <v>1486</v>
      </c>
      <c r="L11" s="220">
        <f t="shared" si="3"/>
        <v>1694</v>
      </c>
      <c r="M11" s="220">
        <f t="shared" si="3"/>
        <v>16</v>
      </c>
    </row>
    <row r="12" spans="1:13" ht="24.75" customHeight="1" x14ac:dyDescent="0.25">
      <c r="A12" s="111">
        <v>1</v>
      </c>
      <c r="B12" s="188" t="s">
        <v>179</v>
      </c>
      <c r="C12" s="199" t="s">
        <v>55</v>
      </c>
      <c r="D12" s="214">
        <f>SUM(E12:M12)</f>
        <v>15814.2</v>
      </c>
      <c r="E12" s="214">
        <f>D11*30%</f>
        <v>4744.2</v>
      </c>
      <c r="F12" s="214">
        <f>ROUND(($D$11-$E$11)/$D$8*F8,0)</f>
        <v>1322</v>
      </c>
      <c r="G12" s="214">
        <f t="shared" ref="G12:L12" si="4">ROUND(($D$11-$E$11)/$D$8*G8,0)</f>
        <v>1679</v>
      </c>
      <c r="H12" s="214">
        <f t="shared" si="4"/>
        <v>1352</v>
      </c>
      <c r="I12" s="214">
        <f t="shared" si="4"/>
        <v>1337</v>
      </c>
      <c r="J12" s="214">
        <f t="shared" si="4"/>
        <v>2184</v>
      </c>
      <c r="K12" s="214">
        <f t="shared" si="4"/>
        <v>1486</v>
      </c>
      <c r="L12" s="214">
        <f t="shared" si="4"/>
        <v>1694</v>
      </c>
      <c r="M12" s="214">
        <f>ROUND(($D$11-$E$11)/$D$8*M8+0.8,0)</f>
        <v>16</v>
      </c>
    </row>
    <row r="13" spans="1:13" s="221" customFormat="1" ht="38.25" customHeight="1" x14ac:dyDescent="0.25">
      <c r="A13" s="109" t="s">
        <v>56</v>
      </c>
      <c r="B13" s="193" t="s">
        <v>180</v>
      </c>
      <c r="C13" s="199"/>
      <c r="D13" s="222">
        <f>D14</f>
        <v>0</v>
      </c>
      <c r="E13" s="222">
        <f t="shared" ref="E13:M13" si="5">E14</f>
        <v>0</v>
      </c>
      <c r="F13" s="222">
        <f t="shared" si="5"/>
        <v>0</v>
      </c>
      <c r="G13" s="222">
        <f t="shared" si="5"/>
        <v>0</v>
      </c>
      <c r="H13" s="222">
        <f t="shared" si="5"/>
        <v>0</v>
      </c>
      <c r="I13" s="222">
        <f t="shared" si="5"/>
        <v>0</v>
      </c>
      <c r="J13" s="222">
        <f t="shared" si="5"/>
        <v>0</v>
      </c>
      <c r="K13" s="222">
        <f t="shared" si="5"/>
        <v>0</v>
      </c>
      <c r="L13" s="222">
        <f t="shared" si="5"/>
        <v>0</v>
      </c>
      <c r="M13" s="222">
        <f t="shared" si="5"/>
        <v>0</v>
      </c>
    </row>
    <row r="14" spans="1:13" ht="24.75" customHeight="1" x14ac:dyDescent="0.25">
      <c r="A14" s="111">
        <v>1</v>
      </c>
      <c r="B14" s="188" t="s">
        <v>179</v>
      </c>
      <c r="C14" s="199" t="s">
        <v>55</v>
      </c>
      <c r="D14" s="223">
        <f>SUM(E14:M14)</f>
        <v>0</v>
      </c>
      <c r="E14" s="223">
        <v>0</v>
      </c>
      <c r="F14" s="223">
        <v>0</v>
      </c>
      <c r="G14" s="223">
        <v>0</v>
      </c>
      <c r="H14" s="223">
        <v>0</v>
      </c>
      <c r="I14" s="223">
        <v>0</v>
      </c>
      <c r="J14" s="223">
        <v>0</v>
      </c>
      <c r="K14" s="223">
        <v>0</v>
      </c>
      <c r="L14" s="223">
        <v>0</v>
      </c>
      <c r="M14" s="223">
        <v>0</v>
      </c>
    </row>
    <row r="15" spans="1:13" s="221" customFormat="1" ht="24.75" customHeight="1" x14ac:dyDescent="0.25">
      <c r="A15" s="109" t="s">
        <v>57</v>
      </c>
      <c r="B15" s="193" t="s">
        <v>150</v>
      </c>
      <c r="C15" s="199"/>
      <c r="D15" s="220">
        <f>D16</f>
        <v>15814.2</v>
      </c>
      <c r="E15" s="220">
        <f t="shared" ref="E15:M15" si="6">E16</f>
        <v>4744.2</v>
      </c>
      <c r="F15" s="220">
        <f t="shared" si="6"/>
        <v>1322</v>
      </c>
      <c r="G15" s="220">
        <f t="shared" si="6"/>
        <v>1679</v>
      </c>
      <c r="H15" s="220">
        <f t="shared" si="6"/>
        <v>1352</v>
      </c>
      <c r="I15" s="220">
        <f t="shared" si="6"/>
        <v>1337</v>
      </c>
      <c r="J15" s="220">
        <f t="shared" si="6"/>
        <v>2184</v>
      </c>
      <c r="K15" s="220">
        <f t="shared" si="6"/>
        <v>1486</v>
      </c>
      <c r="L15" s="220">
        <f t="shared" si="6"/>
        <v>1694</v>
      </c>
      <c r="M15" s="220">
        <f t="shared" si="6"/>
        <v>16</v>
      </c>
    </row>
    <row r="16" spans="1:13" ht="24.75" customHeight="1" x14ac:dyDescent="0.25">
      <c r="A16" s="195">
        <v>1</v>
      </c>
      <c r="B16" s="196" t="s">
        <v>179</v>
      </c>
      <c r="C16" s="217" t="s">
        <v>55</v>
      </c>
      <c r="D16" s="218">
        <f>SUM(E16:M16)</f>
        <v>15814.2</v>
      </c>
      <c r="E16" s="218">
        <f>E12+E14</f>
        <v>4744.2</v>
      </c>
      <c r="F16" s="218">
        <f t="shared" ref="F16:M16" si="7">F12+F14</f>
        <v>1322</v>
      </c>
      <c r="G16" s="218">
        <f t="shared" si="7"/>
        <v>1679</v>
      </c>
      <c r="H16" s="218">
        <f t="shared" si="7"/>
        <v>1352</v>
      </c>
      <c r="I16" s="218">
        <f t="shared" si="7"/>
        <v>1337</v>
      </c>
      <c r="J16" s="218">
        <f t="shared" si="7"/>
        <v>2184</v>
      </c>
      <c r="K16" s="218">
        <f t="shared" si="7"/>
        <v>1486</v>
      </c>
      <c r="L16" s="218">
        <f t="shared" si="7"/>
        <v>1694</v>
      </c>
      <c r="M16" s="218">
        <f t="shared" si="7"/>
        <v>16</v>
      </c>
    </row>
  </sheetData>
  <mergeCells count="3">
    <mergeCell ref="L1:M1"/>
    <mergeCell ref="A2:M2"/>
    <mergeCell ref="A3:M3"/>
  </mergeCells>
  <pageMargins left="0.7" right="0.7" top="0.75" bottom="0.75" header="0.3" footer="0.3"/>
  <pageSetup paperSize="9" scale="69" fitToHeight="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IX39"/>
  <sheetViews>
    <sheetView topLeftCell="A4" zoomScale="89" zoomScaleNormal="89" workbookViewId="0">
      <pane xSplit="2" ySplit="1" topLeftCell="C5" activePane="bottomRight" state="frozen"/>
      <selection activeCell="A4" sqref="A4"/>
      <selection pane="topRight" activeCell="C4" sqref="C4"/>
      <selection pane="bottomLeft" activeCell="A5" sqref="A5"/>
      <selection pane="bottomRight" activeCell="P4" sqref="P4"/>
    </sheetView>
  </sheetViews>
  <sheetFormatPr defaultColWidth="7.75" defaultRowHeight="15.75" x14ac:dyDescent="0.25"/>
  <cols>
    <col min="1" max="1" width="6.75" style="61" customWidth="1"/>
    <col min="2" max="2" width="56.625" style="20" customWidth="1"/>
    <col min="3" max="3" width="11.125" style="61" customWidth="1"/>
    <col min="4" max="4" width="12.25" style="20" bestFit="1" customWidth="1"/>
    <col min="5" max="7" width="12.25" style="20" customWidth="1"/>
    <col min="8" max="14" width="11.625" style="20" customWidth="1"/>
    <col min="15" max="16384" width="7.75" style="20"/>
  </cols>
  <sheetData>
    <row r="1" spans="1:258" s="27" customFormat="1" ht="29.25" customHeight="1" x14ac:dyDescent="0.25">
      <c r="A1" s="23"/>
      <c r="B1" s="23"/>
      <c r="C1" s="26"/>
      <c r="D1" s="26"/>
      <c r="E1" s="101"/>
      <c r="F1" s="101"/>
      <c r="G1" s="26"/>
      <c r="H1" s="26"/>
      <c r="K1" s="23"/>
      <c r="M1" s="1176" t="s">
        <v>181</v>
      </c>
      <c r="N1" s="1176"/>
      <c r="O1" s="23"/>
      <c r="P1" s="23"/>
    </row>
    <row r="2" spans="1:258" s="27" customFormat="1" ht="33" customHeight="1" x14ac:dyDescent="0.25">
      <c r="A2" s="1157" t="s">
        <v>116</v>
      </c>
      <c r="B2" s="1157"/>
      <c r="C2" s="1157"/>
      <c r="D2" s="1157"/>
      <c r="E2" s="1157"/>
      <c r="F2" s="1157"/>
      <c r="G2" s="1157"/>
      <c r="H2" s="1157"/>
      <c r="I2" s="1157"/>
      <c r="J2" s="1157"/>
      <c r="K2" s="1157"/>
      <c r="L2" s="1157"/>
      <c r="M2" s="1157"/>
      <c r="N2" s="1157"/>
      <c r="O2" s="59"/>
      <c r="P2" s="59"/>
    </row>
    <row r="3" spans="1:258" s="27" customFormat="1" ht="31.5" customHeight="1" x14ac:dyDescent="0.25">
      <c r="A3" s="1177" t="str">
        <f>'B8-TDA3,DA5'!A3:M3</f>
        <v>(Kèm theo Tờ trình số:          /TTr-UBND ngày          tháng 11 năm 2022 của UBND tỉnh)</v>
      </c>
      <c r="B3" s="1177"/>
      <c r="C3" s="1177"/>
      <c r="D3" s="1177"/>
      <c r="E3" s="1177"/>
      <c r="F3" s="1177"/>
      <c r="G3" s="1177"/>
      <c r="H3" s="1177"/>
      <c r="I3" s="1177"/>
      <c r="J3" s="1177"/>
      <c r="K3" s="1177"/>
      <c r="L3" s="1177"/>
      <c r="M3" s="1177"/>
      <c r="N3" s="1177"/>
      <c r="O3" s="1157"/>
      <c r="P3" s="1157"/>
      <c r="Q3" s="1157"/>
      <c r="R3" s="1157"/>
      <c r="S3" s="1157"/>
      <c r="T3" s="1157"/>
      <c r="U3" s="1157"/>
      <c r="V3" s="1157"/>
      <c r="W3" s="1157"/>
      <c r="X3" s="1157"/>
      <c r="Y3" s="1157"/>
      <c r="Z3" s="1157"/>
      <c r="AA3" s="1157"/>
      <c r="AB3" s="1157"/>
      <c r="AC3" s="1157"/>
      <c r="AD3" s="1157"/>
      <c r="AE3" s="1157"/>
      <c r="AF3" s="1157"/>
      <c r="AG3" s="1157"/>
      <c r="AH3" s="1157"/>
      <c r="AI3" s="1157"/>
      <c r="AJ3" s="1157"/>
      <c r="AK3" s="1157"/>
      <c r="AL3" s="1157"/>
      <c r="AM3" s="1157"/>
      <c r="AN3" s="1157"/>
      <c r="AO3" s="1157"/>
      <c r="AP3" s="1157"/>
      <c r="AQ3" s="1157"/>
      <c r="AR3" s="1157"/>
      <c r="AS3" s="1157"/>
      <c r="AT3" s="1157"/>
      <c r="AU3" s="1157"/>
      <c r="AV3" s="1157"/>
      <c r="AW3" s="1157"/>
      <c r="AX3" s="1157"/>
      <c r="AY3" s="1157"/>
      <c r="AZ3" s="1157"/>
      <c r="BA3" s="1157"/>
      <c r="BB3" s="1157"/>
      <c r="BC3" s="1157"/>
      <c r="BD3" s="1157"/>
      <c r="BE3" s="1157"/>
      <c r="BF3" s="1157"/>
      <c r="BG3" s="1157"/>
      <c r="BH3" s="1157"/>
      <c r="BI3" s="1157"/>
      <c r="BJ3" s="1157"/>
      <c r="BK3" s="1157"/>
      <c r="BL3" s="1157"/>
      <c r="BM3" s="1157"/>
      <c r="BN3" s="1157"/>
      <c r="BO3" s="1157"/>
      <c r="BP3" s="1157"/>
      <c r="BQ3" s="1157"/>
      <c r="BR3" s="1157"/>
      <c r="BS3" s="1157"/>
      <c r="BT3" s="1157"/>
      <c r="BU3" s="1157"/>
      <c r="BV3" s="1157"/>
      <c r="BW3" s="1157"/>
      <c r="BX3" s="1157"/>
      <c r="BY3" s="1157"/>
      <c r="BZ3" s="1157"/>
      <c r="CA3" s="1157"/>
      <c r="CB3" s="1157"/>
      <c r="CC3" s="1157"/>
      <c r="CD3" s="1157"/>
      <c r="CE3" s="1157"/>
      <c r="CF3" s="1157"/>
      <c r="CG3" s="1157"/>
      <c r="CH3" s="1157"/>
      <c r="CI3" s="1157"/>
      <c r="CJ3" s="1157"/>
      <c r="CK3" s="1157"/>
      <c r="CL3" s="1157"/>
      <c r="CM3" s="1157"/>
      <c r="CN3" s="1157"/>
      <c r="CO3" s="1157"/>
      <c r="CP3" s="1157"/>
      <c r="CQ3" s="1157"/>
      <c r="CR3" s="1157"/>
      <c r="CS3" s="1157"/>
      <c r="CT3" s="1157"/>
      <c r="CU3" s="1157"/>
      <c r="CV3" s="1157"/>
      <c r="CW3" s="1157"/>
      <c r="CX3" s="1157"/>
      <c r="CY3" s="1157"/>
      <c r="CZ3" s="1157"/>
      <c r="DA3" s="1157"/>
      <c r="DB3" s="1157"/>
      <c r="DC3" s="1157"/>
      <c r="DD3" s="1157"/>
      <c r="DE3" s="1157"/>
      <c r="DF3" s="1157"/>
      <c r="DG3" s="1157"/>
      <c r="DH3" s="1157"/>
      <c r="DI3" s="1157"/>
      <c r="DJ3" s="1157"/>
      <c r="DK3" s="1157"/>
      <c r="DL3" s="1157"/>
      <c r="DM3" s="1157"/>
      <c r="DN3" s="1157"/>
      <c r="DO3" s="1157"/>
      <c r="DP3" s="1157"/>
      <c r="DQ3" s="1157"/>
      <c r="DR3" s="1157"/>
      <c r="DS3" s="1157"/>
      <c r="DT3" s="1157"/>
      <c r="DU3" s="1157"/>
      <c r="DV3" s="1157"/>
      <c r="DW3" s="1157"/>
      <c r="DX3" s="1157"/>
      <c r="DY3" s="1157"/>
      <c r="DZ3" s="1157"/>
      <c r="EA3" s="1157"/>
      <c r="EB3" s="1157"/>
      <c r="EC3" s="1157"/>
      <c r="ED3" s="1157"/>
      <c r="EE3" s="1157"/>
      <c r="EF3" s="1157"/>
      <c r="EG3" s="1157"/>
      <c r="EH3" s="1157"/>
      <c r="EI3" s="1157"/>
      <c r="EJ3" s="1157"/>
      <c r="EK3" s="1157"/>
      <c r="EL3" s="1157"/>
      <c r="EM3" s="1157"/>
      <c r="EN3" s="1157"/>
      <c r="EO3" s="1157"/>
      <c r="EP3" s="1157"/>
      <c r="EQ3" s="1157"/>
      <c r="ER3" s="1157"/>
      <c r="ES3" s="1157"/>
      <c r="ET3" s="1157"/>
      <c r="EU3" s="1157"/>
      <c r="EV3" s="1157"/>
      <c r="EW3" s="1157"/>
      <c r="EX3" s="1157"/>
      <c r="EY3" s="1157"/>
      <c r="EZ3" s="1157"/>
      <c r="FA3" s="1157"/>
      <c r="FB3" s="1157"/>
      <c r="FC3" s="1157"/>
      <c r="FD3" s="1157"/>
      <c r="FE3" s="1157"/>
      <c r="FF3" s="1157"/>
      <c r="FG3" s="1157"/>
      <c r="FH3" s="1157"/>
      <c r="FI3" s="1157"/>
      <c r="FJ3" s="1157"/>
      <c r="FK3" s="1157"/>
      <c r="FL3" s="1157"/>
      <c r="FM3" s="1157"/>
      <c r="FN3" s="1157"/>
      <c r="FO3" s="1157"/>
      <c r="FP3" s="1157"/>
      <c r="FQ3" s="1157"/>
      <c r="FR3" s="1157"/>
      <c r="FS3" s="1157"/>
      <c r="FT3" s="1157"/>
      <c r="FU3" s="1157"/>
      <c r="FV3" s="1157"/>
      <c r="FW3" s="1157"/>
      <c r="FX3" s="1157"/>
      <c r="FY3" s="1157"/>
      <c r="FZ3" s="1157"/>
      <c r="GA3" s="1157"/>
      <c r="GB3" s="1157"/>
      <c r="GC3" s="1157"/>
      <c r="GD3" s="1157"/>
      <c r="GE3" s="1157"/>
      <c r="GF3" s="1157"/>
      <c r="GG3" s="1157"/>
      <c r="GH3" s="1157"/>
      <c r="GI3" s="1157"/>
      <c r="GJ3" s="1157"/>
      <c r="GK3" s="1157"/>
      <c r="GL3" s="1157"/>
      <c r="GM3" s="1157"/>
      <c r="GN3" s="1157"/>
      <c r="GO3" s="1157"/>
      <c r="GP3" s="1157"/>
      <c r="GQ3" s="1157"/>
      <c r="GR3" s="1157"/>
      <c r="GS3" s="1157"/>
      <c r="GT3" s="1157"/>
      <c r="GU3" s="1157"/>
      <c r="GV3" s="1157"/>
      <c r="GW3" s="1157"/>
      <c r="GX3" s="1157"/>
      <c r="GY3" s="1157"/>
      <c r="GZ3" s="1157"/>
      <c r="HA3" s="1157"/>
      <c r="HB3" s="1157"/>
      <c r="HC3" s="1157"/>
      <c r="HD3" s="1157"/>
      <c r="HE3" s="1157"/>
      <c r="HF3" s="1157"/>
      <c r="HG3" s="1157"/>
      <c r="HH3" s="1157"/>
      <c r="HI3" s="1157"/>
      <c r="HJ3" s="1157"/>
      <c r="HK3" s="1157"/>
      <c r="HL3" s="1157"/>
      <c r="HM3" s="1157"/>
      <c r="HN3" s="1157"/>
      <c r="HO3" s="1157"/>
      <c r="HP3" s="1157"/>
      <c r="HQ3" s="1157"/>
      <c r="HR3" s="1157"/>
      <c r="HS3" s="1157"/>
      <c r="HT3" s="1157"/>
      <c r="HU3" s="1157"/>
      <c r="HV3" s="1157"/>
      <c r="HW3" s="1157"/>
      <c r="HX3" s="1157"/>
      <c r="HY3" s="1157"/>
      <c r="HZ3" s="1157"/>
      <c r="IA3" s="1157"/>
      <c r="IB3" s="1157"/>
      <c r="IC3" s="1157"/>
      <c r="ID3" s="1157"/>
      <c r="IE3" s="1157"/>
      <c r="IF3" s="1157"/>
      <c r="IG3" s="1157"/>
      <c r="IH3" s="1157"/>
      <c r="II3" s="1157"/>
      <c r="IJ3" s="1157"/>
      <c r="IK3" s="1157"/>
      <c r="IL3" s="1157"/>
      <c r="IM3" s="1157"/>
      <c r="IN3" s="1157"/>
      <c r="IO3" s="1157"/>
      <c r="IP3" s="1157"/>
      <c r="IQ3" s="1157"/>
      <c r="IR3" s="1157"/>
      <c r="IS3" s="1157"/>
      <c r="IT3" s="1157"/>
      <c r="IU3" s="1157"/>
      <c r="IV3" s="1157"/>
      <c r="IW3" s="1157"/>
      <c r="IX3" s="1157"/>
    </row>
    <row r="4" spans="1:258" s="60" customFormat="1" ht="77.25" customHeight="1" x14ac:dyDescent="0.25">
      <c r="A4" s="11" t="s">
        <v>1</v>
      </c>
      <c r="B4" s="11" t="s">
        <v>35</v>
      </c>
      <c r="C4" s="11" t="s">
        <v>36</v>
      </c>
      <c r="D4" s="11" t="s">
        <v>37</v>
      </c>
      <c r="E4" s="11" t="s">
        <v>187</v>
      </c>
      <c r="F4" s="11" t="s">
        <v>188</v>
      </c>
      <c r="G4" s="11" t="s">
        <v>38</v>
      </c>
      <c r="H4" s="11" t="s">
        <v>39</v>
      </c>
      <c r="I4" s="11" t="s">
        <v>40</v>
      </c>
      <c r="J4" s="11" t="s">
        <v>41</v>
      </c>
      <c r="K4" s="11" t="s">
        <v>42</v>
      </c>
      <c r="L4" s="11" t="s">
        <v>43</v>
      </c>
      <c r="M4" s="11" t="s">
        <v>44</v>
      </c>
      <c r="N4" s="11" t="s">
        <v>45</v>
      </c>
    </row>
    <row r="5" spans="1:258" s="60" customFormat="1" ht="24" customHeight="1" x14ac:dyDescent="0.25">
      <c r="A5" s="108" t="s">
        <v>4</v>
      </c>
      <c r="B5" s="224" t="s">
        <v>47</v>
      </c>
      <c r="C5" s="108"/>
      <c r="D5" s="108"/>
      <c r="E5" s="108"/>
      <c r="F5" s="108"/>
      <c r="G5" s="108"/>
      <c r="H5" s="108"/>
      <c r="I5" s="108"/>
      <c r="J5" s="108"/>
      <c r="K5" s="108"/>
      <c r="L5" s="108"/>
      <c r="M5" s="108"/>
      <c r="N5" s="108"/>
    </row>
    <row r="6" spans="1:258" s="62" customFormat="1" ht="24" customHeight="1" x14ac:dyDescent="0.25">
      <c r="A6" s="110" t="s">
        <v>46</v>
      </c>
      <c r="B6" s="225" t="s">
        <v>97</v>
      </c>
      <c r="C6" s="225"/>
      <c r="D6" s="225"/>
      <c r="E6" s="225"/>
      <c r="F6" s="225"/>
      <c r="G6" s="225"/>
      <c r="H6" s="225"/>
      <c r="I6" s="225"/>
      <c r="J6" s="225"/>
      <c r="K6" s="225"/>
      <c r="L6" s="225"/>
      <c r="M6" s="225"/>
      <c r="N6" s="225"/>
    </row>
    <row r="7" spans="1:258" s="62" customFormat="1" ht="58.5" customHeight="1" x14ac:dyDescent="0.25">
      <c r="A7" s="113">
        <v>1</v>
      </c>
      <c r="B7" s="226" t="s">
        <v>98</v>
      </c>
      <c r="C7" s="113" t="s">
        <v>99</v>
      </c>
      <c r="D7" s="226">
        <f>SUM(F7:N7)</f>
        <v>10</v>
      </c>
      <c r="E7" s="226"/>
      <c r="F7" s="226"/>
      <c r="G7" s="226">
        <v>1</v>
      </c>
      <c r="H7" s="227">
        <v>1</v>
      </c>
      <c r="I7" s="226">
        <v>0</v>
      </c>
      <c r="J7" s="226">
        <v>2</v>
      </c>
      <c r="K7" s="226">
        <v>4</v>
      </c>
      <c r="L7" s="226">
        <v>1</v>
      </c>
      <c r="M7" s="226">
        <v>1</v>
      </c>
      <c r="N7" s="226">
        <v>0</v>
      </c>
    </row>
    <row r="8" spans="1:258" s="62" customFormat="1" ht="24" customHeight="1" x14ac:dyDescent="0.25">
      <c r="A8" s="113">
        <v>2</v>
      </c>
      <c r="B8" s="226" t="s">
        <v>100</v>
      </c>
      <c r="C8" s="113" t="s">
        <v>101</v>
      </c>
      <c r="D8" s="226">
        <f>SUM(F8:N8)</f>
        <v>8</v>
      </c>
      <c r="E8" s="226"/>
      <c r="F8" s="226"/>
      <c r="G8" s="226">
        <v>1</v>
      </c>
      <c r="H8" s="226">
        <v>1</v>
      </c>
      <c r="I8" s="226">
        <v>1</v>
      </c>
      <c r="J8" s="226">
        <v>1</v>
      </c>
      <c r="K8" s="226">
        <v>1</v>
      </c>
      <c r="L8" s="226">
        <v>1</v>
      </c>
      <c r="M8" s="226">
        <v>1</v>
      </c>
      <c r="N8" s="226">
        <v>1</v>
      </c>
    </row>
    <row r="9" spans="1:258" s="62" customFormat="1" ht="39.75" customHeight="1" x14ac:dyDescent="0.25">
      <c r="A9" s="113">
        <v>3</v>
      </c>
      <c r="B9" s="226" t="s">
        <v>102</v>
      </c>
      <c r="C9" s="113" t="s">
        <v>103</v>
      </c>
      <c r="D9" s="226">
        <f>SUM(F9:N9)</f>
        <v>560</v>
      </c>
      <c r="E9" s="226"/>
      <c r="F9" s="226"/>
      <c r="G9" s="226">
        <v>69</v>
      </c>
      <c r="H9" s="226">
        <v>75</v>
      </c>
      <c r="I9" s="226">
        <v>90</v>
      </c>
      <c r="J9" s="226">
        <v>68</v>
      </c>
      <c r="K9" s="226">
        <v>85</v>
      </c>
      <c r="L9" s="226">
        <v>82</v>
      </c>
      <c r="M9" s="226">
        <v>90</v>
      </c>
      <c r="N9" s="226">
        <v>1</v>
      </c>
    </row>
    <row r="10" spans="1:258" s="62" customFormat="1" ht="24" customHeight="1" x14ac:dyDescent="0.25">
      <c r="A10" s="110" t="s">
        <v>31</v>
      </c>
      <c r="B10" s="225" t="s">
        <v>104</v>
      </c>
      <c r="C10" s="110"/>
      <c r="D10" s="226"/>
      <c r="E10" s="226"/>
      <c r="F10" s="226"/>
      <c r="G10" s="226"/>
      <c r="H10" s="226"/>
      <c r="I10" s="226"/>
      <c r="J10" s="226"/>
      <c r="K10" s="226"/>
      <c r="L10" s="226"/>
      <c r="M10" s="226"/>
      <c r="N10" s="226"/>
    </row>
    <row r="11" spans="1:258" s="62" customFormat="1" ht="39.75" customHeight="1" x14ac:dyDescent="0.25">
      <c r="A11" s="113">
        <v>4</v>
      </c>
      <c r="B11" s="226" t="s">
        <v>105</v>
      </c>
      <c r="C11" s="113" t="s">
        <v>84</v>
      </c>
      <c r="D11" s="226">
        <f t="shared" ref="D11:D18" si="0">SUM(F11:N11)</f>
        <v>51</v>
      </c>
      <c r="E11" s="226"/>
      <c r="F11" s="226">
        <v>51</v>
      </c>
      <c r="G11" s="226"/>
      <c r="H11" s="226"/>
      <c r="I11" s="226"/>
      <c r="J11" s="226"/>
      <c r="K11" s="226"/>
      <c r="L11" s="226"/>
      <c r="M11" s="226"/>
      <c r="N11" s="226"/>
    </row>
    <row r="12" spans="1:258" s="62" customFormat="1" ht="24" customHeight="1" x14ac:dyDescent="0.25">
      <c r="A12" s="113">
        <v>5</v>
      </c>
      <c r="B12" s="226" t="s">
        <v>106</v>
      </c>
      <c r="C12" s="113" t="s">
        <v>107</v>
      </c>
      <c r="D12" s="226">
        <f t="shared" si="0"/>
        <v>108</v>
      </c>
      <c r="E12" s="226"/>
      <c r="F12" s="226">
        <v>108</v>
      </c>
      <c r="G12" s="226"/>
      <c r="H12" s="226"/>
      <c r="I12" s="226"/>
      <c r="J12" s="226"/>
      <c r="K12" s="226"/>
      <c r="L12" s="226"/>
      <c r="M12" s="226"/>
      <c r="N12" s="226"/>
    </row>
    <row r="13" spans="1:258" s="62" customFormat="1" ht="39.75" customHeight="1" x14ac:dyDescent="0.25">
      <c r="A13" s="113">
        <v>6</v>
      </c>
      <c r="B13" s="226" t="s">
        <v>108</v>
      </c>
      <c r="C13" s="113" t="s">
        <v>109</v>
      </c>
      <c r="D13" s="226">
        <f t="shared" si="0"/>
        <v>3</v>
      </c>
      <c r="E13" s="226"/>
      <c r="F13" s="226">
        <v>3</v>
      </c>
      <c r="G13" s="226"/>
      <c r="H13" s="226"/>
      <c r="I13" s="226"/>
      <c r="J13" s="226"/>
      <c r="K13" s="226"/>
      <c r="L13" s="226"/>
      <c r="M13" s="226"/>
      <c r="N13" s="226"/>
    </row>
    <row r="14" spans="1:258" s="62" customFormat="1" ht="39.75" customHeight="1" x14ac:dyDescent="0.25">
      <c r="A14" s="113">
        <v>7</v>
      </c>
      <c r="B14" s="226" t="s">
        <v>110</v>
      </c>
      <c r="C14" s="113" t="s">
        <v>70</v>
      </c>
      <c r="D14" s="226">
        <f t="shared" si="0"/>
        <v>108</v>
      </c>
      <c r="E14" s="226"/>
      <c r="F14" s="226">
        <v>108</v>
      </c>
      <c r="G14" s="226"/>
      <c r="H14" s="226"/>
      <c r="I14" s="226"/>
      <c r="J14" s="226"/>
      <c r="K14" s="226"/>
      <c r="L14" s="226"/>
      <c r="M14" s="226"/>
      <c r="N14" s="226"/>
    </row>
    <row r="15" spans="1:258" s="62" customFormat="1" ht="39.75" customHeight="1" x14ac:dyDescent="0.25">
      <c r="A15" s="113">
        <v>8</v>
      </c>
      <c r="B15" s="226" t="s">
        <v>186</v>
      </c>
      <c r="C15" s="113" t="s">
        <v>109</v>
      </c>
      <c r="D15" s="226">
        <f t="shared" si="0"/>
        <v>2</v>
      </c>
      <c r="E15" s="226"/>
      <c r="F15" s="226">
        <v>2</v>
      </c>
      <c r="G15" s="226"/>
      <c r="H15" s="227"/>
      <c r="I15" s="226"/>
      <c r="J15" s="226"/>
      <c r="K15" s="226"/>
      <c r="L15" s="226"/>
      <c r="M15" s="226"/>
      <c r="N15" s="226"/>
    </row>
    <row r="16" spans="1:258" s="62" customFormat="1" ht="72.75" customHeight="1" x14ac:dyDescent="0.25">
      <c r="A16" s="113">
        <v>9</v>
      </c>
      <c r="B16" s="226" t="s">
        <v>185</v>
      </c>
      <c r="C16" s="113" t="s">
        <v>112</v>
      </c>
      <c r="D16" s="226">
        <f t="shared" si="0"/>
        <v>12</v>
      </c>
      <c r="E16" s="226"/>
      <c r="F16" s="226">
        <v>12</v>
      </c>
      <c r="G16" s="226"/>
      <c r="H16" s="227"/>
      <c r="I16" s="226"/>
      <c r="J16" s="226"/>
      <c r="K16" s="226"/>
      <c r="L16" s="226"/>
      <c r="M16" s="226"/>
      <c r="N16" s="226"/>
    </row>
    <row r="17" spans="1:14" s="62" customFormat="1" ht="39.75" customHeight="1" x14ac:dyDescent="0.25">
      <c r="A17" s="113">
        <v>10</v>
      </c>
      <c r="B17" s="226" t="s">
        <v>113</v>
      </c>
      <c r="C17" s="113" t="s">
        <v>85</v>
      </c>
      <c r="D17" s="226">
        <f t="shared" si="0"/>
        <v>2</v>
      </c>
      <c r="E17" s="226"/>
      <c r="F17" s="226">
        <v>2</v>
      </c>
      <c r="G17" s="226"/>
      <c r="H17" s="226"/>
      <c r="I17" s="226"/>
      <c r="J17" s="226"/>
      <c r="K17" s="226"/>
      <c r="L17" s="226"/>
      <c r="M17" s="226"/>
      <c r="N17" s="226"/>
    </row>
    <row r="18" spans="1:14" s="62" customFormat="1" ht="39.75" customHeight="1" x14ac:dyDescent="0.25">
      <c r="A18" s="113">
        <v>11</v>
      </c>
      <c r="B18" s="226" t="s">
        <v>114</v>
      </c>
      <c r="C18" s="113" t="s">
        <v>115</v>
      </c>
      <c r="D18" s="226">
        <f t="shared" si="0"/>
        <v>4</v>
      </c>
      <c r="E18" s="226"/>
      <c r="F18" s="226">
        <v>4</v>
      </c>
      <c r="G18" s="226"/>
      <c r="H18" s="226"/>
      <c r="I18" s="226"/>
      <c r="J18" s="226"/>
      <c r="K18" s="226"/>
      <c r="L18" s="226"/>
      <c r="M18" s="226"/>
      <c r="N18" s="226"/>
    </row>
    <row r="19" spans="1:14" s="62" customFormat="1" ht="24" customHeight="1" x14ac:dyDescent="0.25">
      <c r="A19" s="110" t="s">
        <v>5</v>
      </c>
      <c r="B19" s="225" t="s">
        <v>79</v>
      </c>
      <c r="C19" s="110"/>
      <c r="D19" s="228">
        <f>D20+D24</f>
        <v>538.4</v>
      </c>
      <c r="E19" s="228"/>
      <c r="F19" s="228">
        <f t="shared" ref="F19:N19" si="1">F20+F24</f>
        <v>340.4</v>
      </c>
      <c r="G19" s="228">
        <f t="shared" si="1"/>
        <v>24.3</v>
      </c>
      <c r="H19" s="228">
        <f t="shared" si="1"/>
        <v>26.1</v>
      </c>
      <c r="I19" s="228">
        <f t="shared" si="1"/>
        <v>30</v>
      </c>
      <c r="J19" s="228">
        <f t="shared" si="1"/>
        <v>24.599999999999998</v>
      </c>
      <c r="K19" s="228">
        <f t="shared" si="1"/>
        <v>30.9</v>
      </c>
      <c r="L19" s="228">
        <f t="shared" si="1"/>
        <v>28.2</v>
      </c>
      <c r="M19" s="228">
        <f t="shared" si="1"/>
        <v>30.6</v>
      </c>
      <c r="N19" s="228">
        <f t="shared" si="1"/>
        <v>3.3</v>
      </c>
    </row>
    <row r="20" spans="1:14" s="62" customFormat="1" ht="24" customHeight="1" x14ac:dyDescent="0.25">
      <c r="A20" s="110" t="s">
        <v>46</v>
      </c>
      <c r="B20" s="225" t="s">
        <v>97</v>
      </c>
      <c r="C20" s="110"/>
      <c r="D20" s="225">
        <f>SUM(D21:D23)</f>
        <v>198</v>
      </c>
      <c r="E20" s="225"/>
      <c r="F20" s="225"/>
      <c r="G20" s="225">
        <f t="shared" ref="G20:N20" si="2">SUM(G21:G23)</f>
        <v>24.3</v>
      </c>
      <c r="H20" s="225">
        <f t="shared" si="2"/>
        <v>26.1</v>
      </c>
      <c r="I20" s="225">
        <f t="shared" si="2"/>
        <v>30</v>
      </c>
      <c r="J20" s="225">
        <f t="shared" si="2"/>
        <v>24.599999999999998</v>
      </c>
      <c r="K20" s="225">
        <f t="shared" si="2"/>
        <v>30.9</v>
      </c>
      <c r="L20" s="225">
        <f t="shared" si="2"/>
        <v>28.2</v>
      </c>
      <c r="M20" s="225">
        <f t="shared" si="2"/>
        <v>30.6</v>
      </c>
      <c r="N20" s="225">
        <f t="shared" si="2"/>
        <v>3.3</v>
      </c>
    </row>
    <row r="21" spans="1:14" ht="58.5" customHeight="1" x14ac:dyDescent="0.25">
      <c r="A21" s="113">
        <v>1</v>
      </c>
      <c r="B21" s="226" t="s">
        <v>98</v>
      </c>
      <c r="C21" s="113">
        <v>0.6</v>
      </c>
      <c r="D21" s="226">
        <f>SUM(F21:N21)</f>
        <v>5.9999999999999991</v>
      </c>
      <c r="E21" s="226"/>
      <c r="F21" s="226"/>
      <c r="G21" s="226">
        <f>$C21*G7</f>
        <v>0.6</v>
      </c>
      <c r="H21" s="226">
        <f t="shared" ref="H21:N21" si="3">$C21*H7</f>
        <v>0.6</v>
      </c>
      <c r="I21" s="226">
        <f t="shared" si="3"/>
        <v>0</v>
      </c>
      <c r="J21" s="226">
        <f t="shared" si="3"/>
        <v>1.2</v>
      </c>
      <c r="K21" s="226">
        <f t="shared" si="3"/>
        <v>2.4</v>
      </c>
      <c r="L21" s="226">
        <f t="shared" si="3"/>
        <v>0.6</v>
      </c>
      <c r="M21" s="226">
        <f t="shared" si="3"/>
        <v>0.6</v>
      </c>
      <c r="N21" s="226">
        <f t="shared" si="3"/>
        <v>0</v>
      </c>
    </row>
    <row r="22" spans="1:14" ht="24" customHeight="1" x14ac:dyDescent="0.25">
      <c r="A22" s="113">
        <v>2</v>
      </c>
      <c r="B22" s="226" t="s">
        <v>100</v>
      </c>
      <c r="C22" s="113">
        <v>3</v>
      </c>
      <c r="D22" s="226">
        <f t="shared" ref="D22:D23" si="4">SUM(F22:N22)</f>
        <v>24</v>
      </c>
      <c r="E22" s="226"/>
      <c r="F22" s="226"/>
      <c r="G22" s="226">
        <f t="shared" ref="G22:N23" si="5">$C22*G8</f>
        <v>3</v>
      </c>
      <c r="H22" s="226">
        <f t="shared" si="5"/>
        <v>3</v>
      </c>
      <c r="I22" s="226">
        <f t="shared" si="5"/>
        <v>3</v>
      </c>
      <c r="J22" s="226">
        <f t="shared" si="5"/>
        <v>3</v>
      </c>
      <c r="K22" s="226">
        <f t="shared" si="5"/>
        <v>3</v>
      </c>
      <c r="L22" s="226">
        <f t="shared" si="5"/>
        <v>3</v>
      </c>
      <c r="M22" s="226">
        <f t="shared" si="5"/>
        <v>3</v>
      </c>
      <c r="N22" s="226">
        <f t="shared" si="5"/>
        <v>3</v>
      </c>
    </row>
    <row r="23" spans="1:14" ht="39.75" customHeight="1" x14ac:dyDescent="0.25">
      <c r="A23" s="113">
        <v>3</v>
      </c>
      <c r="B23" s="226" t="s">
        <v>102</v>
      </c>
      <c r="C23" s="113">
        <v>0.3</v>
      </c>
      <c r="D23" s="226">
        <f t="shared" si="4"/>
        <v>168</v>
      </c>
      <c r="E23" s="226"/>
      <c r="F23" s="226"/>
      <c r="G23" s="226">
        <f t="shared" si="5"/>
        <v>20.7</v>
      </c>
      <c r="H23" s="226">
        <f t="shared" si="5"/>
        <v>22.5</v>
      </c>
      <c r="I23" s="226">
        <f t="shared" si="5"/>
        <v>27</v>
      </c>
      <c r="J23" s="226">
        <f t="shared" si="5"/>
        <v>20.399999999999999</v>
      </c>
      <c r="K23" s="226">
        <f t="shared" si="5"/>
        <v>25.5</v>
      </c>
      <c r="L23" s="226">
        <f t="shared" si="5"/>
        <v>24.599999999999998</v>
      </c>
      <c r="M23" s="226">
        <f t="shared" si="5"/>
        <v>27</v>
      </c>
      <c r="N23" s="226">
        <f t="shared" si="5"/>
        <v>0.3</v>
      </c>
    </row>
    <row r="24" spans="1:14" s="62" customFormat="1" ht="24" customHeight="1" x14ac:dyDescent="0.25">
      <c r="A24" s="110" t="s">
        <v>31</v>
      </c>
      <c r="B24" s="225" t="s">
        <v>104</v>
      </c>
      <c r="C24" s="110"/>
      <c r="D24" s="228">
        <f>SUM(D25:D32)</f>
        <v>340.4</v>
      </c>
      <c r="E24" s="228"/>
      <c r="F24" s="228">
        <f>SUM(F25:F32)</f>
        <v>340.4</v>
      </c>
      <c r="G24" s="225"/>
      <c r="H24" s="225"/>
      <c r="I24" s="225"/>
      <c r="J24" s="225"/>
      <c r="K24" s="225"/>
      <c r="L24" s="225"/>
      <c r="M24" s="225"/>
      <c r="N24" s="225"/>
    </row>
    <row r="25" spans="1:14" ht="39.75" customHeight="1" x14ac:dyDescent="0.25">
      <c r="A25" s="113">
        <v>4</v>
      </c>
      <c r="B25" s="226" t="s">
        <v>105</v>
      </c>
      <c r="C25" s="113">
        <v>2</v>
      </c>
      <c r="D25" s="229">
        <f>F25</f>
        <v>102</v>
      </c>
      <c r="E25" s="226"/>
      <c r="F25" s="226">
        <f>$C25*F11</f>
        <v>102</v>
      </c>
      <c r="G25" s="226"/>
      <c r="H25" s="226"/>
      <c r="I25" s="226"/>
      <c r="J25" s="226"/>
      <c r="K25" s="226"/>
      <c r="L25" s="226"/>
      <c r="M25" s="226"/>
      <c r="N25" s="226"/>
    </row>
    <row r="26" spans="1:14" ht="24" customHeight="1" x14ac:dyDescent="0.25">
      <c r="A26" s="113">
        <v>5</v>
      </c>
      <c r="B26" s="226" t="s">
        <v>106</v>
      </c>
      <c r="C26" s="113">
        <v>0.5</v>
      </c>
      <c r="D26" s="229">
        <f t="shared" ref="D26:D32" si="6">F26</f>
        <v>54</v>
      </c>
      <c r="E26" s="226"/>
      <c r="F26" s="226">
        <f t="shared" ref="F26:F32" si="7">$C26*F12</f>
        <v>54</v>
      </c>
      <c r="G26" s="226"/>
      <c r="H26" s="226"/>
      <c r="I26" s="226"/>
      <c r="J26" s="226"/>
      <c r="K26" s="226"/>
      <c r="L26" s="226"/>
      <c r="M26" s="226"/>
      <c r="N26" s="226"/>
    </row>
    <row r="27" spans="1:14" ht="39.75" customHeight="1" x14ac:dyDescent="0.25">
      <c r="A27" s="113">
        <v>6</v>
      </c>
      <c r="B27" s="226" t="s">
        <v>108</v>
      </c>
      <c r="C27" s="113">
        <v>10</v>
      </c>
      <c r="D27" s="229">
        <f t="shared" si="6"/>
        <v>30</v>
      </c>
      <c r="E27" s="226"/>
      <c r="F27" s="226">
        <f t="shared" si="7"/>
        <v>30</v>
      </c>
      <c r="G27" s="226"/>
      <c r="H27" s="226"/>
      <c r="I27" s="226"/>
      <c r="J27" s="226"/>
      <c r="K27" s="226"/>
      <c r="L27" s="226"/>
      <c r="M27" s="226"/>
      <c r="N27" s="226"/>
    </row>
    <row r="28" spans="1:14" ht="39.75" customHeight="1" x14ac:dyDescent="0.25">
      <c r="A28" s="113">
        <v>7</v>
      </c>
      <c r="B28" s="226" t="s">
        <v>110</v>
      </c>
      <c r="C28" s="113">
        <v>0.3</v>
      </c>
      <c r="D28" s="229">
        <f t="shared" si="6"/>
        <v>32.4</v>
      </c>
      <c r="E28" s="226"/>
      <c r="F28" s="226">
        <f t="shared" si="7"/>
        <v>32.4</v>
      </c>
      <c r="G28" s="226"/>
      <c r="H28" s="226"/>
      <c r="I28" s="226"/>
      <c r="J28" s="226"/>
      <c r="K28" s="226"/>
      <c r="L28" s="226"/>
      <c r="M28" s="226"/>
      <c r="N28" s="226"/>
    </row>
    <row r="29" spans="1:14" ht="39.75" customHeight="1" x14ac:dyDescent="0.25">
      <c r="A29" s="113">
        <v>8</v>
      </c>
      <c r="B29" s="226" t="s">
        <v>186</v>
      </c>
      <c r="C29" s="113">
        <v>10</v>
      </c>
      <c r="D29" s="229">
        <f t="shared" si="6"/>
        <v>20</v>
      </c>
      <c r="E29" s="226"/>
      <c r="F29" s="226">
        <f t="shared" si="7"/>
        <v>20</v>
      </c>
      <c r="G29" s="226"/>
      <c r="H29" s="226"/>
      <c r="I29" s="226"/>
      <c r="J29" s="226"/>
      <c r="K29" s="226"/>
      <c r="L29" s="226"/>
      <c r="M29" s="226"/>
      <c r="N29" s="226"/>
    </row>
    <row r="30" spans="1:14" ht="72.75" customHeight="1" x14ac:dyDescent="0.25">
      <c r="A30" s="113">
        <v>9</v>
      </c>
      <c r="B30" s="226" t="s">
        <v>111</v>
      </c>
      <c r="C30" s="113">
        <v>3.5</v>
      </c>
      <c r="D30" s="229">
        <f t="shared" si="6"/>
        <v>42</v>
      </c>
      <c r="E30" s="226"/>
      <c r="F30" s="226">
        <f t="shared" si="7"/>
        <v>42</v>
      </c>
      <c r="G30" s="226"/>
      <c r="H30" s="226"/>
      <c r="I30" s="226"/>
      <c r="J30" s="226"/>
      <c r="K30" s="226"/>
      <c r="L30" s="226"/>
      <c r="M30" s="226"/>
      <c r="N30" s="226"/>
    </row>
    <row r="31" spans="1:14" ht="39.75" customHeight="1" x14ac:dyDescent="0.25">
      <c r="A31" s="113">
        <v>10</v>
      </c>
      <c r="B31" s="226" t="s">
        <v>113</v>
      </c>
      <c r="C31" s="113">
        <v>20</v>
      </c>
      <c r="D31" s="229">
        <f t="shared" si="6"/>
        <v>40</v>
      </c>
      <c r="E31" s="226"/>
      <c r="F31" s="226">
        <f t="shared" si="7"/>
        <v>40</v>
      </c>
      <c r="G31" s="226"/>
      <c r="H31" s="226"/>
      <c r="I31" s="226"/>
      <c r="J31" s="226"/>
      <c r="K31" s="226"/>
      <c r="L31" s="226"/>
      <c r="M31" s="226"/>
      <c r="N31" s="226"/>
    </row>
    <row r="32" spans="1:14" ht="39.75" customHeight="1" x14ac:dyDescent="0.25">
      <c r="A32" s="113">
        <v>11</v>
      </c>
      <c r="B32" s="226" t="s">
        <v>114</v>
      </c>
      <c r="C32" s="113">
        <v>5</v>
      </c>
      <c r="D32" s="229">
        <f t="shared" si="6"/>
        <v>20</v>
      </c>
      <c r="E32" s="226"/>
      <c r="F32" s="226">
        <f t="shared" si="7"/>
        <v>20</v>
      </c>
      <c r="G32" s="226"/>
      <c r="H32" s="226"/>
      <c r="I32" s="226"/>
      <c r="J32" s="226"/>
      <c r="K32" s="226"/>
      <c r="L32" s="226"/>
      <c r="M32" s="226"/>
      <c r="N32" s="226"/>
    </row>
    <row r="33" spans="1:14" s="62" customFormat="1" ht="24" customHeight="1" x14ac:dyDescent="0.25">
      <c r="A33" s="230" t="s">
        <v>54</v>
      </c>
      <c r="B33" s="225" t="s">
        <v>183</v>
      </c>
      <c r="C33" s="110"/>
      <c r="D33" s="232">
        <v>9667</v>
      </c>
      <c r="E33" s="232">
        <f>E34</f>
        <v>1933.4</v>
      </c>
      <c r="F33" s="232">
        <f t="shared" ref="F33:N33" si="8">F34</f>
        <v>4890</v>
      </c>
      <c r="G33" s="232">
        <f t="shared" si="8"/>
        <v>349</v>
      </c>
      <c r="H33" s="232">
        <f t="shared" si="8"/>
        <v>375</v>
      </c>
      <c r="I33" s="232">
        <f t="shared" si="8"/>
        <v>431</v>
      </c>
      <c r="J33" s="232">
        <f t="shared" si="8"/>
        <v>353</v>
      </c>
      <c r="K33" s="232">
        <f t="shared" si="8"/>
        <v>444</v>
      </c>
      <c r="L33" s="232">
        <f t="shared" si="8"/>
        <v>405</v>
      </c>
      <c r="M33" s="232">
        <f t="shared" si="8"/>
        <v>440</v>
      </c>
      <c r="N33" s="232">
        <f t="shared" si="8"/>
        <v>47</v>
      </c>
    </row>
    <row r="34" spans="1:14" ht="24" customHeight="1" x14ac:dyDescent="0.25">
      <c r="A34" s="231">
        <v>1</v>
      </c>
      <c r="B34" s="226" t="s">
        <v>184</v>
      </c>
      <c r="C34" s="113" t="s">
        <v>55</v>
      </c>
      <c r="D34" s="233">
        <f>SUM(E34:N34)</f>
        <v>9667.4</v>
      </c>
      <c r="E34" s="233">
        <f>D33*20%</f>
        <v>1933.4</v>
      </c>
      <c r="F34" s="233">
        <f>ROUND(($D$33-$E$34)/$D$19*F19,0)</f>
        <v>4890</v>
      </c>
      <c r="G34" s="233">
        <f t="shared" ref="G34:M34" si="9">ROUND(($D$33-$E$34)/$D$19*G19,0)</f>
        <v>349</v>
      </c>
      <c r="H34" s="233">
        <f t="shared" si="9"/>
        <v>375</v>
      </c>
      <c r="I34" s="233">
        <f t="shared" si="9"/>
        <v>431</v>
      </c>
      <c r="J34" s="233">
        <f t="shared" si="9"/>
        <v>353</v>
      </c>
      <c r="K34" s="233">
        <f t="shared" si="9"/>
        <v>444</v>
      </c>
      <c r="L34" s="233">
        <f t="shared" si="9"/>
        <v>405</v>
      </c>
      <c r="M34" s="233">
        <f t="shared" si="9"/>
        <v>440</v>
      </c>
      <c r="N34" s="233">
        <f>ROUND(($D$33-$E$34)/$D$19*N19,0)</f>
        <v>47</v>
      </c>
    </row>
    <row r="35" spans="1:14" s="62" customFormat="1" ht="36.75" customHeight="1" x14ac:dyDescent="0.25">
      <c r="A35" s="230" t="s">
        <v>56</v>
      </c>
      <c r="B35" s="225" t="s">
        <v>264</v>
      </c>
      <c r="C35" s="110"/>
      <c r="D35" s="232">
        <f>D36</f>
        <v>484</v>
      </c>
      <c r="E35" s="232">
        <f t="shared" ref="E35:N35" si="10">E36</f>
        <v>97</v>
      </c>
      <c r="F35" s="232">
        <f t="shared" si="10"/>
        <v>245</v>
      </c>
      <c r="G35" s="232">
        <f t="shared" si="10"/>
        <v>17</v>
      </c>
      <c r="H35" s="232">
        <f t="shared" si="10"/>
        <v>19</v>
      </c>
      <c r="I35" s="232">
        <f t="shared" si="10"/>
        <v>22</v>
      </c>
      <c r="J35" s="232">
        <f t="shared" si="10"/>
        <v>18</v>
      </c>
      <c r="K35" s="232">
        <f t="shared" si="10"/>
        <v>22</v>
      </c>
      <c r="L35" s="232">
        <f t="shared" si="10"/>
        <v>20</v>
      </c>
      <c r="M35" s="232">
        <f t="shared" si="10"/>
        <v>22</v>
      </c>
      <c r="N35" s="232">
        <f t="shared" si="10"/>
        <v>2</v>
      </c>
    </row>
    <row r="36" spans="1:14" ht="24" customHeight="1" x14ac:dyDescent="0.25">
      <c r="A36" s="231">
        <v>1</v>
      </c>
      <c r="B36" s="226" t="s">
        <v>184</v>
      </c>
      <c r="C36" s="113" t="s">
        <v>55</v>
      </c>
      <c r="D36" s="233">
        <f>SUM(E36:N36)</f>
        <v>484</v>
      </c>
      <c r="E36" s="233">
        <f>ROUND(E34*5%,0)</f>
        <v>97</v>
      </c>
      <c r="F36" s="233">
        <f t="shared" ref="F36:M36" si="11">ROUND(F34*5%,0)</f>
        <v>245</v>
      </c>
      <c r="G36" s="233">
        <f t="shared" si="11"/>
        <v>17</v>
      </c>
      <c r="H36" s="233">
        <f t="shared" si="11"/>
        <v>19</v>
      </c>
      <c r="I36" s="233">
        <f t="shared" si="11"/>
        <v>22</v>
      </c>
      <c r="J36" s="233">
        <f t="shared" si="11"/>
        <v>18</v>
      </c>
      <c r="K36" s="233">
        <f t="shared" si="11"/>
        <v>22</v>
      </c>
      <c r="L36" s="233">
        <f t="shared" si="11"/>
        <v>20</v>
      </c>
      <c r="M36" s="233">
        <f t="shared" si="11"/>
        <v>22</v>
      </c>
      <c r="N36" s="233">
        <f>ROUND(N34*5%,0)</f>
        <v>2</v>
      </c>
    </row>
    <row r="37" spans="1:14" s="62" customFormat="1" ht="24" customHeight="1" x14ac:dyDescent="0.25">
      <c r="A37" s="230" t="s">
        <v>57</v>
      </c>
      <c r="B37" s="225" t="s">
        <v>150</v>
      </c>
      <c r="C37" s="110"/>
      <c r="D37" s="232">
        <f>D38</f>
        <v>10151.4</v>
      </c>
      <c r="E37" s="232">
        <f t="shared" ref="E37:N37" si="12">E38</f>
        <v>2030.4</v>
      </c>
      <c r="F37" s="232">
        <f t="shared" si="12"/>
        <v>5135</v>
      </c>
      <c r="G37" s="232">
        <f t="shared" si="12"/>
        <v>366</v>
      </c>
      <c r="H37" s="232">
        <f t="shared" si="12"/>
        <v>394</v>
      </c>
      <c r="I37" s="232">
        <f t="shared" si="12"/>
        <v>453</v>
      </c>
      <c r="J37" s="232">
        <f t="shared" si="12"/>
        <v>371</v>
      </c>
      <c r="K37" s="232">
        <f t="shared" si="12"/>
        <v>466</v>
      </c>
      <c r="L37" s="232">
        <f t="shared" si="12"/>
        <v>425</v>
      </c>
      <c r="M37" s="232">
        <f t="shared" si="12"/>
        <v>462</v>
      </c>
      <c r="N37" s="232">
        <f t="shared" si="12"/>
        <v>49</v>
      </c>
    </row>
    <row r="38" spans="1:14" ht="24" customHeight="1" x14ac:dyDescent="0.25">
      <c r="A38" s="234">
        <v>1</v>
      </c>
      <c r="B38" s="235" t="s">
        <v>184</v>
      </c>
      <c r="C38" s="236" t="s">
        <v>55</v>
      </c>
      <c r="D38" s="240">
        <f>SUM(E38:N38)</f>
        <v>10151.4</v>
      </c>
      <c r="E38" s="240">
        <f>E34+E36</f>
        <v>2030.4</v>
      </c>
      <c r="F38" s="240">
        <f t="shared" ref="F38:N38" si="13">F34+F36</f>
        <v>5135</v>
      </c>
      <c r="G38" s="240">
        <f t="shared" si="13"/>
        <v>366</v>
      </c>
      <c r="H38" s="240">
        <f t="shared" si="13"/>
        <v>394</v>
      </c>
      <c r="I38" s="240">
        <f t="shared" si="13"/>
        <v>453</v>
      </c>
      <c r="J38" s="240">
        <f t="shared" si="13"/>
        <v>371</v>
      </c>
      <c r="K38" s="240">
        <f t="shared" si="13"/>
        <v>466</v>
      </c>
      <c r="L38" s="240">
        <f t="shared" si="13"/>
        <v>425</v>
      </c>
      <c r="M38" s="240">
        <f t="shared" si="13"/>
        <v>462</v>
      </c>
      <c r="N38" s="240">
        <f t="shared" si="13"/>
        <v>49</v>
      </c>
    </row>
    <row r="39" spans="1:14" x14ac:dyDescent="0.25">
      <c r="D39" s="83"/>
    </row>
  </sheetData>
  <mergeCells count="24">
    <mergeCell ref="II3:IT3"/>
    <mergeCell ref="IU3:IX3"/>
    <mergeCell ref="FO3:FZ3"/>
    <mergeCell ref="GA3:GL3"/>
    <mergeCell ref="GM3:GX3"/>
    <mergeCell ref="GY3:HJ3"/>
    <mergeCell ref="HK3:HV3"/>
    <mergeCell ref="HW3:IH3"/>
    <mergeCell ref="FC3:FN3"/>
    <mergeCell ref="DS3:ED3"/>
    <mergeCell ref="EE3:EP3"/>
    <mergeCell ref="AY3:BJ3"/>
    <mergeCell ref="BK3:BV3"/>
    <mergeCell ref="BW3:CH3"/>
    <mergeCell ref="CI3:CT3"/>
    <mergeCell ref="CU3:DF3"/>
    <mergeCell ref="DG3:DR3"/>
    <mergeCell ref="EQ3:FB3"/>
    <mergeCell ref="AM3:AX3"/>
    <mergeCell ref="A2:N2"/>
    <mergeCell ref="A3:N3"/>
    <mergeCell ref="M1:N1"/>
    <mergeCell ref="O3:Z3"/>
    <mergeCell ref="AA3:AL3"/>
  </mergeCells>
  <pageMargins left="0.7" right="0.7" top="0.6" bottom="0.46" header="0.3" footer="0.3"/>
  <pageSetup paperSize="9" scale="72" fitToHeight="0"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1:IK8"/>
  <sheetViews>
    <sheetView zoomScale="85" zoomScaleNormal="85" workbookViewId="0">
      <selection activeCell="J15" sqref="J15"/>
    </sheetView>
  </sheetViews>
  <sheetFormatPr defaultColWidth="7.75" defaultRowHeight="15.75" x14ac:dyDescent="0.25"/>
  <cols>
    <col min="1" max="1" width="6.75" style="58" customWidth="1"/>
    <col min="2" max="2" width="40.5" style="58" customWidth="1"/>
    <col min="3" max="3" width="11.5" style="58" customWidth="1"/>
    <col min="4" max="7" width="12.625" style="58" customWidth="1"/>
    <col min="8" max="8" width="11" style="58" customWidth="1"/>
    <col min="9" max="9" width="11" style="64" customWidth="1"/>
    <col min="10" max="11" width="11" style="65" customWidth="1"/>
    <col min="12" max="12" width="11" style="58" customWidth="1"/>
    <col min="13" max="13" width="11.125" style="58" bestFit="1" customWidth="1"/>
    <col min="14" max="16384" width="7.75" style="58"/>
  </cols>
  <sheetData>
    <row r="1" spans="1:245" s="27" customFormat="1" ht="29.25" customHeight="1" x14ac:dyDescent="0.25">
      <c r="A1" s="23"/>
      <c r="B1" s="23"/>
      <c r="C1" s="26"/>
      <c r="D1" s="26"/>
      <c r="E1" s="26"/>
      <c r="F1" s="1176" t="s">
        <v>189</v>
      </c>
      <c r="G1" s="1176"/>
      <c r="H1" s="23"/>
      <c r="J1" s="23"/>
      <c r="K1" s="23"/>
      <c r="L1" s="23"/>
      <c r="M1" s="23"/>
    </row>
    <row r="2" spans="1:245" s="14" customFormat="1" ht="44.25" customHeight="1" x14ac:dyDescent="0.25">
      <c r="A2" s="1178" t="s">
        <v>190</v>
      </c>
      <c r="B2" s="1178"/>
      <c r="C2" s="1178"/>
      <c r="D2" s="1178"/>
      <c r="E2" s="1178"/>
      <c r="F2" s="1178"/>
      <c r="G2" s="1178"/>
      <c r="H2" s="241"/>
      <c r="I2" s="241"/>
      <c r="J2" s="241"/>
      <c r="K2" s="241"/>
      <c r="L2" s="241"/>
    </row>
    <row r="3" spans="1:245" s="14" customFormat="1" ht="40.5" customHeight="1" x14ac:dyDescent="0.25">
      <c r="A3" s="1179" t="str">
        <f>'B10-DA6'!A3:N3</f>
        <v>(Kèm theo Tờ trình số:          /TTr-UBND ngày          tháng 11 năm 2022 của UBND tỉnh)</v>
      </c>
      <c r="B3" s="1179"/>
      <c r="C3" s="1179"/>
      <c r="D3" s="1179"/>
      <c r="E3" s="1179"/>
      <c r="F3" s="1179"/>
      <c r="G3" s="1179"/>
      <c r="H3" s="242"/>
      <c r="I3" s="242"/>
      <c r="J3" s="242"/>
      <c r="K3" s="242"/>
      <c r="L3" s="242"/>
    </row>
    <row r="4" spans="1:245" s="27" customFormat="1" ht="27.75" customHeight="1" x14ac:dyDescent="0.25">
      <c r="A4" s="1163" t="s">
        <v>1</v>
      </c>
      <c r="B4" s="1163" t="s">
        <v>35</v>
      </c>
      <c r="C4" s="1167" t="s">
        <v>37</v>
      </c>
      <c r="D4" s="1163" t="s">
        <v>160</v>
      </c>
      <c r="E4" s="1163"/>
      <c r="F4" s="1163" t="s">
        <v>161</v>
      </c>
      <c r="G4" s="1163"/>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row>
    <row r="5" spans="1:245" s="27" customFormat="1" ht="46.5" customHeight="1" x14ac:dyDescent="0.25">
      <c r="A5" s="1163"/>
      <c r="B5" s="1163"/>
      <c r="C5" s="1168"/>
      <c r="D5" s="152" t="s">
        <v>162</v>
      </c>
      <c r="E5" s="152" t="s">
        <v>163</v>
      </c>
      <c r="F5" s="152" t="s">
        <v>162</v>
      </c>
      <c r="G5" s="152" t="s">
        <v>163</v>
      </c>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row>
    <row r="6" spans="1:245" s="29" customFormat="1" ht="46.5" customHeight="1" x14ac:dyDescent="0.25">
      <c r="A6" s="153">
        <v>1</v>
      </c>
      <c r="B6" s="155" t="s">
        <v>191</v>
      </c>
      <c r="C6" s="154">
        <f>ROUND(E6+G6,0)</f>
        <v>10063</v>
      </c>
      <c r="D6" s="368">
        <v>1</v>
      </c>
      <c r="E6" s="154">
        <v>9584</v>
      </c>
      <c r="F6" s="368">
        <v>0.05</v>
      </c>
      <c r="G6" s="154">
        <f>E6*F6</f>
        <v>479.20000000000005</v>
      </c>
    </row>
    <row r="7" spans="1:245" s="29" customFormat="1" ht="46.5" customHeight="1" x14ac:dyDescent="0.25">
      <c r="A7" s="1158" t="s">
        <v>67</v>
      </c>
      <c r="B7" s="1158"/>
      <c r="C7" s="158">
        <f>C6</f>
        <v>10063</v>
      </c>
      <c r="D7" s="158"/>
      <c r="E7" s="158">
        <f t="shared" ref="E7:G7" si="0">E6</f>
        <v>9584</v>
      </c>
      <c r="F7" s="158"/>
      <c r="G7" s="158">
        <f t="shared" si="0"/>
        <v>479.20000000000005</v>
      </c>
    </row>
    <row r="8" spans="1:245" s="65" customFormat="1" x14ac:dyDescent="0.25">
      <c r="I8" s="64"/>
    </row>
  </sheetData>
  <mergeCells count="9">
    <mergeCell ref="A7:B7"/>
    <mergeCell ref="A2:G2"/>
    <mergeCell ref="A3:G3"/>
    <mergeCell ref="F1:G1"/>
    <mergeCell ref="A4:A5"/>
    <mergeCell ref="B4:B5"/>
    <mergeCell ref="C4:C5"/>
    <mergeCell ref="D4:E4"/>
    <mergeCell ref="F4:G4"/>
  </mergeCells>
  <pageMargins left="0.7" right="0.7" top="0.75" bottom="0.75" header="0.3" footer="0.3"/>
  <pageSetup paperSize="9" scale="73" fitToHeight="0"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IU16"/>
  <sheetViews>
    <sheetView topLeftCell="A4" zoomScaleNormal="100" workbookViewId="0">
      <pane xSplit="2" ySplit="1" topLeftCell="C5" activePane="bottomRight" state="frozen"/>
      <selection activeCell="A4" sqref="A4"/>
      <selection pane="topRight" activeCell="C4" sqref="C4"/>
      <selection pane="bottomLeft" activeCell="A5" sqref="A5"/>
      <selection pane="bottomRight" activeCell="P6" sqref="P6"/>
    </sheetView>
  </sheetViews>
  <sheetFormatPr defaultColWidth="9" defaultRowHeight="15.75" x14ac:dyDescent="0.25"/>
  <cols>
    <col min="1" max="1" width="5.75" style="68" customWidth="1"/>
    <col min="2" max="2" width="39.125" style="74" customWidth="1"/>
    <col min="3" max="3" width="10.75" style="68" customWidth="1"/>
    <col min="4" max="5" width="10.75" style="74" customWidth="1"/>
    <col min="6" max="9" width="10.75" style="243" customWidth="1"/>
    <col min="10" max="10" width="10.75" style="244" customWidth="1"/>
    <col min="11" max="13" width="10.75" style="74" customWidth="1"/>
    <col min="14" max="16384" width="9" style="74"/>
  </cols>
  <sheetData>
    <row r="1" spans="1:255" s="27" customFormat="1" ht="21.75" customHeight="1" x14ac:dyDescent="0.25">
      <c r="A1" s="23"/>
      <c r="B1" s="23"/>
      <c r="C1" s="101"/>
      <c r="D1" s="101"/>
      <c r="E1" s="101"/>
      <c r="F1" s="101"/>
      <c r="I1" s="23"/>
      <c r="K1" s="1176" t="s">
        <v>192</v>
      </c>
      <c r="L1" s="1176"/>
      <c r="M1" s="1176"/>
    </row>
    <row r="2" spans="1:255" ht="21.75" customHeight="1" x14ac:dyDescent="0.25">
      <c r="A2" s="1181" t="s">
        <v>193</v>
      </c>
      <c r="B2" s="1181"/>
      <c r="C2" s="1181"/>
      <c r="D2" s="1181"/>
      <c r="E2" s="1181"/>
      <c r="F2" s="1181"/>
      <c r="G2" s="1181"/>
      <c r="H2" s="1181"/>
      <c r="I2" s="1181"/>
      <c r="J2" s="1181"/>
      <c r="K2" s="1181"/>
      <c r="L2" s="1181"/>
      <c r="M2" s="1181"/>
    </row>
    <row r="3" spans="1:255" s="18" customFormat="1" ht="21.75" customHeight="1" x14ac:dyDescent="0.25">
      <c r="A3" s="1182" t="str">
        <f>'B11-DA7'!A3:L3</f>
        <v>(Kèm theo Tờ trình số:          /TTr-UBND ngày          tháng 11 năm 2022 của UBND tỉnh)</v>
      </c>
      <c r="B3" s="1183"/>
      <c r="C3" s="1183"/>
      <c r="D3" s="1183"/>
      <c r="E3" s="1183"/>
      <c r="F3" s="1183"/>
      <c r="G3" s="1183"/>
      <c r="H3" s="1183"/>
      <c r="I3" s="1183"/>
      <c r="J3" s="1183"/>
      <c r="K3" s="1183"/>
      <c r="L3" s="1183"/>
      <c r="M3" s="1183"/>
      <c r="N3" s="69"/>
      <c r="O3" s="69"/>
      <c r="P3" s="69"/>
      <c r="Q3" s="69"/>
      <c r="R3" s="69"/>
      <c r="S3" s="69"/>
      <c r="T3" s="69"/>
      <c r="U3" s="69"/>
      <c r="V3" s="69"/>
      <c r="W3" s="69"/>
      <c r="X3" s="69"/>
      <c r="Y3" s="69"/>
      <c r="Z3" s="1180"/>
      <c r="AA3" s="1180"/>
      <c r="AB3" s="1180"/>
      <c r="AC3" s="1180"/>
      <c r="AD3" s="1180"/>
      <c r="AE3" s="1180"/>
      <c r="AF3" s="1180"/>
      <c r="AG3" s="1180"/>
      <c r="AH3" s="1180"/>
      <c r="AI3" s="1180"/>
      <c r="AJ3" s="1180"/>
      <c r="AK3" s="1180"/>
      <c r="AL3" s="1180"/>
      <c r="AM3" s="1180"/>
      <c r="AN3" s="1180"/>
      <c r="AO3" s="1180"/>
      <c r="AP3" s="1180"/>
      <c r="AQ3" s="1180"/>
      <c r="AR3" s="1180"/>
      <c r="AS3" s="1180"/>
      <c r="AT3" s="1180"/>
      <c r="AU3" s="1180"/>
      <c r="AV3" s="1180"/>
      <c r="AW3" s="1180"/>
      <c r="AX3" s="1180"/>
      <c r="AY3" s="1180"/>
      <c r="AZ3" s="1180"/>
      <c r="BA3" s="1180"/>
      <c r="BB3" s="1180"/>
      <c r="BC3" s="1180"/>
      <c r="BD3" s="1180"/>
      <c r="BE3" s="1180"/>
      <c r="BF3" s="1180"/>
      <c r="BG3" s="1180"/>
      <c r="BH3" s="1180"/>
      <c r="BI3" s="1180"/>
      <c r="BJ3" s="1180"/>
      <c r="BK3" s="1180"/>
      <c r="BL3" s="1180"/>
      <c r="BM3" s="1180"/>
      <c r="BN3" s="1180"/>
      <c r="BO3" s="1180"/>
      <c r="BP3" s="1180"/>
      <c r="BQ3" s="1180"/>
      <c r="BR3" s="1180"/>
      <c r="BS3" s="1180"/>
      <c r="BT3" s="1180"/>
      <c r="BU3" s="1180"/>
      <c r="BV3" s="1180"/>
      <c r="BW3" s="1180"/>
      <c r="BX3" s="1180"/>
      <c r="BY3" s="1180"/>
      <c r="BZ3" s="1180"/>
      <c r="CA3" s="1180"/>
      <c r="CB3" s="1180"/>
      <c r="CC3" s="1180"/>
      <c r="CD3" s="1180"/>
      <c r="CE3" s="1180"/>
      <c r="CF3" s="1180"/>
      <c r="CG3" s="1180"/>
      <c r="CH3" s="1180"/>
      <c r="CI3" s="1180"/>
      <c r="CJ3" s="1180"/>
      <c r="CK3" s="1180"/>
      <c r="CL3" s="1180"/>
      <c r="CM3" s="1180"/>
      <c r="CN3" s="1180"/>
      <c r="CO3" s="1180"/>
      <c r="CP3" s="1180"/>
      <c r="CQ3" s="1180"/>
      <c r="CR3" s="1180"/>
      <c r="CS3" s="1180"/>
      <c r="CT3" s="1180"/>
      <c r="CU3" s="1180"/>
      <c r="CV3" s="1180"/>
      <c r="CW3" s="1180"/>
      <c r="CX3" s="1180"/>
      <c r="CY3" s="1180"/>
      <c r="CZ3" s="1180"/>
      <c r="DA3" s="1180"/>
      <c r="DB3" s="1180"/>
      <c r="DC3" s="1180"/>
      <c r="DD3" s="1180"/>
      <c r="DE3" s="1180"/>
      <c r="DF3" s="1180"/>
      <c r="DG3" s="1180"/>
      <c r="DH3" s="1180"/>
      <c r="DI3" s="1180"/>
      <c r="DJ3" s="1180"/>
      <c r="DK3" s="1180"/>
      <c r="DL3" s="1180"/>
      <c r="DM3" s="1180"/>
      <c r="DN3" s="1180"/>
      <c r="DO3" s="1180"/>
      <c r="DP3" s="1180"/>
      <c r="DQ3" s="1180"/>
      <c r="DR3" s="1180"/>
      <c r="DS3" s="1180"/>
      <c r="DT3" s="1180"/>
      <c r="DU3" s="1180"/>
      <c r="DV3" s="1180"/>
      <c r="DW3" s="1180"/>
      <c r="DX3" s="1180"/>
      <c r="DY3" s="1180"/>
      <c r="DZ3" s="1180"/>
      <c r="EA3" s="1180"/>
      <c r="EB3" s="1180"/>
      <c r="EC3" s="1180"/>
      <c r="ED3" s="1180"/>
      <c r="EE3" s="1180"/>
      <c r="EF3" s="1180"/>
      <c r="EG3" s="1180"/>
      <c r="EH3" s="1180"/>
      <c r="EI3" s="1180"/>
      <c r="EJ3" s="1180"/>
      <c r="EK3" s="1180"/>
      <c r="EL3" s="1180"/>
      <c r="EM3" s="1180"/>
      <c r="EN3" s="1180"/>
      <c r="EO3" s="1180"/>
      <c r="EP3" s="1180"/>
      <c r="EQ3" s="1180"/>
      <c r="ER3" s="1180"/>
      <c r="ES3" s="1180"/>
      <c r="ET3" s="1180"/>
      <c r="EU3" s="1180"/>
      <c r="EV3" s="1180"/>
      <c r="EW3" s="1180"/>
      <c r="EX3" s="1180"/>
      <c r="EY3" s="1180"/>
      <c r="EZ3" s="1180"/>
      <c r="FA3" s="1180"/>
      <c r="FB3" s="1180"/>
      <c r="FC3" s="1180"/>
      <c r="FD3" s="1180"/>
      <c r="FE3" s="1180"/>
      <c r="FF3" s="1180"/>
      <c r="FG3" s="1180"/>
      <c r="FH3" s="1180"/>
      <c r="FI3" s="1180"/>
      <c r="FJ3" s="1180"/>
      <c r="FK3" s="1180"/>
      <c r="FL3" s="1180"/>
      <c r="FM3" s="1180"/>
      <c r="FN3" s="1180"/>
      <c r="FO3" s="1180"/>
      <c r="FP3" s="1180"/>
      <c r="FQ3" s="1180"/>
      <c r="FR3" s="1180"/>
      <c r="FS3" s="1180"/>
      <c r="FT3" s="1180"/>
      <c r="FU3" s="1180"/>
      <c r="FV3" s="1180"/>
      <c r="FW3" s="1180"/>
      <c r="FX3" s="1180"/>
      <c r="FY3" s="1180"/>
      <c r="FZ3" s="1180"/>
      <c r="GA3" s="1180"/>
      <c r="GB3" s="1180"/>
      <c r="GC3" s="1180"/>
      <c r="GD3" s="1180"/>
      <c r="GE3" s="1180"/>
      <c r="GF3" s="1180"/>
      <c r="GG3" s="1180"/>
      <c r="GH3" s="1180"/>
      <c r="GI3" s="1180"/>
      <c r="GJ3" s="1180"/>
      <c r="GK3" s="1180"/>
      <c r="GL3" s="1180"/>
      <c r="GM3" s="1180"/>
      <c r="GN3" s="1180"/>
      <c r="GO3" s="1180"/>
      <c r="GP3" s="1180"/>
      <c r="GQ3" s="1180"/>
      <c r="GR3" s="1180"/>
      <c r="GS3" s="1180"/>
      <c r="GT3" s="1180"/>
      <c r="GU3" s="1180"/>
      <c r="GV3" s="1180"/>
      <c r="GW3" s="1180"/>
      <c r="GX3" s="1180"/>
      <c r="GY3" s="1180"/>
      <c r="GZ3" s="1180"/>
      <c r="HA3" s="1180"/>
      <c r="HB3" s="1180"/>
      <c r="HC3" s="1180"/>
      <c r="HD3" s="1180"/>
      <c r="HE3" s="1180"/>
      <c r="HF3" s="1180"/>
      <c r="HG3" s="1180"/>
      <c r="HH3" s="1180"/>
      <c r="HI3" s="1180"/>
      <c r="HJ3" s="1180"/>
      <c r="HK3" s="1180"/>
      <c r="HL3" s="1180"/>
      <c r="HM3" s="1180"/>
      <c r="HN3" s="1180"/>
      <c r="HO3" s="1180"/>
      <c r="HP3" s="1180"/>
      <c r="HQ3" s="1180"/>
      <c r="HR3" s="1180"/>
      <c r="HS3" s="1180"/>
      <c r="HT3" s="1180"/>
      <c r="HU3" s="1180"/>
      <c r="HV3" s="1180"/>
      <c r="HW3" s="1180"/>
      <c r="HX3" s="1180"/>
      <c r="HY3" s="1180"/>
      <c r="HZ3" s="1180"/>
      <c r="IA3" s="1180"/>
      <c r="IB3" s="1180"/>
      <c r="IC3" s="1180"/>
      <c r="ID3" s="1180"/>
      <c r="IE3" s="1180"/>
      <c r="IF3" s="1180"/>
      <c r="IG3" s="1180"/>
      <c r="IH3" s="1180"/>
      <c r="II3" s="1180"/>
      <c r="IJ3" s="1180"/>
      <c r="IK3" s="1180"/>
      <c r="IL3" s="1180"/>
      <c r="IM3" s="1180"/>
      <c r="IN3" s="1180"/>
      <c r="IO3" s="1180"/>
      <c r="IP3" s="1180"/>
      <c r="IQ3" s="1180"/>
      <c r="IR3" s="1180"/>
      <c r="IS3" s="1180"/>
      <c r="IT3" s="1180"/>
      <c r="IU3" s="1180"/>
    </row>
    <row r="4" spans="1:255" s="67" customFormat="1" ht="55.5" customHeight="1" x14ac:dyDescent="0.25">
      <c r="A4" s="66" t="s">
        <v>1</v>
      </c>
      <c r="B4" s="66" t="s">
        <v>35</v>
      </c>
      <c r="C4" s="66" t="s">
        <v>36</v>
      </c>
      <c r="D4" s="66" t="s">
        <v>37</v>
      </c>
      <c r="E4" s="66" t="s">
        <v>121</v>
      </c>
      <c r="F4" s="66" t="s">
        <v>38</v>
      </c>
      <c r="G4" s="66" t="s">
        <v>39</v>
      </c>
      <c r="H4" s="66" t="s">
        <v>40</v>
      </c>
      <c r="I4" s="66" t="s">
        <v>41</v>
      </c>
      <c r="J4" s="66" t="s">
        <v>42</v>
      </c>
      <c r="K4" s="66" t="s">
        <v>43</v>
      </c>
      <c r="L4" s="66" t="s">
        <v>44</v>
      </c>
      <c r="M4" s="66" t="s">
        <v>45</v>
      </c>
    </row>
    <row r="5" spans="1:255" s="67" customFormat="1" ht="22.5" customHeight="1" x14ac:dyDescent="0.25">
      <c r="A5" s="246" t="s">
        <v>46</v>
      </c>
      <c r="B5" s="247" t="s">
        <v>47</v>
      </c>
      <c r="C5" s="246"/>
      <c r="D5" s="246"/>
      <c r="E5" s="246"/>
      <c r="F5" s="246"/>
      <c r="G5" s="246"/>
      <c r="H5" s="246"/>
      <c r="I5" s="246"/>
      <c r="J5" s="246"/>
      <c r="K5" s="246"/>
      <c r="L5" s="246"/>
      <c r="M5" s="246"/>
    </row>
    <row r="6" spans="1:255" s="67" customFormat="1" ht="69.75" customHeight="1" x14ac:dyDescent="0.25">
      <c r="A6" s="248">
        <v>1</v>
      </c>
      <c r="B6" s="249" t="s">
        <v>122</v>
      </c>
      <c r="C6" s="248" t="s">
        <v>70</v>
      </c>
      <c r="D6" s="250">
        <f>SUM(F6:M6)</f>
        <v>69</v>
      </c>
      <c r="E6" s="250"/>
      <c r="F6" s="250">
        <v>8</v>
      </c>
      <c r="G6" s="250">
        <f>8+2</f>
        <v>10</v>
      </c>
      <c r="H6" s="250">
        <v>9</v>
      </c>
      <c r="I6" s="250">
        <v>8</v>
      </c>
      <c r="J6" s="250">
        <f>13+1</f>
        <v>14</v>
      </c>
      <c r="K6" s="250">
        <v>10</v>
      </c>
      <c r="L6" s="250">
        <v>10</v>
      </c>
      <c r="M6" s="250">
        <v>0</v>
      </c>
    </row>
    <row r="7" spans="1:255" s="67" customFormat="1" ht="55.5" customHeight="1" x14ac:dyDescent="0.25">
      <c r="A7" s="248">
        <v>2</v>
      </c>
      <c r="B7" s="249" t="s">
        <v>123</v>
      </c>
      <c r="C7" s="248" t="s">
        <v>73</v>
      </c>
      <c r="D7" s="250">
        <f>SUM(F7:M7)</f>
        <v>55</v>
      </c>
      <c r="E7" s="250"/>
      <c r="F7" s="250">
        <v>9</v>
      </c>
      <c r="G7" s="250">
        <v>13</v>
      </c>
      <c r="H7" s="250">
        <v>1</v>
      </c>
      <c r="I7" s="250">
        <v>10</v>
      </c>
      <c r="J7" s="250">
        <v>7</v>
      </c>
      <c r="K7" s="250">
        <v>0</v>
      </c>
      <c r="L7" s="250">
        <v>14</v>
      </c>
      <c r="M7" s="250">
        <v>1</v>
      </c>
    </row>
    <row r="8" spans="1:255" ht="22.5" customHeight="1" x14ac:dyDescent="0.25">
      <c r="A8" s="251" t="s">
        <v>31</v>
      </c>
      <c r="B8" s="252" t="s">
        <v>79</v>
      </c>
      <c r="C8" s="251"/>
      <c r="D8" s="253">
        <f>SUM(D9:D10)</f>
        <v>800</v>
      </c>
      <c r="E8" s="253"/>
      <c r="F8" s="253">
        <f t="shared" ref="F8:M8" si="0">SUM(F9:F10)</f>
        <v>98</v>
      </c>
      <c r="G8" s="253">
        <f t="shared" si="0"/>
        <v>126</v>
      </c>
      <c r="H8" s="253">
        <f t="shared" si="0"/>
        <v>92</v>
      </c>
      <c r="I8" s="253">
        <f t="shared" si="0"/>
        <v>100</v>
      </c>
      <c r="J8" s="253">
        <f t="shared" si="0"/>
        <v>154</v>
      </c>
      <c r="K8" s="253">
        <f t="shared" si="0"/>
        <v>100</v>
      </c>
      <c r="L8" s="253">
        <f t="shared" si="0"/>
        <v>128</v>
      </c>
      <c r="M8" s="253">
        <f t="shared" si="0"/>
        <v>2</v>
      </c>
    </row>
    <row r="9" spans="1:255" ht="69.75" customHeight="1" x14ac:dyDescent="0.25">
      <c r="A9" s="248">
        <v>1</v>
      </c>
      <c r="B9" s="249" t="s">
        <v>122</v>
      </c>
      <c r="C9" s="248">
        <v>10</v>
      </c>
      <c r="D9" s="250">
        <f>SUM(F9:M9)</f>
        <v>690</v>
      </c>
      <c r="E9" s="250"/>
      <c r="F9" s="250">
        <f>$C9*F6</f>
        <v>80</v>
      </c>
      <c r="G9" s="250">
        <f t="shared" ref="G9:M9" si="1">$C9*G6</f>
        <v>100</v>
      </c>
      <c r="H9" s="250">
        <f t="shared" si="1"/>
        <v>90</v>
      </c>
      <c r="I9" s="250">
        <f>$C9*I6</f>
        <v>80</v>
      </c>
      <c r="J9" s="250">
        <f t="shared" si="1"/>
        <v>140</v>
      </c>
      <c r="K9" s="250">
        <f t="shared" si="1"/>
        <v>100</v>
      </c>
      <c r="L9" s="250">
        <f t="shared" si="1"/>
        <v>100</v>
      </c>
      <c r="M9" s="250">
        <f t="shared" si="1"/>
        <v>0</v>
      </c>
    </row>
    <row r="10" spans="1:255" ht="55.5" customHeight="1" x14ac:dyDescent="0.25">
      <c r="A10" s="248">
        <v>2</v>
      </c>
      <c r="B10" s="249" t="s">
        <v>123</v>
      </c>
      <c r="C10" s="248">
        <v>2</v>
      </c>
      <c r="D10" s="250">
        <f>SUM(F10:M10)</f>
        <v>110</v>
      </c>
      <c r="E10" s="250"/>
      <c r="F10" s="250">
        <f>$C10*F7</f>
        <v>18</v>
      </c>
      <c r="G10" s="250">
        <f t="shared" ref="G10:M10" si="2">$C10*G7</f>
        <v>26</v>
      </c>
      <c r="H10" s="250">
        <f t="shared" si="2"/>
        <v>2</v>
      </c>
      <c r="I10" s="250">
        <f>$C10*I7</f>
        <v>20</v>
      </c>
      <c r="J10" s="250">
        <f t="shared" si="2"/>
        <v>14</v>
      </c>
      <c r="K10" s="250">
        <f t="shared" si="2"/>
        <v>0</v>
      </c>
      <c r="L10" s="250">
        <f t="shared" si="2"/>
        <v>28</v>
      </c>
      <c r="M10" s="250">
        <f t="shared" si="2"/>
        <v>2</v>
      </c>
    </row>
    <row r="11" spans="1:255" s="245" customFormat="1" ht="40.5" customHeight="1" x14ac:dyDescent="0.25">
      <c r="A11" s="254" t="s">
        <v>54</v>
      </c>
      <c r="B11" s="252" t="s">
        <v>195</v>
      </c>
      <c r="C11" s="251"/>
      <c r="D11" s="255">
        <v>23194</v>
      </c>
      <c r="E11" s="255">
        <f>E12</f>
        <v>2783</v>
      </c>
      <c r="F11" s="255">
        <f t="shared" ref="F11:M11" si="3">F12</f>
        <v>2500</v>
      </c>
      <c r="G11" s="255">
        <f t="shared" si="3"/>
        <v>3215</v>
      </c>
      <c r="H11" s="255">
        <f t="shared" si="3"/>
        <v>2347</v>
      </c>
      <c r="I11" s="255">
        <f t="shared" si="3"/>
        <v>2551</v>
      </c>
      <c r="J11" s="255">
        <f t="shared" si="3"/>
        <v>3929</v>
      </c>
      <c r="K11" s="255">
        <f t="shared" si="3"/>
        <v>2552</v>
      </c>
      <c r="L11" s="255">
        <f t="shared" si="3"/>
        <v>3266</v>
      </c>
      <c r="M11" s="255">
        <f t="shared" si="3"/>
        <v>51</v>
      </c>
    </row>
    <row r="12" spans="1:255" s="75" customFormat="1" ht="23.25" customHeight="1" x14ac:dyDescent="0.25">
      <c r="A12" s="256">
        <v>1</v>
      </c>
      <c r="B12" s="249" t="s">
        <v>194</v>
      </c>
      <c r="C12" s="248" t="s">
        <v>55</v>
      </c>
      <c r="D12" s="157">
        <f>SUM(E12:M12)</f>
        <v>23194</v>
      </c>
      <c r="E12" s="157">
        <f>ROUND(D11*12%,0)</f>
        <v>2783</v>
      </c>
      <c r="F12" s="157">
        <f>ROUND(($D$11-$E$11)/$D$8*F8,0)</f>
        <v>2500</v>
      </c>
      <c r="G12" s="157">
        <f>ROUND(($D$11-$E$11)/$D$8*G8,0)</f>
        <v>3215</v>
      </c>
      <c r="H12" s="157">
        <f>ROUND(($D$11-$E$11)/$D$8*H8,0)</f>
        <v>2347</v>
      </c>
      <c r="I12" s="157">
        <f t="shared" ref="I12:M12" si="4">ROUND(($D$11-$E$11)/$D$8*I8,0)</f>
        <v>2551</v>
      </c>
      <c r="J12" s="157">
        <f t="shared" si="4"/>
        <v>3929</v>
      </c>
      <c r="K12" s="157">
        <f>ROUND(($D$11-$E$11)/$D$8*K8+0.8,0)</f>
        <v>2552</v>
      </c>
      <c r="L12" s="157">
        <f t="shared" si="4"/>
        <v>3266</v>
      </c>
      <c r="M12" s="157">
        <f t="shared" si="4"/>
        <v>51</v>
      </c>
      <c r="N12" s="63"/>
    </row>
    <row r="13" spans="1:255" s="245" customFormat="1" ht="40.5" customHeight="1" x14ac:dyDescent="0.25">
      <c r="A13" s="254" t="s">
        <v>56</v>
      </c>
      <c r="B13" s="252" t="s">
        <v>265</v>
      </c>
      <c r="C13" s="251"/>
      <c r="D13" s="255">
        <f>D14</f>
        <v>1160</v>
      </c>
      <c r="E13" s="255">
        <f t="shared" ref="E13:M13" si="5">E14</f>
        <v>139</v>
      </c>
      <c r="F13" s="255">
        <f t="shared" si="5"/>
        <v>125</v>
      </c>
      <c r="G13" s="255">
        <f t="shared" si="5"/>
        <v>161</v>
      </c>
      <c r="H13" s="255">
        <f t="shared" si="5"/>
        <v>117</v>
      </c>
      <c r="I13" s="255">
        <f t="shared" si="5"/>
        <v>128</v>
      </c>
      <c r="J13" s="255">
        <f t="shared" si="5"/>
        <v>196</v>
      </c>
      <c r="K13" s="255">
        <f t="shared" si="5"/>
        <v>128</v>
      </c>
      <c r="L13" s="255">
        <f t="shared" si="5"/>
        <v>163</v>
      </c>
      <c r="M13" s="255">
        <f t="shared" si="5"/>
        <v>3</v>
      </c>
    </row>
    <row r="14" spans="1:255" s="75" customFormat="1" ht="23.25" customHeight="1" x14ac:dyDescent="0.25">
      <c r="A14" s="256">
        <v>1</v>
      </c>
      <c r="B14" s="249" t="s">
        <v>194</v>
      </c>
      <c r="C14" s="248" t="s">
        <v>55</v>
      </c>
      <c r="D14" s="157">
        <f>SUM(E14:M14)</f>
        <v>1160</v>
      </c>
      <c r="E14" s="157">
        <f>ROUND(E12*5%,0)</f>
        <v>139</v>
      </c>
      <c r="F14" s="157">
        <f>ROUND(F12*5%,0)</f>
        <v>125</v>
      </c>
      <c r="G14" s="157">
        <f t="shared" ref="G14:M14" si="6">ROUND(G12*5%,0)</f>
        <v>161</v>
      </c>
      <c r="H14" s="157">
        <f t="shared" si="6"/>
        <v>117</v>
      </c>
      <c r="I14" s="157">
        <f t="shared" si="6"/>
        <v>128</v>
      </c>
      <c r="J14" s="157">
        <f t="shared" si="6"/>
        <v>196</v>
      </c>
      <c r="K14" s="157">
        <f t="shared" si="6"/>
        <v>128</v>
      </c>
      <c r="L14" s="157">
        <f t="shared" si="6"/>
        <v>163</v>
      </c>
      <c r="M14" s="157">
        <f t="shared" si="6"/>
        <v>3</v>
      </c>
      <c r="N14" s="63"/>
    </row>
    <row r="15" spans="1:255" s="245" customFormat="1" ht="23.25" customHeight="1" x14ac:dyDescent="0.25">
      <c r="A15" s="254" t="s">
        <v>57</v>
      </c>
      <c r="B15" s="252" t="s">
        <v>150</v>
      </c>
      <c r="C15" s="251"/>
      <c r="D15" s="255">
        <f>D16</f>
        <v>24354</v>
      </c>
      <c r="E15" s="255">
        <f t="shared" ref="E15:M15" si="7">E16</f>
        <v>2922</v>
      </c>
      <c r="F15" s="255">
        <f t="shared" si="7"/>
        <v>2625</v>
      </c>
      <c r="G15" s="255">
        <f t="shared" si="7"/>
        <v>3376</v>
      </c>
      <c r="H15" s="255">
        <f t="shared" si="7"/>
        <v>2464</v>
      </c>
      <c r="I15" s="255">
        <f t="shared" si="7"/>
        <v>2679</v>
      </c>
      <c r="J15" s="255">
        <f t="shared" si="7"/>
        <v>4125</v>
      </c>
      <c r="K15" s="255">
        <f t="shared" si="7"/>
        <v>2680</v>
      </c>
      <c r="L15" s="255">
        <f t="shared" si="7"/>
        <v>3429</v>
      </c>
      <c r="M15" s="255">
        <f t="shared" si="7"/>
        <v>54</v>
      </c>
    </row>
    <row r="16" spans="1:255" s="75" customFormat="1" ht="23.25" customHeight="1" x14ac:dyDescent="0.25">
      <c r="A16" s="257">
        <v>1</v>
      </c>
      <c r="B16" s="258" t="s">
        <v>194</v>
      </c>
      <c r="C16" s="259" t="s">
        <v>55</v>
      </c>
      <c r="D16" s="260">
        <f>SUM(E16:M16)</f>
        <v>24354</v>
      </c>
      <c r="E16" s="260">
        <f>E12+E14</f>
        <v>2922</v>
      </c>
      <c r="F16" s="260">
        <f t="shared" ref="F16:M16" si="8">F12+F14</f>
        <v>2625</v>
      </c>
      <c r="G16" s="260">
        <f t="shared" si="8"/>
        <v>3376</v>
      </c>
      <c r="H16" s="260">
        <f t="shared" si="8"/>
        <v>2464</v>
      </c>
      <c r="I16" s="260">
        <f t="shared" si="8"/>
        <v>2679</v>
      </c>
      <c r="J16" s="260">
        <f t="shared" si="8"/>
        <v>4125</v>
      </c>
      <c r="K16" s="260">
        <f t="shared" si="8"/>
        <v>2680</v>
      </c>
      <c r="L16" s="260">
        <f t="shared" si="8"/>
        <v>3429</v>
      </c>
      <c r="M16" s="260">
        <f t="shared" si="8"/>
        <v>54</v>
      </c>
      <c r="N16" s="63"/>
    </row>
  </sheetData>
  <mergeCells count="21">
    <mergeCell ref="GZ3:HL3"/>
    <mergeCell ref="HM3:HY3"/>
    <mergeCell ref="FZ3:GL3"/>
    <mergeCell ref="IM3:IU3"/>
    <mergeCell ref="DM3:DY3"/>
    <mergeCell ref="DZ3:EL3"/>
    <mergeCell ref="EM3:EY3"/>
    <mergeCell ref="EZ3:FL3"/>
    <mergeCell ref="FM3:FY3"/>
    <mergeCell ref="HZ3:IL3"/>
    <mergeCell ref="K1:M1"/>
    <mergeCell ref="Z3:AL3"/>
    <mergeCell ref="CM3:CY3"/>
    <mergeCell ref="CZ3:DL3"/>
    <mergeCell ref="GM3:GY3"/>
    <mergeCell ref="AM3:AY3"/>
    <mergeCell ref="AZ3:BL3"/>
    <mergeCell ref="BM3:BY3"/>
    <mergeCell ref="BZ3:CL3"/>
    <mergeCell ref="A2:M2"/>
    <mergeCell ref="A3:M3"/>
  </mergeCells>
  <pageMargins left="0.48958333333333331" right="0.375" top="0.46875" bottom="0.75" header="0.3" footer="0.3"/>
  <pageSetup paperSize="9"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IK8"/>
  <sheetViews>
    <sheetView zoomScale="85" zoomScaleNormal="85" workbookViewId="0">
      <selection activeCell="J11" sqref="J11"/>
    </sheetView>
  </sheetViews>
  <sheetFormatPr defaultColWidth="7.75" defaultRowHeight="15.75" x14ac:dyDescent="0.25"/>
  <cols>
    <col min="1" max="1" width="6.75" style="58" customWidth="1"/>
    <col min="2" max="2" width="40.5" style="58" customWidth="1"/>
    <col min="3" max="7" width="12.75" style="58" customWidth="1"/>
    <col min="8" max="8" width="11" style="58" customWidth="1"/>
    <col min="9" max="9" width="11" style="64" customWidth="1"/>
    <col min="10" max="11" width="11" style="65" customWidth="1"/>
    <col min="12" max="12" width="11" style="58" customWidth="1"/>
    <col min="13" max="13" width="11.125" style="58" bestFit="1" customWidth="1"/>
    <col min="14" max="16384" width="7.75" style="58"/>
  </cols>
  <sheetData>
    <row r="1" spans="1:245" s="27" customFormat="1" ht="29.25" customHeight="1" x14ac:dyDescent="0.25">
      <c r="A1" s="23"/>
      <c r="B1" s="23"/>
      <c r="C1" s="101"/>
      <c r="D1" s="101"/>
      <c r="E1" s="101"/>
      <c r="F1" s="1176" t="s">
        <v>196</v>
      </c>
      <c r="G1" s="1176"/>
      <c r="H1" s="23"/>
      <c r="J1" s="23"/>
      <c r="K1" s="23"/>
      <c r="L1" s="23"/>
      <c r="M1" s="23"/>
    </row>
    <row r="2" spans="1:245" s="14" customFormat="1" ht="44.25" customHeight="1" x14ac:dyDescent="0.25">
      <c r="A2" s="1178" t="s">
        <v>197</v>
      </c>
      <c r="B2" s="1178"/>
      <c r="C2" s="1178"/>
      <c r="D2" s="1178"/>
      <c r="E2" s="1178"/>
      <c r="F2" s="1178"/>
      <c r="G2" s="1178"/>
      <c r="H2" s="241"/>
      <c r="I2" s="241"/>
      <c r="J2" s="241"/>
      <c r="K2" s="241"/>
      <c r="L2" s="241"/>
    </row>
    <row r="3" spans="1:245" s="14" customFormat="1" ht="40.5" customHeight="1" x14ac:dyDescent="0.25">
      <c r="A3" s="1179" t="str">
        <f>'B10-DA6'!A3:N3</f>
        <v>(Kèm theo Tờ trình số:          /TTr-UBND ngày          tháng 11 năm 2022 của UBND tỉnh)</v>
      </c>
      <c r="B3" s="1179"/>
      <c r="C3" s="1179"/>
      <c r="D3" s="1179"/>
      <c r="E3" s="1179"/>
      <c r="F3" s="1179"/>
      <c r="G3" s="1179"/>
      <c r="H3" s="242"/>
      <c r="I3" s="242"/>
      <c r="J3" s="242"/>
      <c r="K3" s="242"/>
      <c r="L3" s="242"/>
    </row>
    <row r="4" spans="1:245" s="27" customFormat="1" ht="27.75" customHeight="1" x14ac:dyDescent="0.25">
      <c r="A4" s="1163" t="s">
        <v>1</v>
      </c>
      <c r="B4" s="1163" t="s">
        <v>35</v>
      </c>
      <c r="C4" s="1167" t="s">
        <v>37</v>
      </c>
      <c r="D4" s="1163" t="s">
        <v>160</v>
      </c>
      <c r="E4" s="1163"/>
      <c r="F4" s="1163" t="s">
        <v>161</v>
      </c>
      <c r="G4" s="1163"/>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row>
    <row r="5" spans="1:245" s="27" customFormat="1" ht="46.5" customHeight="1" x14ac:dyDescent="0.25">
      <c r="A5" s="1163"/>
      <c r="B5" s="1163"/>
      <c r="C5" s="1168"/>
      <c r="D5" s="152" t="s">
        <v>162</v>
      </c>
      <c r="E5" s="152" t="s">
        <v>198</v>
      </c>
      <c r="F5" s="152" t="s">
        <v>162</v>
      </c>
      <c r="G5" s="152" t="s">
        <v>198</v>
      </c>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row>
    <row r="6" spans="1:245" s="29" customFormat="1" ht="46.5" customHeight="1" x14ac:dyDescent="0.25">
      <c r="A6" s="153">
        <v>1</v>
      </c>
      <c r="B6" s="155" t="s">
        <v>199</v>
      </c>
      <c r="C6" s="154">
        <f>ROUND(E6+G6,0)</f>
        <v>13863</v>
      </c>
      <c r="D6" s="368">
        <v>1</v>
      </c>
      <c r="E6" s="154">
        <v>13203</v>
      </c>
      <c r="F6" s="368">
        <v>0.05</v>
      </c>
      <c r="G6" s="154">
        <f>E6*F6</f>
        <v>660.15000000000009</v>
      </c>
    </row>
    <row r="7" spans="1:245" s="29" customFormat="1" ht="46.5" customHeight="1" x14ac:dyDescent="0.25">
      <c r="A7" s="1158" t="s">
        <v>67</v>
      </c>
      <c r="B7" s="1158"/>
      <c r="C7" s="158">
        <f>C6</f>
        <v>13863</v>
      </c>
      <c r="D7" s="158"/>
      <c r="E7" s="158">
        <f t="shared" ref="E7:G7" si="0">E6</f>
        <v>13203</v>
      </c>
      <c r="F7" s="158"/>
      <c r="G7" s="158">
        <f t="shared" si="0"/>
        <v>660.15000000000009</v>
      </c>
    </row>
    <row r="8" spans="1:245" s="65" customFormat="1" x14ac:dyDescent="0.25">
      <c r="I8" s="64"/>
    </row>
  </sheetData>
  <mergeCells count="9">
    <mergeCell ref="A7:B7"/>
    <mergeCell ref="F1:G1"/>
    <mergeCell ref="A2:G2"/>
    <mergeCell ref="A3:G3"/>
    <mergeCell ref="A4:A5"/>
    <mergeCell ref="B4:B5"/>
    <mergeCell ref="C4:C5"/>
    <mergeCell ref="D4:E4"/>
    <mergeCell ref="F4:G4"/>
  </mergeCells>
  <pageMargins left="0.7" right="0.7" top="0.75" bottom="0.75" header="0.3" footer="0.3"/>
  <pageSetup paperSize="9" scale="73" fitToHeight="0"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IV23"/>
  <sheetViews>
    <sheetView topLeftCell="A4" zoomScaleNormal="100" workbookViewId="0">
      <pane xSplit="2" ySplit="1" topLeftCell="C5" activePane="bottomRight" state="frozen"/>
      <selection activeCell="A4" sqref="A4"/>
      <selection pane="topRight" activeCell="C4" sqref="C4"/>
      <selection pane="bottomLeft" activeCell="A5" sqref="A5"/>
      <selection pane="bottomRight" activeCell="R14" sqref="R14"/>
    </sheetView>
  </sheetViews>
  <sheetFormatPr defaultColWidth="9" defaultRowHeight="15.75" x14ac:dyDescent="0.25"/>
  <cols>
    <col min="1" max="1" width="6.25" style="73" customWidth="1"/>
    <col min="2" max="2" width="38.625" style="75" customWidth="1"/>
    <col min="3" max="3" width="9.5" style="73" customWidth="1"/>
    <col min="4" max="5" width="9.25" style="72" customWidth="1"/>
    <col min="6" max="13" width="9.25" style="73" customWidth="1"/>
    <col min="14" max="14" width="9.25" style="75" customWidth="1"/>
    <col min="15" max="16384" width="9" style="75"/>
  </cols>
  <sheetData>
    <row r="1" spans="1:256" s="27" customFormat="1" ht="21.75" customHeight="1" x14ac:dyDescent="0.25">
      <c r="A1" s="23"/>
      <c r="B1" s="23"/>
      <c r="C1" s="101"/>
      <c r="D1" s="101"/>
      <c r="E1" s="101"/>
      <c r="F1" s="101"/>
      <c r="G1" s="101"/>
      <c r="H1" s="77"/>
      <c r="I1" s="77"/>
      <c r="J1" s="101"/>
      <c r="K1" s="77"/>
      <c r="L1" s="1176" t="s">
        <v>200</v>
      </c>
      <c r="M1" s="1176"/>
      <c r="N1" s="1176"/>
    </row>
    <row r="2" spans="1:256" s="74" customFormat="1" ht="46.5" customHeight="1" x14ac:dyDescent="0.25">
      <c r="A2" s="1180" t="s">
        <v>127</v>
      </c>
      <c r="B2" s="1180"/>
      <c r="C2" s="1180"/>
      <c r="D2" s="1180"/>
      <c r="E2" s="1180"/>
      <c r="F2" s="1180"/>
      <c r="G2" s="1180"/>
      <c r="H2" s="1180"/>
      <c r="I2" s="1180"/>
      <c r="J2" s="1180"/>
      <c r="K2" s="1180"/>
      <c r="L2" s="1180"/>
      <c r="M2" s="1180"/>
      <c r="N2" s="69"/>
    </row>
    <row r="3" spans="1:256" s="18" customFormat="1" ht="21.75" customHeight="1" x14ac:dyDescent="0.25">
      <c r="A3" s="1182" t="str">
        <f>'B12-DA8'!A3:M3</f>
        <v>(Kèm theo Tờ trình số:          /TTr-UBND ngày          tháng 11 năm 2022 của UBND tỉnh)</v>
      </c>
      <c r="B3" s="1183"/>
      <c r="C3" s="1183"/>
      <c r="D3" s="1183"/>
      <c r="E3" s="1183"/>
      <c r="F3" s="1183"/>
      <c r="G3" s="1183"/>
      <c r="H3" s="1183"/>
      <c r="I3" s="1183"/>
      <c r="J3" s="1183"/>
      <c r="K3" s="1183"/>
      <c r="L3" s="1183"/>
      <c r="M3" s="1183"/>
      <c r="N3" s="1183"/>
      <c r="O3" s="1180"/>
      <c r="P3" s="1180"/>
      <c r="Q3" s="1180"/>
      <c r="R3" s="1180"/>
      <c r="S3" s="1180"/>
      <c r="T3" s="1180"/>
      <c r="U3" s="1180"/>
      <c r="V3" s="1180"/>
      <c r="W3" s="1180"/>
      <c r="X3" s="1180"/>
      <c r="Y3" s="1180"/>
      <c r="Z3" s="1180"/>
      <c r="AA3" s="1180"/>
      <c r="AB3" s="1180"/>
      <c r="AC3" s="1180"/>
      <c r="AD3" s="1180"/>
      <c r="AE3" s="1180"/>
      <c r="AF3" s="1180"/>
      <c r="AG3" s="1180"/>
      <c r="AH3" s="1180"/>
      <c r="AI3" s="1180"/>
      <c r="AJ3" s="1180"/>
      <c r="AK3" s="1180"/>
      <c r="AL3" s="1180"/>
      <c r="AM3" s="1180"/>
      <c r="AN3" s="1180"/>
      <c r="AO3" s="1180"/>
      <c r="AP3" s="1180"/>
      <c r="AQ3" s="1180"/>
      <c r="AR3" s="1180"/>
      <c r="AS3" s="1180"/>
      <c r="AT3" s="1180"/>
      <c r="AU3" s="1180"/>
      <c r="AV3" s="1180"/>
      <c r="AW3" s="1180"/>
      <c r="AX3" s="1180"/>
      <c r="AY3" s="1180"/>
      <c r="AZ3" s="1180"/>
      <c r="BA3" s="1180"/>
      <c r="BB3" s="1180"/>
      <c r="BC3" s="1180"/>
      <c r="BD3" s="1180"/>
      <c r="BE3" s="1180"/>
      <c r="BF3" s="1180"/>
      <c r="BG3" s="1180"/>
      <c r="BH3" s="1180"/>
      <c r="BI3" s="1180"/>
      <c r="BJ3" s="1180"/>
      <c r="BK3" s="1180"/>
      <c r="BL3" s="1180"/>
      <c r="BM3" s="1180"/>
      <c r="BN3" s="1180"/>
      <c r="BO3" s="1180"/>
      <c r="BP3" s="1180"/>
      <c r="BQ3" s="1180"/>
      <c r="BR3" s="1180"/>
      <c r="BS3" s="1180"/>
      <c r="BT3" s="1180"/>
      <c r="BU3" s="1180"/>
      <c r="BV3" s="1180"/>
      <c r="BW3" s="1180"/>
      <c r="BX3" s="1180"/>
      <c r="BY3" s="1180"/>
      <c r="BZ3" s="1180"/>
      <c r="CA3" s="1180"/>
      <c r="CB3" s="1180"/>
      <c r="CC3" s="1180"/>
      <c r="CD3" s="1180"/>
      <c r="CE3" s="1180"/>
      <c r="CF3" s="1180"/>
      <c r="CG3" s="1180"/>
      <c r="CH3" s="1180"/>
      <c r="CI3" s="1180"/>
      <c r="CJ3" s="1180"/>
      <c r="CK3" s="1180"/>
      <c r="CL3" s="1180"/>
      <c r="CM3" s="1180"/>
      <c r="CN3" s="1180"/>
      <c r="CO3" s="1180"/>
      <c r="CP3" s="1180"/>
      <c r="CQ3" s="1180"/>
      <c r="CR3" s="1180"/>
      <c r="CS3" s="1180"/>
      <c r="CT3" s="1180"/>
      <c r="CU3" s="1180"/>
      <c r="CV3" s="1180"/>
      <c r="CW3" s="1180"/>
      <c r="CX3" s="1180"/>
      <c r="CY3" s="1180"/>
      <c r="CZ3" s="1180"/>
      <c r="DA3" s="1180"/>
      <c r="DB3" s="1180"/>
      <c r="DC3" s="1180"/>
      <c r="DD3" s="1180"/>
      <c r="DE3" s="1180"/>
      <c r="DF3" s="1180"/>
      <c r="DG3" s="1180"/>
      <c r="DH3" s="1180"/>
      <c r="DI3" s="1180"/>
      <c r="DJ3" s="1180"/>
      <c r="DK3" s="1180"/>
      <c r="DL3" s="1180"/>
      <c r="DM3" s="1180"/>
      <c r="DN3" s="1180"/>
      <c r="DO3" s="1180"/>
      <c r="DP3" s="1180"/>
      <c r="DQ3" s="1180"/>
      <c r="DR3" s="1180"/>
      <c r="DS3" s="1180"/>
      <c r="DT3" s="1180"/>
      <c r="DU3" s="1180"/>
      <c r="DV3" s="1180"/>
      <c r="DW3" s="1180"/>
      <c r="DX3" s="1180"/>
      <c r="DY3" s="1180"/>
      <c r="DZ3" s="1180"/>
      <c r="EA3" s="1180"/>
      <c r="EB3" s="1180"/>
      <c r="EC3" s="1180"/>
      <c r="ED3" s="1180"/>
      <c r="EE3" s="1180"/>
      <c r="EF3" s="1180"/>
      <c r="EG3" s="1180"/>
      <c r="EH3" s="1180"/>
      <c r="EI3" s="1180"/>
      <c r="EJ3" s="1180"/>
      <c r="EK3" s="1180"/>
      <c r="EL3" s="1180"/>
      <c r="EM3" s="1180"/>
      <c r="EN3" s="1180"/>
      <c r="EO3" s="1180"/>
      <c r="EP3" s="1180"/>
      <c r="EQ3" s="1180"/>
      <c r="ER3" s="1180"/>
      <c r="ES3" s="1180"/>
      <c r="ET3" s="1180"/>
      <c r="EU3" s="1180"/>
      <c r="EV3" s="1180"/>
      <c r="EW3" s="1180"/>
      <c r="EX3" s="1180"/>
      <c r="EY3" s="1180"/>
      <c r="EZ3" s="1180"/>
      <c r="FA3" s="1180"/>
      <c r="FB3" s="1180"/>
      <c r="FC3" s="1180"/>
      <c r="FD3" s="1180"/>
      <c r="FE3" s="1180"/>
      <c r="FF3" s="1180"/>
      <c r="FG3" s="1180"/>
      <c r="FH3" s="1180"/>
      <c r="FI3" s="1180"/>
      <c r="FJ3" s="1180"/>
      <c r="FK3" s="1180"/>
      <c r="FL3" s="1180"/>
      <c r="FM3" s="1180"/>
      <c r="FN3" s="1180"/>
      <c r="FO3" s="1180"/>
      <c r="FP3" s="1180"/>
      <c r="FQ3" s="1180"/>
      <c r="FR3" s="1180"/>
      <c r="FS3" s="1180"/>
      <c r="FT3" s="1180"/>
      <c r="FU3" s="1180"/>
      <c r="FV3" s="1180"/>
      <c r="FW3" s="1180"/>
      <c r="FX3" s="1180"/>
      <c r="FY3" s="1180"/>
      <c r="FZ3" s="1180"/>
      <c r="GA3" s="1180"/>
      <c r="GB3" s="1180"/>
      <c r="GC3" s="1180"/>
      <c r="GD3" s="1180"/>
      <c r="GE3" s="1180"/>
      <c r="GF3" s="1180"/>
      <c r="GG3" s="1180"/>
      <c r="GH3" s="1180"/>
      <c r="GI3" s="1180"/>
      <c r="GJ3" s="1180"/>
      <c r="GK3" s="1180"/>
      <c r="GL3" s="1180"/>
      <c r="GM3" s="1180"/>
      <c r="GN3" s="1180"/>
      <c r="GO3" s="1180"/>
      <c r="GP3" s="1180"/>
      <c r="GQ3" s="1180"/>
      <c r="GR3" s="1180"/>
      <c r="GS3" s="1180"/>
      <c r="GT3" s="1180"/>
      <c r="GU3" s="1180"/>
      <c r="GV3" s="1180"/>
      <c r="GW3" s="1180"/>
      <c r="GX3" s="1180"/>
      <c r="GY3" s="1180"/>
      <c r="GZ3" s="1180"/>
      <c r="HA3" s="1180"/>
      <c r="HB3" s="1180"/>
      <c r="HC3" s="1180"/>
      <c r="HD3" s="1180"/>
      <c r="HE3" s="1180"/>
      <c r="HF3" s="1180"/>
      <c r="HG3" s="1180"/>
      <c r="HH3" s="1180"/>
      <c r="HI3" s="1180"/>
      <c r="HJ3" s="1180"/>
      <c r="HK3" s="1180"/>
      <c r="HL3" s="1180"/>
      <c r="HM3" s="1180"/>
      <c r="HN3" s="1180"/>
      <c r="HO3" s="1180"/>
      <c r="HP3" s="1180"/>
      <c r="HQ3" s="1180"/>
      <c r="HR3" s="1180"/>
      <c r="HS3" s="1180"/>
      <c r="HT3" s="1180"/>
      <c r="HU3" s="1180"/>
      <c r="HV3" s="1180"/>
      <c r="HW3" s="1180"/>
      <c r="HX3" s="1180"/>
      <c r="HY3" s="1180"/>
      <c r="HZ3" s="1180"/>
      <c r="IA3" s="1180"/>
      <c r="IB3" s="1180"/>
      <c r="IC3" s="1180"/>
      <c r="ID3" s="1180"/>
      <c r="IE3" s="1180"/>
      <c r="IF3" s="1180"/>
      <c r="IG3" s="1180"/>
      <c r="IH3" s="1180"/>
      <c r="II3" s="1180"/>
      <c r="IJ3" s="1180"/>
      <c r="IK3" s="1180"/>
      <c r="IL3" s="1180"/>
      <c r="IM3" s="1180"/>
      <c r="IN3" s="1180"/>
      <c r="IO3" s="1180"/>
      <c r="IP3" s="1180"/>
      <c r="IQ3" s="1180"/>
      <c r="IR3" s="1180"/>
      <c r="IS3" s="1180"/>
      <c r="IT3" s="1180"/>
      <c r="IU3" s="1180"/>
      <c r="IV3" s="1180"/>
    </row>
    <row r="4" spans="1:256" s="72" customFormat="1" ht="47.25" x14ac:dyDescent="0.25">
      <c r="A4" s="70" t="s">
        <v>1</v>
      </c>
      <c r="B4" s="70" t="s">
        <v>35</v>
      </c>
      <c r="C4" s="70" t="s">
        <v>36</v>
      </c>
      <c r="D4" s="70" t="s">
        <v>37</v>
      </c>
      <c r="E4" s="70" t="s">
        <v>129</v>
      </c>
      <c r="F4" s="70" t="s">
        <v>117</v>
      </c>
      <c r="G4" s="70" t="s">
        <v>38</v>
      </c>
      <c r="H4" s="70" t="s">
        <v>39</v>
      </c>
      <c r="I4" s="71" t="s">
        <v>40</v>
      </c>
      <c r="J4" s="71" t="s">
        <v>41</v>
      </c>
      <c r="K4" s="70" t="s">
        <v>42</v>
      </c>
      <c r="L4" s="70" t="s">
        <v>43</v>
      </c>
      <c r="M4" s="70" t="s">
        <v>44</v>
      </c>
      <c r="N4" s="70" t="s">
        <v>45</v>
      </c>
    </row>
    <row r="5" spans="1:256" s="72" customFormat="1" ht="21.75" customHeight="1" x14ac:dyDescent="0.25">
      <c r="A5" s="261" t="s">
        <v>46</v>
      </c>
      <c r="B5" s="262" t="s">
        <v>47</v>
      </c>
      <c r="C5" s="261"/>
      <c r="D5" s="261"/>
      <c r="E5" s="261"/>
      <c r="F5" s="261"/>
      <c r="G5" s="261"/>
      <c r="H5" s="261"/>
      <c r="I5" s="261"/>
      <c r="J5" s="261"/>
      <c r="K5" s="261"/>
      <c r="L5" s="261"/>
      <c r="M5" s="261"/>
      <c r="N5" s="261"/>
    </row>
    <row r="6" spans="1:256" s="72" customFormat="1" ht="21.75" customHeight="1" x14ac:dyDescent="0.25">
      <c r="A6" s="263">
        <v>1</v>
      </c>
      <c r="B6" s="264" t="s">
        <v>124</v>
      </c>
      <c r="C6" s="263" t="s">
        <v>78</v>
      </c>
      <c r="D6" s="265">
        <f>SUM(G6:N6)</f>
        <v>28.629999999999995</v>
      </c>
      <c r="E6" s="266"/>
      <c r="F6" s="266"/>
      <c r="G6" s="265">
        <v>2.0499999999999998</v>
      </c>
      <c r="H6" s="265">
        <v>4.6900000000000004</v>
      </c>
      <c r="I6" s="265">
        <v>7.19</v>
      </c>
      <c r="J6" s="265">
        <v>0</v>
      </c>
      <c r="K6" s="265">
        <v>2.2000000000000002</v>
      </c>
      <c r="L6" s="265">
        <v>8.67</v>
      </c>
      <c r="M6" s="265">
        <v>3.83</v>
      </c>
      <c r="N6" s="265"/>
    </row>
    <row r="7" spans="1:256" s="72" customFormat="1" ht="21.75" customHeight="1" x14ac:dyDescent="0.25">
      <c r="A7" s="263">
        <v>2</v>
      </c>
      <c r="B7" s="267" t="s">
        <v>118</v>
      </c>
      <c r="C7" s="268" t="s">
        <v>70</v>
      </c>
      <c r="D7" s="265">
        <f t="shared" ref="D7:D10" si="0">SUM(G7:N7)</f>
        <v>66</v>
      </c>
      <c r="E7" s="269"/>
      <c r="F7" s="266"/>
      <c r="G7" s="270">
        <v>8</v>
      </c>
      <c r="H7" s="270">
        <v>8</v>
      </c>
      <c r="I7" s="270">
        <v>9</v>
      </c>
      <c r="J7" s="270">
        <v>8</v>
      </c>
      <c r="K7" s="270">
        <v>13</v>
      </c>
      <c r="L7" s="270">
        <v>10</v>
      </c>
      <c r="M7" s="270">
        <f>11-1</f>
        <v>10</v>
      </c>
      <c r="N7" s="270">
        <v>0</v>
      </c>
    </row>
    <row r="8" spans="1:256" s="72" customFormat="1" ht="21.75" customHeight="1" x14ac:dyDescent="0.25">
      <c r="A8" s="263">
        <v>3</v>
      </c>
      <c r="B8" s="267" t="s">
        <v>119</v>
      </c>
      <c r="C8" s="268" t="s">
        <v>70</v>
      </c>
      <c r="D8" s="265">
        <f t="shared" si="0"/>
        <v>4</v>
      </c>
      <c r="E8" s="269"/>
      <c r="F8" s="266"/>
      <c r="G8" s="270">
        <v>1</v>
      </c>
      <c r="H8" s="270">
        <v>1</v>
      </c>
      <c r="I8" s="270">
        <v>0</v>
      </c>
      <c r="J8" s="270">
        <v>1</v>
      </c>
      <c r="K8" s="270">
        <f>2-1</f>
        <v>1</v>
      </c>
      <c r="L8" s="270">
        <v>0</v>
      </c>
      <c r="M8" s="270">
        <f>2-2</f>
        <v>0</v>
      </c>
      <c r="N8" s="270"/>
    </row>
    <row r="9" spans="1:256" s="72" customFormat="1" ht="21.75" customHeight="1" x14ac:dyDescent="0.25">
      <c r="A9" s="263">
        <v>4</v>
      </c>
      <c r="B9" s="267" t="s">
        <v>120</v>
      </c>
      <c r="C9" s="268" t="s">
        <v>70</v>
      </c>
      <c r="D9" s="265">
        <f t="shared" si="0"/>
        <v>38</v>
      </c>
      <c r="E9" s="269"/>
      <c r="F9" s="266"/>
      <c r="G9" s="270">
        <v>5</v>
      </c>
      <c r="H9" s="270">
        <v>11</v>
      </c>
      <c r="I9" s="270">
        <v>1</v>
      </c>
      <c r="J9" s="270">
        <v>5</v>
      </c>
      <c r="K9" s="270">
        <f>2+1</f>
        <v>3</v>
      </c>
      <c r="L9" s="270">
        <v>0</v>
      </c>
      <c r="M9" s="270">
        <f>3+2</f>
        <v>5</v>
      </c>
      <c r="N9" s="270">
        <v>8</v>
      </c>
    </row>
    <row r="10" spans="1:256" ht="36.75" customHeight="1" x14ac:dyDescent="0.25">
      <c r="A10" s="263">
        <v>6</v>
      </c>
      <c r="B10" s="264" t="s">
        <v>125</v>
      </c>
      <c r="C10" s="263" t="s">
        <v>126</v>
      </c>
      <c r="D10" s="265">
        <f t="shared" si="0"/>
        <v>14</v>
      </c>
      <c r="E10" s="266"/>
      <c r="F10" s="265"/>
      <c r="G10" s="265">
        <v>2</v>
      </c>
      <c r="H10" s="265">
        <v>3</v>
      </c>
      <c r="I10" s="265">
        <v>2</v>
      </c>
      <c r="J10" s="265">
        <v>0</v>
      </c>
      <c r="K10" s="265">
        <v>2</v>
      </c>
      <c r="L10" s="265">
        <v>3</v>
      </c>
      <c r="M10" s="265">
        <v>2</v>
      </c>
      <c r="N10" s="265">
        <v>0</v>
      </c>
    </row>
    <row r="11" spans="1:256" s="76" customFormat="1" ht="21.75" customHeight="1" x14ac:dyDescent="0.25">
      <c r="A11" s="251" t="s">
        <v>31</v>
      </c>
      <c r="B11" s="252" t="s">
        <v>79</v>
      </c>
      <c r="C11" s="271" t="s">
        <v>128</v>
      </c>
      <c r="D11" s="266">
        <f>SUM(D12:D16)</f>
        <v>413.15</v>
      </c>
      <c r="E11" s="266"/>
      <c r="F11" s="266"/>
      <c r="G11" s="266">
        <f t="shared" ref="G11:N11" si="1">SUM(G12:G16)</f>
        <v>44.75</v>
      </c>
      <c r="H11" s="266">
        <f t="shared" si="1"/>
        <v>65.95</v>
      </c>
      <c r="I11" s="266">
        <f t="shared" si="1"/>
        <v>67.95</v>
      </c>
      <c r="J11" s="266">
        <f t="shared" si="1"/>
        <v>30.5</v>
      </c>
      <c r="K11" s="266">
        <f t="shared" si="1"/>
        <v>58.5</v>
      </c>
      <c r="L11" s="266">
        <f t="shared" si="1"/>
        <v>79.349999999999994</v>
      </c>
      <c r="M11" s="266">
        <f t="shared" si="1"/>
        <v>58.15</v>
      </c>
      <c r="N11" s="266">
        <f t="shared" si="1"/>
        <v>8</v>
      </c>
    </row>
    <row r="12" spans="1:256" ht="21.75" customHeight="1" x14ac:dyDescent="0.25">
      <c r="A12" s="263">
        <v>1</v>
      </c>
      <c r="B12" s="264" t="s">
        <v>124</v>
      </c>
      <c r="C12" s="263">
        <v>5</v>
      </c>
      <c r="D12" s="265">
        <f>SUM(G12:N12)</f>
        <v>143.15</v>
      </c>
      <c r="E12" s="266"/>
      <c r="F12" s="265"/>
      <c r="G12" s="265">
        <f>G6*$C$12</f>
        <v>10.25</v>
      </c>
      <c r="H12" s="265">
        <f t="shared" ref="H12:N12" si="2">H6*$C$12</f>
        <v>23.450000000000003</v>
      </c>
      <c r="I12" s="265">
        <f t="shared" si="2"/>
        <v>35.950000000000003</v>
      </c>
      <c r="J12" s="265">
        <f t="shared" si="2"/>
        <v>0</v>
      </c>
      <c r="K12" s="265">
        <f t="shared" si="2"/>
        <v>11</v>
      </c>
      <c r="L12" s="265">
        <f t="shared" si="2"/>
        <v>43.35</v>
      </c>
      <c r="M12" s="265">
        <f t="shared" si="2"/>
        <v>19.149999999999999</v>
      </c>
      <c r="N12" s="265">
        <f t="shared" si="2"/>
        <v>0</v>
      </c>
    </row>
    <row r="13" spans="1:256" ht="21.75" customHeight="1" x14ac:dyDescent="0.25">
      <c r="A13" s="263">
        <v>2</v>
      </c>
      <c r="B13" s="267" t="s">
        <v>118</v>
      </c>
      <c r="C13" s="263">
        <v>3</v>
      </c>
      <c r="D13" s="265">
        <f t="shared" ref="D13:D16" si="3">SUM(G13:N13)</f>
        <v>198</v>
      </c>
      <c r="E13" s="266"/>
      <c r="F13" s="265"/>
      <c r="G13" s="265">
        <f>G7*$C$13</f>
        <v>24</v>
      </c>
      <c r="H13" s="265">
        <f t="shared" ref="H13:N13" si="4">H7*$C$13</f>
        <v>24</v>
      </c>
      <c r="I13" s="265">
        <f t="shared" si="4"/>
        <v>27</v>
      </c>
      <c r="J13" s="265">
        <f t="shared" si="4"/>
        <v>24</v>
      </c>
      <c r="K13" s="265">
        <f t="shared" si="4"/>
        <v>39</v>
      </c>
      <c r="L13" s="265">
        <f t="shared" si="4"/>
        <v>30</v>
      </c>
      <c r="M13" s="265">
        <f t="shared" si="4"/>
        <v>30</v>
      </c>
      <c r="N13" s="265">
        <f t="shared" si="4"/>
        <v>0</v>
      </c>
    </row>
    <row r="14" spans="1:256" ht="21.75" customHeight="1" x14ac:dyDescent="0.25">
      <c r="A14" s="263">
        <v>3</v>
      </c>
      <c r="B14" s="267" t="s">
        <v>119</v>
      </c>
      <c r="C14" s="263">
        <v>1.5</v>
      </c>
      <c r="D14" s="265">
        <f t="shared" si="3"/>
        <v>6</v>
      </c>
      <c r="E14" s="266"/>
      <c r="F14" s="265"/>
      <c r="G14" s="265">
        <f>G8*$C$14</f>
        <v>1.5</v>
      </c>
      <c r="H14" s="265">
        <f t="shared" ref="H14:N14" si="5">H8*$C$14</f>
        <v>1.5</v>
      </c>
      <c r="I14" s="265">
        <f t="shared" si="5"/>
        <v>0</v>
      </c>
      <c r="J14" s="265">
        <f t="shared" si="5"/>
        <v>1.5</v>
      </c>
      <c r="K14" s="265">
        <f t="shared" si="5"/>
        <v>1.5</v>
      </c>
      <c r="L14" s="265">
        <f t="shared" si="5"/>
        <v>0</v>
      </c>
      <c r="M14" s="265">
        <f t="shared" si="5"/>
        <v>0</v>
      </c>
      <c r="N14" s="265">
        <f t="shared" si="5"/>
        <v>0</v>
      </c>
    </row>
    <row r="15" spans="1:256" ht="21.75" customHeight="1" x14ac:dyDescent="0.25">
      <c r="A15" s="263">
        <v>4</v>
      </c>
      <c r="B15" s="267" t="s">
        <v>120</v>
      </c>
      <c r="C15" s="263">
        <v>1</v>
      </c>
      <c r="D15" s="265">
        <f t="shared" si="3"/>
        <v>38</v>
      </c>
      <c r="E15" s="266"/>
      <c r="F15" s="265"/>
      <c r="G15" s="265">
        <f>G9*$C$15</f>
        <v>5</v>
      </c>
      <c r="H15" s="265">
        <f t="shared" ref="H15:N15" si="6">H9*$C$15</f>
        <v>11</v>
      </c>
      <c r="I15" s="265">
        <f t="shared" si="6"/>
        <v>1</v>
      </c>
      <c r="J15" s="265">
        <f t="shared" si="6"/>
        <v>5</v>
      </c>
      <c r="K15" s="265">
        <f t="shared" si="6"/>
        <v>3</v>
      </c>
      <c r="L15" s="265">
        <f t="shared" si="6"/>
        <v>0</v>
      </c>
      <c r="M15" s="265">
        <f t="shared" si="6"/>
        <v>5</v>
      </c>
      <c r="N15" s="265">
        <f t="shared" si="6"/>
        <v>8</v>
      </c>
    </row>
    <row r="16" spans="1:256" ht="36.75" customHeight="1" x14ac:dyDescent="0.25">
      <c r="A16" s="263">
        <v>6</v>
      </c>
      <c r="B16" s="264" t="s">
        <v>125</v>
      </c>
      <c r="C16" s="263">
        <v>2</v>
      </c>
      <c r="D16" s="265">
        <f t="shared" si="3"/>
        <v>28</v>
      </c>
      <c r="E16" s="266"/>
      <c r="F16" s="265"/>
      <c r="G16" s="265">
        <f>G10*$C$16</f>
        <v>4</v>
      </c>
      <c r="H16" s="265">
        <f t="shared" ref="H16:N16" si="7">H10*$C$16</f>
        <v>6</v>
      </c>
      <c r="I16" s="265">
        <f t="shared" si="7"/>
        <v>4</v>
      </c>
      <c r="J16" s="265">
        <f t="shared" si="7"/>
        <v>0</v>
      </c>
      <c r="K16" s="265">
        <f t="shared" si="7"/>
        <v>4</v>
      </c>
      <c r="L16" s="265">
        <f t="shared" si="7"/>
        <v>6</v>
      </c>
      <c r="M16" s="265">
        <f t="shared" si="7"/>
        <v>4</v>
      </c>
      <c r="N16" s="265">
        <f t="shared" si="7"/>
        <v>0</v>
      </c>
    </row>
    <row r="17" spans="1:14" s="76" customFormat="1" ht="36.75" customHeight="1" x14ac:dyDescent="0.25">
      <c r="A17" s="254" t="s">
        <v>54</v>
      </c>
      <c r="B17" s="252" t="s">
        <v>195</v>
      </c>
      <c r="C17" s="248"/>
      <c r="D17" s="266">
        <v>4763</v>
      </c>
      <c r="E17" s="266">
        <f>E18</f>
        <v>572</v>
      </c>
      <c r="F17" s="266">
        <f t="shared" ref="F17:N17" si="8">F18</f>
        <v>381</v>
      </c>
      <c r="G17" s="266">
        <f t="shared" si="8"/>
        <v>413</v>
      </c>
      <c r="H17" s="266">
        <f t="shared" si="8"/>
        <v>608</v>
      </c>
      <c r="I17" s="266">
        <f t="shared" si="8"/>
        <v>627</v>
      </c>
      <c r="J17" s="266">
        <f t="shared" si="8"/>
        <v>281</v>
      </c>
      <c r="K17" s="266">
        <f t="shared" si="8"/>
        <v>539</v>
      </c>
      <c r="L17" s="266">
        <f t="shared" si="8"/>
        <v>732</v>
      </c>
      <c r="M17" s="266">
        <f t="shared" si="8"/>
        <v>536</v>
      </c>
      <c r="N17" s="266">
        <f t="shared" si="8"/>
        <v>74</v>
      </c>
    </row>
    <row r="18" spans="1:14" s="73" customFormat="1" ht="21.75" customHeight="1" x14ac:dyDescent="0.25">
      <c r="A18" s="263">
        <v>1</v>
      </c>
      <c r="B18" s="267" t="s">
        <v>201</v>
      </c>
      <c r="C18" s="248" t="s">
        <v>55</v>
      </c>
      <c r="D18" s="265">
        <f>SUM(E18:N18)</f>
        <v>4763</v>
      </c>
      <c r="E18" s="270">
        <f>ROUND(D17*12%,0)</f>
        <v>572</v>
      </c>
      <c r="F18" s="265">
        <f>ROUND(D17*8%,0)</f>
        <v>381</v>
      </c>
      <c r="G18" s="270">
        <f>ROUND(($D$17-$E$18-$F$18)/$D$11*G11,0)</f>
        <v>413</v>
      </c>
      <c r="H18" s="270">
        <f t="shared" ref="H18:N18" si="9">ROUND(($D$17-$E$18-$F$18)/$D$11*H11,0)</f>
        <v>608</v>
      </c>
      <c r="I18" s="270">
        <f t="shared" si="9"/>
        <v>627</v>
      </c>
      <c r="J18" s="270">
        <f t="shared" si="9"/>
        <v>281</v>
      </c>
      <c r="K18" s="270">
        <f t="shared" si="9"/>
        <v>539</v>
      </c>
      <c r="L18" s="270">
        <f t="shared" si="9"/>
        <v>732</v>
      </c>
      <c r="M18" s="270">
        <f t="shared" si="9"/>
        <v>536</v>
      </c>
      <c r="N18" s="270">
        <f t="shared" si="9"/>
        <v>74</v>
      </c>
    </row>
    <row r="19" spans="1:14" s="76" customFormat="1" ht="36.75" customHeight="1" x14ac:dyDescent="0.25">
      <c r="A19" s="254" t="s">
        <v>56</v>
      </c>
      <c r="B19" s="252" t="s">
        <v>265</v>
      </c>
      <c r="C19" s="248"/>
      <c r="D19" s="266">
        <f>D20</f>
        <v>239</v>
      </c>
      <c r="E19" s="266">
        <f t="shared" ref="E19:N19" si="10">E20</f>
        <v>29</v>
      </c>
      <c r="F19" s="266">
        <f t="shared" si="10"/>
        <v>19</v>
      </c>
      <c r="G19" s="266">
        <f t="shared" si="10"/>
        <v>21</v>
      </c>
      <c r="H19" s="266">
        <f t="shared" si="10"/>
        <v>30</v>
      </c>
      <c r="I19" s="266">
        <f t="shared" si="10"/>
        <v>31</v>
      </c>
      <c r="J19" s="266">
        <f t="shared" si="10"/>
        <v>14</v>
      </c>
      <c r="K19" s="266">
        <f t="shared" si="10"/>
        <v>27</v>
      </c>
      <c r="L19" s="266">
        <f t="shared" si="10"/>
        <v>37</v>
      </c>
      <c r="M19" s="266">
        <f t="shared" si="10"/>
        <v>27</v>
      </c>
      <c r="N19" s="266">
        <f t="shared" si="10"/>
        <v>4</v>
      </c>
    </row>
    <row r="20" spans="1:14" s="73" customFormat="1" ht="21.75" customHeight="1" x14ac:dyDescent="0.25">
      <c r="A20" s="263">
        <v>1</v>
      </c>
      <c r="B20" s="267" t="s">
        <v>201</v>
      </c>
      <c r="C20" s="248" t="s">
        <v>55</v>
      </c>
      <c r="D20" s="265">
        <f>SUM(E20:N20)</f>
        <v>239</v>
      </c>
      <c r="E20" s="270">
        <f>ROUND(E18*5%,0)</f>
        <v>29</v>
      </c>
      <c r="F20" s="270">
        <f t="shared" ref="F20:N20" si="11">ROUND(F18*5%,0)</f>
        <v>19</v>
      </c>
      <c r="G20" s="270">
        <f t="shared" si="11"/>
        <v>21</v>
      </c>
      <c r="H20" s="270">
        <f t="shared" si="11"/>
        <v>30</v>
      </c>
      <c r="I20" s="270">
        <f t="shared" si="11"/>
        <v>31</v>
      </c>
      <c r="J20" s="270">
        <f t="shared" si="11"/>
        <v>14</v>
      </c>
      <c r="K20" s="270">
        <f t="shared" si="11"/>
        <v>27</v>
      </c>
      <c r="L20" s="270">
        <f t="shared" si="11"/>
        <v>37</v>
      </c>
      <c r="M20" s="270">
        <f t="shared" si="11"/>
        <v>27</v>
      </c>
      <c r="N20" s="270">
        <f t="shared" si="11"/>
        <v>4</v>
      </c>
    </row>
    <row r="21" spans="1:14" s="76" customFormat="1" ht="21.75" customHeight="1" x14ac:dyDescent="0.25">
      <c r="A21" s="254" t="s">
        <v>57</v>
      </c>
      <c r="B21" s="252" t="s">
        <v>150</v>
      </c>
      <c r="C21" s="248"/>
      <c r="D21" s="266">
        <f>D22</f>
        <v>5002</v>
      </c>
      <c r="E21" s="266">
        <f t="shared" ref="E21:N21" si="12">E22</f>
        <v>601</v>
      </c>
      <c r="F21" s="266">
        <f t="shared" si="12"/>
        <v>400</v>
      </c>
      <c r="G21" s="266">
        <f t="shared" si="12"/>
        <v>434</v>
      </c>
      <c r="H21" s="266">
        <f t="shared" si="12"/>
        <v>638</v>
      </c>
      <c r="I21" s="266">
        <f t="shared" si="12"/>
        <v>658</v>
      </c>
      <c r="J21" s="266">
        <f t="shared" si="12"/>
        <v>295</v>
      </c>
      <c r="K21" s="266">
        <f t="shared" si="12"/>
        <v>566</v>
      </c>
      <c r="L21" s="266">
        <f t="shared" si="12"/>
        <v>769</v>
      </c>
      <c r="M21" s="266">
        <f t="shared" si="12"/>
        <v>563</v>
      </c>
      <c r="N21" s="266">
        <f t="shared" si="12"/>
        <v>78</v>
      </c>
    </row>
    <row r="22" spans="1:14" s="73" customFormat="1" ht="21.75" customHeight="1" x14ac:dyDescent="0.25">
      <c r="A22" s="272">
        <v>1</v>
      </c>
      <c r="B22" s="273" t="s">
        <v>201</v>
      </c>
      <c r="C22" s="259" t="s">
        <v>55</v>
      </c>
      <c r="D22" s="274">
        <f>SUM(E22:N22)</f>
        <v>5002</v>
      </c>
      <c r="E22" s="275">
        <f>E18+E20</f>
        <v>601</v>
      </c>
      <c r="F22" s="275">
        <f t="shared" ref="F22:N22" si="13">F18+F20</f>
        <v>400</v>
      </c>
      <c r="G22" s="275">
        <f t="shared" si="13"/>
        <v>434</v>
      </c>
      <c r="H22" s="275">
        <f t="shared" si="13"/>
        <v>638</v>
      </c>
      <c r="I22" s="275">
        <f t="shared" si="13"/>
        <v>658</v>
      </c>
      <c r="J22" s="275">
        <f t="shared" si="13"/>
        <v>295</v>
      </c>
      <c r="K22" s="275">
        <f t="shared" si="13"/>
        <v>566</v>
      </c>
      <c r="L22" s="275">
        <f t="shared" si="13"/>
        <v>769</v>
      </c>
      <c r="M22" s="275">
        <f t="shared" si="13"/>
        <v>563</v>
      </c>
      <c r="N22" s="275">
        <f t="shared" si="13"/>
        <v>78</v>
      </c>
    </row>
    <row r="23" spans="1:14" x14ac:dyDescent="0.25">
      <c r="F23" s="72"/>
      <c r="G23" s="72"/>
      <c r="H23" s="72"/>
      <c r="I23" s="72"/>
      <c r="J23" s="72"/>
      <c r="K23" s="72"/>
      <c r="L23" s="72"/>
      <c r="M23" s="72"/>
      <c r="N23" s="72"/>
    </row>
  </sheetData>
  <mergeCells count="22">
    <mergeCell ref="FA3:FM3"/>
    <mergeCell ref="BN3:BZ3"/>
    <mergeCell ref="CA3:CM3"/>
    <mergeCell ref="AN3:AZ3"/>
    <mergeCell ref="BA3:BM3"/>
    <mergeCell ref="DN3:DZ3"/>
    <mergeCell ref="EA3:EM3"/>
    <mergeCell ref="CN3:CZ3"/>
    <mergeCell ref="DA3:DM3"/>
    <mergeCell ref="EN3:EZ3"/>
    <mergeCell ref="O3:Z3"/>
    <mergeCell ref="AA3:AM3"/>
    <mergeCell ref="L1:N1"/>
    <mergeCell ref="A2:M2"/>
    <mergeCell ref="A3:N3"/>
    <mergeCell ref="HN3:HZ3"/>
    <mergeCell ref="IA3:IM3"/>
    <mergeCell ref="IN3:IV3"/>
    <mergeCell ref="FN3:FZ3"/>
    <mergeCell ref="GA3:GM3"/>
    <mergeCell ref="GN3:GZ3"/>
    <mergeCell ref="HA3:HM3"/>
  </mergeCells>
  <pageMargins left="0.48958333333333331" right="0.48958333333333331" top="0.5625" bottom="0.75" header="0.3" footer="0.3"/>
  <pageSetup paperSize="9"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IU19"/>
  <sheetViews>
    <sheetView zoomScale="85" zoomScaleNormal="85" zoomScalePageLayoutView="70" workbookViewId="0">
      <selection activeCell="O4" sqref="O4"/>
    </sheetView>
  </sheetViews>
  <sheetFormatPr defaultColWidth="7.75" defaultRowHeight="15.75" x14ac:dyDescent="0.25"/>
  <cols>
    <col min="1" max="1" width="6.75" style="96" customWidth="1"/>
    <col min="2" max="2" width="39.125" style="96" customWidth="1"/>
    <col min="3" max="3" width="11.75" style="96" customWidth="1"/>
    <col min="4" max="14" width="9.75" style="96" customWidth="1"/>
    <col min="15" max="15" width="11.25" style="96" customWidth="1"/>
    <col min="16" max="16384" width="7.75" style="96"/>
  </cols>
  <sheetData>
    <row r="1" spans="1:255" ht="31.5" customHeight="1" x14ac:dyDescent="0.25">
      <c r="M1" s="1176" t="s">
        <v>202</v>
      </c>
      <c r="N1" s="1176"/>
    </row>
    <row r="2" spans="1:255" s="13" customFormat="1" ht="66.75" customHeight="1" x14ac:dyDescent="0.25">
      <c r="A2" s="1187" t="s">
        <v>132</v>
      </c>
      <c r="B2" s="1187"/>
      <c r="C2" s="1187"/>
      <c r="D2" s="1187"/>
      <c r="E2" s="1187"/>
      <c r="F2" s="1187"/>
      <c r="G2" s="1187"/>
      <c r="H2" s="1187"/>
      <c r="I2" s="1187"/>
      <c r="J2" s="1187"/>
      <c r="K2" s="1187"/>
      <c r="L2" s="1187"/>
      <c r="M2" s="1187"/>
      <c r="N2" s="1187"/>
    </row>
    <row r="3" spans="1:255" s="16" customFormat="1" ht="31.5" customHeight="1" x14ac:dyDescent="0.25">
      <c r="A3" s="1185" t="str">
        <f>'B14-TDA2,DA9'!A3:N3</f>
        <v>(Kèm theo Tờ trình số:          /TTr-UBND ngày          tháng 11 năm 2022 của UBND tỉnh)</v>
      </c>
      <c r="B3" s="1186"/>
      <c r="C3" s="1186"/>
      <c r="D3" s="1186"/>
      <c r="E3" s="1186"/>
      <c r="F3" s="1186"/>
      <c r="G3" s="1186"/>
      <c r="H3" s="1186"/>
      <c r="I3" s="1186"/>
      <c r="J3" s="1186"/>
      <c r="K3" s="1186"/>
      <c r="L3" s="1186"/>
      <c r="M3" s="1186"/>
      <c r="N3" s="1186"/>
      <c r="O3" s="1184"/>
      <c r="P3" s="1184"/>
      <c r="Q3" s="1184"/>
      <c r="R3" s="1184"/>
      <c r="S3" s="1184"/>
      <c r="T3" s="1184"/>
      <c r="U3" s="1184"/>
      <c r="V3" s="1184"/>
      <c r="W3" s="1184"/>
      <c r="X3" s="1184"/>
      <c r="Y3" s="1184"/>
      <c r="Z3" s="1184"/>
      <c r="AA3" s="1184"/>
      <c r="AB3" s="1184"/>
      <c r="AC3" s="1184"/>
      <c r="AD3" s="1184"/>
      <c r="AE3" s="1184"/>
      <c r="AF3" s="1184"/>
      <c r="AG3" s="1184"/>
      <c r="AH3" s="1184"/>
      <c r="AI3" s="1184"/>
      <c r="AJ3" s="1184"/>
      <c r="AK3" s="1184"/>
      <c r="AL3" s="1184"/>
      <c r="AM3" s="1184"/>
      <c r="AN3" s="1184"/>
      <c r="AO3" s="1184"/>
      <c r="AP3" s="1184"/>
      <c r="AQ3" s="1184"/>
      <c r="AR3" s="1184"/>
      <c r="AS3" s="1184"/>
      <c r="AT3" s="1184"/>
      <c r="AU3" s="1184"/>
      <c r="AV3" s="1184"/>
      <c r="AW3" s="1184"/>
      <c r="AX3" s="1184"/>
      <c r="AY3" s="1184"/>
      <c r="AZ3" s="1184"/>
      <c r="BA3" s="1184"/>
      <c r="BB3" s="1184"/>
      <c r="BC3" s="1184"/>
      <c r="BD3" s="1184"/>
      <c r="BE3" s="1184"/>
      <c r="BF3" s="1184"/>
      <c r="BG3" s="1184"/>
      <c r="BH3" s="1184"/>
      <c r="BI3" s="1184"/>
      <c r="BJ3" s="1184"/>
      <c r="BK3" s="1184"/>
      <c r="BL3" s="1184"/>
      <c r="BM3" s="1184"/>
      <c r="BN3" s="1184"/>
      <c r="BO3" s="1184"/>
      <c r="BP3" s="1184"/>
      <c r="BQ3" s="1184"/>
      <c r="BR3" s="1184"/>
      <c r="BS3" s="1184"/>
      <c r="BT3" s="1184"/>
      <c r="BU3" s="1184"/>
      <c r="BV3" s="1184"/>
      <c r="BW3" s="1184"/>
      <c r="BX3" s="1184"/>
      <c r="BY3" s="1184"/>
      <c r="BZ3" s="1184"/>
      <c r="CA3" s="1184"/>
      <c r="CB3" s="1184"/>
      <c r="CC3" s="1184"/>
      <c r="CD3" s="1184"/>
      <c r="CE3" s="1184"/>
      <c r="CF3" s="1184"/>
      <c r="CG3" s="1184"/>
      <c r="CH3" s="1184"/>
      <c r="CI3" s="1184"/>
      <c r="CJ3" s="1184"/>
      <c r="CK3" s="1184"/>
      <c r="CL3" s="1184"/>
      <c r="CM3" s="1184"/>
      <c r="CN3" s="1184"/>
      <c r="CO3" s="1184"/>
      <c r="CP3" s="1184"/>
      <c r="CQ3" s="1184"/>
      <c r="CR3" s="1184"/>
      <c r="CS3" s="1184"/>
      <c r="CT3" s="1184"/>
      <c r="CU3" s="1184"/>
      <c r="CV3" s="1184"/>
      <c r="CW3" s="1184"/>
      <c r="CX3" s="1184"/>
      <c r="CY3" s="1184"/>
      <c r="CZ3" s="1184"/>
      <c r="DA3" s="1184"/>
      <c r="DB3" s="1184"/>
      <c r="DC3" s="1184"/>
      <c r="DD3" s="1184"/>
      <c r="DE3" s="1184"/>
      <c r="DF3" s="1184"/>
      <c r="DG3" s="1184"/>
      <c r="DH3" s="1184"/>
      <c r="DI3" s="1184"/>
      <c r="DJ3" s="1184"/>
      <c r="DK3" s="1184"/>
      <c r="DL3" s="1184"/>
      <c r="DM3" s="1184"/>
      <c r="DN3" s="1184"/>
      <c r="DO3" s="1184"/>
      <c r="DP3" s="1184"/>
      <c r="DQ3" s="1184"/>
      <c r="DR3" s="1184"/>
      <c r="DS3" s="1184"/>
      <c r="DT3" s="1184"/>
      <c r="DU3" s="1184"/>
      <c r="DV3" s="1184"/>
      <c r="DW3" s="1184"/>
      <c r="DX3" s="1184"/>
      <c r="DY3" s="1184"/>
      <c r="DZ3" s="1184"/>
      <c r="EA3" s="1184"/>
      <c r="EB3" s="1184"/>
      <c r="EC3" s="1184"/>
      <c r="ED3" s="1184"/>
      <c r="EE3" s="1184"/>
      <c r="EF3" s="1184"/>
      <c r="EG3" s="1184"/>
      <c r="EH3" s="1184"/>
      <c r="EI3" s="1184"/>
      <c r="EJ3" s="1184"/>
      <c r="EK3" s="1184"/>
      <c r="EL3" s="1184"/>
      <c r="EM3" s="1184"/>
      <c r="EN3" s="1184"/>
      <c r="EO3" s="1184"/>
      <c r="EP3" s="1184"/>
      <c r="EQ3" s="1184"/>
      <c r="ER3" s="1184"/>
      <c r="ES3" s="1184"/>
      <c r="ET3" s="1184"/>
      <c r="EU3" s="1184"/>
      <c r="EV3" s="1184"/>
      <c r="EW3" s="1184"/>
      <c r="EX3" s="1184"/>
      <c r="EY3" s="1184"/>
      <c r="EZ3" s="1184"/>
      <c r="FA3" s="1184"/>
      <c r="FB3" s="1184"/>
      <c r="FC3" s="1184"/>
      <c r="FD3" s="1184"/>
      <c r="FE3" s="1184"/>
      <c r="FF3" s="1184"/>
      <c r="FG3" s="1184"/>
      <c r="FH3" s="1184"/>
      <c r="FI3" s="1184"/>
      <c r="FJ3" s="1184"/>
      <c r="FK3" s="1184"/>
      <c r="FL3" s="1184"/>
      <c r="FM3" s="1184"/>
      <c r="FN3" s="1184"/>
      <c r="FO3" s="1184"/>
      <c r="FP3" s="1184"/>
      <c r="FQ3" s="1184"/>
      <c r="FR3" s="1184"/>
      <c r="FS3" s="1184"/>
      <c r="FT3" s="1184"/>
      <c r="FU3" s="1184"/>
      <c r="FV3" s="1184"/>
      <c r="FW3" s="1184"/>
      <c r="FX3" s="1184"/>
      <c r="FY3" s="1184"/>
      <c r="FZ3" s="1184"/>
      <c r="GA3" s="1184"/>
      <c r="GB3" s="1184"/>
      <c r="GC3" s="1184"/>
      <c r="GD3" s="1184"/>
      <c r="GE3" s="1184"/>
      <c r="GF3" s="1184"/>
      <c r="GG3" s="1184"/>
      <c r="GH3" s="1184"/>
      <c r="GI3" s="1184"/>
      <c r="GJ3" s="1184"/>
      <c r="GK3" s="1184"/>
      <c r="GL3" s="1184"/>
      <c r="GM3" s="1184"/>
      <c r="GN3" s="1184"/>
      <c r="GO3" s="1184"/>
      <c r="GP3" s="1184"/>
      <c r="GQ3" s="1184"/>
      <c r="GR3" s="1184"/>
      <c r="GS3" s="1184"/>
      <c r="GT3" s="1184"/>
      <c r="GU3" s="1184"/>
      <c r="GV3" s="1184"/>
      <c r="GW3" s="1184"/>
      <c r="GX3" s="1184"/>
      <c r="GY3" s="1184"/>
      <c r="GZ3" s="1184"/>
      <c r="HA3" s="1184"/>
      <c r="HB3" s="1184"/>
      <c r="HC3" s="1184"/>
      <c r="HD3" s="1184"/>
      <c r="HE3" s="1184"/>
      <c r="HF3" s="1184"/>
      <c r="HG3" s="1184"/>
      <c r="HH3" s="1184"/>
      <c r="HI3" s="1184"/>
      <c r="HJ3" s="1184"/>
      <c r="HK3" s="1184"/>
      <c r="HL3" s="1184"/>
      <c r="HM3" s="1184"/>
      <c r="HN3" s="1184"/>
      <c r="HO3" s="1184"/>
      <c r="HP3" s="1184"/>
      <c r="HQ3" s="1184"/>
      <c r="HR3" s="1184"/>
      <c r="HS3" s="1184"/>
      <c r="HT3" s="1184"/>
      <c r="HU3" s="1184"/>
      <c r="HV3" s="1184"/>
      <c r="HW3" s="1184"/>
      <c r="HX3" s="1184"/>
      <c r="HY3" s="1184"/>
      <c r="HZ3" s="1184"/>
      <c r="IA3" s="1184"/>
      <c r="IB3" s="1184"/>
      <c r="IC3" s="1184"/>
      <c r="ID3" s="1184"/>
      <c r="IE3" s="1184"/>
      <c r="IF3" s="1184"/>
      <c r="IG3" s="1184"/>
      <c r="IH3" s="1184"/>
      <c r="II3" s="1184"/>
      <c r="IJ3" s="1184"/>
      <c r="IK3" s="1184"/>
      <c r="IL3" s="1184"/>
      <c r="IM3" s="1184"/>
      <c r="IN3" s="1184"/>
      <c r="IO3" s="1184"/>
      <c r="IP3" s="1184"/>
      <c r="IQ3" s="1184"/>
      <c r="IR3" s="1184"/>
      <c r="IS3" s="1184"/>
      <c r="IT3" s="1184"/>
      <c r="IU3" s="1184"/>
    </row>
    <row r="4" spans="1:255" s="12" customFormat="1" ht="72.75" customHeight="1" x14ac:dyDescent="0.25">
      <c r="A4" s="10" t="s">
        <v>1</v>
      </c>
      <c r="B4" s="10" t="s">
        <v>35</v>
      </c>
      <c r="C4" s="10" t="s">
        <v>36</v>
      </c>
      <c r="D4" s="10" t="s">
        <v>37</v>
      </c>
      <c r="E4" s="10" t="s">
        <v>130</v>
      </c>
      <c r="F4" s="10" t="s">
        <v>131</v>
      </c>
      <c r="G4" s="10" t="s">
        <v>38</v>
      </c>
      <c r="H4" s="10" t="s">
        <v>39</v>
      </c>
      <c r="I4" s="10" t="s">
        <v>40</v>
      </c>
      <c r="J4" s="10" t="s">
        <v>41</v>
      </c>
      <c r="K4" s="10" t="s">
        <v>42</v>
      </c>
      <c r="L4" s="10" t="s">
        <v>43</v>
      </c>
      <c r="M4" s="10" t="s">
        <v>44</v>
      </c>
      <c r="N4" s="10" t="s">
        <v>45</v>
      </c>
    </row>
    <row r="5" spans="1:255" s="12" customFormat="1" ht="28.5" customHeight="1" x14ac:dyDescent="0.25">
      <c r="A5" s="107" t="s">
        <v>46</v>
      </c>
      <c r="B5" s="122" t="s">
        <v>47</v>
      </c>
      <c r="C5" s="107"/>
      <c r="D5" s="278"/>
      <c r="E5" s="278"/>
      <c r="F5" s="278"/>
      <c r="G5" s="278"/>
      <c r="H5" s="278"/>
      <c r="I5" s="278"/>
      <c r="J5" s="278"/>
      <c r="K5" s="278"/>
      <c r="L5" s="278"/>
      <c r="M5" s="278"/>
      <c r="N5" s="278"/>
    </row>
    <row r="6" spans="1:255" s="12" customFormat="1" ht="28.5" customHeight="1" x14ac:dyDescent="0.25">
      <c r="A6" s="111">
        <v>1</v>
      </c>
      <c r="B6" s="279" t="s">
        <v>90</v>
      </c>
      <c r="C6" s="280" t="s">
        <v>70</v>
      </c>
      <c r="D6" s="281">
        <f>SUM(G6:N6)</f>
        <v>108</v>
      </c>
      <c r="E6" s="281"/>
      <c r="F6" s="281"/>
      <c r="G6" s="281">
        <v>14</v>
      </c>
      <c r="H6" s="281">
        <v>20</v>
      </c>
      <c r="I6" s="281">
        <v>10</v>
      </c>
      <c r="J6" s="281">
        <v>14</v>
      </c>
      <c r="K6" s="281">
        <v>17</v>
      </c>
      <c r="L6" s="281">
        <v>10</v>
      </c>
      <c r="M6" s="281">
        <v>15</v>
      </c>
      <c r="N6" s="281">
        <v>8</v>
      </c>
    </row>
    <row r="7" spans="1:255" s="97" customFormat="1" ht="28.5" customHeight="1" x14ac:dyDescent="0.25">
      <c r="A7" s="282" t="s">
        <v>31</v>
      </c>
      <c r="B7" s="283" t="s">
        <v>79</v>
      </c>
      <c r="C7" s="282"/>
      <c r="D7" s="281"/>
      <c r="E7" s="284"/>
      <c r="F7" s="284"/>
      <c r="G7" s="284"/>
      <c r="H7" s="284"/>
      <c r="I7" s="284"/>
      <c r="J7" s="284"/>
      <c r="K7" s="284"/>
      <c r="L7" s="284"/>
      <c r="M7" s="284"/>
      <c r="N7" s="284"/>
    </row>
    <row r="8" spans="1:255" ht="28.5" customHeight="1" x14ac:dyDescent="0.25">
      <c r="A8" s="111">
        <v>1</v>
      </c>
      <c r="B8" s="279" t="s">
        <v>90</v>
      </c>
      <c r="C8" s="285">
        <v>27</v>
      </c>
      <c r="D8" s="281">
        <f t="shared" ref="D8" si="0">SUM(G8:N8)</f>
        <v>2916</v>
      </c>
      <c r="E8" s="281"/>
      <c r="F8" s="281"/>
      <c r="G8" s="286">
        <f>G6*$C$8</f>
        <v>378</v>
      </c>
      <c r="H8" s="286">
        <f t="shared" ref="H8:N8" si="1">H6*$C$8</f>
        <v>540</v>
      </c>
      <c r="I8" s="286">
        <f t="shared" si="1"/>
        <v>270</v>
      </c>
      <c r="J8" s="286">
        <f t="shared" si="1"/>
        <v>378</v>
      </c>
      <c r="K8" s="286">
        <f t="shared" si="1"/>
        <v>459</v>
      </c>
      <c r="L8" s="286">
        <f t="shared" si="1"/>
        <v>270</v>
      </c>
      <c r="M8" s="286">
        <f t="shared" si="1"/>
        <v>405</v>
      </c>
      <c r="N8" s="286">
        <f t="shared" si="1"/>
        <v>216</v>
      </c>
    </row>
    <row r="9" spans="1:255" s="276" customFormat="1" ht="42" customHeight="1" x14ac:dyDescent="0.25">
      <c r="A9" s="282" t="s">
        <v>54</v>
      </c>
      <c r="B9" s="121" t="s">
        <v>183</v>
      </c>
      <c r="C9" s="109"/>
      <c r="D9" s="287">
        <v>11008</v>
      </c>
      <c r="E9" s="287">
        <f>E10</f>
        <v>3853</v>
      </c>
      <c r="F9" s="287">
        <f t="shared" ref="F9:N9" si="2">F10</f>
        <v>1651</v>
      </c>
      <c r="G9" s="287">
        <f t="shared" si="2"/>
        <v>713</v>
      </c>
      <c r="H9" s="287">
        <f t="shared" si="2"/>
        <v>1019</v>
      </c>
      <c r="I9" s="287">
        <f t="shared" si="2"/>
        <v>510</v>
      </c>
      <c r="J9" s="287">
        <f t="shared" si="2"/>
        <v>713</v>
      </c>
      <c r="K9" s="287">
        <f t="shared" si="2"/>
        <v>866</v>
      </c>
      <c r="L9" s="287">
        <f t="shared" si="2"/>
        <v>511</v>
      </c>
      <c r="M9" s="287">
        <f t="shared" si="2"/>
        <v>764</v>
      </c>
      <c r="N9" s="287">
        <f t="shared" si="2"/>
        <v>408</v>
      </c>
    </row>
    <row r="10" spans="1:255" ht="28.5" customHeight="1" x14ac:dyDescent="0.25">
      <c r="A10" s="111">
        <v>1</v>
      </c>
      <c r="B10" s="279" t="s">
        <v>170</v>
      </c>
      <c r="C10" s="111" t="s">
        <v>55</v>
      </c>
      <c r="D10" s="281">
        <f>SUM(E10:N10)</f>
        <v>11008</v>
      </c>
      <c r="E10" s="281">
        <f>ROUND($D$9*35%,0)</f>
        <v>3853</v>
      </c>
      <c r="F10" s="281">
        <f>ROUND($D$9*15%,0)</f>
        <v>1651</v>
      </c>
      <c r="G10" s="286">
        <f>ROUND(($D$9-$E$10-$F$10)/$D$8*G8,0)</f>
        <v>713</v>
      </c>
      <c r="H10" s="286">
        <f t="shared" ref="H10:N10" si="3">ROUND(($D$9-$E$10-$F$10)/$D$8*H8,0)</f>
        <v>1019</v>
      </c>
      <c r="I10" s="286">
        <f t="shared" si="3"/>
        <v>510</v>
      </c>
      <c r="J10" s="286">
        <f>ROUND(($D$9-$E$10-$F$10)/$D$8*J8,0)</f>
        <v>713</v>
      </c>
      <c r="K10" s="286">
        <f t="shared" si="3"/>
        <v>866</v>
      </c>
      <c r="L10" s="286">
        <f>ROUND(($D$9-$E$10-$F$10)/$D$8*L8+1,0)</f>
        <v>511</v>
      </c>
      <c r="M10" s="286">
        <f t="shared" si="3"/>
        <v>764</v>
      </c>
      <c r="N10" s="286">
        <f t="shared" si="3"/>
        <v>408</v>
      </c>
    </row>
    <row r="11" spans="1:255" s="276" customFormat="1" ht="42" customHeight="1" x14ac:dyDescent="0.25">
      <c r="A11" s="282" t="s">
        <v>56</v>
      </c>
      <c r="B11" s="121" t="s">
        <v>318</v>
      </c>
      <c r="C11" s="109"/>
      <c r="D11" s="287">
        <f>D12</f>
        <v>631</v>
      </c>
      <c r="E11" s="287">
        <f t="shared" ref="E11:N11" si="4">E12</f>
        <v>221</v>
      </c>
      <c r="F11" s="287">
        <f t="shared" si="4"/>
        <v>95</v>
      </c>
      <c r="G11" s="287">
        <f t="shared" si="4"/>
        <v>41</v>
      </c>
      <c r="H11" s="287">
        <f t="shared" si="4"/>
        <v>58</v>
      </c>
      <c r="I11" s="287">
        <f t="shared" si="4"/>
        <v>29</v>
      </c>
      <c r="J11" s="287">
        <f t="shared" si="4"/>
        <v>41</v>
      </c>
      <c r="K11" s="287">
        <f t="shared" si="4"/>
        <v>50</v>
      </c>
      <c r="L11" s="287">
        <f t="shared" si="4"/>
        <v>29</v>
      </c>
      <c r="M11" s="287">
        <f t="shared" si="4"/>
        <v>44</v>
      </c>
      <c r="N11" s="287">
        <f t="shared" si="4"/>
        <v>23</v>
      </c>
    </row>
    <row r="12" spans="1:255" ht="29.25" customHeight="1" x14ac:dyDescent="0.25">
      <c r="A12" s="111">
        <v>1</v>
      </c>
      <c r="B12" s="279" t="s">
        <v>170</v>
      </c>
      <c r="C12" s="111" t="s">
        <v>55</v>
      </c>
      <c r="D12" s="281">
        <f>SUM(E12:N12)</f>
        <v>631</v>
      </c>
      <c r="E12" s="281">
        <f>ROUND(E10*5.73%,0)</f>
        <v>221</v>
      </c>
      <c r="F12" s="281">
        <f>ROUND(F10*5.73%,0)</f>
        <v>95</v>
      </c>
      <c r="G12" s="281">
        <f t="shared" ref="G12:M12" si="5">ROUND(G10*5.73%,0)</f>
        <v>41</v>
      </c>
      <c r="H12" s="281">
        <f t="shared" si="5"/>
        <v>58</v>
      </c>
      <c r="I12" s="281">
        <f t="shared" si="5"/>
        <v>29</v>
      </c>
      <c r="J12" s="281">
        <f t="shared" si="5"/>
        <v>41</v>
      </c>
      <c r="K12" s="281">
        <f t="shared" si="5"/>
        <v>50</v>
      </c>
      <c r="L12" s="281">
        <f t="shared" si="5"/>
        <v>29</v>
      </c>
      <c r="M12" s="281">
        <f t="shared" si="5"/>
        <v>44</v>
      </c>
      <c r="N12" s="281">
        <f>ROUND(N10*5.73%,0)</f>
        <v>23</v>
      </c>
    </row>
    <row r="13" spans="1:255" s="276" customFormat="1" ht="29.25" customHeight="1" x14ac:dyDescent="0.25">
      <c r="A13" s="282" t="s">
        <v>57</v>
      </c>
      <c r="B13" s="121" t="s">
        <v>150</v>
      </c>
      <c r="C13" s="109"/>
      <c r="D13" s="287">
        <f>D14</f>
        <v>11639</v>
      </c>
      <c r="E13" s="287">
        <f t="shared" ref="E13:N13" si="6">E14</f>
        <v>4074</v>
      </c>
      <c r="F13" s="287">
        <f t="shared" si="6"/>
        <v>1746</v>
      </c>
      <c r="G13" s="287">
        <f t="shared" si="6"/>
        <v>754</v>
      </c>
      <c r="H13" s="287">
        <f t="shared" si="6"/>
        <v>1077</v>
      </c>
      <c r="I13" s="287">
        <f t="shared" si="6"/>
        <v>539</v>
      </c>
      <c r="J13" s="287">
        <f t="shared" si="6"/>
        <v>754</v>
      </c>
      <c r="K13" s="287">
        <f t="shared" si="6"/>
        <v>916</v>
      </c>
      <c r="L13" s="287">
        <f t="shared" si="6"/>
        <v>540</v>
      </c>
      <c r="M13" s="287">
        <f t="shared" si="6"/>
        <v>808</v>
      </c>
      <c r="N13" s="287">
        <f t="shared" si="6"/>
        <v>431</v>
      </c>
    </row>
    <row r="14" spans="1:255" ht="29.25" customHeight="1" x14ac:dyDescent="0.25">
      <c r="A14" s="195">
        <v>1</v>
      </c>
      <c r="B14" s="288" t="s">
        <v>170</v>
      </c>
      <c r="C14" s="195" t="s">
        <v>55</v>
      </c>
      <c r="D14" s="289">
        <f>SUM(E14:N14)</f>
        <v>11639</v>
      </c>
      <c r="E14" s="289">
        <f>E12+E10</f>
        <v>4074</v>
      </c>
      <c r="F14" s="289">
        <f t="shared" ref="F14:N14" si="7">F12+F10</f>
        <v>1746</v>
      </c>
      <c r="G14" s="289">
        <f t="shared" si="7"/>
        <v>754</v>
      </c>
      <c r="H14" s="289">
        <f t="shared" si="7"/>
        <v>1077</v>
      </c>
      <c r="I14" s="289">
        <f t="shared" si="7"/>
        <v>539</v>
      </c>
      <c r="J14" s="289">
        <f t="shared" si="7"/>
        <v>754</v>
      </c>
      <c r="K14" s="289">
        <f t="shared" si="7"/>
        <v>916</v>
      </c>
      <c r="L14" s="289">
        <f t="shared" si="7"/>
        <v>540</v>
      </c>
      <c r="M14" s="289">
        <f t="shared" si="7"/>
        <v>808</v>
      </c>
      <c r="N14" s="289">
        <f t="shared" si="7"/>
        <v>431</v>
      </c>
    </row>
    <row r="15" spans="1:255" ht="34.5" customHeight="1" x14ac:dyDescent="0.25">
      <c r="A15" s="48"/>
      <c r="B15" s="48"/>
      <c r="C15" s="48"/>
      <c r="D15" s="48"/>
      <c r="E15" s="48"/>
      <c r="F15" s="48"/>
      <c r="G15" s="48"/>
      <c r="H15" s="48"/>
      <c r="I15" s="48"/>
      <c r="J15" s="48"/>
      <c r="K15" s="48"/>
      <c r="L15" s="48"/>
      <c r="M15" s="48"/>
      <c r="N15" s="48"/>
    </row>
    <row r="17" spans="8:9" x14ac:dyDescent="0.25">
      <c r="H17" s="96">
        <v>16720</v>
      </c>
      <c r="I17" s="96">
        <f>H17*5%</f>
        <v>836</v>
      </c>
    </row>
    <row r="18" spans="8:9" x14ac:dyDescent="0.25">
      <c r="H18" s="277">
        <f>11008+3592</f>
        <v>14600</v>
      </c>
      <c r="I18" s="423">
        <f>I17/H18</f>
        <v>5.7260273972602742E-2</v>
      </c>
    </row>
    <row r="19" spans="8:9" x14ac:dyDescent="0.25">
      <c r="H19" s="98"/>
    </row>
  </sheetData>
  <mergeCells count="22">
    <mergeCell ref="IM3:IU3"/>
    <mergeCell ref="A2:N2"/>
    <mergeCell ref="DM3:DY3"/>
    <mergeCell ref="DZ3:EL3"/>
    <mergeCell ref="EM3:EY3"/>
    <mergeCell ref="EZ3:FL3"/>
    <mergeCell ref="FM3:FY3"/>
    <mergeCell ref="AM3:AY3"/>
    <mergeCell ref="AZ3:BL3"/>
    <mergeCell ref="GZ3:HL3"/>
    <mergeCell ref="HM3:HY3"/>
    <mergeCell ref="HZ3:IL3"/>
    <mergeCell ref="M1:N1"/>
    <mergeCell ref="GM3:GY3"/>
    <mergeCell ref="A3:N3"/>
    <mergeCell ref="O3:Y3"/>
    <mergeCell ref="Z3:AL3"/>
    <mergeCell ref="BM3:BY3"/>
    <mergeCell ref="BZ3:CL3"/>
    <mergeCell ref="CM3:CY3"/>
    <mergeCell ref="CZ3:DL3"/>
    <mergeCell ref="FZ3:GL3"/>
  </mergeCells>
  <printOptions gridLines="1"/>
  <pageMargins left="0.39154411764705899" right="0.44538690476190479" top="0.75" bottom="0.75" header="0.3" footer="0.3"/>
  <pageSetup paperSize="9" scale="73" fitToHeight="0"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1:N16"/>
  <sheetViews>
    <sheetView topLeftCell="A4" zoomScale="85" zoomScaleNormal="85" zoomScalePageLayoutView="53" workbookViewId="0">
      <pane xSplit="2" ySplit="1" topLeftCell="C5" activePane="bottomRight" state="frozen"/>
      <selection activeCell="A4" sqref="A4"/>
      <selection pane="topRight" activeCell="C4" sqref="C4"/>
      <selection pane="bottomLeft" activeCell="A5" sqref="A5"/>
      <selection pane="bottomRight" activeCell="P7" sqref="P7"/>
    </sheetView>
  </sheetViews>
  <sheetFormatPr defaultColWidth="7.75" defaultRowHeight="15.75" x14ac:dyDescent="0.25"/>
  <cols>
    <col min="1" max="1" width="6.75" style="79" customWidth="1"/>
    <col min="2" max="2" width="39.75" style="78" customWidth="1"/>
    <col min="3" max="3" width="11.5" style="79" customWidth="1"/>
    <col min="4" max="14" width="11.125" style="79" customWidth="1"/>
    <col min="15" max="16" width="12.75" style="78" bestFit="1" customWidth="1"/>
    <col min="17" max="20" width="10.75" style="78" customWidth="1"/>
    <col min="21" max="16384" width="7.75" style="78"/>
  </cols>
  <sheetData>
    <row r="1" spans="1:14" ht="30" customHeight="1" x14ac:dyDescent="0.25">
      <c r="A1" s="80"/>
      <c r="B1" s="81"/>
      <c r="C1" s="80"/>
      <c r="D1" s="80"/>
      <c r="E1" s="80"/>
      <c r="F1" s="80"/>
      <c r="G1" s="80"/>
      <c r="H1" s="80"/>
      <c r="I1" s="80"/>
      <c r="J1" s="80"/>
      <c r="K1" s="80"/>
      <c r="L1" s="1190" t="s">
        <v>203</v>
      </c>
      <c r="M1" s="1190"/>
      <c r="N1" s="1190"/>
    </row>
    <row r="2" spans="1:14" ht="58.5" customHeight="1" x14ac:dyDescent="0.25">
      <c r="A2" s="1188" t="s">
        <v>134</v>
      </c>
      <c r="B2" s="1188"/>
      <c r="C2" s="1188"/>
      <c r="D2" s="1188"/>
      <c r="E2" s="1188"/>
      <c r="F2" s="1188"/>
      <c r="G2" s="1188"/>
      <c r="H2" s="1188"/>
      <c r="I2" s="1188"/>
      <c r="J2" s="1188"/>
      <c r="K2" s="1188"/>
      <c r="L2" s="1188"/>
      <c r="M2" s="1188"/>
      <c r="N2" s="1188"/>
    </row>
    <row r="3" spans="1:14" ht="36" customHeight="1" x14ac:dyDescent="0.25">
      <c r="A3" s="1189" t="str">
        <f>'B15-TDA1,DA10'!A3:N3</f>
        <v>(Kèm theo Tờ trình số:          /TTr-UBND ngày          tháng 11 năm 2022 của UBND tỉnh)</v>
      </c>
      <c r="B3" s="1189"/>
      <c r="C3" s="1189"/>
      <c r="D3" s="1189"/>
      <c r="E3" s="1189"/>
      <c r="F3" s="1189"/>
      <c r="G3" s="1189"/>
      <c r="H3" s="1189"/>
      <c r="I3" s="1189"/>
      <c r="J3" s="1189"/>
      <c r="K3" s="1189"/>
      <c r="L3" s="1189"/>
      <c r="M3" s="1189"/>
      <c r="N3" s="1189"/>
    </row>
    <row r="4" spans="1:14" s="72" customFormat="1" ht="58.5" customHeight="1" x14ac:dyDescent="0.25">
      <c r="A4" s="82" t="s">
        <v>1</v>
      </c>
      <c r="B4" s="82" t="s">
        <v>35</v>
      </c>
      <c r="C4" s="82" t="s">
        <v>36</v>
      </c>
      <c r="D4" s="82" t="s">
        <v>37</v>
      </c>
      <c r="E4" s="82" t="s">
        <v>135</v>
      </c>
      <c r="F4" s="82" t="s">
        <v>204</v>
      </c>
      <c r="G4" s="82" t="s">
        <v>38</v>
      </c>
      <c r="H4" s="82" t="s">
        <v>39</v>
      </c>
      <c r="I4" s="82" t="s">
        <v>40</v>
      </c>
      <c r="J4" s="82" t="s">
        <v>41</v>
      </c>
      <c r="K4" s="82" t="s">
        <v>42</v>
      </c>
      <c r="L4" s="82" t="s">
        <v>43</v>
      </c>
      <c r="M4" s="82" t="s">
        <v>44</v>
      </c>
      <c r="N4" s="82" t="s">
        <v>45</v>
      </c>
    </row>
    <row r="5" spans="1:14" s="76" customFormat="1" ht="27.75" customHeight="1" x14ac:dyDescent="0.25">
      <c r="A5" s="290" t="s">
        <v>46</v>
      </c>
      <c r="B5" s="291" t="s">
        <v>47</v>
      </c>
      <c r="C5" s="290"/>
      <c r="D5" s="290"/>
      <c r="E5" s="290"/>
      <c r="F5" s="290"/>
      <c r="G5" s="290"/>
      <c r="H5" s="290"/>
      <c r="I5" s="290"/>
      <c r="J5" s="290"/>
      <c r="K5" s="290"/>
      <c r="L5" s="290"/>
      <c r="M5" s="290"/>
      <c r="N5" s="290"/>
    </row>
    <row r="6" spans="1:14" ht="40.5" customHeight="1" x14ac:dyDescent="0.25">
      <c r="A6" s="292">
        <v>1</v>
      </c>
      <c r="B6" s="293" t="s">
        <v>133</v>
      </c>
      <c r="C6" s="292" t="s">
        <v>70</v>
      </c>
      <c r="D6" s="293">
        <f>SUM(G6:N6)</f>
        <v>66</v>
      </c>
      <c r="E6" s="293"/>
      <c r="F6" s="293"/>
      <c r="G6" s="293">
        <v>8</v>
      </c>
      <c r="H6" s="293">
        <v>8</v>
      </c>
      <c r="I6" s="293">
        <v>9</v>
      </c>
      <c r="J6" s="293">
        <v>8</v>
      </c>
      <c r="K6" s="293">
        <v>13</v>
      </c>
      <c r="L6" s="293">
        <v>10</v>
      </c>
      <c r="M6" s="293">
        <v>10</v>
      </c>
      <c r="N6" s="293">
        <v>0</v>
      </c>
    </row>
    <row r="7" spans="1:14" ht="57.75" customHeight="1" x14ac:dyDescent="0.25">
      <c r="A7" s="292">
        <v>2</v>
      </c>
      <c r="B7" s="293" t="s">
        <v>136</v>
      </c>
      <c r="C7" s="292" t="s">
        <v>73</v>
      </c>
      <c r="D7" s="293">
        <f>SUM(G7:N7)</f>
        <v>61</v>
      </c>
      <c r="E7" s="293"/>
      <c r="F7" s="293"/>
      <c r="G7" s="293">
        <v>9</v>
      </c>
      <c r="H7" s="293">
        <v>15</v>
      </c>
      <c r="I7" s="293">
        <v>1</v>
      </c>
      <c r="J7" s="293">
        <v>10</v>
      </c>
      <c r="K7" s="293">
        <v>11</v>
      </c>
      <c r="L7" s="293">
        <v>0</v>
      </c>
      <c r="M7" s="293">
        <v>14</v>
      </c>
      <c r="N7" s="293">
        <v>1</v>
      </c>
    </row>
    <row r="8" spans="1:14" s="76" customFormat="1" ht="27.75" customHeight="1" x14ac:dyDescent="0.25">
      <c r="A8" s="294" t="s">
        <v>31</v>
      </c>
      <c r="B8" s="295" t="s">
        <v>79</v>
      </c>
      <c r="C8" s="294"/>
      <c r="D8" s="295">
        <f>SUM(D9:D10)</f>
        <v>2010.5</v>
      </c>
      <c r="E8" s="295"/>
      <c r="F8" s="295"/>
      <c r="G8" s="295">
        <f t="shared" ref="G8:N8" si="0">SUM(G9:G10)</f>
        <v>244.5</v>
      </c>
      <c r="H8" s="295">
        <f t="shared" si="0"/>
        <v>247.5</v>
      </c>
      <c r="I8" s="295">
        <f t="shared" si="0"/>
        <v>270.5</v>
      </c>
      <c r="J8" s="295">
        <f t="shared" si="0"/>
        <v>245</v>
      </c>
      <c r="K8" s="295">
        <f t="shared" si="0"/>
        <v>395.5</v>
      </c>
      <c r="L8" s="295">
        <f t="shared" si="0"/>
        <v>300</v>
      </c>
      <c r="M8" s="295">
        <f t="shared" si="0"/>
        <v>307</v>
      </c>
      <c r="N8" s="295">
        <f t="shared" si="0"/>
        <v>0.5</v>
      </c>
    </row>
    <row r="9" spans="1:14" ht="39.75" customHeight="1" x14ac:dyDescent="0.25">
      <c r="A9" s="292">
        <v>1</v>
      </c>
      <c r="B9" s="293" t="s">
        <v>133</v>
      </c>
      <c r="C9" s="292">
        <v>30</v>
      </c>
      <c r="D9" s="293">
        <f>SUM(G9:N9)</f>
        <v>1980</v>
      </c>
      <c r="E9" s="293"/>
      <c r="F9" s="293"/>
      <c r="G9" s="293">
        <f>$C9*G6</f>
        <v>240</v>
      </c>
      <c r="H9" s="293">
        <f t="shared" ref="H9:N9" si="1">$C9*H6</f>
        <v>240</v>
      </c>
      <c r="I9" s="293">
        <f t="shared" si="1"/>
        <v>270</v>
      </c>
      <c r="J9" s="293">
        <f t="shared" si="1"/>
        <v>240</v>
      </c>
      <c r="K9" s="293">
        <f t="shared" si="1"/>
        <v>390</v>
      </c>
      <c r="L9" s="293">
        <f t="shared" si="1"/>
        <v>300</v>
      </c>
      <c r="M9" s="293">
        <f t="shared" si="1"/>
        <v>300</v>
      </c>
      <c r="N9" s="293">
        <f t="shared" si="1"/>
        <v>0</v>
      </c>
    </row>
    <row r="10" spans="1:14" ht="57.75" customHeight="1" x14ac:dyDescent="0.25">
      <c r="A10" s="292">
        <v>2</v>
      </c>
      <c r="B10" s="293" t="s">
        <v>136</v>
      </c>
      <c r="C10" s="296">
        <v>0.5</v>
      </c>
      <c r="D10" s="293">
        <f>SUM(G10:N10)</f>
        <v>30.5</v>
      </c>
      <c r="E10" s="293"/>
      <c r="F10" s="293"/>
      <c r="G10" s="293">
        <f>$C10*G7</f>
        <v>4.5</v>
      </c>
      <c r="H10" s="293">
        <f t="shared" ref="H10:N10" si="2">$C10*H7</f>
        <v>7.5</v>
      </c>
      <c r="I10" s="293">
        <f t="shared" si="2"/>
        <v>0.5</v>
      </c>
      <c r="J10" s="293">
        <f>$C10*J7</f>
        <v>5</v>
      </c>
      <c r="K10" s="293">
        <f t="shared" si="2"/>
        <v>5.5</v>
      </c>
      <c r="L10" s="293">
        <f t="shared" si="2"/>
        <v>0</v>
      </c>
      <c r="M10" s="293">
        <f t="shared" si="2"/>
        <v>7</v>
      </c>
      <c r="N10" s="293">
        <f t="shared" si="2"/>
        <v>0.5</v>
      </c>
    </row>
    <row r="11" spans="1:14" s="76" customFormat="1" ht="41.25" customHeight="1" x14ac:dyDescent="0.25">
      <c r="A11" s="297" t="s">
        <v>54</v>
      </c>
      <c r="B11" s="255" t="s">
        <v>183</v>
      </c>
      <c r="C11" s="297"/>
      <c r="D11" s="255">
        <v>2120</v>
      </c>
      <c r="E11" s="255">
        <f>E12</f>
        <v>360</v>
      </c>
      <c r="F11" s="255">
        <f t="shared" ref="F11:N11" si="3">F12</f>
        <v>1060</v>
      </c>
      <c r="G11" s="255">
        <f t="shared" si="3"/>
        <v>85</v>
      </c>
      <c r="H11" s="255">
        <f t="shared" si="3"/>
        <v>86</v>
      </c>
      <c r="I11" s="255">
        <f t="shared" si="3"/>
        <v>94</v>
      </c>
      <c r="J11" s="255">
        <f t="shared" si="3"/>
        <v>85</v>
      </c>
      <c r="K11" s="255">
        <f t="shared" si="3"/>
        <v>138</v>
      </c>
      <c r="L11" s="255">
        <f t="shared" si="3"/>
        <v>105</v>
      </c>
      <c r="M11" s="255">
        <f t="shared" si="3"/>
        <v>107</v>
      </c>
      <c r="N11" s="255">
        <f t="shared" si="3"/>
        <v>0</v>
      </c>
    </row>
    <row r="12" spans="1:14" s="75" customFormat="1" ht="27.75" customHeight="1" x14ac:dyDescent="0.25">
      <c r="A12" s="298">
        <v>1</v>
      </c>
      <c r="B12" s="157" t="s">
        <v>201</v>
      </c>
      <c r="C12" s="292" t="s">
        <v>55</v>
      </c>
      <c r="D12" s="157">
        <f>SUM(E12:N12)</f>
        <v>2120</v>
      </c>
      <c r="E12" s="157">
        <f>ROUND($D$11*17%,0)</f>
        <v>360</v>
      </c>
      <c r="F12" s="157">
        <f>ROUND($D$11*50%,0)</f>
        <v>1060</v>
      </c>
      <c r="G12" s="157">
        <f>ROUND(($D$11-$E$12-$F$12)/$D$8*G8,0)</f>
        <v>85</v>
      </c>
      <c r="H12" s="157">
        <f t="shared" ref="H12:N12" si="4">ROUND(($D$11-$E$12-$F$12)/$D$8*H8,0)</f>
        <v>86</v>
      </c>
      <c r="I12" s="157">
        <f t="shared" si="4"/>
        <v>94</v>
      </c>
      <c r="J12" s="157">
        <f t="shared" si="4"/>
        <v>85</v>
      </c>
      <c r="K12" s="157">
        <f>ROUND(($D$11-$E$12-$F$12)/$D$8*K8,0)</f>
        <v>138</v>
      </c>
      <c r="L12" s="157">
        <f>ROUND(($D$11-$E$12-$F$12)/$D$8*L8+0.8,0)</f>
        <v>105</v>
      </c>
      <c r="M12" s="157">
        <f t="shared" si="4"/>
        <v>107</v>
      </c>
      <c r="N12" s="157">
        <f t="shared" si="4"/>
        <v>0</v>
      </c>
    </row>
    <row r="13" spans="1:14" s="76" customFormat="1" ht="41.25" customHeight="1" x14ac:dyDescent="0.25">
      <c r="A13" s="297" t="s">
        <v>56</v>
      </c>
      <c r="B13" s="255" t="s">
        <v>180</v>
      </c>
      <c r="C13" s="297"/>
      <c r="D13" s="299">
        <f>D14</f>
        <v>0</v>
      </c>
      <c r="E13" s="299">
        <f t="shared" ref="E13:N13" si="5">E14</f>
        <v>0</v>
      </c>
      <c r="F13" s="299">
        <f t="shared" si="5"/>
        <v>0</v>
      </c>
      <c r="G13" s="299">
        <f t="shared" si="5"/>
        <v>0</v>
      </c>
      <c r="H13" s="299">
        <f t="shared" si="5"/>
        <v>0</v>
      </c>
      <c r="I13" s="299">
        <f t="shared" si="5"/>
        <v>0</v>
      </c>
      <c r="J13" s="299">
        <f t="shared" si="5"/>
        <v>0</v>
      </c>
      <c r="K13" s="299">
        <f t="shared" si="5"/>
        <v>0</v>
      </c>
      <c r="L13" s="299">
        <f t="shared" si="5"/>
        <v>0</v>
      </c>
      <c r="M13" s="299">
        <f t="shared" si="5"/>
        <v>0</v>
      </c>
      <c r="N13" s="299">
        <f t="shared" si="5"/>
        <v>0</v>
      </c>
    </row>
    <row r="14" spans="1:14" s="75" customFormat="1" ht="27.75" customHeight="1" x14ac:dyDescent="0.25">
      <c r="A14" s="298">
        <v>1</v>
      </c>
      <c r="B14" s="157" t="s">
        <v>201</v>
      </c>
      <c r="C14" s="292" t="s">
        <v>55</v>
      </c>
      <c r="D14" s="190">
        <f>SUM(E14:N14)</f>
        <v>0</v>
      </c>
      <c r="E14" s="190">
        <v>0</v>
      </c>
      <c r="F14" s="190">
        <v>0</v>
      </c>
      <c r="G14" s="190">
        <v>0</v>
      </c>
      <c r="H14" s="190">
        <v>0</v>
      </c>
      <c r="I14" s="190">
        <v>0</v>
      </c>
      <c r="J14" s="190">
        <v>0</v>
      </c>
      <c r="K14" s="190">
        <v>0</v>
      </c>
      <c r="L14" s="190">
        <v>0</v>
      </c>
      <c r="M14" s="190">
        <v>0</v>
      </c>
      <c r="N14" s="190">
        <v>0</v>
      </c>
    </row>
    <row r="15" spans="1:14" s="76" customFormat="1" ht="27.75" customHeight="1" x14ac:dyDescent="0.25">
      <c r="A15" s="297" t="s">
        <v>57</v>
      </c>
      <c r="B15" s="255" t="s">
        <v>150</v>
      </c>
      <c r="C15" s="297"/>
      <c r="D15" s="255">
        <f>D16</f>
        <v>2120</v>
      </c>
      <c r="E15" s="255">
        <f t="shared" ref="E15:N15" si="6">E16</f>
        <v>360</v>
      </c>
      <c r="F15" s="255">
        <f t="shared" si="6"/>
        <v>1060</v>
      </c>
      <c r="G15" s="255">
        <f t="shared" si="6"/>
        <v>85</v>
      </c>
      <c r="H15" s="255">
        <f t="shared" si="6"/>
        <v>86</v>
      </c>
      <c r="I15" s="255">
        <f t="shared" si="6"/>
        <v>94</v>
      </c>
      <c r="J15" s="255">
        <f t="shared" si="6"/>
        <v>85</v>
      </c>
      <c r="K15" s="255">
        <f t="shared" si="6"/>
        <v>138</v>
      </c>
      <c r="L15" s="255">
        <f t="shared" si="6"/>
        <v>105</v>
      </c>
      <c r="M15" s="255">
        <f t="shared" si="6"/>
        <v>107</v>
      </c>
      <c r="N15" s="255">
        <f t="shared" si="6"/>
        <v>0</v>
      </c>
    </row>
    <row r="16" spans="1:14" s="75" customFormat="1" ht="27.75" customHeight="1" x14ac:dyDescent="0.25">
      <c r="A16" s="300">
        <v>1</v>
      </c>
      <c r="B16" s="260" t="s">
        <v>201</v>
      </c>
      <c r="C16" s="301" t="s">
        <v>55</v>
      </c>
      <c r="D16" s="260">
        <f>SUM(E16:N16)</f>
        <v>2120</v>
      </c>
      <c r="E16" s="260">
        <f>E12+E14</f>
        <v>360</v>
      </c>
      <c r="F16" s="260">
        <f t="shared" ref="F16:N16" si="7">F12+F14</f>
        <v>1060</v>
      </c>
      <c r="G16" s="260">
        <f t="shared" si="7"/>
        <v>85</v>
      </c>
      <c r="H16" s="260">
        <f t="shared" si="7"/>
        <v>86</v>
      </c>
      <c r="I16" s="260">
        <f t="shared" si="7"/>
        <v>94</v>
      </c>
      <c r="J16" s="260">
        <f t="shared" si="7"/>
        <v>85</v>
      </c>
      <c r="K16" s="260">
        <f t="shared" si="7"/>
        <v>138</v>
      </c>
      <c r="L16" s="260">
        <f t="shared" si="7"/>
        <v>105</v>
      </c>
      <c r="M16" s="260">
        <f t="shared" si="7"/>
        <v>107</v>
      </c>
      <c r="N16" s="260">
        <f t="shared" si="7"/>
        <v>0</v>
      </c>
    </row>
  </sheetData>
  <mergeCells count="3">
    <mergeCell ref="A2:N2"/>
    <mergeCell ref="A3:N3"/>
    <mergeCell ref="L1:N1"/>
  </mergeCells>
  <pageMargins left="0.7" right="0.44" top="0.75" bottom="0.75" header="0.3" footer="0.3"/>
  <pageSetup paperSize="9" scale="65" fitToHeight="0"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X96"/>
  <sheetViews>
    <sheetView zoomScaleNormal="100" workbookViewId="0">
      <selection activeCell="J77" sqref="J77"/>
    </sheetView>
  </sheetViews>
  <sheetFormatPr defaultColWidth="8.75" defaultRowHeight="18.75" x14ac:dyDescent="0.25"/>
  <cols>
    <col min="1" max="1" width="6.75" style="334" customWidth="1"/>
    <col min="2" max="2" width="36.25" style="302" customWidth="1"/>
    <col min="3" max="3" width="10.75" style="302" customWidth="1"/>
    <col min="4" max="5" width="8.25" style="302" customWidth="1"/>
    <col min="6" max="20" width="7.75" style="302" customWidth="1"/>
    <col min="21" max="16384" width="8.75" style="302"/>
  </cols>
  <sheetData>
    <row r="1" spans="1:24" x14ac:dyDescent="0.25">
      <c r="Q1" s="1192" t="s">
        <v>243</v>
      </c>
      <c r="R1" s="1192"/>
      <c r="S1" s="1192"/>
      <c r="T1" s="1192"/>
    </row>
    <row r="2" spans="1:24" ht="47.25" customHeight="1" x14ac:dyDescent="0.25">
      <c r="A2" s="1006" t="s">
        <v>137</v>
      </c>
      <c r="B2" s="1006"/>
      <c r="C2" s="1006"/>
      <c r="D2" s="1006"/>
      <c r="E2" s="1006"/>
      <c r="F2" s="1006"/>
      <c r="G2" s="1006"/>
      <c r="H2" s="1006"/>
      <c r="I2" s="1006"/>
      <c r="J2" s="1006"/>
      <c r="K2" s="1006"/>
      <c r="L2" s="1006"/>
      <c r="M2" s="1006"/>
      <c r="N2" s="1006"/>
      <c r="O2" s="1006"/>
      <c r="P2" s="1006"/>
      <c r="Q2" s="1006"/>
      <c r="R2" s="1006"/>
      <c r="S2" s="1006"/>
      <c r="T2" s="1006"/>
    </row>
    <row r="3" spans="1:24" x14ac:dyDescent="0.25">
      <c r="A3" s="1007" t="str">
        <f>'B15-TDA1,DA10'!A3:N3</f>
        <v>(Kèm theo Tờ trình số:          /TTr-UBND ngày          tháng 11 năm 2022 của UBND tỉnh)</v>
      </c>
      <c r="B3" s="1008"/>
      <c r="C3" s="1008"/>
      <c r="D3" s="1008"/>
      <c r="E3" s="1008"/>
      <c r="F3" s="1008"/>
      <c r="G3" s="1008"/>
      <c r="H3" s="1008"/>
      <c r="I3" s="1008"/>
      <c r="J3" s="1008"/>
      <c r="K3" s="1008"/>
      <c r="L3" s="1008"/>
      <c r="M3" s="1008"/>
      <c r="N3" s="1008"/>
      <c r="O3" s="1008"/>
      <c r="P3" s="1008"/>
      <c r="Q3" s="1008"/>
      <c r="R3" s="1008"/>
      <c r="S3" s="1008"/>
      <c r="T3" s="1008"/>
    </row>
    <row r="4" spans="1:24" x14ac:dyDescent="0.25">
      <c r="A4" s="303"/>
      <c r="B4" s="303"/>
      <c r="C4" s="303"/>
      <c r="D4" s="303"/>
      <c r="E4" s="303"/>
      <c r="F4" s="303"/>
      <c r="G4" s="303"/>
      <c r="H4" s="303"/>
      <c r="I4" s="303"/>
      <c r="J4" s="303"/>
      <c r="K4" s="303"/>
      <c r="L4" s="303"/>
      <c r="M4" s="303"/>
      <c r="N4" s="303"/>
      <c r="O4" s="303"/>
      <c r="P4" s="303"/>
      <c r="Q4" s="303"/>
      <c r="R4" s="303"/>
      <c r="S4" s="303"/>
      <c r="T4" s="303"/>
    </row>
    <row r="5" spans="1:24" x14ac:dyDescent="0.25">
      <c r="A5" s="1202" t="s">
        <v>244</v>
      </c>
      <c r="B5" s="1202"/>
      <c r="C5" s="1202"/>
      <c r="D5" s="1202"/>
      <c r="E5" s="1202"/>
      <c r="F5" s="1202"/>
      <c r="G5" s="1202"/>
      <c r="H5" s="1202"/>
      <c r="I5" s="1202"/>
      <c r="J5" s="1202"/>
      <c r="K5" s="1202"/>
      <c r="L5" s="1202"/>
      <c r="M5" s="1202"/>
      <c r="N5" s="1202"/>
      <c r="O5" s="1202"/>
      <c r="P5" s="1202"/>
      <c r="Q5" s="1202"/>
      <c r="R5" s="1202"/>
      <c r="S5" s="1202"/>
      <c r="T5" s="1202"/>
    </row>
    <row r="6" spans="1:24" s="304" customFormat="1" ht="22.5" customHeight="1" x14ac:dyDescent="0.25">
      <c r="A6" s="1203" t="s">
        <v>1</v>
      </c>
      <c r="B6" s="1203" t="s">
        <v>35</v>
      </c>
      <c r="C6" s="1205" t="s">
        <v>205</v>
      </c>
      <c r="D6" s="1207" t="s">
        <v>206</v>
      </c>
      <c r="E6" s="1207"/>
      <c r="F6" s="1207"/>
      <c r="G6" s="1207"/>
      <c r="H6" s="1207"/>
      <c r="I6" s="1207"/>
      <c r="J6" s="1207"/>
      <c r="K6" s="1208"/>
      <c r="L6" s="1209" t="s">
        <v>207</v>
      </c>
      <c r="M6" s="1210"/>
      <c r="N6" s="1210"/>
      <c r="O6" s="1210"/>
      <c r="P6" s="1210"/>
      <c r="Q6" s="1210"/>
      <c r="R6" s="1210"/>
      <c r="S6" s="1210"/>
      <c r="T6" s="1211"/>
    </row>
    <row r="7" spans="1:24" s="306" customFormat="1" ht="69.75" customHeight="1" x14ac:dyDescent="0.25">
      <c r="A7" s="1204"/>
      <c r="B7" s="1204"/>
      <c r="C7" s="1206"/>
      <c r="D7" s="305" t="s">
        <v>208</v>
      </c>
      <c r="E7" s="305" t="s">
        <v>209</v>
      </c>
      <c r="F7" s="305" t="s">
        <v>210</v>
      </c>
      <c r="G7" s="305" t="s">
        <v>211</v>
      </c>
      <c r="H7" s="305" t="s">
        <v>212</v>
      </c>
      <c r="I7" s="305" t="s">
        <v>213</v>
      </c>
      <c r="J7" s="305" t="s">
        <v>214</v>
      </c>
      <c r="K7" s="305" t="s">
        <v>215</v>
      </c>
      <c r="L7" s="305" t="s">
        <v>216</v>
      </c>
      <c r="M7" s="305" t="s">
        <v>208</v>
      </c>
      <c r="N7" s="305" t="s">
        <v>209</v>
      </c>
      <c r="O7" s="305" t="s">
        <v>210</v>
      </c>
      <c r="P7" s="305" t="s">
        <v>211</v>
      </c>
      <c r="Q7" s="305" t="s">
        <v>212</v>
      </c>
      <c r="R7" s="305" t="s">
        <v>213</v>
      </c>
      <c r="S7" s="305" t="s">
        <v>214</v>
      </c>
      <c r="T7" s="305" t="s">
        <v>215</v>
      </c>
    </row>
    <row r="8" spans="1:24" s="304" customFormat="1" ht="22.5" customHeight="1" x14ac:dyDescent="0.25">
      <c r="A8" s="308" t="s">
        <v>46</v>
      </c>
      <c r="B8" s="1200" t="s">
        <v>30</v>
      </c>
      <c r="C8" s="1200"/>
      <c r="D8" s="1200"/>
      <c r="E8" s="1200"/>
      <c r="F8" s="1200"/>
      <c r="G8" s="1200"/>
      <c r="H8" s="1200"/>
      <c r="I8" s="1200"/>
      <c r="J8" s="1200"/>
      <c r="K8" s="1200"/>
      <c r="L8" s="1200"/>
      <c r="M8" s="1200"/>
      <c r="N8" s="1200"/>
      <c r="O8" s="1200"/>
      <c r="P8" s="1200"/>
      <c r="Q8" s="1200"/>
      <c r="R8" s="1200"/>
      <c r="S8" s="1200"/>
      <c r="T8" s="1200"/>
    </row>
    <row r="9" spans="1:24" s="304" customFormat="1" ht="22.5" customHeight="1" x14ac:dyDescent="0.25">
      <c r="A9" s="308"/>
      <c r="B9" s="309" t="s">
        <v>47</v>
      </c>
      <c r="C9" s="310"/>
      <c r="D9" s="310"/>
      <c r="E9" s="310"/>
      <c r="F9" s="310"/>
      <c r="G9" s="310"/>
      <c r="H9" s="310"/>
      <c r="I9" s="310"/>
      <c r="J9" s="310"/>
      <c r="K9" s="310"/>
      <c r="L9" s="310">
        <f>SUM(M9:T9)</f>
        <v>376</v>
      </c>
      <c r="M9" s="310">
        <f>M10+M11+M12</f>
        <v>47</v>
      </c>
      <c r="N9" s="310">
        <f t="shared" ref="N9:T9" si="0">N10+N11+N12</f>
        <v>53</v>
      </c>
      <c r="O9" s="310">
        <f t="shared" si="0"/>
        <v>46</v>
      </c>
      <c r="P9" s="310">
        <f t="shared" si="0"/>
        <v>47</v>
      </c>
      <c r="Q9" s="310">
        <f t="shared" si="0"/>
        <v>70</v>
      </c>
      <c r="R9" s="310">
        <f t="shared" si="0"/>
        <v>50</v>
      </c>
      <c r="S9" s="310">
        <f t="shared" si="0"/>
        <v>55</v>
      </c>
      <c r="T9" s="310">
        <f t="shared" si="0"/>
        <v>8</v>
      </c>
    </row>
    <row r="10" spans="1:24" s="314" customFormat="1" ht="22.5" customHeight="1" x14ac:dyDescent="0.25">
      <c r="A10" s="311">
        <v>1</v>
      </c>
      <c r="B10" s="312" t="s">
        <v>118</v>
      </c>
      <c r="C10" s="313">
        <v>5</v>
      </c>
      <c r="D10" s="313">
        <v>8</v>
      </c>
      <c r="E10" s="313">
        <v>8</v>
      </c>
      <c r="F10" s="313">
        <v>9</v>
      </c>
      <c r="G10" s="313">
        <v>8</v>
      </c>
      <c r="H10" s="313">
        <v>13</v>
      </c>
      <c r="I10" s="313">
        <v>10</v>
      </c>
      <c r="J10" s="313">
        <v>10</v>
      </c>
      <c r="K10" s="313"/>
      <c r="L10" s="313">
        <f>SUM(M10:T10)</f>
        <v>330</v>
      </c>
      <c r="M10" s="313">
        <f>$C10*D10</f>
        <v>40</v>
      </c>
      <c r="N10" s="313">
        <f t="shared" ref="N10:T12" si="1">$C10*E10</f>
        <v>40</v>
      </c>
      <c r="O10" s="313">
        <f t="shared" si="1"/>
        <v>45</v>
      </c>
      <c r="P10" s="313">
        <f>$C10*G10</f>
        <v>40</v>
      </c>
      <c r="Q10" s="313">
        <f t="shared" si="1"/>
        <v>65</v>
      </c>
      <c r="R10" s="313">
        <f t="shared" si="1"/>
        <v>50</v>
      </c>
      <c r="S10" s="313">
        <f t="shared" si="1"/>
        <v>50</v>
      </c>
      <c r="T10" s="313">
        <f t="shared" si="1"/>
        <v>0</v>
      </c>
    </row>
    <row r="11" spans="1:24" s="314" customFormat="1" ht="22.5" customHeight="1" x14ac:dyDescent="0.25">
      <c r="A11" s="311">
        <v>2</v>
      </c>
      <c r="B11" s="312" t="s">
        <v>119</v>
      </c>
      <c r="C11" s="313">
        <v>2</v>
      </c>
      <c r="D11" s="313">
        <v>1</v>
      </c>
      <c r="E11" s="313">
        <v>1</v>
      </c>
      <c r="F11" s="313">
        <v>0</v>
      </c>
      <c r="G11" s="313">
        <v>1</v>
      </c>
      <c r="H11" s="313">
        <v>1</v>
      </c>
      <c r="I11" s="313">
        <v>0</v>
      </c>
      <c r="J11" s="313">
        <v>0</v>
      </c>
      <c r="K11" s="313"/>
      <c r="L11" s="313">
        <f>SUM(M11:T11)</f>
        <v>8</v>
      </c>
      <c r="M11" s="313">
        <f>$C11*D11</f>
        <v>2</v>
      </c>
      <c r="N11" s="313">
        <f t="shared" si="1"/>
        <v>2</v>
      </c>
      <c r="O11" s="313">
        <f t="shared" si="1"/>
        <v>0</v>
      </c>
      <c r="P11" s="313">
        <f t="shared" si="1"/>
        <v>2</v>
      </c>
      <c r="Q11" s="313">
        <f t="shared" si="1"/>
        <v>2</v>
      </c>
      <c r="R11" s="313">
        <f t="shared" si="1"/>
        <v>0</v>
      </c>
      <c r="S11" s="313">
        <f t="shared" si="1"/>
        <v>0</v>
      </c>
      <c r="T11" s="313">
        <f t="shared" si="1"/>
        <v>0</v>
      </c>
    </row>
    <row r="12" spans="1:24" s="314" customFormat="1" ht="22.5" customHeight="1" x14ac:dyDescent="0.25">
      <c r="A12" s="315">
        <v>3</v>
      </c>
      <c r="B12" s="316" t="s">
        <v>120</v>
      </c>
      <c r="C12" s="317">
        <v>1</v>
      </c>
      <c r="D12" s="317">
        <v>5</v>
      </c>
      <c r="E12" s="317">
        <v>11</v>
      </c>
      <c r="F12" s="317">
        <v>1</v>
      </c>
      <c r="G12" s="317">
        <v>5</v>
      </c>
      <c r="H12" s="317">
        <v>3</v>
      </c>
      <c r="I12" s="317">
        <v>0</v>
      </c>
      <c r="J12" s="317">
        <v>5</v>
      </c>
      <c r="K12" s="317">
        <v>8</v>
      </c>
      <c r="L12" s="317">
        <f>SUM(M12:T12)</f>
        <v>38</v>
      </c>
      <c r="M12" s="317">
        <f>$C12*D12</f>
        <v>5</v>
      </c>
      <c r="N12" s="317">
        <f t="shared" si="1"/>
        <v>11</v>
      </c>
      <c r="O12" s="317">
        <f t="shared" si="1"/>
        <v>1</v>
      </c>
      <c r="P12" s="317">
        <f t="shared" si="1"/>
        <v>5</v>
      </c>
      <c r="Q12" s="317">
        <f t="shared" si="1"/>
        <v>3</v>
      </c>
      <c r="R12" s="317">
        <f t="shared" si="1"/>
        <v>0</v>
      </c>
      <c r="S12" s="317">
        <f t="shared" si="1"/>
        <v>5</v>
      </c>
      <c r="T12" s="317">
        <f t="shared" si="1"/>
        <v>8</v>
      </c>
    </row>
    <row r="13" spans="1:24" s="314" customFormat="1" ht="32.25" customHeight="1" x14ac:dyDescent="0.25">
      <c r="A13" s="1201" t="s">
        <v>217</v>
      </c>
      <c r="B13" s="1201"/>
      <c r="C13" s="1201"/>
      <c r="D13" s="1201"/>
      <c r="E13" s="1201"/>
      <c r="F13" s="1201"/>
      <c r="G13" s="1201"/>
      <c r="H13" s="1201"/>
      <c r="I13" s="1201"/>
      <c r="J13" s="1201"/>
      <c r="K13" s="1201"/>
      <c r="L13" s="1201"/>
      <c r="M13" s="1201"/>
    </row>
    <row r="14" spans="1:24" s="314" customFormat="1" ht="32.25" customHeight="1" x14ac:dyDescent="0.25">
      <c r="A14" s="1195" t="s">
        <v>245</v>
      </c>
      <c r="B14" s="1195"/>
      <c r="C14" s="1195"/>
      <c r="D14" s="1195"/>
      <c r="E14" s="1195"/>
      <c r="F14" s="1195"/>
      <c r="G14" s="1195"/>
      <c r="H14" s="1195"/>
      <c r="I14" s="1195"/>
      <c r="J14" s="1195"/>
      <c r="K14" s="1195"/>
      <c r="L14" s="1195"/>
      <c r="M14" s="1195"/>
      <c r="N14" s="1195"/>
      <c r="O14" s="1195"/>
      <c r="P14" s="1195"/>
      <c r="Q14" s="1195"/>
      <c r="R14" s="1195"/>
      <c r="S14" s="1195"/>
      <c r="T14" s="1195"/>
    </row>
    <row r="15" spans="1:24" s="314" customFormat="1" ht="22.5" customHeight="1" x14ac:dyDescent="0.25">
      <c r="A15" s="1193" t="s">
        <v>1</v>
      </c>
      <c r="B15" s="1193" t="s">
        <v>36</v>
      </c>
      <c r="C15" s="1193" t="s">
        <v>33</v>
      </c>
      <c r="D15" s="1193" t="s">
        <v>239</v>
      </c>
      <c r="E15" s="1193"/>
      <c r="F15" s="1193"/>
      <c r="G15" s="1193"/>
      <c r="H15" s="322"/>
      <c r="I15" s="322"/>
      <c r="J15" s="322"/>
      <c r="K15" s="322"/>
      <c r="L15" s="322"/>
      <c r="M15" s="322"/>
      <c r="N15" s="322"/>
      <c r="O15" s="322"/>
      <c r="P15" s="322"/>
      <c r="Q15" s="322"/>
      <c r="R15" s="322"/>
      <c r="S15" s="322"/>
      <c r="T15" s="322"/>
    </row>
    <row r="16" spans="1:24" s="307" customFormat="1" ht="40.5" customHeight="1" x14ac:dyDescent="0.25">
      <c r="A16" s="1193"/>
      <c r="B16" s="1193"/>
      <c r="C16" s="1193"/>
      <c r="D16" s="1193" t="s">
        <v>160</v>
      </c>
      <c r="E16" s="1193"/>
      <c r="F16" s="1193" t="s">
        <v>161</v>
      </c>
      <c r="G16" s="1193"/>
      <c r="H16" s="330"/>
      <c r="I16" s="348">
        <v>3592</v>
      </c>
      <c r="J16" s="330"/>
      <c r="K16" s="330"/>
      <c r="L16" s="330"/>
      <c r="M16" s="330"/>
      <c r="N16" s="318"/>
      <c r="O16" s="318"/>
      <c r="P16" s="318"/>
      <c r="Q16" s="318"/>
      <c r="R16" s="318"/>
      <c r="S16" s="318"/>
      <c r="T16" s="318"/>
      <c r="U16" s="318"/>
      <c r="V16" s="318"/>
      <c r="W16" s="318"/>
      <c r="X16" s="318"/>
    </row>
    <row r="17" spans="1:24" s="307" customFormat="1" ht="40.5" customHeight="1" x14ac:dyDescent="0.25">
      <c r="A17" s="1193"/>
      <c r="B17" s="1193"/>
      <c r="C17" s="1193"/>
      <c r="D17" s="305" t="s">
        <v>246</v>
      </c>
      <c r="E17" s="305" t="s">
        <v>247</v>
      </c>
      <c r="F17" s="305" t="s">
        <v>246</v>
      </c>
      <c r="G17" s="305" t="s">
        <v>247</v>
      </c>
      <c r="H17" s="318"/>
      <c r="I17" s="318"/>
      <c r="J17" s="318"/>
      <c r="K17" s="318"/>
      <c r="L17" s="318"/>
      <c r="M17" s="318"/>
      <c r="N17" s="318"/>
      <c r="O17" s="318"/>
      <c r="P17" s="318"/>
      <c r="Q17" s="318"/>
      <c r="R17" s="318"/>
      <c r="S17" s="318"/>
      <c r="T17" s="318"/>
      <c r="U17" s="318"/>
      <c r="V17" s="318"/>
      <c r="W17" s="318"/>
      <c r="X17" s="318"/>
    </row>
    <row r="18" spans="1:24" s="304" customFormat="1" ht="25.5" customHeight="1" x14ac:dyDescent="0.25">
      <c r="A18" s="1198" t="s">
        <v>34</v>
      </c>
      <c r="B18" s="1198"/>
      <c r="C18" s="350">
        <f>SUM(C19:C42)</f>
        <v>1672</v>
      </c>
      <c r="D18" s="351">
        <f t="shared" ref="D18:G18" si="2">SUM(D19:D42)</f>
        <v>0.44000000000000017</v>
      </c>
      <c r="E18" s="350">
        <f t="shared" si="2"/>
        <v>1582</v>
      </c>
      <c r="F18" s="350"/>
      <c r="G18" s="350">
        <f t="shared" si="2"/>
        <v>90</v>
      </c>
      <c r="H18" s="349"/>
      <c r="I18" s="338"/>
      <c r="J18" s="340"/>
      <c r="K18" s="339"/>
      <c r="L18" s="341"/>
      <c r="M18" s="341"/>
      <c r="N18" s="322"/>
      <c r="O18" s="322"/>
      <c r="P18" s="322"/>
      <c r="Q18" s="322"/>
      <c r="R18" s="322"/>
      <c r="S18" s="322"/>
      <c r="T18" s="322"/>
      <c r="U18" s="322"/>
      <c r="V18" s="322"/>
    </row>
    <row r="19" spans="1:24" s="314" customFormat="1" ht="25.5" customHeight="1" x14ac:dyDescent="0.25">
      <c r="A19" s="311">
        <v>1</v>
      </c>
      <c r="B19" s="320" t="s">
        <v>129</v>
      </c>
      <c r="C19" s="352">
        <f>E19+G19</f>
        <v>399</v>
      </c>
      <c r="D19" s="353">
        <v>0.105</v>
      </c>
      <c r="E19" s="354">
        <f>ROUND(D19*$I$16,0)</f>
        <v>377</v>
      </c>
      <c r="F19" s="355">
        <v>5.7299999999999997E-2</v>
      </c>
      <c r="G19" s="321">
        <f>ROUND(E19*F19,0)</f>
        <v>22</v>
      </c>
      <c r="H19" s="342"/>
      <c r="I19" s="343"/>
      <c r="J19" s="343"/>
      <c r="K19" s="344"/>
      <c r="L19" s="345"/>
      <c r="M19" s="345"/>
      <c r="N19" s="319"/>
      <c r="O19" s="319"/>
      <c r="P19" s="319"/>
      <c r="Q19" s="319"/>
      <c r="R19" s="319"/>
      <c r="S19" s="319"/>
      <c r="T19" s="319"/>
      <c r="U19" s="319"/>
      <c r="V19" s="319"/>
      <c r="W19" s="319"/>
      <c r="X19" s="319"/>
    </row>
    <row r="20" spans="1:24" s="314" customFormat="1" ht="25.5" customHeight="1" x14ac:dyDescent="0.25">
      <c r="A20" s="311">
        <v>2</v>
      </c>
      <c r="B20" s="320" t="s">
        <v>219</v>
      </c>
      <c r="C20" s="352">
        <f t="shared" ref="C20:C42" si="3">E20+G20</f>
        <v>38</v>
      </c>
      <c r="D20" s="356">
        <v>0.01</v>
      </c>
      <c r="E20" s="354">
        <f t="shared" ref="E20:E42" si="4">ROUND(D20*$I$16,0)</f>
        <v>36</v>
      </c>
      <c r="F20" s="355">
        <v>5.7299999999999997E-2</v>
      </c>
      <c r="G20" s="321">
        <f t="shared" ref="G20:G42" si="5">ROUND(E20*F20,0)</f>
        <v>2</v>
      </c>
      <c r="H20" s="342"/>
      <c r="I20" s="347"/>
      <c r="J20" s="343"/>
      <c r="K20" s="342"/>
      <c r="L20" s="345"/>
      <c r="M20" s="345"/>
      <c r="N20" s="319"/>
      <c r="O20" s="319"/>
      <c r="P20" s="319"/>
      <c r="Q20" s="319"/>
      <c r="R20" s="319"/>
      <c r="S20" s="319"/>
      <c r="T20" s="319"/>
      <c r="U20" s="319"/>
      <c r="V20" s="319"/>
      <c r="W20" s="319"/>
      <c r="X20" s="319"/>
    </row>
    <row r="21" spans="1:24" s="314" customFormat="1" ht="25.5" customHeight="1" x14ac:dyDescent="0.25">
      <c r="A21" s="311">
        <v>3</v>
      </c>
      <c r="B21" s="320" t="s">
        <v>220</v>
      </c>
      <c r="C21" s="352">
        <f t="shared" si="3"/>
        <v>95</v>
      </c>
      <c r="D21" s="353">
        <v>2.5000000000000001E-2</v>
      </c>
      <c r="E21" s="354">
        <f t="shared" si="4"/>
        <v>90</v>
      </c>
      <c r="F21" s="355">
        <v>5.7299999999999997E-2</v>
      </c>
      <c r="G21" s="321">
        <f t="shared" si="5"/>
        <v>5</v>
      </c>
      <c r="H21" s="346"/>
      <c r="I21" s="343"/>
      <c r="J21" s="343"/>
      <c r="K21" s="344"/>
      <c r="L21" s="345"/>
      <c r="M21" s="345"/>
      <c r="N21" s="319"/>
      <c r="O21" s="319"/>
      <c r="P21" s="319"/>
      <c r="Q21" s="319"/>
      <c r="R21" s="319"/>
      <c r="S21" s="319"/>
      <c r="T21" s="319"/>
      <c r="U21" s="319"/>
      <c r="V21" s="319"/>
      <c r="W21" s="319"/>
      <c r="X21" s="319"/>
    </row>
    <row r="22" spans="1:24" s="314" customFormat="1" ht="25.5" customHeight="1" x14ac:dyDescent="0.25">
      <c r="A22" s="311">
        <v>4</v>
      </c>
      <c r="B22" s="320" t="s">
        <v>221</v>
      </c>
      <c r="C22" s="352">
        <f t="shared" si="3"/>
        <v>38</v>
      </c>
      <c r="D22" s="356">
        <v>0.01</v>
      </c>
      <c r="E22" s="354">
        <f t="shared" si="4"/>
        <v>36</v>
      </c>
      <c r="F22" s="355">
        <v>5.7299999999999997E-2</v>
      </c>
      <c r="G22" s="321">
        <f t="shared" si="5"/>
        <v>2</v>
      </c>
      <c r="H22" s="346"/>
      <c r="I22" s="343"/>
      <c r="J22" s="343"/>
      <c r="K22" s="342"/>
      <c r="L22" s="345"/>
      <c r="M22" s="345"/>
      <c r="N22" s="319"/>
      <c r="O22" s="319"/>
      <c r="P22" s="319"/>
      <c r="Q22" s="319"/>
      <c r="R22" s="319"/>
      <c r="S22" s="319"/>
      <c r="T22" s="319"/>
      <c r="U22" s="319"/>
      <c r="V22" s="319"/>
      <c r="W22" s="319"/>
      <c r="X22" s="319"/>
    </row>
    <row r="23" spans="1:24" s="314" customFormat="1" ht="25.5" customHeight="1" x14ac:dyDescent="0.25">
      <c r="A23" s="311">
        <v>5</v>
      </c>
      <c r="B23" s="320" t="s">
        <v>222</v>
      </c>
      <c r="C23" s="352">
        <f t="shared" si="3"/>
        <v>38</v>
      </c>
      <c r="D23" s="356">
        <v>0.01</v>
      </c>
      <c r="E23" s="354">
        <f t="shared" si="4"/>
        <v>36</v>
      </c>
      <c r="F23" s="355">
        <v>5.7299999999999997E-2</v>
      </c>
      <c r="G23" s="321">
        <f t="shared" si="5"/>
        <v>2</v>
      </c>
      <c r="H23" s="346"/>
      <c r="I23" s="343"/>
      <c r="J23" s="343"/>
      <c r="K23" s="342"/>
      <c r="L23" s="345"/>
      <c r="M23" s="345"/>
      <c r="N23" s="319"/>
      <c r="O23" s="319"/>
      <c r="P23" s="319"/>
      <c r="Q23" s="319"/>
      <c r="R23" s="319"/>
      <c r="S23" s="319"/>
      <c r="T23" s="319"/>
      <c r="U23" s="319"/>
      <c r="V23" s="319"/>
      <c r="W23" s="319"/>
      <c r="X23" s="319"/>
    </row>
    <row r="24" spans="1:24" s="314" customFormat="1" ht="25.5" customHeight="1" x14ac:dyDescent="0.25">
      <c r="A24" s="311">
        <v>6</v>
      </c>
      <c r="B24" s="320" t="s">
        <v>92</v>
      </c>
      <c r="C24" s="352">
        <f t="shared" si="3"/>
        <v>38</v>
      </c>
      <c r="D24" s="356">
        <v>0.01</v>
      </c>
      <c r="E24" s="354">
        <f t="shared" si="4"/>
        <v>36</v>
      </c>
      <c r="F24" s="355">
        <v>5.7299999999999997E-2</v>
      </c>
      <c r="G24" s="321">
        <f t="shared" si="5"/>
        <v>2</v>
      </c>
      <c r="H24" s="346"/>
      <c r="I24" s="343"/>
      <c r="J24" s="343"/>
      <c r="K24" s="342"/>
      <c r="L24" s="345"/>
      <c r="M24" s="345"/>
      <c r="N24" s="319"/>
      <c r="O24" s="319"/>
      <c r="P24" s="319"/>
      <c r="Q24" s="319"/>
      <c r="R24" s="319"/>
      <c r="S24" s="319"/>
      <c r="T24" s="319"/>
      <c r="U24" s="319"/>
      <c r="V24" s="319"/>
      <c r="W24" s="319"/>
      <c r="X24" s="319"/>
    </row>
    <row r="25" spans="1:24" s="314" customFormat="1" ht="25.5" customHeight="1" x14ac:dyDescent="0.25">
      <c r="A25" s="311">
        <v>7</v>
      </c>
      <c r="B25" s="320" t="s">
        <v>182</v>
      </c>
      <c r="C25" s="352">
        <f t="shared" si="3"/>
        <v>38</v>
      </c>
      <c r="D25" s="356">
        <v>0.01</v>
      </c>
      <c r="E25" s="354">
        <f t="shared" si="4"/>
        <v>36</v>
      </c>
      <c r="F25" s="355">
        <v>5.7299999999999997E-2</v>
      </c>
      <c r="G25" s="321">
        <f t="shared" si="5"/>
        <v>2</v>
      </c>
      <c r="H25" s="346"/>
      <c r="I25" s="343"/>
      <c r="J25" s="343"/>
      <c r="K25" s="342"/>
      <c r="L25" s="345"/>
      <c r="M25" s="345"/>
      <c r="N25" s="319"/>
      <c r="O25" s="319"/>
      <c r="P25" s="319"/>
      <c r="Q25" s="319"/>
      <c r="R25" s="319"/>
      <c r="S25" s="319"/>
      <c r="T25" s="319"/>
      <c r="U25" s="319"/>
      <c r="V25" s="319"/>
      <c r="W25" s="319"/>
      <c r="X25" s="319"/>
    </row>
    <row r="26" spans="1:24" s="314" customFormat="1" ht="25.5" customHeight="1" x14ac:dyDescent="0.25">
      <c r="A26" s="311">
        <v>8</v>
      </c>
      <c r="B26" s="320" t="s">
        <v>117</v>
      </c>
      <c r="C26" s="352">
        <f t="shared" si="3"/>
        <v>38</v>
      </c>
      <c r="D26" s="356">
        <v>0.01</v>
      </c>
      <c r="E26" s="354">
        <f t="shared" si="4"/>
        <v>36</v>
      </c>
      <c r="F26" s="355">
        <v>5.7299999999999997E-2</v>
      </c>
      <c r="G26" s="321">
        <f t="shared" si="5"/>
        <v>2</v>
      </c>
      <c r="H26" s="346"/>
      <c r="I26" s="343"/>
      <c r="J26" s="343"/>
      <c r="K26" s="342"/>
      <c r="L26" s="345"/>
      <c r="M26" s="345"/>
      <c r="N26" s="319"/>
      <c r="O26" s="319"/>
      <c r="P26" s="319"/>
      <c r="Q26" s="319"/>
      <c r="R26" s="319"/>
      <c r="S26" s="319"/>
      <c r="T26" s="319"/>
      <c r="U26" s="319"/>
      <c r="V26" s="319"/>
      <c r="W26" s="319"/>
      <c r="X26" s="319"/>
    </row>
    <row r="27" spans="1:24" s="314" customFormat="1" ht="25.5" customHeight="1" x14ac:dyDescent="0.25">
      <c r="A27" s="311">
        <v>9</v>
      </c>
      <c r="B27" s="320" t="s">
        <v>121</v>
      </c>
      <c r="C27" s="352">
        <f t="shared" si="3"/>
        <v>38</v>
      </c>
      <c r="D27" s="356">
        <v>0.01</v>
      </c>
      <c r="E27" s="354">
        <f t="shared" si="4"/>
        <v>36</v>
      </c>
      <c r="F27" s="355">
        <v>5.7299999999999997E-2</v>
      </c>
      <c r="G27" s="321">
        <f t="shared" si="5"/>
        <v>2</v>
      </c>
      <c r="H27" s="346"/>
      <c r="I27" s="343"/>
      <c r="J27" s="343"/>
      <c r="K27" s="342"/>
      <c r="L27" s="345"/>
      <c r="M27" s="345"/>
      <c r="N27" s="319"/>
      <c r="O27" s="319"/>
      <c r="P27" s="319"/>
      <c r="Q27" s="319"/>
      <c r="R27" s="319"/>
      <c r="S27" s="319"/>
      <c r="T27" s="319"/>
      <c r="U27" s="319"/>
      <c r="V27" s="319"/>
      <c r="W27" s="319"/>
      <c r="X27" s="319"/>
    </row>
    <row r="28" spans="1:24" s="314" customFormat="1" ht="25.5" customHeight="1" x14ac:dyDescent="0.25">
      <c r="A28" s="311">
        <v>10</v>
      </c>
      <c r="B28" s="320" t="s">
        <v>223</v>
      </c>
      <c r="C28" s="352">
        <f t="shared" si="3"/>
        <v>38</v>
      </c>
      <c r="D28" s="356">
        <v>0.01</v>
      </c>
      <c r="E28" s="354">
        <f t="shared" si="4"/>
        <v>36</v>
      </c>
      <c r="F28" s="355">
        <v>5.7299999999999997E-2</v>
      </c>
      <c r="G28" s="321">
        <f t="shared" si="5"/>
        <v>2</v>
      </c>
      <c r="H28" s="346"/>
      <c r="I28" s="343"/>
      <c r="J28" s="343"/>
      <c r="K28" s="342"/>
      <c r="L28" s="345"/>
      <c r="M28" s="345"/>
      <c r="N28" s="319"/>
      <c r="O28" s="319"/>
      <c r="P28" s="319"/>
      <c r="Q28" s="319"/>
      <c r="R28" s="319"/>
      <c r="S28" s="319"/>
      <c r="T28" s="319"/>
      <c r="U28" s="319"/>
      <c r="V28" s="319"/>
      <c r="W28" s="319"/>
      <c r="X28" s="319"/>
    </row>
    <row r="29" spans="1:24" s="314" customFormat="1" ht="25.5" customHeight="1" x14ac:dyDescent="0.25">
      <c r="A29" s="311">
        <v>11</v>
      </c>
      <c r="B29" s="320" t="s">
        <v>224</v>
      </c>
      <c r="C29" s="352">
        <f t="shared" si="3"/>
        <v>380</v>
      </c>
      <c r="D29" s="356">
        <v>0.1</v>
      </c>
      <c r="E29" s="354">
        <f t="shared" si="4"/>
        <v>359</v>
      </c>
      <c r="F29" s="355">
        <v>5.7299999999999997E-2</v>
      </c>
      <c r="G29" s="321">
        <f t="shared" si="5"/>
        <v>21</v>
      </c>
      <c r="H29" s="346"/>
      <c r="I29" s="343"/>
      <c r="J29" s="343"/>
      <c r="K29" s="342"/>
      <c r="L29" s="345"/>
      <c r="M29" s="345"/>
      <c r="N29" s="319"/>
      <c r="O29" s="319"/>
      <c r="P29" s="319"/>
      <c r="Q29" s="319"/>
      <c r="R29" s="319"/>
      <c r="S29" s="319"/>
      <c r="T29" s="319"/>
      <c r="U29" s="319"/>
      <c r="V29" s="319"/>
      <c r="W29" s="319"/>
      <c r="X29" s="319"/>
    </row>
    <row r="30" spans="1:24" s="314" customFormat="1" ht="25.5" customHeight="1" x14ac:dyDescent="0.25">
      <c r="A30" s="311">
        <v>12</v>
      </c>
      <c r="B30" s="320" t="s">
        <v>225</v>
      </c>
      <c r="C30" s="352">
        <f t="shared" si="3"/>
        <v>38</v>
      </c>
      <c r="D30" s="356">
        <v>0.01</v>
      </c>
      <c r="E30" s="354">
        <f t="shared" si="4"/>
        <v>36</v>
      </c>
      <c r="F30" s="355">
        <v>5.7299999999999997E-2</v>
      </c>
      <c r="G30" s="321">
        <f t="shared" si="5"/>
        <v>2</v>
      </c>
      <c r="H30" s="346"/>
      <c r="I30" s="343"/>
      <c r="J30" s="343"/>
      <c r="K30" s="342"/>
      <c r="L30" s="345"/>
      <c r="M30" s="345"/>
      <c r="N30" s="319"/>
      <c r="O30" s="319"/>
      <c r="P30" s="319"/>
      <c r="Q30" s="319"/>
      <c r="R30" s="319"/>
      <c r="S30" s="319"/>
      <c r="T30" s="319"/>
      <c r="U30" s="319"/>
      <c r="V30" s="319"/>
      <c r="W30" s="319"/>
      <c r="X30" s="319"/>
    </row>
    <row r="31" spans="1:24" s="314" customFormat="1" ht="25.5" customHeight="1" x14ac:dyDescent="0.25">
      <c r="A31" s="311">
        <v>13</v>
      </c>
      <c r="B31" s="320" t="s">
        <v>144</v>
      </c>
      <c r="C31" s="352">
        <f t="shared" si="3"/>
        <v>38</v>
      </c>
      <c r="D31" s="356">
        <v>0.01</v>
      </c>
      <c r="E31" s="354">
        <f t="shared" si="4"/>
        <v>36</v>
      </c>
      <c r="F31" s="355">
        <v>5.7299999999999997E-2</v>
      </c>
      <c r="G31" s="321">
        <f t="shared" si="5"/>
        <v>2</v>
      </c>
      <c r="H31" s="346"/>
      <c r="I31" s="343"/>
      <c r="J31" s="343"/>
      <c r="K31" s="342"/>
      <c r="L31" s="345"/>
      <c r="M31" s="345"/>
      <c r="N31" s="319"/>
      <c r="O31" s="319"/>
      <c r="P31" s="319"/>
      <c r="Q31" s="319"/>
      <c r="R31" s="319"/>
      <c r="S31" s="319"/>
      <c r="T31" s="319"/>
      <c r="U31" s="319"/>
      <c r="V31" s="319"/>
      <c r="W31" s="319"/>
      <c r="X31" s="319"/>
    </row>
    <row r="32" spans="1:24" s="314" customFormat="1" ht="25.5" customHeight="1" x14ac:dyDescent="0.25">
      <c r="A32" s="311">
        <v>14</v>
      </c>
      <c r="B32" s="320" t="s">
        <v>226</v>
      </c>
      <c r="C32" s="352">
        <f t="shared" si="3"/>
        <v>38</v>
      </c>
      <c r="D32" s="356">
        <v>0.01</v>
      </c>
      <c r="E32" s="354">
        <f t="shared" si="4"/>
        <v>36</v>
      </c>
      <c r="F32" s="355">
        <v>5.7299999999999997E-2</v>
      </c>
      <c r="G32" s="321">
        <f t="shared" si="5"/>
        <v>2</v>
      </c>
      <c r="H32" s="346"/>
      <c r="I32" s="343"/>
      <c r="J32" s="343"/>
      <c r="K32" s="342"/>
      <c r="L32" s="345"/>
      <c r="M32" s="345"/>
      <c r="N32" s="319"/>
      <c r="O32" s="319"/>
      <c r="P32" s="319"/>
      <c r="Q32" s="319"/>
      <c r="R32" s="319"/>
      <c r="S32" s="319"/>
      <c r="T32" s="319"/>
      <c r="U32" s="319"/>
      <c r="V32" s="319"/>
      <c r="W32" s="319"/>
      <c r="X32" s="319"/>
    </row>
    <row r="33" spans="1:24" s="314" customFormat="1" ht="25.5" customHeight="1" x14ac:dyDescent="0.25">
      <c r="A33" s="311">
        <v>15</v>
      </c>
      <c r="B33" s="320" t="s">
        <v>227</v>
      </c>
      <c r="C33" s="352">
        <f t="shared" si="3"/>
        <v>38</v>
      </c>
      <c r="D33" s="356">
        <v>0.01</v>
      </c>
      <c r="E33" s="354">
        <f>ROUND(D33*$I$16,0)</f>
        <v>36</v>
      </c>
      <c r="F33" s="355">
        <v>5.7299999999999997E-2</v>
      </c>
      <c r="G33" s="321">
        <f t="shared" si="5"/>
        <v>2</v>
      </c>
      <c r="H33" s="346"/>
      <c r="I33" s="343"/>
      <c r="J33" s="343"/>
      <c r="K33" s="342"/>
      <c r="L33" s="345"/>
      <c r="M33" s="345"/>
      <c r="N33" s="319"/>
      <c r="O33" s="319"/>
      <c r="P33" s="319"/>
      <c r="Q33" s="319"/>
      <c r="R33" s="319"/>
      <c r="S33" s="319"/>
      <c r="T33" s="319"/>
      <c r="U33" s="319"/>
      <c r="V33" s="319"/>
      <c r="W33" s="319"/>
      <c r="X33" s="319"/>
    </row>
    <row r="34" spans="1:24" s="314" customFormat="1" ht="25.5" customHeight="1" x14ac:dyDescent="0.25">
      <c r="A34" s="311">
        <v>16</v>
      </c>
      <c r="B34" s="320" t="s">
        <v>228</v>
      </c>
      <c r="C34" s="352">
        <f t="shared" si="3"/>
        <v>38</v>
      </c>
      <c r="D34" s="356">
        <v>0.01</v>
      </c>
      <c r="E34" s="354">
        <f t="shared" si="4"/>
        <v>36</v>
      </c>
      <c r="F34" s="355">
        <v>5.7299999999999997E-2</v>
      </c>
      <c r="G34" s="321">
        <f t="shared" si="5"/>
        <v>2</v>
      </c>
      <c r="H34" s="346"/>
      <c r="I34" s="343"/>
      <c r="J34" s="343"/>
      <c r="K34" s="342"/>
      <c r="L34" s="345"/>
      <c r="M34" s="345"/>
      <c r="N34" s="319"/>
      <c r="O34" s="319"/>
      <c r="P34" s="319"/>
      <c r="Q34" s="319"/>
      <c r="R34" s="319"/>
      <c r="S34" s="319"/>
      <c r="T34" s="319"/>
      <c r="U34" s="319"/>
      <c r="V34" s="319"/>
      <c r="W34" s="319"/>
      <c r="X34" s="319"/>
    </row>
    <row r="35" spans="1:24" s="314" customFormat="1" ht="25.5" customHeight="1" x14ac:dyDescent="0.25">
      <c r="A35" s="311">
        <v>17</v>
      </c>
      <c r="B35" s="320" t="s">
        <v>89</v>
      </c>
      <c r="C35" s="352">
        <f t="shared" si="3"/>
        <v>38</v>
      </c>
      <c r="D35" s="356">
        <v>0.01</v>
      </c>
      <c r="E35" s="354">
        <f t="shared" si="4"/>
        <v>36</v>
      </c>
      <c r="F35" s="355">
        <v>5.7299999999999997E-2</v>
      </c>
      <c r="G35" s="321">
        <f t="shared" si="5"/>
        <v>2</v>
      </c>
      <c r="H35" s="346"/>
      <c r="I35" s="343"/>
      <c r="J35" s="343"/>
      <c r="K35" s="342"/>
      <c r="L35" s="345"/>
      <c r="M35" s="345"/>
      <c r="N35" s="319"/>
      <c r="O35" s="319"/>
      <c r="P35" s="319"/>
      <c r="Q35" s="319"/>
      <c r="R35" s="319"/>
      <c r="S35" s="319"/>
      <c r="T35" s="319"/>
      <c r="U35" s="319"/>
      <c r="V35" s="319"/>
      <c r="W35" s="319"/>
      <c r="X35" s="319"/>
    </row>
    <row r="36" spans="1:24" s="314" customFormat="1" ht="25.5" customHeight="1" x14ac:dyDescent="0.25">
      <c r="A36" s="311">
        <v>18</v>
      </c>
      <c r="B36" s="320" t="s">
        <v>229</v>
      </c>
      <c r="C36" s="352">
        <f t="shared" si="3"/>
        <v>38</v>
      </c>
      <c r="D36" s="356">
        <v>0.01</v>
      </c>
      <c r="E36" s="354">
        <f t="shared" si="4"/>
        <v>36</v>
      </c>
      <c r="F36" s="355">
        <v>5.7299999999999997E-2</v>
      </c>
      <c r="G36" s="321">
        <f t="shared" si="5"/>
        <v>2</v>
      </c>
      <c r="H36" s="346"/>
      <c r="I36" s="343"/>
      <c r="J36" s="343"/>
      <c r="K36" s="342"/>
      <c r="L36" s="345"/>
      <c r="M36" s="345"/>
      <c r="N36" s="319"/>
      <c r="O36" s="319"/>
      <c r="P36" s="319"/>
      <c r="Q36" s="319"/>
      <c r="R36" s="319"/>
      <c r="S36" s="319"/>
      <c r="T36" s="319"/>
      <c r="U36" s="319"/>
      <c r="V36" s="319"/>
      <c r="W36" s="319"/>
      <c r="X36" s="319"/>
    </row>
    <row r="37" spans="1:24" s="314" customFormat="1" ht="25.5" customHeight="1" x14ac:dyDescent="0.25">
      <c r="A37" s="311">
        <v>19</v>
      </c>
      <c r="B37" s="320" t="s">
        <v>248</v>
      </c>
      <c r="C37" s="352">
        <f t="shared" si="3"/>
        <v>38</v>
      </c>
      <c r="D37" s="356">
        <v>0.01</v>
      </c>
      <c r="E37" s="354">
        <f t="shared" si="4"/>
        <v>36</v>
      </c>
      <c r="F37" s="355">
        <v>5.7299999999999997E-2</v>
      </c>
      <c r="G37" s="321">
        <f t="shared" si="5"/>
        <v>2</v>
      </c>
      <c r="H37" s="346"/>
      <c r="I37" s="343"/>
      <c r="J37" s="343"/>
      <c r="K37" s="342"/>
      <c r="L37" s="345"/>
      <c r="M37" s="345"/>
      <c r="N37" s="319"/>
      <c r="O37" s="319"/>
      <c r="P37" s="319"/>
      <c r="Q37" s="319"/>
      <c r="R37" s="319"/>
      <c r="S37" s="319"/>
      <c r="T37" s="319"/>
      <c r="U37" s="319"/>
      <c r="V37" s="319"/>
      <c r="W37" s="319"/>
      <c r="X37" s="319"/>
    </row>
    <row r="38" spans="1:24" s="314" customFormat="1" ht="25.5" customHeight="1" x14ac:dyDescent="0.25">
      <c r="A38" s="311">
        <v>20</v>
      </c>
      <c r="B38" s="320" t="s">
        <v>131</v>
      </c>
      <c r="C38" s="352">
        <f t="shared" si="3"/>
        <v>38</v>
      </c>
      <c r="D38" s="356">
        <v>0.01</v>
      </c>
      <c r="E38" s="354">
        <f t="shared" si="4"/>
        <v>36</v>
      </c>
      <c r="F38" s="355">
        <v>5.7299999999999997E-2</v>
      </c>
      <c r="G38" s="321">
        <f t="shared" si="5"/>
        <v>2</v>
      </c>
      <c r="H38" s="346"/>
      <c r="I38" s="343"/>
      <c r="J38" s="343"/>
      <c r="K38" s="342"/>
      <c r="L38" s="345"/>
      <c r="M38" s="345"/>
      <c r="N38" s="319"/>
      <c r="O38" s="319"/>
      <c r="P38" s="319"/>
      <c r="Q38" s="319"/>
      <c r="R38" s="319"/>
      <c r="S38" s="319"/>
      <c r="T38" s="319"/>
      <c r="U38" s="319"/>
      <c r="V38" s="319"/>
      <c r="W38" s="319"/>
      <c r="X38" s="319"/>
    </row>
    <row r="39" spans="1:24" s="314" customFormat="1" ht="25.5" customHeight="1" x14ac:dyDescent="0.25">
      <c r="A39" s="311">
        <v>21</v>
      </c>
      <c r="B39" s="320" t="s">
        <v>230</v>
      </c>
      <c r="C39" s="352">
        <f t="shared" si="3"/>
        <v>38</v>
      </c>
      <c r="D39" s="356">
        <v>0.01</v>
      </c>
      <c r="E39" s="354">
        <f t="shared" si="4"/>
        <v>36</v>
      </c>
      <c r="F39" s="355">
        <v>5.7299999999999997E-2</v>
      </c>
      <c r="G39" s="321">
        <f t="shared" si="5"/>
        <v>2</v>
      </c>
      <c r="H39" s="346"/>
      <c r="I39" s="343"/>
      <c r="J39" s="343"/>
      <c r="K39" s="342"/>
      <c r="L39" s="345"/>
      <c r="M39" s="345"/>
      <c r="N39" s="319"/>
      <c r="O39" s="319"/>
      <c r="P39" s="319"/>
      <c r="Q39" s="319"/>
      <c r="R39" s="319"/>
      <c r="S39" s="319"/>
      <c r="T39" s="319"/>
      <c r="U39" s="319"/>
      <c r="V39" s="319"/>
      <c r="W39" s="319"/>
      <c r="X39" s="319"/>
    </row>
    <row r="40" spans="1:24" s="314" customFormat="1" ht="25.5" customHeight="1" x14ac:dyDescent="0.25">
      <c r="A40" s="311">
        <v>22</v>
      </c>
      <c r="B40" s="320" t="s">
        <v>231</v>
      </c>
      <c r="C40" s="352">
        <f t="shared" si="3"/>
        <v>38</v>
      </c>
      <c r="D40" s="356">
        <v>0.01</v>
      </c>
      <c r="E40" s="354">
        <f t="shared" si="4"/>
        <v>36</v>
      </c>
      <c r="F40" s="355">
        <v>5.7299999999999997E-2</v>
      </c>
      <c r="G40" s="321">
        <f t="shared" si="5"/>
        <v>2</v>
      </c>
      <c r="H40" s="346"/>
      <c r="I40" s="343"/>
      <c r="J40" s="343"/>
      <c r="K40" s="342"/>
      <c r="L40" s="345"/>
      <c r="M40" s="345"/>
      <c r="N40" s="319"/>
      <c r="O40" s="319"/>
      <c r="P40" s="319"/>
      <c r="Q40" s="319"/>
      <c r="R40" s="319"/>
      <c r="S40" s="319"/>
      <c r="T40" s="319"/>
      <c r="U40" s="319"/>
      <c r="V40" s="319"/>
      <c r="W40" s="319"/>
      <c r="X40" s="319"/>
    </row>
    <row r="41" spans="1:24" s="314" customFormat="1" ht="25.5" customHeight="1" x14ac:dyDescent="0.25">
      <c r="A41" s="311">
        <v>23</v>
      </c>
      <c r="B41" s="320" t="s">
        <v>143</v>
      </c>
      <c r="C41" s="352">
        <f t="shared" si="3"/>
        <v>38</v>
      </c>
      <c r="D41" s="356">
        <v>0.01</v>
      </c>
      <c r="E41" s="354">
        <f t="shared" si="4"/>
        <v>36</v>
      </c>
      <c r="F41" s="355">
        <v>5.7299999999999997E-2</v>
      </c>
      <c r="G41" s="321">
        <f t="shared" si="5"/>
        <v>2</v>
      </c>
      <c r="H41" s="346"/>
      <c r="I41" s="343"/>
      <c r="J41" s="343"/>
      <c r="K41" s="342"/>
      <c r="L41" s="345"/>
      <c r="M41" s="345"/>
      <c r="N41" s="319"/>
      <c r="O41" s="319"/>
      <c r="P41" s="319"/>
      <c r="Q41" s="319"/>
      <c r="R41" s="319"/>
      <c r="S41" s="319"/>
      <c r="T41" s="319"/>
      <c r="U41" s="319"/>
      <c r="V41" s="319"/>
      <c r="W41" s="319"/>
      <c r="X41" s="319"/>
    </row>
    <row r="42" spans="1:24" s="314" customFormat="1" ht="25.5" customHeight="1" x14ac:dyDescent="0.25">
      <c r="A42" s="315">
        <v>24</v>
      </c>
      <c r="B42" s="357" t="s">
        <v>249</v>
      </c>
      <c r="C42" s="358">
        <f t="shared" si="3"/>
        <v>38</v>
      </c>
      <c r="D42" s="359">
        <v>0.01</v>
      </c>
      <c r="E42" s="360">
        <f t="shared" si="4"/>
        <v>36</v>
      </c>
      <c r="F42" s="361">
        <v>5.7299999999999997E-2</v>
      </c>
      <c r="G42" s="362">
        <f t="shared" si="5"/>
        <v>2</v>
      </c>
      <c r="H42" s="346"/>
      <c r="I42" s="343"/>
      <c r="J42" s="343"/>
      <c r="K42" s="342"/>
      <c r="L42" s="345"/>
      <c r="M42" s="345"/>
      <c r="N42" s="319"/>
      <c r="O42" s="319"/>
      <c r="P42" s="319"/>
      <c r="Q42" s="319"/>
      <c r="R42" s="319"/>
      <c r="S42" s="319"/>
      <c r="T42" s="319"/>
      <c r="U42" s="319"/>
      <c r="V42" s="319"/>
      <c r="W42" s="319"/>
      <c r="X42" s="319"/>
    </row>
    <row r="43" spans="1:24" s="314" customFormat="1" ht="31.5" customHeight="1" x14ac:dyDescent="0.25">
      <c r="A43" s="1195" t="s">
        <v>232</v>
      </c>
      <c r="B43" s="1195"/>
      <c r="C43" s="1195"/>
      <c r="D43" s="1195"/>
      <c r="E43" s="1195"/>
      <c r="F43" s="1195"/>
      <c r="G43" s="1195"/>
      <c r="H43" s="1195"/>
      <c r="I43" s="1195"/>
      <c r="J43" s="1195"/>
      <c r="K43" s="1195"/>
      <c r="L43" s="1195"/>
      <c r="M43" s="1195"/>
      <c r="N43" s="1195"/>
      <c r="O43" s="1195"/>
      <c r="P43" s="1195"/>
      <c r="Q43" s="1195"/>
      <c r="R43" s="1195"/>
      <c r="S43" s="1195"/>
      <c r="T43" s="1195"/>
    </row>
    <row r="44" spans="1:24" s="363" customFormat="1" ht="30.75" customHeight="1" x14ac:dyDescent="0.25">
      <c r="A44" s="1199" t="s">
        <v>1</v>
      </c>
      <c r="B44" s="1199" t="s">
        <v>233</v>
      </c>
      <c r="C44" s="1199" t="s">
        <v>234</v>
      </c>
      <c r="D44" s="1199" t="s">
        <v>235</v>
      </c>
      <c r="E44" s="1199" t="s">
        <v>236</v>
      </c>
      <c r="F44" s="1199" t="s">
        <v>237</v>
      </c>
      <c r="G44" s="1199"/>
      <c r="H44" s="1199"/>
      <c r="I44" s="1199"/>
      <c r="J44" s="1199"/>
      <c r="K44" s="1199"/>
      <c r="L44" s="1199"/>
      <c r="M44" s="1199"/>
    </row>
    <row r="45" spans="1:24" s="363" customFormat="1" ht="69" customHeight="1" x14ac:dyDescent="0.25">
      <c r="A45" s="1199"/>
      <c r="B45" s="1199"/>
      <c r="C45" s="1199"/>
      <c r="D45" s="1199"/>
      <c r="E45" s="1199"/>
      <c r="F45" s="364" t="s">
        <v>208</v>
      </c>
      <c r="G45" s="364" t="s">
        <v>209</v>
      </c>
      <c r="H45" s="364" t="s">
        <v>210</v>
      </c>
      <c r="I45" s="364" t="s">
        <v>211</v>
      </c>
      <c r="J45" s="364" t="s">
        <v>212</v>
      </c>
      <c r="K45" s="364" t="s">
        <v>213</v>
      </c>
      <c r="L45" s="364" t="s">
        <v>214</v>
      </c>
      <c r="M45" s="364" t="s">
        <v>45</v>
      </c>
    </row>
    <row r="46" spans="1:24" s="314" customFormat="1" ht="24" customHeight="1" x14ac:dyDescent="0.25">
      <c r="A46" s="315">
        <v>1</v>
      </c>
      <c r="B46" s="316" t="s">
        <v>174</v>
      </c>
      <c r="C46" s="324">
        <f>I16-E18</f>
        <v>2010</v>
      </c>
      <c r="D46" s="324">
        <f>L9</f>
        <v>376</v>
      </c>
      <c r="E46" s="325">
        <f>C46/D46</f>
        <v>5.3457446808510642</v>
      </c>
      <c r="F46" s="324">
        <f>ROUND($E$46*M9,0)</f>
        <v>251</v>
      </c>
      <c r="G46" s="324">
        <f t="shared" ref="G46:M46" si="6">ROUND($E$46*N9,0)</f>
        <v>283</v>
      </c>
      <c r="H46" s="324">
        <f t="shared" si="6"/>
        <v>246</v>
      </c>
      <c r="I46" s="324">
        <f t="shared" si="6"/>
        <v>251</v>
      </c>
      <c r="J46" s="324">
        <f t="shared" si="6"/>
        <v>374</v>
      </c>
      <c r="K46" s="324">
        <f>ROUND($E$46*R9+0.5,0)</f>
        <v>268</v>
      </c>
      <c r="L46" s="324">
        <f t="shared" si="6"/>
        <v>294</v>
      </c>
      <c r="M46" s="324">
        <f t="shared" si="6"/>
        <v>43</v>
      </c>
    </row>
    <row r="47" spans="1:24" s="314" customFormat="1" ht="28.5" customHeight="1" x14ac:dyDescent="0.25">
      <c r="A47" s="1195" t="s">
        <v>250</v>
      </c>
      <c r="B47" s="1195"/>
      <c r="C47" s="1195"/>
      <c r="D47" s="1195"/>
      <c r="E47" s="1195"/>
      <c r="F47" s="1195"/>
      <c r="G47" s="1195"/>
      <c r="H47" s="1195"/>
      <c r="I47" s="1195"/>
      <c r="J47" s="1195"/>
      <c r="K47" s="1195"/>
      <c r="L47" s="1195"/>
      <c r="M47" s="1195"/>
      <c r="N47" s="1195"/>
      <c r="O47" s="1195"/>
      <c r="P47" s="1195"/>
      <c r="Q47" s="1195"/>
      <c r="R47" s="1195"/>
      <c r="S47" s="1195"/>
      <c r="T47" s="1195"/>
    </row>
    <row r="48" spans="1:24" s="314" customFormat="1" ht="21.75" customHeight="1" x14ac:dyDescent="0.25">
      <c r="A48" s="322"/>
      <c r="B48" s="322"/>
      <c r="C48" s="322"/>
      <c r="D48" s="1196" t="s">
        <v>55</v>
      </c>
      <c r="E48" s="1196"/>
      <c r="F48" s="322"/>
      <c r="G48" s="322"/>
      <c r="H48" s="322"/>
      <c r="I48" s="322"/>
      <c r="J48" s="322"/>
      <c r="K48" s="322"/>
      <c r="L48" s="322"/>
      <c r="O48" s="322"/>
      <c r="P48" s="322"/>
      <c r="Q48" s="322"/>
      <c r="R48" s="322"/>
      <c r="S48" s="322"/>
      <c r="T48" s="322"/>
    </row>
    <row r="49" spans="1:21" s="314" customFormat="1" ht="54" customHeight="1" x14ac:dyDescent="0.25">
      <c r="A49" s="1197" t="s">
        <v>1</v>
      </c>
      <c r="B49" s="1197" t="s">
        <v>238</v>
      </c>
      <c r="C49" s="1197" t="s">
        <v>251</v>
      </c>
      <c r="D49" s="1197"/>
      <c r="E49" s="1197"/>
      <c r="F49" s="330"/>
      <c r="G49" s="330"/>
      <c r="H49" s="330"/>
      <c r="I49" s="330"/>
      <c r="J49" s="330"/>
      <c r="K49" s="330"/>
      <c r="L49" s="330"/>
      <c r="M49" s="330"/>
      <c r="N49" s="330"/>
    </row>
    <row r="50" spans="1:21" s="304" customFormat="1" ht="24.75" customHeight="1" x14ac:dyDescent="0.25">
      <c r="A50" s="1194"/>
      <c r="B50" s="1194"/>
      <c r="C50" s="1194" t="s">
        <v>33</v>
      </c>
      <c r="D50" s="1194" t="s">
        <v>240</v>
      </c>
      <c r="E50" s="1194"/>
      <c r="F50" s="330"/>
      <c r="G50" s="330"/>
      <c r="H50" s="330"/>
      <c r="I50" s="330"/>
      <c r="J50" s="330"/>
      <c r="K50" s="330"/>
      <c r="L50" s="330"/>
      <c r="M50" s="330"/>
      <c r="N50" s="330"/>
    </row>
    <row r="51" spans="1:21" s="306" customFormat="1" ht="54" customHeight="1" x14ac:dyDescent="0.25">
      <c r="A51" s="1194"/>
      <c r="B51" s="1194"/>
      <c r="C51" s="1194"/>
      <c r="D51" s="367" t="s">
        <v>218</v>
      </c>
      <c r="E51" s="367" t="s">
        <v>319</v>
      </c>
      <c r="F51" s="330"/>
      <c r="G51" s="318"/>
      <c r="H51" s="318"/>
      <c r="I51" s="330"/>
      <c r="J51" s="318"/>
      <c r="K51" s="318"/>
      <c r="L51" s="330"/>
      <c r="M51" s="318"/>
      <c r="N51" s="318"/>
    </row>
    <row r="52" spans="1:21" s="304" customFormat="1" ht="16.5" x14ac:dyDescent="0.25">
      <c r="A52" s="1191" t="s">
        <v>67</v>
      </c>
      <c r="B52" s="1191"/>
      <c r="C52" s="327">
        <f>C53+C78</f>
        <v>3795</v>
      </c>
      <c r="D52" s="327">
        <f t="shared" ref="D52:E52" si="7">D53+D78</f>
        <v>3592</v>
      </c>
      <c r="E52" s="327">
        <f t="shared" si="7"/>
        <v>203</v>
      </c>
      <c r="F52" s="365"/>
      <c r="G52" s="365"/>
      <c r="H52" s="365"/>
      <c r="I52" s="365"/>
      <c r="J52" s="365"/>
      <c r="K52" s="365"/>
      <c r="L52" s="365"/>
      <c r="M52" s="365"/>
      <c r="N52" s="365"/>
      <c r="P52" s="326"/>
    </row>
    <row r="53" spans="1:21" s="304" customFormat="1" ht="16.5" x14ac:dyDescent="0.25">
      <c r="A53" s="308" t="s">
        <v>46</v>
      </c>
      <c r="B53" s="309" t="s">
        <v>241</v>
      </c>
      <c r="C53" s="327">
        <f>SUM(C54:C77)</f>
        <v>1672</v>
      </c>
      <c r="D53" s="327">
        <f t="shared" ref="D53:E53" si="8">SUM(D54:D77)</f>
        <v>1582</v>
      </c>
      <c r="E53" s="327">
        <f t="shared" si="8"/>
        <v>90</v>
      </c>
      <c r="F53" s="365"/>
      <c r="G53" s="365"/>
      <c r="H53" s="365"/>
      <c r="I53" s="365"/>
      <c r="J53" s="365"/>
      <c r="K53" s="365"/>
      <c r="L53" s="365"/>
      <c r="M53" s="365"/>
      <c r="N53" s="365"/>
    </row>
    <row r="54" spans="1:21" s="304" customFormat="1" ht="16.5" x14ac:dyDescent="0.25">
      <c r="A54" s="311">
        <v>1</v>
      </c>
      <c r="B54" s="320" t="s">
        <v>129</v>
      </c>
      <c r="C54" s="323">
        <f>D54+E54</f>
        <v>399</v>
      </c>
      <c r="D54" s="323">
        <f>E19</f>
        <v>377</v>
      </c>
      <c r="E54" s="323">
        <f>G19</f>
        <v>22</v>
      </c>
      <c r="F54" s="366"/>
      <c r="G54" s="366"/>
      <c r="H54" s="366"/>
      <c r="I54" s="366"/>
      <c r="J54" s="366"/>
      <c r="K54" s="366"/>
      <c r="L54" s="366"/>
      <c r="M54" s="366"/>
      <c r="N54" s="366"/>
      <c r="P54" s="314"/>
      <c r="Q54" s="314"/>
      <c r="S54" s="326"/>
      <c r="T54" s="326"/>
      <c r="U54" s="326"/>
    </row>
    <row r="55" spans="1:21" s="304" customFormat="1" ht="16.5" x14ac:dyDescent="0.25">
      <c r="A55" s="311">
        <v>2</v>
      </c>
      <c r="B55" s="320" t="s">
        <v>219</v>
      </c>
      <c r="C55" s="323">
        <f t="shared" ref="C55:C77" si="9">D55+E55</f>
        <v>38</v>
      </c>
      <c r="D55" s="323">
        <f t="shared" ref="D55:D77" si="10">E20</f>
        <v>36</v>
      </c>
      <c r="E55" s="323">
        <f t="shared" ref="E55:E77" si="11">G20</f>
        <v>2</v>
      </c>
      <c r="F55" s="366"/>
      <c r="G55" s="366"/>
      <c r="H55" s="366"/>
      <c r="I55" s="366"/>
      <c r="J55" s="366"/>
      <c r="K55" s="366"/>
      <c r="L55" s="366"/>
      <c r="M55" s="366"/>
      <c r="N55" s="366"/>
      <c r="P55" s="314"/>
      <c r="Q55" s="314"/>
      <c r="T55" s="326"/>
    </row>
    <row r="56" spans="1:21" s="304" customFormat="1" ht="16.5" x14ac:dyDescent="0.25">
      <c r="A56" s="311">
        <v>3</v>
      </c>
      <c r="B56" s="320" t="s">
        <v>220</v>
      </c>
      <c r="C56" s="323">
        <f t="shared" si="9"/>
        <v>95</v>
      </c>
      <c r="D56" s="323">
        <f t="shared" si="10"/>
        <v>90</v>
      </c>
      <c r="E56" s="323">
        <f t="shared" si="11"/>
        <v>5</v>
      </c>
      <c r="F56" s="366"/>
      <c r="G56" s="366"/>
      <c r="H56" s="366"/>
      <c r="I56" s="366"/>
      <c r="J56" s="366"/>
      <c r="K56" s="366"/>
      <c r="L56" s="366"/>
      <c r="M56" s="366"/>
      <c r="N56" s="366"/>
      <c r="P56" s="314"/>
      <c r="Q56" s="314"/>
    </row>
    <row r="57" spans="1:21" s="304" customFormat="1" ht="16.5" x14ac:dyDescent="0.25">
      <c r="A57" s="311">
        <v>4</v>
      </c>
      <c r="B57" s="320" t="s">
        <v>221</v>
      </c>
      <c r="C57" s="323">
        <f t="shared" si="9"/>
        <v>38</v>
      </c>
      <c r="D57" s="323">
        <f t="shared" si="10"/>
        <v>36</v>
      </c>
      <c r="E57" s="323">
        <f t="shared" si="11"/>
        <v>2</v>
      </c>
      <c r="F57" s="366"/>
      <c r="G57" s="366"/>
      <c r="H57" s="366"/>
      <c r="I57" s="366"/>
      <c r="J57" s="366"/>
      <c r="K57" s="366"/>
      <c r="L57" s="366"/>
      <c r="M57" s="366"/>
      <c r="N57" s="366"/>
      <c r="P57" s="314"/>
      <c r="Q57" s="314"/>
    </row>
    <row r="58" spans="1:21" s="304" customFormat="1" ht="16.5" x14ac:dyDescent="0.25">
      <c r="A58" s="311">
        <v>5</v>
      </c>
      <c r="B58" s="320" t="s">
        <v>222</v>
      </c>
      <c r="C58" s="323">
        <f t="shared" si="9"/>
        <v>38</v>
      </c>
      <c r="D58" s="323">
        <f t="shared" si="10"/>
        <v>36</v>
      </c>
      <c r="E58" s="323">
        <f t="shared" si="11"/>
        <v>2</v>
      </c>
      <c r="F58" s="366"/>
      <c r="G58" s="366"/>
      <c r="H58" s="366"/>
      <c r="I58" s="366"/>
      <c r="J58" s="366"/>
      <c r="K58" s="366"/>
      <c r="L58" s="366"/>
      <c r="M58" s="366"/>
      <c r="N58" s="366"/>
      <c r="P58" s="314"/>
      <c r="Q58" s="314"/>
    </row>
    <row r="59" spans="1:21" s="304" customFormat="1" ht="16.5" x14ac:dyDescent="0.25">
      <c r="A59" s="311">
        <v>6</v>
      </c>
      <c r="B59" s="320" t="s">
        <v>92</v>
      </c>
      <c r="C59" s="323">
        <f t="shared" si="9"/>
        <v>38</v>
      </c>
      <c r="D59" s="323">
        <f t="shared" si="10"/>
        <v>36</v>
      </c>
      <c r="E59" s="323">
        <f t="shared" si="11"/>
        <v>2</v>
      </c>
      <c r="F59" s="366"/>
      <c r="G59" s="366"/>
      <c r="H59" s="366"/>
      <c r="I59" s="366"/>
      <c r="J59" s="366"/>
      <c r="K59" s="366"/>
      <c r="L59" s="366"/>
      <c r="M59" s="366"/>
      <c r="N59" s="366"/>
      <c r="P59" s="314"/>
      <c r="Q59" s="314"/>
    </row>
    <row r="60" spans="1:21" s="304" customFormat="1" ht="16.5" x14ac:dyDescent="0.25">
      <c r="A60" s="311">
        <v>7</v>
      </c>
      <c r="B60" s="320" t="s">
        <v>182</v>
      </c>
      <c r="C60" s="323">
        <f t="shared" si="9"/>
        <v>38</v>
      </c>
      <c r="D60" s="323">
        <f t="shared" si="10"/>
        <v>36</v>
      </c>
      <c r="E60" s="323">
        <f t="shared" si="11"/>
        <v>2</v>
      </c>
      <c r="F60" s="366"/>
      <c r="G60" s="366"/>
      <c r="H60" s="366"/>
      <c r="I60" s="366"/>
      <c r="J60" s="366"/>
      <c r="K60" s="366"/>
      <c r="L60" s="366"/>
      <c r="M60" s="366"/>
      <c r="N60" s="366"/>
      <c r="P60" s="314"/>
      <c r="Q60" s="314"/>
    </row>
    <row r="61" spans="1:21" s="304" customFormat="1" ht="16.5" x14ac:dyDescent="0.25">
      <c r="A61" s="311">
        <v>8</v>
      </c>
      <c r="B61" s="320" t="s">
        <v>117</v>
      </c>
      <c r="C61" s="323">
        <f t="shared" si="9"/>
        <v>38</v>
      </c>
      <c r="D61" s="323">
        <f t="shared" si="10"/>
        <v>36</v>
      </c>
      <c r="E61" s="323">
        <f t="shared" si="11"/>
        <v>2</v>
      </c>
      <c r="F61" s="366"/>
      <c r="G61" s="366"/>
      <c r="H61" s="366"/>
      <c r="I61" s="366"/>
      <c r="J61" s="366"/>
      <c r="K61" s="366"/>
      <c r="L61" s="366"/>
      <c r="M61" s="366"/>
      <c r="N61" s="366"/>
      <c r="P61" s="314"/>
      <c r="Q61" s="314"/>
    </row>
    <row r="62" spans="1:21" s="304" customFormat="1" ht="16.5" x14ac:dyDescent="0.25">
      <c r="A62" s="311">
        <v>9</v>
      </c>
      <c r="B62" s="320" t="s">
        <v>121</v>
      </c>
      <c r="C62" s="323">
        <f t="shared" si="9"/>
        <v>38</v>
      </c>
      <c r="D62" s="323">
        <f t="shared" si="10"/>
        <v>36</v>
      </c>
      <c r="E62" s="323">
        <f t="shared" si="11"/>
        <v>2</v>
      </c>
      <c r="F62" s="366"/>
      <c r="G62" s="366"/>
      <c r="H62" s="366"/>
      <c r="I62" s="366"/>
      <c r="J62" s="366"/>
      <c r="K62" s="366"/>
      <c r="L62" s="366"/>
      <c r="M62" s="366"/>
      <c r="N62" s="366"/>
      <c r="P62" s="314"/>
      <c r="Q62" s="314"/>
    </row>
    <row r="63" spans="1:21" s="304" customFormat="1" ht="16.5" x14ac:dyDescent="0.25">
      <c r="A63" s="311">
        <v>10</v>
      </c>
      <c r="B63" s="320" t="s">
        <v>223</v>
      </c>
      <c r="C63" s="323">
        <f t="shared" si="9"/>
        <v>38</v>
      </c>
      <c r="D63" s="323">
        <f t="shared" si="10"/>
        <v>36</v>
      </c>
      <c r="E63" s="323">
        <f t="shared" si="11"/>
        <v>2</v>
      </c>
      <c r="F63" s="366"/>
      <c r="G63" s="366"/>
      <c r="H63" s="366"/>
      <c r="I63" s="366"/>
      <c r="J63" s="366"/>
      <c r="K63" s="366"/>
      <c r="L63" s="366"/>
      <c r="M63" s="366"/>
      <c r="N63" s="366"/>
      <c r="P63" s="314"/>
      <c r="Q63" s="314"/>
    </row>
    <row r="64" spans="1:21" s="304" customFormat="1" ht="16.5" x14ac:dyDescent="0.25">
      <c r="A64" s="311">
        <v>11</v>
      </c>
      <c r="B64" s="320" t="s">
        <v>224</v>
      </c>
      <c r="C64" s="323">
        <f t="shared" si="9"/>
        <v>380</v>
      </c>
      <c r="D64" s="323">
        <f t="shared" si="10"/>
        <v>359</v>
      </c>
      <c r="E64" s="323">
        <f t="shared" si="11"/>
        <v>21</v>
      </c>
      <c r="F64" s="366"/>
      <c r="G64" s="366"/>
      <c r="H64" s="366"/>
      <c r="I64" s="366"/>
      <c r="J64" s="366"/>
      <c r="K64" s="366"/>
      <c r="L64" s="366"/>
      <c r="M64" s="366"/>
      <c r="N64" s="366"/>
      <c r="P64" s="314"/>
      <c r="Q64" s="314"/>
    </row>
    <row r="65" spans="1:19" s="304" customFormat="1" ht="16.5" x14ac:dyDescent="0.25">
      <c r="A65" s="311">
        <v>12</v>
      </c>
      <c r="B65" s="320" t="s">
        <v>225</v>
      </c>
      <c r="C65" s="323">
        <f t="shared" si="9"/>
        <v>38</v>
      </c>
      <c r="D65" s="323">
        <f t="shared" si="10"/>
        <v>36</v>
      </c>
      <c r="E65" s="323">
        <f t="shared" si="11"/>
        <v>2</v>
      </c>
      <c r="F65" s="366"/>
      <c r="G65" s="366"/>
      <c r="H65" s="366"/>
      <c r="I65" s="366"/>
      <c r="J65" s="366"/>
      <c r="K65" s="366"/>
      <c r="L65" s="366"/>
      <c r="M65" s="366"/>
      <c r="N65" s="366"/>
      <c r="P65" s="314"/>
      <c r="Q65" s="314"/>
    </row>
    <row r="66" spans="1:19" s="304" customFormat="1" ht="16.5" x14ac:dyDescent="0.25">
      <c r="A66" s="311">
        <v>13</v>
      </c>
      <c r="B66" s="320" t="s">
        <v>144</v>
      </c>
      <c r="C66" s="323">
        <f t="shared" si="9"/>
        <v>38</v>
      </c>
      <c r="D66" s="323">
        <f t="shared" si="10"/>
        <v>36</v>
      </c>
      <c r="E66" s="323">
        <f t="shared" si="11"/>
        <v>2</v>
      </c>
      <c r="F66" s="366"/>
      <c r="G66" s="366"/>
      <c r="H66" s="366"/>
      <c r="I66" s="366"/>
      <c r="J66" s="366"/>
      <c r="K66" s="366"/>
      <c r="L66" s="366"/>
      <c r="M66" s="366"/>
      <c r="N66" s="366"/>
      <c r="P66" s="314"/>
      <c r="Q66" s="314"/>
    </row>
    <row r="67" spans="1:19" s="304" customFormat="1" ht="16.5" x14ac:dyDescent="0.25">
      <c r="A67" s="311">
        <v>14</v>
      </c>
      <c r="B67" s="320" t="s">
        <v>226</v>
      </c>
      <c r="C67" s="323">
        <f t="shared" si="9"/>
        <v>38</v>
      </c>
      <c r="D67" s="323">
        <f t="shared" si="10"/>
        <v>36</v>
      </c>
      <c r="E67" s="323">
        <f t="shared" si="11"/>
        <v>2</v>
      </c>
      <c r="F67" s="366"/>
      <c r="G67" s="366"/>
      <c r="H67" s="366"/>
      <c r="I67" s="366"/>
      <c r="J67" s="366"/>
      <c r="K67" s="366"/>
      <c r="L67" s="366"/>
      <c r="M67" s="366"/>
      <c r="N67" s="366"/>
      <c r="P67" s="314"/>
      <c r="Q67" s="314"/>
    </row>
    <row r="68" spans="1:19" s="304" customFormat="1" ht="16.5" x14ac:dyDescent="0.25">
      <c r="A68" s="311">
        <v>15</v>
      </c>
      <c r="B68" s="320" t="s">
        <v>227</v>
      </c>
      <c r="C68" s="323">
        <f t="shared" si="9"/>
        <v>38</v>
      </c>
      <c r="D68" s="323">
        <f t="shared" si="10"/>
        <v>36</v>
      </c>
      <c r="E68" s="323">
        <f t="shared" si="11"/>
        <v>2</v>
      </c>
      <c r="F68" s="366"/>
      <c r="G68" s="366"/>
      <c r="H68" s="366"/>
      <c r="I68" s="366"/>
      <c r="J68" s="366"/>
      <c r="K68" s="366"/>
      <c r="L68" s="366"/>
      <c r="M68" s="366"/>
      <c r="N68" s="366"/>
      <c r="P68" s="314"/>
      <c r="Q68" s="314"/>
    </row>
    <row r="69" spans="1:19" s="304" customFormat="1" ht="16.5" x14ac:dyDescent="0.25">
      <c r="A69" s="311">
        <v>16</v>
      </c>
      <c r="B69" s="320" t="s">
        <v>228</v>
      </c>
      <c r="C69" s="323">
        <f t="shared" si="9"/>
        <v>38</v>
      </c>
      <c r="D69" s="323">
        <f t="shared" si="10"/>
        <v>36</v>
      </c>
      <c r="E69" s="323">
        <f t="shared" si="11"/>
        <v>2</v>
      </c>
      <c r="F69" s="366"/>
      <c r="G69" s="366"/>
      <c r="H69" s="366"/>
      <c r="I69" s="366"/>
      <c r="J69" s="366"/>
      <c r="K69" s="366"/>
      <c r="L69" s="366"/>
      <c r="M69" s="366"/>
      <c r="N69" s="366"/>
      <c r="P69" s="314"/>
      <c r="Q69" s="314"/>
    </row>
    <row r="70" spans="1:19" s="304" customFormat="1" ht="16.5" x14ac:dyDescent="0.25">
      <c r="A70" s="311">
        <v>17</v>
      </c>
      <c r="B70" s="320" t="s">
        <v>89</v>
      </c>
      <c r="C70" s="323">
        <f t="shared" si="9"/>
        <v>38</v>
      </c>
      <c r="D70" s="323">
        <f t="shared" si="10"/>
        <v>36</v>
      </c>
      <c r="E70" s="323">
        <f t="shared" si="11"/>
        <v>2</v>
      </c>
      <c r="F70" s="366"/>
      <c r="G70" s="366"/>
      <c r="H70" s="366"/>
      <c r="I70" s="366"/>
      <c r="J70" s="366"/>
      <c r="K70" s="366"/>
      <c r="L70" s="366"/>
      <c r="M70" s="366"/>
      <c r="N70" s="366"/>
      <c r="P70" s="314"/>
      <c r="Q70" s="314"/>
    </row>
    <row r="71" spans="1:19" s="304" customFormat="1" ht="16.5" x14ac:dyDescent="0.25">
      <c r="A71" s="311">
        <v>18</v>
      </c>
      <c r="B71" s="320" t="s">
        <v>229</v>
      </c>
      <c r="C71" s="323">
        <f t="shared" si="9"/>
        <v>38</v>
      </c>
      <c r="D71" s="323">
        <f t="shared" si="10"/>
        <v>36</v>
      </c>
      <c r="E71" s="323">
        <f t="shared" si="11"/>
        <v>2</v>
      </c>
      <c r="F71" s="366"/>
      <c r="G71" s="366"/>
      <c r="H71" s="366"/>
      <c r="I71" s="366"/>
      <c r="J71" s="366"/>
      <c r="K71" s="366"/>
      <c r="L71" s="366"/>
      <c r="M71" s="366"/>
      <c r="N71" s="366"/>
      <c r="P71" s="314"/>
      <c r="Q71" s="314"/>
    </row>
    <row r="72" spans="1:19" s="304" customFormat="1" ht="16.5" x14ac:dyDescent="0.25">
      <c r="A72" s="311">
        <v>19</v>
      </c>
      <c r="B72" s="320" t="s">
        <v>248</v>
      </c>
      <c r="C72" s="323">
        <f t="shared" si="9"/>
        <v>38</v>
      </c>
      <c r="D72" s="323">
        <f t="shared" si="10"/>
        <v>36</v>
      </c>
      <c r="E72" s="323">
        <f t="shared" si="11"/>
        <v>2</v>
      </c>
      <c r="F72" s="366"/>
      <c r="G72" s="366"/>
      <c r="H72" s="366"/>
      <c r="I72" s="366"/>
      <c r="J72" s="366"/>
      <c r="K72" s="366"/>
      <c r="L72" s="366"/>
      <c r="M72" s="366"/>
      <c r="N72" s="366"/>
      <c r="P72" s="314"/>
      <c r="Q72" s="314"/>
    </row>
    <row r="73" spans="1:19" s="304" customFormat="1" ht="16.5" x14ac:dyDescent="0.25">
      <c r="A73" s="311">
        <v>20</v>
      </c>
      <c r="B73" s="320" t="s">
        <v>131</v>
      </c>
      <c r="C73" s="323">
        <f t="shared" si="9"/>
        <v>38</v>
      </c>
      <c r="D73" s="323">
        <f t="shared" si="10"/>
        <v>36</v>
      </c>
      <c r="E73" s="323">
        <f t="shared" si="11"/>
        <v>2</v>
      </c>
      <c r="F73" s="366"/>
      <c r="G73" s="366"/>
      <c r="H73" s="366"/>
      <c r="I73" s="366"/>
      <c r="J73" s="366"/>
      <c r="K73" s="366"/>
      <c r="L73" s="366"/>
      <c r="M73" s="366"/>
      <c r="N73" s="366"/>
      <c r="P73" s="314"/>
      <c r="Q73" s="314"/>
    </row>
    <row r="74" spans="1:19" s="304" customFormat="1" ht="16.5" x14ac:dyDescent="0.25">
      <c r="A74" s="311">
        <v>21</v>
      </c>
      <c r="B74" s="320" t="s">
        <v>230</v>
      </c>
      <c r="C74" s="323">
        <f t="shared" si="9"/>
        <v>38</v>
      </c>
      <c r="D74" s="323">
        <f t="shared" si="10"/>
        <v>36</v>
      </c>
      <c r="E74" s="323">
        <f t="shared" si="11"/>
        <v>2</v>
      </c>
      <c r="F74" s="366"/>
      <c r="G74" s="366"/>
      <c r="H74" s="366"/>
      <c r="I74" s="366"/>
      <c r="J74" s="366"/>
      <c r="K74" s="366"/>
      <c r="L74" s="366"/>
      <c r="M74" s="366"/>
      <c r="N74" s="366"/>
      <c r="P74" s="314"/>
      <c r="Q74" s="314"/>
    </row>
    <row r="75" spans="1:19" s="304" customFormat="1" ht="16.5" x14ac:dyDescent="0.25">
      <c r="A75" s="311">
        <v>22</v>
      </c>
      <c r="B75" s="320" t="s">
        <v>231</v>
      </c>
      <c r="C75" s="323">
        <f t="shared" si="9"/>
        <v>38</v>
      </c>
      <c r="D75" s="323">
        <f t="shared" si="10"/>
        <v>36</v>
      </c>
      <c r="E75" s="323">
        <f t="shared" si="11"/>
        <v>2</v>
      </c>
      <c r="F75" s="366"/>
      <c r="G75" s="366"/>
      <c r="H75" s="366"/>
      <c r="I75" s="366"/>
      <c r="J75" s="366"/>
      <c r="K75" s="366"/>
      <c r="L75" s="366"/>
      <c r="M75" s="366"/>
      <c r="N75" s="366"/>
      <c r="P75" s="314"/>
      <c r="Q75" s="314"/>
    </row>
    <row r="76" spans="1:19" s="304" customFormat="1" ht="16.5" x14ac:dyDescent="0.25">
      <c r="A76" s="311">
        <v>23</v>
      </c>
      <c r="B76" s="320" t="s">
        <v>143</v>
      </c>
      <c r="C76" s="323">
        <f t="shared" si="9"/>
        <v>38</v>
      </c>
      <c r="D76" s="323">
        <f t="shared" si="10"/>
        <v>36</v>
      </c>
      <c r="E76" s="323">
        <f t="shared" si="11"/>
        <v>2</v>
      </c>
      <c r="F76" s="366"/>
      <c r="G76" s="366"/>
      <c r="H76" s="366"/>
      <c r="I76" s="366"/>
      <c r="J76" s="366"/>
      <c r="K76" s="366"/>
      <c r="L76" s="366"/>
      <c r="M76" s="366"/>
      <c r="N76" s="366"/>
      <c r="P76" s="314"/>
      <c r="Q76" s="314"/>
    </row>
    <row r="77" spans="1:19" s="304" customFormat="1" ht="16.5" x14ac:dyDescent="0.25">
      <c r="A77" s="311">
        <v>24</v>
      </c>
      <c r="B77" s="320" t="s">
        <v>249</v>
      </c>
      <c r="C77" s="323">
        <f t="shared" si="9"/>
        <v>38</v>
      </c>
      <c r="D77" s="323">
        <f t="shared" si="10"/>
        <v>36</v>
      </c>
      <c r="E77" s="323">
        <f t="shared" si="11"/>
        <v>2</v>
      </c>
      <c r="F77" s="366"/>
      <c r="G77" s="366"/>
      <c r="H77" s="366"/>
      <c r="I77" s="366"/>
      <c r="J77" s="366"/>
      <c r="K77" s="366"/>
      <c r="L77" s="366"/>
      <c r="M77" s="366"/>
      <c r="N77" s="366"/>
      <c r="P77" s="314"/>
      <c r="Q77" s="314"/>
    </row>
    <row r="78" spans="1:19" s="304" customFormat="1" ht="16.5" x14ac:dyDescent="0.25">
      <c r="A78" s="308" t="s">
        <v>31</v>
      </c>
      <c r="B78" s="309" t="s">
        <v>242</v>
      </c>
      <c r="C78" s="327">
        <f>SUM(C79:C86)</f>
        <v>2123</v>
      </c>
      <c r="D78" s="327">
        <f t="shared" ref="D78:E78" si="12">SUM(D79:D86)</f>
        <v>2010</v>
      </c>
      <c r="E78" s="327">
        <f t="shared" si="12"/>
        <v>113</v>
      </c>
      <c r="F78" s="365"/>
      <c r="G78" s="365"/>
      <c r="H78" s="365"/>
      <c r="I78" s="365"/>
      <c r="J78" s="365"/>
      <c r="K78" s="365"/>
      <c r="L78" s="365"/>
      <c r="M78" s="365"/>
      <c r="N78" s="365"/>
      <c r="P78" s="328"/>
      <c r="Q78" s="328"/>
      <c r="R78" s="329"/>
      <c r="S78" s="330"/>
    </row>
    <row r="79" spans="1:19" s="314" customFormat="1" ht="16.5" x14ac:dyDescent="0.25">
      <c r="A79" s="311">
        <v>1</v>
      </c>
      <c r="B79" s="331" t="s">
        <v>38</v>
      </c>
      <c r="C79" s="323">
        <f>D79+E79</f>
        <v>265</v>
      </c>
      <c r="D79" s="323">
        <f>F46</f>
        <v>251</v>
      </c>
      <c r="E79" s="323">
        <f>ROUND(D79*5.73%,0)</f>
        <v>14</v>
      </c>
      <c r="F79" s="366"/>
      <c r="G79" s="366"/>
      <c r="H79" s="366"/>
      <c r="I79" s="366"/>
      <c r="J79" s="366"/>
      <c r="K79" s="366"/>
      <c r="L79" s="366"/>
      <c r="M79" s="366"/>
      <c r="N79" s="366"/>
      <c r="P79" s="328"/>
      <c r="Q79" s="328"/>
      <c r="R79" s="328"/>
      <c r="S79" s="332"/>
    </row>
    <row r="80" spans="1:19" s="314" customFormat="1" ht="16.5" x14ac:dyDescent="0.25">
      <c r="A80" s="311">
        <v>2</v>
      </c>
      <c r="B80" s="331" t="s">
        <v>39</v>
      </c>
      <c r="C80" s="323">
        <f t="shared" ref="C80:C86" si="13">D80+E80</f>
        <v>299</v>
      </c>
      <c r="D80" s="323">
        <f>G46</f>
        <v>283</v>
      </c>
      <c r="E80" s="323">
        <f t="shared" ref="E80:E86" si="14">ROUND(D80*5.73%,0)</f>
        <v>16</v>
      </c>
      <c r="F80" s="366"/>
      <c r="G80" s="366"/>
      <c r="H80" s="366"/>
      <c r="I80" s="366"/>
      <c r="J80" s="366"/>
      <c r="K80" s="366"/>
      <c r="L80" s="366"/>
      <c r="M80" s="366"/>
      <c r="N80" s="366"/>
      <c r="P80" s="328"/>
      <c r="Q80" s="328"/>
      <c r="R80" s="328"/>
      <c r="S80" s="332"/>
    </row>
    <row r="81" spans="1:19" s="314" customFormat="1" ht="16.5" x14ac:dyDescent="0.25">
      <c r="A81" s="311">
        <v>3</v>
      </c>
      <c r="B81" s="331" t="s">
        <v>40</v>
      </c>
      <c r="C81" s="323">
        <f t="shared" si="13"/>
        <v>260</v>
      </c>
      <c r="D81" s="323">
        <f>H46</f>
        <v>246</v>
      </c>
      <c r="E81" s="323">
        <f t="shared" si="14"/>
        <v>14</v>
      </c>
      <c r="F81" s="366"/>
      <c r="G81" s="366"/>
      <c r="H81" s="366"/>
      <c r="I81" s="366"/>
      <c r="J81" s="366"/>
      <c r="K81" s="366"/>
      <c r="L81" s="366"/>
      <c r="M81" s="366"/>
      <c r="N81" s="366"/>
      <c r="P81" s="328"/>
      <c r="Q81" s="328"/>
      <c r="R81" s="328"/>
      <c r="S81" s="332"/>
    </row>
    <row r="82" spans="1:19" s="314" customFormat="1" ht="16.5" x14ac:dyDescent="0.25">
      <c r="A82" s="311">
        <v>4</v>
      </c>
      <c r="B82" s="331" t="s">
        <v>41</v>
      </c>
      <c r="C82" s="323">
        <f t="shared" si="13"/>
        <v>265</v>
      </c>
      <c r="D82" s="323">
        <f>I46</f>
        <v>251</v>
      </c>
      <c r="E82" s="323">
        <f t="shared" si="14"/>
        <v>14</v>
      </c>
      <c r="F82" s="366"/>
      <c r="G82" s="366"/>
      <c r="H82" s="366"/>
      <c r="I82" s="366"/>
      <c r="J82" s="366"/>
      <c r="K82" s="366"/>
      <c r="L82" s="366"/>
      <c r="M82" s="366"/>
      <c r="N82" s="366"/>
      <c r="P82" s="328"/>
      <c r="Q82" s="328"/>
      <c r="R82" s="328"/>
      <c r="S82" s="332"/>
    </row>
    <row r="83" spans="1:19" s="314" customFormat="1" ht="16.5" x14ac:dyDescent="0.25">
      <c r="A83" s="311">
        <v>5</v>
      </c>
      <c r="B83" s="331" t="s">
        <v>42</v>
      </c>
      <c r="C83" s="323">
        <f t="shared" si="13"/>
        <v>395</v>
      </c>
      <c r="D83" s="323">
        <f>J46</f>
        <v>374</v>
      </c>
      <c r="E83" s="323">
        <f t="shared" si="14"/>
        <v>21</v>
      </c>
      <c r="F83" s="366"/>
      <c r="G83" s="366"/>
      <c r="H83" s="366"/>
      <c r="I83" s="366"/>
      <c r="J83" s="366"/>
      <c r="K83" s="366"/>
      <c r="L83" s="366"/>
      <c r="M83" s="366"/>
      <c r="N83" s="366"/>
      <c r="P83" s="328"/>
      <c r="Q83" s="328"/>
      <c r="R83" s="328"/>
      <c r="S83" s="332"/>
    </row>
    <row r="84" spans="1:19" s="314" customFormat="1" ht="16.5" x14ac:dyDescent="0.25">
      <c r="A84" s="311">
        <v>6</v>
      </c>
      <c r="B84" s="331" t="s">
        <v>43</v>
      </c>
      <c r="C84" s="323">
        <f t="shared" si="13"/>
        <v>283</v>
      </c>
      <c r="D84" s="323">
        <f>K46</f>
        <v>268</v>
      </c>
      <c r="E84" s="323">
        <f t="shared" si="14"/>
        <v>15</v>
      </c>
      <c r="F84" s="366"/>
      <c r="G84" s="366"/>
      <c r="H84" s="366"/>
      <c r="I84" s="366"/>
      <c r="J84" s="366"/>
      <c r="K84" s="366"/>
      <c r="L84" s="366"/>
      <c r="M84" s="366"/>
      <c r="N84" s="366"/>
      <c r="P84" s="328"/>
      <c r="Q84" s="328"/>
      <c r="R84" s="328"/>
      <c r="S84" s="332"/>
    </row>
    <row r="85" spans="1:19" s="314" customFormat="1" ht="16.5" x14ac:dyDescent="0.25">
      <c r="A85" s="311">
        <v>7</v>
      </c>
      <c r="B85" s="331" t="s">
        <v>44</v>
      </c>
      <c r="C85" s="323">
        <f t="shared" si="13"/>
        <v>311</v>
      </c>
      <c r="D85" s="323">
        <f>L46</f>
        <v>294</v>
      </c>
      <c r="E85" s="323">
        <f t="shared" si="14"/>
        <v>17</v>
      </c>
      <c r="F85" s="366"/>
      <c r="G85" s="366"/>
      <c r="H85" s="366"/>
      <c r="I85" s="366"/>
      <c r="J85" s="366"/>
      <c r="K85" s="366"/>
      <c r="L85" s="366"/>
      <c r="M85" s="366"/>
      <c r="N85" s="366"/>
      <c r="P85" s="328"/>
      <c r="Q85" s="328"/>
      <c r="R85" s="328"/>
      <c r="S85" s="332"/>
    </row>
    <row r="86" spans="1:19" s="314" customFormat="1" ht="16.5" x14ac:dyDescent="0.25">
      <c r="A86" s="315">
        <v>8</v>
      </c>
      <c r="B86" s="333" t="s">
        <v>45</v>
      </c>
      <c r="C86" s="324">
        <f t="shared" si="13"/>
        <v>45</v>
      </c>
      <c r="D86" s="324">
        <f>M46</f>
        <v>43</v>
      </c>
      <c r="E86" s="324">
        <f t="shared" si="14"/>
        <v>2</v>
      </c>
      <c r="F86" s="366"/>
      <c r="G86" s="366"/>
      <c r="H86" s="366"/>
      <c r="I86" s="366"/>
      <c r="J86" s="366"/>
      <c r="K86" s="366"/>
      <c r="L86" s="366"/>
      <c r="M86" s="366"/>
      <c r="N86" s="366"/>
      <c r="P86" s="328"/>
      <c r="Q86" s="328"/>
      <c r="R86" s="328"/>
      <c r="S86" s="332"/>
    </row>
    <row r="88" spans="1:19" x14ac:dyDescent="0.25">
      <c r="D88" s="335"/>
      <c r="E88" s="335"/>
    </row>
    <row r="89" spans="1:19" x14ac:dyDescent="0.25">
      <c r="D89" s="31"/>
      <c r="E89" s="336"/>
    </row>
    <row r="90" spans="1:19" x14ac:dyDescent="0.25">
      <c r="D90" s="31"/>
      <c r="E90" s="336"/>
    </row>
    <row r="91" spans="1:19" x14ac:dyDescent="0.25">
      <c r="A91" s="302"/>
      <c r="D91" s="31"/>
      <c r="E91" s="336"/>
    </row>
    <row r="92" spans="1:19" x14ac:dyDescent="0.25">
      <c r="A92" s="302"/>
      <c r="D92" s="31"/>
      <c r="E92" s="336"/>
    </row>
    <row r="93" spans="1:19" x14ac:dyDescent="0.25">
      <c r="A93" s="302"/>
      <c r="D93" s="31"/>
      <c r="E93" s="336"/>
    </row>
    <row r="94" spans="1:19" x14ac:dyDescent="0.25">
      <c r="A94" s="302"/>
      <c r="D94" s="31"/>
      <c r="E94" s="336"/>
    </row>
    <row r="95" spans="1:19" x14ac:dyDescent="0.25">
      <c r="A95" s="302"/>
      <c r="D95" s="31"/>
      <c r="E95" s="336"/>
    </row>
    <row r="96" spans="1:19" x14ac:dyDescent="0.25">
      <c r="A96" s="302"/>
      <c r="D96" s="31"/>
      <c r="E96" s="336"/>
    </row>
  </sheetData>
  <mergeCells count="34">
    <mergeCell ref="B8:T8"/>
    <mergeCell ref="A13:M13"/>
    <mergeCell ref="A14:T14"/>
    <mergeCell ref="A2:T2"/>
    <mergeCell ref="A3:T3"/>
    <mergeCell ref="A5:T5"/>
    <mergeCell ref="A6:A7"/>
    <mergeCell ref="B6:B7"/>
    <mergeCell ref="C6:C7"/>
    <mergeCell ref="D6:K6"/>
    <mergeCell ref="L6:T6"/>
    <mergeCell ref="A43:T43"/>
    <mergeCell ref="A44:A45"/>
    <mergeCell ref="B44:B45"/>
    <mergeCell ref="C44:C45"/>
    <mergeCell ref="D44:D45"/>
    <mergeCell ref="E44:E45"/>
    <mergeCell ref="F44:M44"/>
    <mergeCell ref="A52:B52"/>
    <mergeCell ref="Q1:T1"/>
    <mergeCell ref="D16:E16"/>
    <mergeCell ref="F16:G16"/>
    <mergeCell ref="A15:A17"/>
    <mergeCell ref="B15:B17"/>
    <mergeCell ref="C15:C17"/>
    <mergeCell ref="D15:G15"/>
    <mergeCell ref="C50:C51"/>
    <mergeCell ref="D50:E50"/>
    <mergeCell ref="A47:T47"/>
    <mergeCell ref="D48:E48"/>
    <mergeCell ref="A49:A51"/>
    <mergeCell ref="B49:B51"/>
    <mergeCell ref="C49:E49"/>
    <mergeCell ref="A18:B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48"/>
  <sheetViews>
    <sheetView view="pageBreakPreview" topLeftCell="A22" zoomScale="115" zoomScaleNormal="115" zoomScaleSheetLayoutView="115" zoomScalePageLayoutView="70" workbookViewId="0">
      <selection activeCell="B6" sqref="B6"/>
    </sheetView>
  </sheetViews>
  <sheetFormatPr defaultRowHeight="15.75" x14ac:dyDescent="0.25"/>
  <cols>
    <col min="1" max="1" width="7.75" style="497" customWidth="1"/>
    <col min="2" max="2" width="28.75" style="595" customWidth="1"/>
    <col min="3" max="3" width="94.75" style="498" customWidth="1"/>
    <col min="4" max="4" width="11.125" style="544" customWidth="1"/>
    <col min="5" max="9" width="0" style="535" hidden="1" customWidth="1"/>
    <col min="10" max="256" width="9" style="535"/>
    <col min="257" max="257" width="7.125" style="535" customWidth="1"/>
    <col min="258" max="258" width="28.25" style="535" customWidth="1"/>
    <col min="259" max="259" width="43.75" style="535" customWidth="1"/>
    <col min="260" max="260" width="7.75" style="535" bestFit="1" customWidth="1"/>
    <col min="261" max="512" width="9" style="535"/>
    <col min="513" max="513" width="7.125" style="535" customWidth="1"/>
    <col min="514" max="514" width="28.25" style="535" customWidth="1"/>
    <col min="515" max="515" width="43.75" style="535" customWidth="1"/>
    <col min="516" max="516" width="7.75" style="535" bestFit="1" customWidth="1"/>
    <col min="517" max="768" width="9" style="535"/>
    <col min="769" max="769" width="7.125" style="535" customWidth="1"/>
    <col min="770" max="770" width="28.25" style="535" customWidth="1"/>
    <col min="771" max="771" width="43.75" style="535" customWidth="1"/>
    <col min="772" max="772" width="7.75" style="535" bestFit="1" customWidth="1"/>
    <col min="773" max="1024" width="9" style="535"/>
    <col min="1025" max="1025" width="7.125" style="535" customWidth="1"/>
    <col min="1026" max="1026" width="28.25" style="535" customWidth="1"/>
    <col min="1027" max="1027" width="43.75" style="535" customWidth="1"/>
    <col min="1028" max="1028" width="7.75" style="535" bestFit="1" customWidth="1"/>
    <col min="1029" max="1280" width="9" style="535"/>
    <col min="1281" max="1281" width="7.125" style="535" customWidth="1"/>
    <col min="1282" max="1282" width="28.25" style="535" customWidth="1"/>
    <col min="1283" max="1283" width="43.75" style="535" customWidth="1"/>
    <col min="1284" max="1284" width="7.75" style="535" bestFit="1" customWidth="1"/>
    <col min="1285" max="1536" width="9" style="535"/>
    <col min="1537" max="1537" width="7.125" style="535" customWidth="1"/>
    <col min="1538" max="1538" width="28.25" style="535" customWidth="1"/>
    <col min="1539" max="1539" width="43.75" style="535" customWidth="1"/>
    <col min="1540" max="1540" width="7.75" style="535" bestFit="1" customWidth="1"/>
    <col min="1541" max="1792" width="9" style="535"/>
    <col min="1793" max="1793" width="7.125" style="535" customWidth="1"/>
    <col min="1794" max="1794" width="28.25" style="535" customWidth="1"/>
    <col min="1795" max="1795" width="43.75" style="535" customWidth="1"/>
    <col min="1796" max="1796" width="7.75" style="535" bestFit="1" customWidth="1"/>
    <col min="1797" max="2048" width="9" style="535"/>
    <col min="2049" max="2049" width="7.125" style="535" customWidth="1"/>
    <col min="2050" max="2050" width="28.25" style="535" customWidth="1"/>
    <col min="2051" max="2051" width="43.75" style="535" customWidth="1"/>
    <col min="2052" max="2052" width="7.75" style="535" bestFit="1" customWidth="1"/>
    <col min="2053" max="2304" width="9" style="535"/>
    <col min="2305" max="2305" width="7.125" style="535" customWidth="1"/>
    <col min="2306" max="2306" width="28.25" style="535" customWidth="1"/>
    <col min="2307" max="2307" width="43.75" style="535" customWidth="1"/>
    <col min="2308" max="2308" width="7.75" style="535" bestFit="1" customWidth="1"/>
    <col min="2309" max="2560" width="9" style="535"/>
    <col min="2561" max="2561" width="7.125" style="535" customWidth="1"/>
    <col min="2562" max="2562" width="28.25" style="535" customWidth="1"/>
    <col min="2563" max="2563" width="43.75" style="535" customWidth="1"/>
    <col min="2564" max="2564" width="7.75" style="535" bestFit="1" customWidth="1"/>
    <col min="2565" max="2816" width="9" style="535"/>
    <col min="2817" max="2817" width="7.125" style="535" customWidth="1"/>
    <col min="2818" max="2818" width="28.25" style="535" customWidth="1"/>
    <col min="2819" max="2819" width="43.75" style="535" customWidth="1"/>
    <col min="2820" max="2820" width="7.75" style="535" bestFit="1" customWidth="1"/>
    <col min="2821" max="3072" width="9" style="535"/>
    <col min="3073" max="3073" width="7.125" style="535" customWidth="1"/>
    <col min="3074" max="3074" width="28.25" style="535" customWidth="1"/>
    <col min="3075" max="3075" width="43.75" style="535" customWidth="1"/>
    <col min="3076" max="3076" width="7.75" style="535" bestFit="1" customWidth="1"/>
    <col min="3077" max="3328" width="9" style="535"/>
    <col min="3329" max="3329" width="7.125" style="535" customWidth="1"/>
    <col min="3330" max="3330" width="28.25" style="535" customWidth="1"/>
    <col min="3331" max="3331" width="43.75" style="535" customWidth="1"/>
    <col min="3332" max="3332" width="7.75" style="535" bestFit="1" customWidth="1"/>
    <col min="3333" max="3584" width="9" style="535"/>
    <col min="3585" max="3585" width="7.125" style="535" customWidth="1"/>
    <col min="3586" max="3586" width="28.25" style="535" customWidth="1"/>
    <col min="3587" max="3587" width="43.75" style="535" customWidth="1"/>
    <col min="3588" max="3588" width="7.75" style="535" bestFit="1" customWidth="1"/>
    <col min="3589" max="3840" width="9" style="535"/>
    <col min="3841" max="3841" width="7.125" style="535" customWidth="1"/>
    <col min="3842" max="3842" width="28.25" style="535" customWidth="1"/>
    <col min="3843" max="3843" width="43.75" style="535" customWidth="1"/>
    <col min="3844" max="3844" width="7.75" style="535" bestFit="1" customWidth="1"/>
    <col min="3845" max="4096" width="9" style="535"/>
    <col min="4097" max="4097" width="7.125" style="535" customWidth="1"/>
    <col min="4098" max="4098" width="28.25" style="535" customWidth="1"/>
    <col min="4099" max="4099" width="43.75" style="535" customWidth="1"/>
    <col min="4100" max="4100" width="7.75" style="535" bestFit="1" customWidth="1"/>
    <col min="4101" max="4352" width="9" style="535"/>
    <col min="4353" max="4353" width="7.125" style="535" customWidth="1"/>
    <col min="4354" max="4354" width="28.25" style="535" customWidth="1"/>
    <col min="4355" max="4355" width="43.75" style="535" customWidth="1"/>
    <col min="4356" max="4356" width="7.75" style="535" bestFit="1" customWidth="1"/>
    <col min="4357" max="4608" width="9" style="535"/>
    <col min="4609" max="4609" width="7.125" style="535" customWidth="1"/>
    <col min="4610" max="4610" width="28.25" style="535" customWidth="1"/>
    <col min="4611" max="4611" width="43.75" style="535" customWidth="1"/>
    <col min="4612" max="4612" width="7.75" style="535" bestFit="1" customWidth="1"/>
    <col min="4613" max="4864" width="9" style="535"/>
    <col min="4865" max="4865" width="7.125" style="535" customWidth="1"/>
    <col min="4866" max="4866" width="28.25" style="535" customWidth="1"/>
    <col min="4867" max="4867" width="43.75" style="535" customWidth="1"/>
    <col min="4868" max="4868" width="7.75" style="535" bestFit="1" customWidth="1"/>
    <col min="4869" max="5120" width="9" style="535"/>
    <col min="5121" max="5121" width="7.125" style="535" customWidth="1"/>
    <col min="5122" max="5122" width="28.25" style="535" customWidth="1"/>
    <col min="5123" max="5123" width="43.75" style="535" customWidth="1"/>
    <col min="5124" max="5124" width="7.75" style="535" bestFit="1" customWidth="1"/>
    <col min="5125" max="5376" width="9" style="535"/>
    <col min="5377" max="5377" width="7.125" style="535" customWidth="1"/>
    <col min="5378" max="5378" width="28.25" style="535" customWidth="1"/>
    <col min="5379" max="5379" width="43.75" style="535" customWidth="1"/>
    <col min="5380" max="5380" width="7.75" style="535" bestFit="1" customWidth="1"/>
    <col min="5381" max="5632" width="9" style="535"/>
    <col min="5633" max="5633" width="7.125" style="535" customWidth="1"/>
    <col min="5634" max="5634" width="28.25" style="535" customWidth="1"/>
    <col min="5635" max="5635" width="43.75" style="535" customWidth="1"/>
    <col min="5636" max="5636" width="7.75" style="535" bestFit="1" customWidth="1"/>
    <col min="5637" max="5888" width="9" style="535"/>
    <col min="5889" max="5889" width="7.125" style="535" customWidth="1"/>
    <col min="5890" max="5890" width="28.25" style="535" customWidth="1"/>
    <col min="5891" max="5891" width="43.75" style="535" customWidth="1"/>
    <col min="5892" max="5892" width="7.75" style="535" bestFit="1" customWidth="1"/>
    <col min="5893" max="6144" width="9" style="535"/>
    <col min="6145" max="6145" width="7.125" style="535" customWidth="1"/>
    <col min="6146" max="6146" width="28.25" style="535" customWidth="1"/>
    <col min="6147" max="6147" width="43.75" style="535" customWidth="1"/>
    <col min="6148" max="6148" width="7.75" style="535" bestFit="1" customWidth="1"/>
    <col min="6149" max="6400" width="9" style="535"/>
    <col min="6401" max="6401" width="7.125" style="535" customWidth="1"/>
    <col min="6402" max="6402" width="28.25" style="535" customWidth="1"/>
    <col min="6403" max="6403" width="43.75" style="535" customWidth="1"/>
    <col min="6404" max="6404" width="7.75" style="535" bestFit="1" customWidth="1"/>
    <col min="6405" max="6656" width="9" style="535"/>
    <col min="6657" max="6657" width="7.125" style="535" customWidth="1"/>
    <col min="6658" max="6658" width="28.25" style="535" customWidth="1"/>
    <col min="6659" max="6659" width="43.75" style="535" customWidth="1"/>
    <col min="6660" max="6660" width="7.75" style="535" bestFit="1" customWidth="1"/>
    <col min="6661" max="6912" width="9" style="535"/>
    <col min="6913" max="6913" width="7.125" style="535" customWidth="1"/>
    <col min="6914" max="6914" width="28.25" style="535" customWidth="1"/>
    <col min="6915" max="6915" width="43.75" style="535" customWidth="1"/>
    <col min="6916" max="6916" width="7.75" style="535" bestFit="1" customWidth="1"/>
    <col min="6917" max="7168" width="9" style="535"/>
    <col min="7169" max="7169" width="7.125" style="535" customWidth="1"/>
    <col min="7170" max="7170" width="28.25" style="535" customWidth="1"/>
    <col min="7171" max="7171" width="43.75" style="535" customWidth="1"/>
    <col min="7172" max="7172" width="7.75" style="535" bestFit="1" customWidth="1"/>
    <col min="7173" max="7424" width="9" style="535"/>
    <col min="7425" max="7425" width="7.125" style="535" customWidth="1"/>
    <col min="7426" max="7426" width="28.25" style="535" customWidth="1"/>
    <col min="7427" max="7427" width="43.75" style="535" customWidth="1"/>
    <col min="7428" max="7428" width="7.75" style="535" bestFit="1" customWidth="1"/>
    <col min="7429" max="7680" width="9" style="535"/>
    <col min="7681" max="7681" width="7.125" style="535" customWidth="1"/>
    <col min="7682" max="7682" width="28.25" style="535" customWidth="1"/>
    <col min="7683" max="7683" width="43.75" style="535" customWidth="1"/>
    <col min="7684" max="7684" width="7.75" style="535" bestFit="1" customWidth="1"/>
    <col min="7685" max="7936" width="9" style="535"/>
    <col min="7937" max="7937" width="7.125" style="535" customWidth="1"/>
    <col min="7938" max="7938" width="28.25" style="535" customWidth="1"/>
    <col min="7939" max="7939" width="43.75" style="535" customWidth="1"/>
    <col min="7940" max="7940" width="7.75" style="535" bestFit="1" customWidth="1"/>
    <col min="7941" max="8192" width="9" style="535"/>
    <col min="8193" max="8193" width="7.125" style="535" customWidth="1"/>
    <col min="8194" max="8194" width="28.25" style="535" customWidth="1"/>
    <col min="8195" max="8195" width="43.75" style="535" customWidth="1"/>
    <col min="8196" max="8196" width="7.75" style="535" bestFit="1" customWidth="1"/>
    <col min="8197" max="8448" width="9" style="535"/>
    <col min="8449" max="8449" width="7.125" style="535" customWidth="1"/>
    <col min="8450" max="8450" width="28.25" style="535" customWidth="1"/>
    <col min="8451" max="8451" width="43.75" style="535" customWidth="1"/>
    <col min="8452" max="8452" width="7.75" style="535" bestFit="1" customWidth="1"/>
    <col min="8453" max="8704" width="9" style="535"/>
    <col min="8705" max="8705" width="7.125" style="535" customWidth="1"/>
    <col min="8706" max="8706" width="28.25" style="535" customWidth="1"/>
    <col min="8707" max="8707" width="43.75" style="535" customWidth="1"/>
    <col min="8708" max="8708" width="7.75" style="535" bestFit="1" customWidth="1"/>
    <col min="8709" max="8960" width="9" style="535"/>
    <col min="8961" max="8961" width="7.125" style="535" customWidth="1"/>
    <col min="8962" max="8962" width="28.25" style="535" customWidth="1"/>
    <col min="8963" max="8963" width="43.75" style="535" customWidth="1"/>
    <col min="8964" max="8964" width="7.75" style="535" bestFit="1" customWidth="1"/>
    <col min="8965" max="9216" width="9" style="535"/>
    <col min="9217" max="9217" width="7.125" style="535" customWidth="1"/>
    <col min="9218" max="9218" width="28.25" style="535" customWidth="1"/>
    <col min="9219" max="9219" width="43.75" style="535" customWidth="1"/>
    <col min="9220" max="9220" width="7.75" style="535" bestFit="1" customWidth="1"/>
    <col min="9221" max="9472" width="9" style="535"/>
    <col min="9473" max="9473" width="7.125" style="535" customWidth="1"/>
    <col min="9474" max="9474" width="28.25" style="535" customWidth="1"/>
    <col min="9475" max="9475" width="43.75" style="535" customWidth="1"/>
    <col min="9476" max="9476" width="7.75" style="535" bestFit="1" customWidth="1"/>
    <col min="9477" max="9728" width="9" style="535"/>
    <col min="9729" max="9729" width="7.125" style="535" customWidth="1"/>
    <col min="9730" max="9730" width="28.25" style="535" customWidth="1"/>
    <col min="9731" max="9731" width="43.75" style="535" customWidth="1"/>
    <col min="9732" max="9732" width="7.75" style="535" bestFit="1" customWidth="1"/>
    <col min="9733" max="9984" width="9" style="535"/>
    <col min="9985" max="9985" width="7.125" style="535" customWidth="1"/>
    <col min="9986" max="9986" width="28.25" style="535" customWidth="1"/>
    <col min="9987" max="9987" width="43.75" style="535" customWidth="1"/>
    <col min="9988" max="9988" width="7.75" style="535" bestFit="1" customWidth="1"/>
    <col min="9989" max="10240" width="9" style="535"/>
    <col min="10241" max="10241" width="7.125" style="535" customWidth="1"/>
    <col min="10242" max="10242" width="28.25" style="535" customWidth="1"/>
    <col min="10243" max="10243" width="43.75" style="535" customWidth="1"/>
    <col min="10244" max="10244" width="7.75" style="535" bestFit="1" customWidth="1"/>
    <col min="10245" max="10496" width="9" style="535"/>
    <col min="10497" max="10497" width="7.125" style="535" customWidth="1"/>
    <col min="10498" max="10498" width="28.25" style="535" customWidth="1"/>
    <col min="10499" max="10499" width="43.75" style="535" customWidth="1"/>
    <col min="10500" max="10500" width="7.75" style="535" bestFit="1" customWidth="1"/>
    <col min="10501" max="10752" width="9" style="535"/>
    <col min="10753" max="10753" width="7.125" style="535" customWidth="1"/>
    <col min="10754" max="10754" width="28.25" style="535" customWidth="1"/>
    <col min="10755" max="10755" width="43.75" style="535" customWidth="1"/>
    <col min="10756" max="10756" width="7.75" style="535" bestFit="1" customWidth="1"/>
    <col min="10757" max="11008" width="9" style="535"/>
    <col min="11009" max="11009" width="7.125" style="535" customWidth="1"/>
    <col min="11010" max="11010" width="28.25" style="535" customWidth="1"/>
    <col min="11011" max="11011" width="43.75" style="535" customWidth="1"/>
    <col min="11012" max="11012" width="7.75" style="535" bestFit="1" customWidth="1"/>
    <col min="11013" max="11264" width="9" style="535"/>
    <col min="11265" max="11265" width="7.125" style="535" customWidth="1"/>
    <col min="11266" max="11266" width="28.25" style="535" customWidth="1"/>
    <col min="11267" max="11267" width="43.75" style="535" customWidth="1"/>
    <col min="11268" max="11268" width="7.75" style="535" bestFit="1" customWidth="1"/>
    <col min="11269" max="11520" width="9" style="535"/>
    <col min="11521" max="11521" width="7.125" style="535" customWidth="1"/>
    <col min="11522" max="11522" width="28.25" style="535" customWidth="1"/>
    <col min="11523" max="11523" width="43.75" style="535" customWidth="1"/>
    <col min="11524" max="11524" width="7.75" style="535" bestFit="1" customWidth="1"/>
    <col min="11525" max="11776" width="9" style="535"/>
    <col min="11777" max="11777" width="7.125" style="535" customWidth="1"/>
    <col min="11778" max="11778" width="28.25" style="535" customWidth="1"/>
    <col min="11779" max="11779" width="43.75" style="535" customWidth="1"/>
    <col min="11780" max="11780" width="7.75" style="535" bestFit="1" customWidth="1"/>
    <col min="11781" max="12032" width="9" style="535"/>
    <col min="12033" max="12033" width="7.125" style="535" customWidth="1"/>
    <col min="12034" max="12034" width="28.25" style="535" customWidth="1"/>
    <col min="12035" max="12035" width="43.75" style="535" customWidth="1"/>
    <col min="12036" max="12036" width="7.75" style="535" bestFit="1" customWidth="1"/>
    <col min="12037" max="12288" width="9" style="535"/>
    <col min="12289" max="12289" width="7.125" style="535" customWidth="1"/>
    <col min="12290" max="12290" width="28.25" style="535" customWidth="1"/>
    <col min="12291" max="12291" width="43.75" style="535" customWidth="1"/>
    <col min="12292" max="12292" width="7.75" style="535" bestFit="1" customWidth="1"/>
    <col min="12293" max="12544" width="9" style="535"/>
    <col min="12545" max="12545" width="7.125" style="535" customWidth="1"/>
    <col min="12546" max="12546" width="28.25" style="535" customWidth="1"/>
    <col min="12547" max="12547" width="43.75" style="535" customWidth="1"/>
    <col min="12548" max="12548" width="7.75" style="535" bestFit="1" customWidth="1"/>
    <col min="12549" max="12800" width="9" style="535"/>
    <col min="12801" max="12801" width="7.125" style="535" customWidth="1"/>
    <col min="12802" max="12802" width="28.25" style="535" customWidth="1"/>
    <col min="12803" max="12803" width="43.75" style="535" customWidth="1"/>
    <col min="12804" max="12804" width="7.75" style="535" bestFit="1" customWidth="1"/>
    <col min="12805" max="13056" width="9" style="535"/>
    <col min="13057" max="13057" width="7.125" style="535" customWidth="1"/>
    <col min="13058" max="13058" width="28.25" style="535" customWidth="1"/>
    <col min="13059" max="13059" width="43.75" style="535" customWidth="1"/>
    <col min="13060" max="13060" width="7.75" style="535" bestFit="1" customWidth="1"/>
    <col min="13061" max="13312" width="9" style="535"/>
    <col min="13313" max="13313" width="7.125" style="535" customWidth="1"/>
    <col min="13314" max="13314" width="28.25" style="535" customWidth="1"/>
    <col min="13315" max="13315" width="43.75" style="535" customWidth="1"/>
    <col min="13316" max="13316" width="7.75" style="535" bestFit="1" customWidth="1"/>
    <col min="13317" max="13568" width="9" style="535"/>
    <col min="13569" max="13569" width="7.125" style="535" customWidth="1"/>
    <col min="13570" max="13570" width="28.25" style="535" customWidth="1"/>
    <col min="13571" max="13571" width="43.75" style="535" customWidth="1"/>
    <col min="13572" max="13572" width="7.75" style="535" bestFit="1" customWidth="1"/>
    <col min="13573" max="13824" width="9" style="535"/>
    <col min="13825" max="13825" width="7.125" style="535" customWidth="1"/>
    <col min="13826" max="13826" width="28.25" style="535" customWidth="1"/>
    <col min="13827" max="13827" width="43.75" style="535" customWidth="1"/>
    <col min="13828" max="13828" width="7.75" style="535" bestFit="1" customWidth="1"/>
    <col min="13829" max="14080" width="9" style="535"/>
    <col min="14081" max="14081" width="7.125" style="535" customWidth="1"/>
    <col min="14082" max="14082" width="28.25" style="535" customWidth="1"/>
    <col min="14083" max="14083" width="43.75" style="535" customWidth="1"/>
    <col min="14084" max="14084" width="7.75" style="535" bestFit="1" customWidth="1"/>
    <col min="14085" max="14336" width="9" style="535"/>
    <col min="14337" max="14337" width="7.125" style="535" customWidth="1"/>
    <col min="14338" max="14338" width="28.25" style="535" customWidth="1"/>
    <col min="14339" max="14339" width="43.75" style="535" customWidth="1"/>
    <col min="14340" max="14340" width="7.75" style="535" bestFit="1" customWidth="1"/>
    <col min="14341" max="14592" width="9" style="535"/>
    <col min="14593" max="14593" width="7.125" style="535" customWidth="1"/>
    <col min="14594" max="14594" width="28.25" style="535" customWidth="1"/>
    <col min="14595" max="14595" width="43.75" style="535" customWidth="1"/>
    <col min="14596" max="14596" width="7.75" style="535" bestFit="1" customWidth="1"/>
    <col min="14597" max="14848" width="9" style="535"/>
    <col min="14849" max="14849" width="7.125" style="535" customWidth="1"/>
    <col min="14850" max="14850" width="28.25" style="535" customWidth="1"/>
    <col min="14851" max="14851" width="43.75" style="535" customWidth="1"/>
    <col min="14852" max="14852" width="7.75" style="535" bestFit="1" customWidth="1"/>
    <col min="14853" max="15104" width="9" style="535"/>
    <col min="15105" max="15105" width="7.125" style="535" customWidth="1"/>
    <col min="15106" max="15106" width="28.25" style="535" customWidth="1"/>
    <col min="15107" max="15107" width="43.75" style="535" customWidth="1"/>
    <col min="15108" max="15108" width="7.75" style="535" bestFit="1" customWidth="1"/>
    <col min="15109" max="15360" width="9" style="535"/>
    <col min="15361" max="15361" width="7.125" style="535" customWidth="1"/>
    <col min="15362" max="15362" width="28.25" style="535" customWidth="1"/>
    <col min="15363" max="15363" width="43.75" style="535" customWidth="1"/>
    <col min="15364" max="15364" width="7.75" style="535" bestFit="1" customWidth="1"/>
    <col min="15365" max="15616" width="9" style="535"/>
    <col min="15617" max="15617" width="7.125" style="535" customWidth="1"/>
    <col min="15618" max="15618" width="28.25" style="535" customWidth="1"/>
    <col min="15619" max="15619" width="43.75" style="535" customWidth="1"/>
    <col min="15620" max="15620" width="7.75" style="535" bestFit="1" customWidth="1"/>
    <col min="15621" max="15872" width="9" style="535"/>
    <col min="15873" max="15873" width="7.125" style="535" customWidth="1"/>
    <col min="15874" max="15874" width="28.25" style="535" customWidth="1"/>
    <col min="15875" max="15875" width="43.75" style="535" customWidth="1"/>
    <col min="15876" max="15876" width="7.75" style="535" bestFit="1" customWidth="1"/>
    <col min="15877" max="16128" width="9" style="535"/>
    <col min="16129" max="16129" width="7.125" style="535" customWidth="1"/>
    <col min="16130" max="16130" width="28.25" style="535" customWidth="1"/>
    <col min="16131" max="16131" width="43.75" style="535" customWidth="1"/>
    <col min="16132" max="16132" width="7.75" style="535" bestFit="1" customWidth="1"/>
    <col min="16133" max="16384" width="9" style="535"/>
  </cols>
  <sheetData>
    <row r="1" spans="1:9" s="485" customFormat="1" ht="35.25" customHeight="1" x14ac:dyDescent="0.25">
      <c r="A1" s="1023" t="s">
        <v>618</v>
      </c>
      <c r="B1" s="1023"/>
      <c r="C1" s="1023"/>
      <c r="D1" s="1023"/>
    </row>
    <row r="2" spans="1:9" x14ac:dyDescent="0.25">
      <c r="A2" s="1024" t="str">
        <f>'1 Điều hành'!A2:B2</f>
        <v>(Kèm theo Nghị quyết số          /NQ-HĐND ngày        tháng 12 năm 2023 của HĐND tỉnh Bắc Kạn)</v>
      </c>
      <c r="B2" s="1024"/>
      <c r="C2" s="1024"/>
      <c r="D2" s="1024"/>
    </row>
    <row r="3" spans="1:9" x14ac:dyDescent="0.25">
      <c r="A3" s="536"/>
      <c r="B3" s="537"/>
      <c r="C3" s="1025" t="s">
        <v>456</v>
      </c>
      <c r="D3" s="1025"/>
    </row>
    <row r="4" spans="1:9" ht="36" customHeight="1" x14ac:dyDescent="0.25">
      <c r="A4" s="538" t="s">
        <v>457</v>
      </c>
      <c r="B4" s="538" t="s">
        <v>36</v>
      </c>
      <c r="C4" s="539" t="s">
        <v>458</v>
      </c>
      <c r="D4" s="873" t="s">
        <v>459</v>
      </c>
    </row>
    <row r="5" spans="1:9" x14ac:dyDescent="0.25">
      <c r="A5" s="874"/>
      <c r="B5" s="874"/>
      <c r="C5" s="875" t="s">
        <v>67</v>
      </c>
      <c r="D5" s="876">
        <f>D6+D14+D43+D60+D70+D86+D102+D115+D129+D146+D244+D261+D274+D352+D391+D425+D472+D491+D499+D506+D513+D521+D527+D533+D535+D541+D553+D563+D574+D582+D605+D618+D623+D630+D633+D643+D648+D653+D656+D659+D662+D665+D669+D672+D676+D685+D691+D693+D696+D697+D698+D702+D703+D710+D711+D714+D717+D721+D724+D725+D726+D727+D728+D729+D730+D731+D732+D733+D734+D735+D736+D737+D738+D739+D740+D741+D742+D743+D744+D745+D746+D747+D748</f>
        <v>800392.73711444438</v>
      </c>
      <c r="I5" s="544"/>
    </row>
    <row r="6" spans="1:9" ht="31.5" x14ac:dyDescent="0.25">
      <c r="A6" s="540">
        <v>1</v>
      </c>
      <c r="B6" s="541" t="s">
        <v>460</v>
      </c>
      <c r="C6" s="542"/>
      <c r="D6" s="543">
        <f>SUM(D7:D13)</f>
        <v>7121.8</v>
      </c>
      <c r="E6" s="544"/>
      <c r="G6" s="544"/>
    </row>
    <row r="7" spans="1:9" x14ac:dyDescent="0.25">
      <c r="A7" s="1026"/>
      <c r="B7" s="1029"/>
      <c r="C7" s="493" t="s">
        <v>619</v>
      </c>
      <c r="D7" s="487">
        <v>775.8</v>
      </c>
    </row>
    <row r="8" spans="1:9" x14ac:dyDescent="0.25">
      <c r="A8" s="1027"/>
      <c r="B8" s="1030"/>
      <c r="C8" s="493" t="s">
        <v>620</v>
      </c>
      <c r="D8" s="487">
        <v>2028</v>
      </c>
    </row>
    <row r="9" spans="1:9" x14ac:dyDescent="0.25">
      <c r="A9" s="1027"/>
      <c r="B9" s="1030"/>
      <c r="C9" s="493" t="s">
        <v>621</v>
      </c>
      <c r="D9" s="487">
        <v>1328</v>
      </c>
    </row>
    <row r="10" spans="1:9" x14ac:dyDescent="0.25">
      <c r="A10" s="1027"/>
      <c r="B10" s="1030"/>
      <c r="C10" s="493" t="s">
        <v>622</v>
      </c>
      <c r="D10" s="487">
        <v>810</v>
      </c>
    </row>
    <row r="11" spans="1:9" x14ac:dyDescent="0.25">
      <c r="A11" s="1027"/>
      <c r="B11" s="1030"/>
      <c r="C11" s="493" t="s">
        <v>623</v>
      </c>
      <c r="D11" s="487">
        <v>500</v>
      </c>
    </row>
    <row r="12" spans="1:9" x14ac:dyDescent="0.25">
      <c r="A12" s="1027"/>
      <c r="B12" s="1030"/>
      <c r="C12" s="545" t="s">
        <v>624</v>
      </c>
      <c r="D12" s="487">
        <v>225</v>
      </c>
    </row>
    <row r="13" spans="1:9" x14ac:dyDescent="0.25">
      <c r="A13" s="1028"/>
      <c r="B13" s="1031"/>
      <c r="C13" s="545" t="s">
        <v>625</v>
      </c>
      <c r="D13" s="487">
        <v>1455</v>
      </c>
    </row>
    <row r="14" spans="1:9" x14ac:dyDescent="0.25">
      <c r="A14" s="546">
        <v>2</v>
      </c>
      <c r="B14" s="547" t="s">
        <v>461</v>
      </c>
      <c r="C14" s="548"/>
      <c r="D14" s="526">
        <f>SUM(D15:D42)</f>
        <v>12995.699999999999</v>
      </c>
    </row>
    <row r="15" spans="1:9" x14ac:dyDescent="0.25">
      <c r="A15" s="1020"/>
      <c r="B15" s="1017"/>
      <c r="C15" s="549" t="s">
        <v>626</v>
      </c>
      <c r="D15" s="491">
        <v>320.39999999999998</v>
      </c>
    </row>
    <row r="16" spans="1:9" x14ac:dyDescent="0.25">
      <c r="A16" s="1021"/>
      <c r="B16" s="1018"/>
      <c r="C16" s="550" t="s">
        <v>627</v>
      </c>
      <c r="D16" s="491">
        <v>45</v>
      </c>
    </row>
    <row r="17" spans="1:4" ht="31.5" x14ac:dyDescent="0.25">
      <c r="A17" s="1021"/>
      <c r="B17" s="1018"/>
      <c r="C17" s="550" t="s">
        <v>628</v>
      </c>
      <c r="D17" s="491">
        <v>633.6</v>
      </c>
    </row>
    <row r="18" spans="1:4" ht="31.5" x14ac:dyDescent="0.25">
      <c r="A18" s="1021"/>
      <c r="B18" s="1018"/>
      <c r="C18" s="550" t="s">
        <v>629</v>
      </c>
      <c r="D18" s="491">
        <v>83.7</v>
      </c>
    </row>
    <row r="19" spans="1:4" ht="31.5" x14ac:dyDescent="0.25">
      <c r="A19" s="1021"/>
      <c r="B19" s="1018"/>
      <c r="C19" s="550" t="s">
        <v>630</v>
      </c>
      <c r="D19" s="491">
        <v>1100</v>
      </c>
    </row>
    <row r="20" spans="1:4" ht="31.5" x14ac:dyDescent="0.25">
      <c r="A20" s="1021"/>
      <c r="B20" s="1018"/>
      <c r="C20" s="550" t="s">
        <v>631</v>
      </c>
      <c r="D20" s="491">
        <v>2536.1999999999998</v>
      </c>
    </row>
    <row r="21" spans="1:4" ht="31.5" x14ac:dyDescent="0.25">
      <c r="A21" s="1021"/>
      <c r="B21" s="1018"/>
      <c r="C21" s="550" t="s">
        <v>632</v>
      </c>
      <c r="D21" s="491">
        <v>84.6</v>
      </c>
    </row>
    <row r="22" spans="1:4" x14ac:dyDescent="0.25">
      <c r="A22" s="1021"/>
      <c r="B22" s="1018"/>
      <c r="C22" s="550" t="s">
        <v>633</v>
      </c>
      <c r="D22" s="491">
        <v>171</v>
      </c>
    </row>
    <row r="23" spans="1:4" ht="31.5" x14ac:dyDescent="0.25">
      <c r="A23" s="1021"/>
      <c r="B23" s="1018"/>
      <c r="C23" s="550" t="s">
        <v>634</v>
      </c>
      <c r="D23" s="490">
        <v>247.5</v>
      </c>
    </row>
    <row r="24" spans="1:4" ht="31.5" x14ac:dyDescent="0.25">
      <c r="A24" s="1021"/>
      <c r="B24" s="1018"/>
      <c r="C24" s="550" t="s">
        <v>635</v>
      </c>
      <c r="D24" s="490">
        <v>70.2</v>
      </c>
    </row>
    <row r="25" spans="1:4" x14ac:dyDescent="0.25">
      <c r="A25" s="1021"/>
      <c r="B25" s="1018"/>
      <c r="C25" s="550" t="s">
        <v>636</v>
      </c>
      <c r="D25" s="490">
        <v>169.2</v>
      </c>
    </row>
    <row r="26" spans="1:4" x14ac:dyDescent="0.25">
      <c r="A26" s="1021"/>
      <c r="B26" s="1018"/>
      <c r="C26" s="550" t="s">
        <v>637</v>
      </c>
      <c r="D26" s="490">
        <v>169.2</v>
      </c>
    </row>
    <row r="27" spans="1:4" x14ac:dyDescent="0.25">
      <c r="A27" s="1021"/>
      <c r="B27" s="1018"/>
      <c r="C27" s="550" t="s">
        <v>638</v>
      </c>
      <c r="D27" s="490">
        <v>84.6</v>
      </c>
    </row>
    <row r="28" spans="1:4" x14ac:dyDescent="0.25">
      <c r="A28" s="1021"/>
      <c r="B28" s="1018"/>
      <c r="C28" s="550" t="s">
        <v>639</v>
      </c>
      <c r="D28" s="490">
        <v>169.2</v>
      </c>
    </row>
    <row r="29" spans="1:4" x14ac:dyDescent="0.25">
      <c r="A29" s="1021"/>
      <c r="B29" s="1018"/>
      <c r="C29" s="550" t="s">
        <v>640</v>
      </c>
      <c r="D29" s="490">
        <v>35.1</v>
      </c>
    </row>
    <row r="30" spans="1:4" x14ac:dyDescent="0.25">
      <c r="A30" s="1021"/>
      <c r="B30" s="1018"/>
      <c r="C30" s="550" t="s">
        <v>641</v>
      </c>
      <c r="D30" s="490">
        <v>135</v>
      </c>
    </row>
    <row r="31" spans="1:4" x14ac:dyDescent="0.25">
      <c r="A31" s="1021"/>
      <c r="B31" s="1018"/>
      <c r="C31" s="550" t="s">
        <v>642</v>
      </c>
      <c r="D31" s="490">
        <v>70.2</v>
      </c>
    </row>
    <row r="32" spans="1:4" x14ac:dyDescent="0.25">
      <c r="A32" s="1021"/>
      <c r="B32" s="1018"/>
      <c r="C32" s="550" t="s">
        <v>643</v>
      </c>
      <c r="D32" s="490">
        <v>219.6</v>
      </c>
    </row>
    <row r="33" spans="1:4" x14ac:dyDescent="0.25">
      <c r="A33" s="1021"/>
      <c r="B33" s="1018"/>
      <c r="C33" s="550" t="s">
        <v>644</v>
      </c>
      <c r="D33" s="490">
        <v>495</v>
      </c>
    </row>
    <row r="34" spans="1:4" x14ac:dyDescent="0.25">
      <c r="A34" s="1021"/>
      <c r="B34" s="1018"/>
      <c r="C34" s="550" t="s">
        <v>645</v>
      </c>
      <c r="D34" s="490">
        <v>1133.0999999999999</v>
      </c>
    </row>
    <row r="35" spans="1:4" x14ac:dyDescent="0.25">
      <c r="A35" s="1021"/>
      <c r="B35" s="1018"/>
      <c r="C35" s="550" t="s">
        <v>646</v>
      </c>
      <c r="D35" s="490">
        <v>296.10000000000002</v>
      </c>
    </row>
    <row r="36" spans="1:4" x14ac:dyDescent="0.25">
      <c r="A36" s="1021"/>
      <c r="B36" s="1018"/>
      <c r="C36" s="550" t="s">
        <v>647</v>
      </c>
      <c r="D36" s="490">
        <v>465.3</v>
      </c>
    </row>
    <row r="37" spans="1:4" x14ac:dyDescent="0.25">
      <c r="A37" s="1021"/>
      <c r="B37" s="1018"/>
      <c r="C37" s="550" t="s">
        <v>648</v>
      </c>
      <c r="D37" s="490">
        <v>450</v>
      </c>
    </row>
    <row r="38" spans="1:4" x14ac:dyDescent="0.25">
      <c r="A38" s="1021"/>
      <c r="B38" s="1018"/>
      <c r="C38" s="550" t="s">
        <v>649</v>
      </c>
      <c r="D38" s="490">
        <v>230</v>
      </c>
    </row>
    <row r="39" spans="1:4" x14ac:dyDescent="0.25">
      <c r="A39" s="1021"/>
      <c r="B39" s="1018"/>
      <c r="C39" s="550" t="s">
        <v>650</v>
      </c>
      <c r="D39" s="490">
        <f>945.9+81</f>
        <v>1026.9000000000001</v>
      </c>
    </row>
    <row r="40" spans="1:4" x14ac:dyDescent="0.25">
      <c r="A40" s="1021"/>
      <c r="B40" s="1018"/>
      <c r="C40" s="551" t="s">
        <v>462</v>
      </c>
      <c r="D40" s="490">
        <v>100</v>
      </c>
    </row>
    <row r="41" spans="1:4" x14ac:dyDescent="0.25">
      <c r="A41" s="1021"/>
      <c r="B41" s="1018"/>
      <c r="C41" s="551" t="s">
        <v>625</v>
      </c>
      <c r="D41" s="490">
        <v>1455</v>
      </c>
    </row>
    <row r="42" spans="1:4" x14ac:dyDescent="0.25">
      <c r="A42" s="1022"/>
      <c r="B42" s="1019"/>
      <c r="C42" s="551" t="s">
        <v>597</v>
      </c>
      <c r="D42" s="490">
        <v>1000</v>
      </c>
    </row>
    <row r="43" spans="1:4" x14ac:dyDescent="0.25">
      <c r="A43" s="546">
        <v>3</v>
      </c>
      <c r="B43" s="547" t="s">
        <v>89</v>
      </c>
      <c r="C43" s="548"/>
      <c r="D43" s="526">
        <f>SUM(D44:D59)</f>
        <v>10018</v>
      </c>
    </row>
    <row r="44" spans="1:4" x14ac:dyDescent="0.25">
      <c r="A44" s="1020"/>
      <c r="B44" s="1017"/>
      <c r="C44" s="493" t="s">
        <v>463</v>
      </c>
      <c r="D44" s="552">
        <v>245</v>
      </c>
    </row>
    <row r="45" spans="1:4" x14ac:dyDescent="0.25">
      <c r="A45" s="1021"/>
      <c r="B45" s="1018"/>
      <c r="C45" s="493" t="s">
        <v>651</v>
      </c>
      <c r="D45" s="552">
        <v>78</v>
      </c>
    </row>
    <row r="46" spans="1:4" x14ac:dyDescent="0.25">
      <c r="A46" s="1021"/>
      <c r="B46" s="1018"/>
      <c r="C46" s="493" t="s">
        <v>464</v>
      </c>
      <c r="D46" s="552">
        <v>416</v>
      </c>
    </row>
    <row r="47" spans="1:4" x14ac:dyDescent="0.25">
      <c r="A47" s="1021"/>
      <c r="B47" s="1018"/>
      <c r="C47" s="493" t="s">
        <v>652</v>
      </c>
      <c r="D47" s="552">
        <v>16</v>
      </c>
    </row>
    <row r="48" spans="1:4" x14ac:dyDescent="0.25">
      <c r="A48" s="1021"/>
      <c r="B48" s="1018"/>
      <c r="C48" s="493" t="s">
        <v>653</v>
      </c>
      <c r="D48" s="552">
        <v>27</v>
      </c>
    </row>
    <row r="49" spans="1:4" ht="47.25" x14ac:dyDescent="0.25">
      <c r="A49" s="1021"/>
      <c r="B49" s="1018"/>
      <c r="C49" s="493" t="s">
        <v>654</v>
      </c>
      <c r="D49" s="552">
        <v>384</v>
      </c>
    </row>
    <row r="50" spans="1:4" ht="31.5" x14ac:dyDescent="0.25">
      <c r="A50" s="1021"/>
      <c r="B50" s="1018"/>
      <c r="C50" s="493" t="s">
        <v>655</v>
      </c>
      <c r="D50" s="552">
        <v>39</v>
      </c>
    </row>
    <row r="51" spans="1:4" x14ac:dyDescent="0.25">
      <c r="A51" s="1021"/>
      <c r="B51" s="1018"/>
      <c r="C51" s="493" t="s">
        <v>656</v>
      </c>
      <c r="D51" s="552">
        <v>195</v>
      </c>
    </row>
    <row r="52" spans="1:4" x14ac:dyDescent="0.25">
      <c r="A52" s="1021"/>
      <c r="B52" s="1018"/>
      <c r="C52" s="493" t="s">
        <v>657</v>
      </c>
      <c r="D52" s="552">
        <v>720</v>
      </c>
    </row>
    <row r="53" spans="1:4" x14ac:dyDescent="0.25">
      <c r="A53" s="1021"/>
      <c r="B53" s="1018"/>
      <c r="C53" s="493" t="s">
        <v>465</v>
      </c>
      <c r="D53" s="552">
        <v>388</v>
      </c>
    </row>
    <row r="54" spans="1:4" x14ac:dyDescent="0.25">
      <c r="A54" s="1021"/>
      <c r="B54" s="1018"/>
      <c r="C54" s="493" t="s">
        <v>611</v>
      </c>
      <c r="D54" s="552">
        <v>5160</v>
      </c>
    </row>
    <row r="55" spans="1:4" x14ac:dyDescent="0.25">
      <c r="A55" s="1021"/>
      <c r="B55" s="1018"/>
      <c r="C55" s="493" t="s">
        <v>658</v>
      </c>
      <c r="D55" s="552">
        <v>14</v>
      </c>
    </row>
    <row r="56" spans="1:4" x14ac:dyDescent="0.25">
      <c r="A56" s="1021"/>
      <c r="B56" s="1018"/>
      <c r="C56" s="493" t="s">
        <v>659</v>
      </c>
      <c r="D56" s="553">
        <v>126</v>
      </c>
    </row>
    <row r="57" spans="1:4" x14ac:dyDescent="0.25">
      <c r="A57" s="1021"/>
      <c r="B57" s="1018"/>
      <c r="C57" s="493" t="s">
        <v>660</v>
      </c>
      <c r="D57" s="553">
        <v>90</v>
      </c>
    </row>
    <row r="58" spans="1:4" x14ac:dyDescent="0.25">
      <c r="A58" s="1021"/>
      <c r="B58" s="1018"/>
      <c r="C58" s="493" t="s">
        <v>661</v>
      </c>
      <c r="D58" s="553">
        <v>120</v>
      </c>
    </row>
    <row r="59" spans="1:4" x14ac:dyDescent="0.25">
      <c r="A59" s="1021"/>
      <c r="B59" s="1018"/>
      <c r="C59" s="493" t="s">
        <v>662</v>
      </c>
      <c r="D59" s="491">
        <v>2000</v>
      </c>
    </row>
    <row r="60" spans="1:4" x14ac:dyDescent="0.25">
      <c r="A60" s="546">
        <v>4</v>
      </c>
      <c r="B60" s="554" t="s">
        <v>225</v>
      </c>
      <c r="C60" s="548"/>
      <c r="D60" s="526">
        <f>SUM(D61:D69)</f>
        <v>2465.77</v>
      </c>
    </row>
    <row r="61" spans="1:4" x14ac:dyDescent="0.25">
      <c r="A61" s="555"/>
      <c r="B61" s="1017"/>
      <c r="C61" s="493" t="s">
        <v>466</v>
      </c>
      <c r="D61" s="490">
        <v>188</v>
      </c>
    </row>
    <row r="62" spans="1:4" x14ac:dyDescent="0.25">
      <c r="A62" s="555"/>
      <c r="B62" s="1018"/>
      <c r="C62" s="493" t="s">
        <v>664</v>
      </c>
      <c r="D62" s="490">
        <v>46</v>
      </c>
    </row>
    <row r="63" spans="1:4" x14ac:dyDescent="0.25">
      <c r="A63" s="555"/>
      <c r="B63" s="1018"/>
      <c r="C63" s="493" t="s">
        <v>665</v>
      </c>
      <c r="D63" s="490">
        <v>31</v>
      </c>
    </row>
    <row r="64" spans="1:4" x14ac:dyDescent="0.25">
      <c r="A64" s="555"/>
      <c r="B64" s="1018"/>
      <c r="C64" s="493" t="s">
        <v>666</v>
      </c>
      <c r="D64" s="490">
        <v>130</v>
      </c>
    </row>
    <row r="65" spans="1:4" x14ac:dyDescent="0.25">
      <c r="A65" s="555"/>
      <c r="B65" s="1018"/>
      <c r="C65" s="493" t="s">
        <v>667</v>
      </c>
      <c r="D65" s="490">
        <v>139.77000000000001</v>
      </c>
    </row>
    <row r="66" spans="1:4" x14ac:dyDescent="0.25">
      <c r="A66" s="555"/>
      <c r="B66" s="1018"/>
      <c r="C66" s="493" t="s">
        <v>668</v>
      </c>
      <c r="D66" s="490">
        <v>1200</v>
      </c>
    </row>
    <row r="67" spans="1:4" x14ac:dyDescent="0.25">
      <c r="A67" s="555"/>
      <c r="B67" s="1018"/>
      <c r="C67" s="493" t="s">
        <v>669</v>
      </c>
      <c r="D67" s="490">
        <v>72</v>
      </c>
    </row>
    <row r="68" spans="1:4" ht="31.5" x14ac:dyDescent="0.25">
      <c r="A68" s="1021"/>
      <c r="B68" s="1018"/>
      <c r="C68" s="493" t="s">
        <v>670</v>
      </c>
      <c r="D68" s="490">
        <v>209</v>
      </c>
    </row>
    <row r="69" spans="1:4" x14ac:dyDescent="0.25">
      <c r="A69" s="1021"/>
      <c r="B69" s="1018"/>
      <c r="C69" s="493" t="s">
        <v>671</v>
      </c>
      <c r="D69" s="490">
        <v>450</v>
      </c>
    </row>
    <row r="70" spans="1:4" x14ac:dyDescent="0.25">
      <c r="A70" s="546">
        <v>5</v>
      </c>
      <c r="B70" s="547" t="s">
        <v>223</v>
      </c>
      <c r="C70" s="548"/>
      <c r="D70" s="526">
        <f>SUM(D71:D85)</f>
        <v>7636</v>
      </c>
    </row>
    <row r="71" spans="1:4" ht="25.5" customHeight="1" x14ac:dyDescent="0.25">
      <c r="A71" s="1020"/>
      <c r="B71" s="1017"/>
      <c r="C71" s="493" t="s">
        <v>673</v>
      </c>
      <c r="D71" s="490">
        <v>500</v>
      </c>
    </row>
    <row r="72" spans="1:4" x14ac:dyDescent="0.25">
      <c r="A72" s="1021"/>
      <c r="B72" s="1018"/>
      <c r="C72" s="493" t="s">
        <v>674</v>
      </c>
      <c r="D72" s="490">
        <v>100</v>
      </c>
    </row>
    <row r="73" spans="1:4" x14ac:dyDescent="0.25">
      <c r="A73" s="1021"/>
      <c r="B73" s="1018"/>
      <c r="C73" s="493" t="s">
        <v>675</v>
      </c>
      <c r="D73" s="490">
        <v>300</v>
      </c>
    </row>
    <row r="74" spans="1:4" x14ac:dyDescent="0.25">
      <c r="A74" s="1021"/>
      <c r="B74" s="1018"/>
      <c r="C74" s="493" t="s">
        <v>676</v>
      </c>
      <c r="D74" s="490">
        <v>150</v>
      </c>
    </row>
    <row r="75" spans="1:4" x14ac:dyDescent="0.25">
      <c r="A75" s="1021"/>
      <c r="B75" s="1018"/>
      <c r="C75" s="493" t="s">
        <v>677</v>
      </c>
      <c r="D75" s="490">
        <v>150</v>
      </c>
    </row>
    <row r="76" spans="1:4" x14ac:dyDescent="0.25">
      <c r="A76" s="1021"/>
      <c r="B76" s="1018"/>
      <c r="C76" s="493" t="s">
        <v>678</v>
      </c>
      <c r="D76" s="490">
        <v>100</v>
      </c>
    </row>
    <row r="77" spans="1:4" x14ac:dyDescent="0.25">
      <c r="A77" s="1021"/>
      <c r="B77" s="1018"/>
      <c r="C77" s="493" t="s">
        <v>679</v>
      </c>
      <c r="D77" s="490">
        <v>500</v>
      </c>
    </row>
    <row r="78" spans="1:4" x14ac:dyDescent="0.25">
      <c r="A78" s="1021"/>
      <c r="B78" s="1018"/>
      <c r="C78" s="493" t="s">
        <v>680</v>
      </c>
      <c r="D78" s="490">
        <v>300</v>
      </c>
    </row>
    <row r="79" spans="1:4" x14ac:dyDescent="0.25">
      <c r="A79" s="1021"/>
      <c r="B79" s="1018"/>
      <c r="C79" s="493" t="s">
        <v>681</v>
      </c>
      <c r="D79" s="490">
        <v>30</v>
      </c>
    </row>
    <row r="80" spans="1:4" x14ac:dyDescent="0.25">
      <c r="A80" s="1021"/>
      <c r="B80" s="1018"/>
      <c r="C80" s="493" t="s">
        <v>682</v>
      </c>
      <c r="D80" s="490">
        <v>800</v>
      </c>
    </row>
    <row r="81" spans="1:4" x14ac:dyDescent="0.25">
      <c r="A81" s="1021"/>
      <c r="B81" s="1018"/>
      <c r="C81" s="493" t="s">
        <v>683</v>
      </c>
      <c r="D81" s="490">
        <v>1000</v>
      </c>
    </row>
    <row r="82" spans="1:4" ht="31.5" x14ac:dyDescent="0.25">
      <c r="A82" s="1021"/>
      <c r="B82" s="1018"/>
      <c r="C82" s="493" t="s">
        <v>684</v>
      </c>
      <c r="D82" s="490">
        <v>1419</v>
      </c>
    </row>
    <row r="83" spans="1:4" x14ac:dyDescent="0.25">
      <c r="A83" s="1021"/>
      <c r="B83" s="1018"/>
      <c r="C83" s="493" t="s">
        <v>467</v>
      </c>
      <c r="D83" s="490">
        <v>270</v>
      </c>
    </row>
    <row r="84" spans="1:4" x14ac:dyDescent="0.25">
      <c r="A84" s="1021"/>
      <c r="B84" s="1018"/>
      <c r="C84" s="556" t="s">
        <v>469</v>
      </c>
      <c r="D84" s="557">
        <v>17</v>
      </c>
    </row>
    <row r="85" spans="1:4" x14ac:dyDescent="0.25">
      <c r="A85" s="1022"/>
      <c r="B85" s="1019"/>
      <c r="C85" s="493" t="s">
        <v>468</v>
      </c>
      <c r="D85" s="490">
        <v>2000</v>
      </c>
    </row>
    <row r="86" spans="1:4" x14ac:dyDescent="0.25">
      <c r="A86" s="546">
        <v>6</v>
      </c>
      <c r="B86" s="547" t="s">
        <v>131</v>
      </c>
      <c r="C86" s="548"/>
      <c r="D86" s="526">
        <f>SUM(D87:D101)</f>
        <v>4593</v>
      </c>
    </row>
    <row r="87" spans="1:4" x14ac:dyDescent="0.25">
      <c r="A87" s="1020"/>
      <c r="B87" s="1017"/>
      <c r="C87" s="558" t="s">
        <v>685</v>
      </c>
      <c r="D87" s="552">
        <v>189.9</v>
      </c>
    </row>
    <row r="88" spans="1:4" x14ac:dyDescent="0.25">
      <c r="A88" s="1021"/>
      <c r="B88" s="1018"/>
      <c r="C88" s="550" t="s">
        <v>686</v>
      </c>
      <c r="D88" s="552">
        <v>50.4</v>
      </c>
    </row>
    <row r="89" spans="1:4" s="485" customFormat="1" x14ac:dyDescent="0.25">
      <c r="A89" s="1021"/>
      <c r="B89" s="1018"/>
      <c r="C89" s="559" t="s">
        <v>687</v>
      </c>
      <c r="D89" s="552">
        <v>167.4</v>
      </c>
    </row>
    <row r="90" spans="1:4" x14ac:dyDescent="0.25">
      <c r="A90" s="1021"/>
      <c r="B90" s="1018"/>
      <c r="C90" s="559" t="s">
        <v>471</v>
      </c>
      <c r="D90" s="552">
        <v>638.1</v>
      </c>
    </row>
    <row r="91" spans="1:4" ht="31.5" x14ac:dyDescent="0.25">
      <c r="A91" s="1021"/>
      <c r="B91" s="1018"/>
      <c r="C91" s="550" t="s">
        <v>688</v>
      </c>
      <c r="D91" s="552">
        <f>313.2+50</f>
        <v>363.2</v>
      </c>
    </row>
    <row r="92" spans="1:4" x14ac:dyDescent="0.25">
      <c r="A92" s="1021"/>
      <c r="B92" s="1018"/>
      <c r="C92" s="550" t="s">
        <v>689</v>
      </c>
      <c r="D92" s="552">
        <v>3</v>
      </c>
    </row>
    <row r="93" spans="1:4" ht="31.5" x14ac:dyDescent="0.25">
      <c r="A93" s="1021"/>
      <c r="B93" s="1018"/>
      <c r="C93" s="550" t="s">
        <v>690</v>
      </c>
      <c r="D93" s="552">
        <v>35</v>
      </c>
    </row>
    <row r="94" spans="1:4" x14ac:dyDescent="0.25">
      <c r="A94" s="1021"/>
      <c r="B94" s="1018"/>
      <c r="C94" s="550" t="s">
        <v>691</v>
      </c>
      <c r="D94" s="552">
        <v>159</v>
      </c>
    </row>
    <row r="95" spans="1:4" x14ac:dyDescent="0.25">
      <c r="A95" s="1021"/>
      <c r="B95" s="1018"/>
      <c r="C95" s="550" t="s">
        <v>692</v>
      </c>
      <c r="D95" s="552">
        <v>150</v>
      </c>
    </row>
    <row r="96" spans="1:4" x14ac:dyDescent="0.25">
      <c r="A96" s="1021"/>
      <c r="B96" s="1018"/>
      <c r="C96" s="550" t="s">
        <v>693</v>
      </c>
      <c r="D96" s="552">
        <v>1106</v>
      </c>
    </row>
    <row r="97" spans="1:4" x14ac:dyDescent="0.25">
      <c r="A97" s="1021"/>
      <c r="B97" s="1018"/>
      <c r="C97" s="559" t="s">
        <v>694</v>
      </c>
      <c r="D97" s="552">
        <v>96</v>
      </c>
    </row>
    <row r="98" spans="1:4" x14ac:dyDescent="0.25">
      <c r="A98" s="1021"/>
      <c r="B98" s="1018"/>
      <c r="C98" s="559" t="s">
        <v>695</v>
      </c>
      <c r="D98" s="552">
        <v>75</v>
      </c>
    </row>
    <row r="99" spans="1:4" ht="31.5" x14ac:dyDescent="0.25">
      <c r="A99" s="1021"/>
      <c r="B99" s="1018"/>
      <c r="C99" s="550" t="s">
        <v>696</v>
      </c>
      <c r="D99" s="552">
        <v>54</v>
      </c>
    </row>
    <row r="100" spans="1:4" x14ac:dyDescent="0.25">
      <c r="A100" s="1021"/>
      <c r="B100" s="1018"/>
      <c r="C100" s="551" t="s">
        <v>697</v>
      </c>
      <c r="D100" s="552">
        <v>51</v>
      </c>
    </row>
    <row r="101" spans="1:4" x14ac:dyDescent="0.25">
      <c r="A101" s="1022"/>
      <c r="B101" s="1019"/>
      <c r="C101" s="551" t="s">
        <v>625</v>
      </c>
      <c r="D101" s="552">
        <v>1455</v>
      </c>
    </row>
    <row r="102" spans="1:4" x14ac:dyDescent="0.25">
      <c r="A102" s="546">
        <v>7</v>
      </c>
      <c r="B102" s="547" t="s">
        <v>144</v>
      </c>
      <c r="C102" s="548"/>
      <c r="D102" s="526">
        <f>SUM(D103:D114)</f>
        <v>65056</v>
      </c>
    </row>
    <row r="103" spans="1:4" x14ac:dyDescent="0.25">
      <c r="A103" s="1020"/>
      <c r="B103" s="1017"/>
      <c r="C103" s="549" t="s">
        <v>698</v>
      </c>
      <c r="D103" s="491">
        <v>676</v>
      </c>
    </row>
    <row r="104" spans="1:4" s="485" customFormat="1" x14ac:dyDescent="0.25">
      <c r="A104" s="1021"/>
      <c r="B104" s="1018"/>
      <c r="C104" s="550" t="s">
        <v>699</v>
      </c>
      <c r="D104" s="491">
        <v>250</v>
      </c>
    </row>
    <row r="105" spans="1:4" x14ac:dyDescent="0.25">
      <c r="A105" s="1021"/>
      <c r="B105" s="1018"/>
      <c r="C105" s="550" t="s">
        <v>700</v>
      </c>
      <c r="D105" s="491">
        <v>86</v>
      </c>
    </row>
    <row r="106" spans="1:4" x14ac:dyDescent="0.25">
      <c r="A106" s="1021"/>
      <c r="B106" s="1018"/>
      <c r="C106" s="493" t="s">
        <v>701</v>
      </c>
      <c r="D106" s="491">
        <v>400</v>
      </c>
    </row>
    <row r="107" spans="1:4" x14ac:dyDescent="0.25">
      <c r="A107" s="1021"/>
      <c r="B107" s="1018"/>
      <c r="C107" s="493" t="s">
        <v>702</v>
      </c>
      <c r="D107" s="491">
        <v>70</v>
      </c>
    </row>
    <row r="108" spans="1:4" x14ac:dyDescent="0.25">
      <c r="A108" s="1021"/>
      <c r="B108" s="1018"/>
      <c r="C108" s="493" t="s">
        <v>703</v>
      </c>
      <c r="D108" s="491">
        <v>320</v>
      </c>
    </row>
    <row r="109" spans="1:4" x14ac:dyDescent="0.25">
      <c r="A109" s="1021"/>
      <c r="B109" s="1018"/>
      <c r="C109" s="550" t="s">
        <v>704</v>
      </c>
      <c r="D109" s="491">
        <v>27000</v>
      </c>
    </row>
    <row r="110" spans="1:4" x14ac:dyDescent="0.25">
      <c r="A110" s="1021"/>
      <c r="B110" s="1018"/>
      <c r="C110" s="550" t="s">
        <v>705</v>
      </c>
      <c r="D110" s="491">
        <v>700</v>
      </c>
    </row>
    <row r="111" spans="1:4" x14ac:dyDescent="0.25">
      <c r="A111" s="1021"/>
      <c r="B111" s="1018"/>
      <c r="C111" s="550" t="s">
        <v>706</v>
      </c>
      <c r="D111" s="491">
        <v>34368</v>
      </c>
    </row>
    <row r="112" spans="1:4" x14ac:dyDescent="0.25">
      <c r="A112" s="1021"/>
      <c r="B112" s="1018"/>
      <c r="C112" s="550" t="s">
        <v>707</v>
      </c>
      <c r="D112" s="491">
        <v>1006</v>
      </c>
    </row>
    <row r="113" spans="1:4" x14ac:dyDescent="0.25">
      <c r="A113" s="1021"/>
      <c r="B113" s="1018"/>
      <c r="C113" s="493" t="s">
        <v>708</v>
      </c>
      <c r="D113" s="491">
        <v>80</v>
      </c>
    </row>
    <row r="114" spans="1:4" x14ac:dyDescent="0.25">
      <c r="A114" s="1022"/>
      <c r="B114" s="1019"/>
      <c r="C114" s="493" t="s">
        <v>709</v>
      </c>
      <c r="D114" s="491">
        <v>100</v>
      </c>
    </row>
    <row r="115" spans="1:4" x14ac:dyDescent="0.25">
      <c r="A115" s="546">
        <v>8</v>
      </c>
      <c r="B115" s="547" t="s">
        <v>143</v>
      </c>
      <c r="C115" s="548"/>
      <c r="D115" s="526">
        <f>SUM(D116:D128)</f>
        <v>2684</v>
      </c>
    </row>
    <row r="116" spans="1:4" x14ac:dyDescent="0.25">
      <c r="A116" s="1020"/>
      <c r="B116" s="1017"/>
      <c r="C116" s="493" t="s">
        <v>710</v>
      </c>
      <c r="D116" s="491">
        <v>60</v>
      </c>
    </row>
    <row r="117" spans="1:4" x14ac:dyDescent="0.25">
      <c r="A117" s="1021"/>
      <c r="B117" s="1018"/>
      <c r="C117" s="493" t="s">
        <v>711</v>
      </c>
      <c r="D117" s="491">
        <v>50</v>
      </c>
    </row>
    <row r="118" spans="1:4" x14ac:dyDescent="0.25">
      <c r="A118" s="1021"/>
      <c r="B118" s="1018"/>
      <c r="C118" s="493" t="s">
        <v>712</v>
      </c>
      <c r="D118" s="491">
        <v>77</v>
      </c>
    </row>
    <row r="119" spans="1:4" x14ac:dyDescent="0.25">
      <c r="A119" s="1021"/>
      <c r="B119" s="1018"/>
      <c r="C119" s="493" t="s">
        <v>713</v>
      </c>
      <c r="D119" s="491">
        <v>25</v>
      </c>
    </row>
    <row r="120" spans="1:4" x14ac:dyDescent="0.25">
      <c r="A120" s="1021"/>
      <c r="B120" s="1018"/>
      <c r="C120" s="493" t="s">
        <v>714</v>
      </c>
      <c r="D120" s="491">
        <v>80</v>
      </c>
    </row>
    <row r="121" spans="1:4" x14ac:dyDescent="0.25">
      <c r="A121" s="1021"/>
      <c r="B121" s="1018"/>
      <c r="C121" s="493" t="s">
        <v>715</v>
      </c>
      <c r="D121" s="491">
        <v>90</v>
      </c>
    </row>
    <row r="122" spans="1:4" x14ac:dyDescent="0.25">
      <c r="A122" s="1021"/>
      <c r="B122" s="1018"/>
      <c r="C122" s="493" t="s">
        <v>716</v>
      </c>
      <c r="D122" s="491">
        <v>304</v>
      </c>
    </row>
    <row r="123" spans="1:4" x14ac:dyDescent="0.25">
      <c r="A123" s="1021"/>
      <c r="B123" s="1018"/>
      <c r="C123" s="493" t="s">
        <v>717</v>
      </c>
      <c r="D123" s="491">
        <v>114</v>
      </c>
    </row>
    <row r="124" spans="1:4" x14ac:dyDescent="0.25">
      <c r="A124" s="1021"/>
      <c r="B124" s="1018"/>
      <c r="C124" s="493" t="s">
        <v>718</v>
      </c>
      <c r="D124" s="491">
        <v>149</v>
      </c>
    </row>
    <row r="125" spans="1:4" x14ac:dyDescent="0.25">
      <c r="A125" s="1021"/>
      <c r="B125" s="1018"/>
      <c r="C125" s="493" t="s">
        <v>719</v>
      </c>
      <c r="D125" s="491">
        <v>300</v>
      </c>
    </row>
    <row r="126" spans="1:4" x14ac:dyDescent="0.25">
      <c r="A126" s="1021"/>
      <c r="B126" s="1018"/>
      <c r="C126" s="493" t="s">
        <v>720</v>
      </c>
      <c r="D126" s="491">
        <v>62</v>
      </c>
    </row>
    <row r="127" spans="1:4" ht="47.25" x14ac:dyDescent="0.25">
      <c r="A127" s="1021"/>
      <c r="B127" s="1018"/>
      <c r="C127" s="493" t="s">
        <v>721</v>
      </c>
      <c r="D127" s="491">
        <v>648</v>
      </c>
    </row>
    <row r="128" spans="1:4" x14ac:dyDescent="0.25">
      <c r="A128" s="1021"/>
      <c r="B128" s="1018"/>
      <c r="C128" s="493" t="s">
        <v>722</v>
      </c>
      <c r="D128" s="491">
        <v>725</v>
      </c>
    </row>
    <row r="129" spans="1:4" x14ac:dyDescent="0.25">
      <c r="A129" s="546">
        <v>9</v>
      </c>
      <c r="B129" s="547" t="s">
        <v>453</v>
      </c>
      <c r="C129" s="548"/>
      <c r="D129" s="526">
        <f>SUM(D130:D145)</f>
        <v>5107.6115</v>
      </c>
    </row>
    <row r="130" spans="1:4" x14ac:dyDescent="0.25">
      <c r="A130" s="1020"/>
      <c r="B130" s="1017"/>
      <c r="C130" s="493" t="s">
        <v>724</v>
      </c>
      <c r="D130" s="491">
        <v>144</v>
      </c>
    </row>
    <row r="131" spans="1:4" x14ac:dyDescent="0.25">
      <c r="A131" s="1021"/>
      <c r="B131" s="1018"/>
      <c r="C131" s="493" t="s">
        <v>725</v>
      </c>
      <c r="D131" s="491">
        <v>900</v>
      </c>
    </row>
    <row r="132" spans="1:4" x14ac:dyDescent="0.25">
      <c r="A132" s="1021"/>
      <c r="B132" s="1018"/>
      <c r="C132" s="493" t="s">
        <v>726</v>
      </c>
      <c r="D132" s="491">
        <f>71+26</f>
        <v>97</v>
      </c>
    </row>
    <row r="133" spans="1:4" x14ac:dyDescent="0.25">
      <c r="A133" s="1021"/>
      <c r="B133" s="1018"/>
      <c r="C133" s="493" t="s">
        <v>727</v>
      </c>
      <c r="D133" s="491">
        <v>47</v>
      </c>
    </row>
    <row r="134" spans="1:4" x14ac:dyDescent="0.25">
      <c r="A134" s="1021"/>
      <c r="B134" s="1018"/>
      <c r="C134" s="493" t="s">
        <v>728</v>
      </c>
      <c r="D134" s="491">
        <v>12</v>
      </c>
    </row>
    <row r="135" spans="1:4" ht="47.25" x14ac:dyDescent="0.25">
      <c r="A135" s="1021"/>
      <c r="B135" s="1018"/>
      <c r="C135" s="493" t="s">
        <v>729</v>
      </c>
      <c r="D135" s="491">
        <v>78</v>
      </c>
    </row>
    <row r="136" spans="1:4" x14ac:dyDescent="0.25">
      <c r="A136" s="1021"/>
      <c r="B136" s="1018"/>
      <c r="C136" s="493" t="s">
        <v>730</v>
      </c>
      <c r="D136" s="491">
        <v>20</v>
      </c>
    </row>
    <row r="137" spans="1:4" ht="31.5" x14ac:dyDescent="0.25">
      <c r="A137" s="1021"/>
      <c r="B137" s="1018"/>
      <c r="C137" s="493" t="s">
        <v>731</v>
      </c>
      <c r="D137" s="491">
        <v>161</v>
      </c>
    </row>
    <row r="138" spans="1:4" ht="31.5" x14ac:dyDescent="0.25">
      <c r="A138" s="1021"/>
      <c r="B138" s="1018"/>
      <c r="C138" s="493" t="s">
        <v>732</v>
      </c>
      <c r="D138" s="491">
        <v>43</v>
      </c>
    </row>
    <row r="139" spans="1:4" x14ac:dyDescent="0.25">
      <c r="A139" s="1021"/>
      <c r="B139" s="1018"/>
      <c r="C139" s="493" t="s">
        <v>733</v>
      </c>
      <c r="D139" s="491">
        <v>153</v>
      </c>
    </row>
    <row r="140" spans="1:4" x14ac:dyDescent="0.25">
      <c r="A140" s="1021"/>
      <c r="B140" s="1018"/>
      <c r="C140" s="493" t="s">
        <v>734</v>
      </c>
      <c r="D140" s="491">
        <v>137</v>
      </c>
    </row>
    <row r="141" spans="1:4" ht="31.5" x14ac:dyDescent="0.25">
      <c r="A141" s="1021"/>
      <c r="B141" s="1018"/>
      <c r="C141" s="493" t="s">
        <v>735</v>
      </c>
      <c r="D141" s="491">
        <v>43</v>
      </c>
    </row>
    <row r="142" spans="1:4" x14ac:dyDescent="0.25">
      <c r="A142" s="1021"/>
      <c r="B142" s="1018"/>
      <c r="C142" s="493" t="s">
        <v>736</v>
      </c>
      <c r="D142" s="491">
        <v>39</v>
      </c>
    </row>
    <row r="143" spans="1:4" x14ac:dyDescent="0.25">
      <c r="A143" s="1021"/>
      <c r="B143" s="1018"/>
      <c r="C143" s="493" t="s">
        <v>737</v>
      </c>
      <c r="D143" s="491">
        <v>17</v>
      </c>
    </row>
    <row r="144" spans="1:4" ht="31.5" x14ac:dyDescent="0.25">
      <c r="A144" s="1021"/>
      <c r="B144" s="1018"/>
      <c r="C144" s="493" t="s">
        <v>612</v>
      </c>
      <c r="D144" s="491">
        <v>1761.6115</v>
      </c>
    </row>
    <row r="145" spans="1:4" x14ac:dyDescent="0.25">
      <c r="A145" s="1021"/>
      <c r="B145" s="1018"/>
      <c r="C145" s="493" t="s">
        <v>625</v>
      </c>
      <c r="D145" s="491">
        <v>1455</v>
      </c>
    </row>
    <row r="146" spans="1:4" x14ac:dyDescent="0.25">
      <c r="A146" s="546">
        <v>10</v>
      </c>
      <c r="B146" s="547" t="s">
        <v>472</v>
      </c>
      <c r="C146" s="548"/>
      <c r="D146" s="526">
        <f>SUM(D147:D243)</f>
        <v>32318.7755</v>
      </c>
    </row>
    <row r="147" spans="1:4" x14ac:dyDescent="0.25">
      <c r="A147" s="1020"/>
      <c r="B147" s="1017"/>
      <c r="C147" s="493" t="s">
        <v>740</v>
      </c>
      <c r="D147" s="490">
        <v>20</v>
      </c>
    </row>
    <row r="148" spans="1:4" x14ac:dyDescent="0.25">
      <c r="A148" s="1021"/>
      <c r="B148" s="1018"/>
      <c r="C148" s="493" t="s">
        <v>741</v>
      </c>
      <c r="D148" s="490">
        <v>92.385000000000005</v>
      </c>
    </row>
    <row r="149" spans="1:4" x14ac:dyDescent="0.25">
      <c r="A149" s="1021"/>
      <c r="B149" s="1018"/>
      <c r="C149" s="493" t="s">
        <v>742</v>
      </c>
      <c r="D149" s="490">
        <v>21</v>
      </c>
    </row>
    <row r="150" spans="1:4" x14ac:dyDescent="0.25">
      <c r="A150" s="1021"/>
      <c r="B150" s="1018"/>
      <c r="C150" s="493" t="s">
        <v>743</v>
      </c>
      <c r="D150" s="490">
        <v>28</v>
      </c>
    </row>
    <row r="151" spans="1:4" x14ac:dyDescent="0.25">
      <c r="A151" s="1021"/>
      <c r="B151" s="1018"/>
      <c r="C151" s="493" t="s">
        <v>744</v>
      </c>
      <c r="D151" s="490">
        <v>44</v>
      </c>
    </row>
    <row r="152" spans="1:4" s="485" customFormat="1" x14ac:dyDescent="0.25">
      <c r="A152" s="1021"/>
      <c r="B152" s="1018"/>
      <c r="C152" s="493" t="s">
        <v>745</v>
      </c>
      <c r="D152" s="490">
        <v>56.999999999999993</v>
      </c>
    </row>
    <row r="153" spans="1:4" ht="31.5" x14ac:dyDescent="0.25">
      <c r="A153" s="1021"/>
      <c r="B153" s="1018"/>
      <c r="C153" s="493" t="s">
        <v>746</v>
      </c>
      <c r="D153" s="490">
        <v>67</v>
      </c>
    </row>
    <row r="154" spans="1:4" x14ac:dyDescent="0.25">
      <c r="A154" s="1021"/>
      <c r="B154" s="1018"/>
      <c r="C154" s="493" t="s">
        <v>747</v>
      </c>
      <c r="D154" s="490">
        <v>29</v>
      </c>
    </row>
    <row r="155" spans="1:4" x14ac:dyDescent="0.25">
      <c r="A155" s="1021"/>
      <c r="B155" s="1018"/>
      <c r="C155" s="493" t="s">
        <v>748</v>
      </c>
      <c r="D155" s="490">
        <v>43</v>
      </c>
    </row>
    <row r="156" spans="1:4" x14ac:dyDescent="0.25">
      <c r="A156" s="1021"/>
      <c r="B156" s="1018"/>
      <c r="C156" s="493" t="s">
        <v>749</v>
      </c>
      <c r="D156" s="490">
        <v>54</v>
      </c>
    </row>
    <row r="157" spans="1:4" x14ac:dyDescent="0.25">
      <c r="A157" s="1021"/>
      <c r="B157" s="1018"/>
      <c r="C157" s="493" t="s">
        <v>750</v>
      </c>
      <c r="D157" s="490">
        <v>36</v>
      </c>
    </row>
    <row r="158" spans="1:4" x14ac:dyDescent="0.25">
      <c r="A158" s="1021"/>
      <c r="B158" s="1018"/>
      <c r="C158" s="493" t="s">
        <v>751</v>
      </c>
      <c r="D158" s="490">
        <v>100</v>
      </c>
    </row>
    <row r="159" spans="1:4" x14ac:dyDescent="0.25">
      <c r="A159" s="1021"/>
      <c r="B159" s="1018"/>
      <c r="C159" s="493" t="s">
        <v>752</v>
      </c>
      <c r="D159" s="490">
        <v>720</v>
      </c>
    </row>
    <row r="160" spans="1:4" x14ac:dyDescent="0.25">
      <c r="A160" s="1021"/>
      <c r="B160" s="1018"/>
      <c r="C160" s="493" t="s">
        <v>753</v>
      </c>
      <c r="D160" s="490">
        <v>63.18</v>
      </c>
    </row>
    <row r="161" spans="1:4" x14ac:dyDescent="0.25">
      <c r="A161" s="1021"/>
      <c r="B161" s="1018"/>
      <c r="C161" s="493" t="s">
        <v>754</v>
      </c>
      <c r="D161" s="490">
        <v>41</v>
      </c>
    </row>
    <row r="162" spans="1:4" x14ac:dyDescent="0.25">
      <c r="A162" s="1021"/>
      <c r="B162" s="1018"/>
      <c r="C162" s="493" t="s">
        <v>755</v>
      </c>
      <c r="D162" s="490">
        <v>540</v>
      </c>
    </row>
    <row r="163" spans="1:4" x14ac:dyDescent="0.25">
      <c r="A163" s="1021"/>
      <c r="B163" s="1018"/>
      <c r="C163" s="493" t="s">
        <v>756</v>
      </c>
      <c r="D163" s="490">
        <v>135</v>
      </c>
    </row>
    <row r="164" spans="1:4" x14ac:dyDescent="0.25">
      <c r="A164" s="1021"/>
      <c r="B164" s="1018"/>
      <c r="C164" s="493" t="s">
        <v>757</v>
      </c>
      <c r="D164" s="490">
        <v>211</v>
      </c>
    </row>
    <row r="165" spans="1:4" x14ac:dyDescent="0.25">
      <c r="A165" s="1021"/>
      <c r="B165" s="1018"/>
      <c r="C165" s="493" t="s">
        <v>758</v>
      </c>
      <c r="D165" s="490">
        <v>950</v>
      </c>
    </row>
    <row r="166" spans="1:4" x14ac:dyDescent="0.25">
      <c r="A166" s="1021"/>
      <c r="B166" s="1018"/>
      <c r="C166" s="493" t="s">
        <v>759</v>
      </c>
      <c r="D166" s="490">
        <v>1800</v>
      </c>
    </row>
    <row r="167" spans="1:4" x14ac:dyDescent="0.25">
      <c r="A167" s="1021"/>
      <c r="B167" s="1018"/>
      <c r="C167" s="493" t="s">
        <v>760</v>
      </c>
      <c r="D167" s="490">
        <v>352</v>
      </c>
    </row>
    <row r="168" spans="1:4" x14ac:dyDescent="0.25">
      <c r="A168" s="1021"/>
      <c r="B168" s="1018"/>
      <c r="C168" s="493" t="s">
        <v>761</v>
      </c>
      <c r="D168" s="490">
        <v>236</v>
      </c>
    </row>
    <row r="169" spans="1:4" x14ac:dyDescent="0.25">
      <c r="A169" s="1021"/>
      <c r="B169" s="1018"/>
      <c r="C169" s="493" t="s">
        <v>762</v>
      </c>
      <c r="D169" s="490">
        <v>63</v>
      </c>
    </row>
    <row r="170" spans="1:4" x14ac:dyDescent="0.25">
      <c r="A170" s="1021"/>
      <c r="B170" s="1018"/>
      <c r="C170" s="493" t="s">
        <v>763</v>
      </c>
      <c r="D170" s="490">
        <v>603.36</v>
      </c>
    </row>
    <row r="171" spans="1:4" ht="31.5" x14ac:dyDescent="0.25">
      <c r="A171" s="1021"/>
      <c r="B171" s="1018"/>
      <c r="C171" s="493" t="s">
        <v>764</v>
      </c>
      <c r="D171" s="490">
        <v>90</v>
      </c>
    </row>
    <row r="172" spans="1:4" ht="31.5" x14ac:dyDescent="0.25">
      <c r="A172" s="1021"/>
      <c r="B172" s="1018"/>
      <c r="C172" s="493" t="s">
        <v>765</v>
      </c>
      <c r="D172" s="490">
        <v>30</v>
      </c>
    </row>
    <row r="173" spans="1:4" x14ac:dyDescent="0.25">
      <c r="A173" s="1021"/>
      <c r="B173" s="1018"/>
      <c r="C173" s="493" t="s">
        <v>766</v>
      </c>
      <c r="D173" s="490">
        <v>15</v>
      </c>
    </row>
    <row r="174" spans="1:4" x14ac:dyDescent="0.25">
      <c r="A174" s="1021"/>
      <c r="B174" s="1018"/>
      <c r="C174" s="493" t="s">
        <v>767</v>
      </c>
      <c r="D174" s="490">
        <v>125</v>
      </c>
    </row>
    <row r="175" spans="1:4" x14ac:dyDescent="0.25">
      <c r="A175" s="1021"/>
      <c r="B175" s="1018"/>
      <c r="C175" s="493" t="s">
        <v>768</v>
      </c>
      <c r="D175" s="490">
        <v>70</v>
      </c>
    </row>
    <row r="176" spans="1:4" x14ac:dyDescent="0.25">
      <c r="A176" s="1021"/>
      <c r="B176" s="1018"/>
      <c r="C176" s="493" t="s">
        <v>769</v>
      </c>
      <c r="D176" s="490">
        <v>36</v>
      </c>
    </row>
    <row r="177" spans="1:4" x14ac:dyDescent="0.25">
      <c r="A177" s="1021"/>
      <c r="B177" s="1018"/>
      <c r="C177" s="493" t="s">
        <v>770</v>
      </c>
      <c r="D177" s="490">
        <v>53</v>
      </c>
    </row>
    <row r="178" spans="1:4" x14ac:dyDescent="0.25">
      <c r="A178" s="1021"/>
      <c r="B178" s="1018"/>
      <c r="C178" s="493" t="s">
        <v>771</v>
      </c>
      <c r="D178" s="490">
        <v>78</v>
      </c>
    </row>
    <row r="179" spans="1:4" s="485" customFormat="1" x14ac:dyDescent="0.25">
      <c r="A179" s="1021"/>
      <c r="B179" s="1018"/>
      <c r="C179" s="493" t="s">
        <v>772</v>
      </c>
      <c r="D179" s="490">
        <v>108</v>
      </c>
    </row>
    <row r="180" spans="1:4" x14ac:dyDescent="0.25">
      <c r="A180" s="1021"/>
      <c r="B180" s="1018"/>
      <c r="C180" s="493" t="s">
        <v>773</v>
      </c>
      <c r="D180" s="490">
        <v>15</v>
      </c>
    </row>
    <row r="181" spans="1:4" x14ac:dyDescent="0.25">
      <c r="A181" s="1021"/>
      <c r="B181" s="1018"/>
      <c r="C181" s="493" t="s">
        <v>774</v>
      </c>
      <c r="D181" s="490">
        <v>10</v>
      </c>
    </row>
    <row r="182" spans="1:4" ht="31.5" x14ac:dyDescent="0.25">
      <c r="A182" s="1021"/>
      <c r="B182" s="1018"/>
      <c r="C182" s="493" t="s">
        <v>775</v>
      </c>
      <c r="D182" s="490">
        <v>30</v>
      </c>
    </row>
    <row r="183" spans="1:4" x14ac:dyDescent="0.25">
      <c r="A183" s="1021"/>
      <c r="B183" s="1018"/>
      <c r="C183" s="493" t="s">
        <v>776</v>
      </c>
      <c r="D183" s="490">
        <v>20</v>
      </c>
    </row>
    <row r="184" spans="1:4" x14ac:dyDescent="0.25">
      <c r="A184" s="1021"/>
      <c r="B184" s="1018"/>
      <c r="C184" s="493" t="s">
        <v>777</v>
      </c>
      <c r="D184" s="490">
        <v>25.253999999999998</v>
      </c>
    </row>
    <row r="185" spans="1:4" ht="31.5" x14ac:dyDescent="0.25">
      <c r="A185" s="1021"/>
      <c r="B185" s="1018"/>
      <c r="C185" s="493" t="s">
        <v>778</v>
      </c>
      <c r="D185" s="490">
        <v>18</v>
      </c>
    </row>
    <row r="186" spans="1:4" x14ac:dyDescent="0.25">
      <c r="A186" s="1021"/>
      <c r="B186" s="1018"/>
      <c r="C186" s="493" t="s">
        <v>779</v>
      </c>
      <c r="D186" s="490">
        <v>205.38</v>
      </c>
    </row>
    <row r="187" spans="1:4" ht="31.5" x14ac:dyDescent="0.25">
      <c r="A187" s="1021"/>
      <c r="B187" s="1018"/>
      <c r="C187" s="493" t="s">
        <v>780</v>
      </c>
      <c r="D187" s="490">
        <v>56.529000000000003</v>
      </c>
    </row>
    <row r="188" spans="1:4" ht="63" x14ac:dyDescent="0.25">
      <c r="A188" s="1021"/>
      <c r="B188" s="1018"/>
      <c r="C188" s="493" t="s">
        <v>781</v>
      </c>
      <c r="D188" s="490">
        <v>25.2</v>
      </c>
    </row>
    <row r="189" spans="1:4" x14ac:dyDescent="0.25">
      <c r="A189" s="1021"/>
      <c r="B189" s="1018"/>
      <c r="C189" s="493" t="s">
        <v>782</v>
      </c>
      <c r="D189" s="490">
        <v>37</v>
      </c>
    </row>
    <row r="190" spans="1:4" x14ac:dyDescent="0.25">
      <c r="A190" s="1021"/>
      <c r="B190" s="1018"/>
      <c r="C190" s="493" t="s">
        <v>783</v>
      </c>
      <c r="D190" s="490">
        <v>126</v>
      </c>
    </row>
    <row r="191" spans="1:4" x14ac:dyDescent="0.25">
      <c r="A191" s="1021"/>
      <c r="B191" s="1018"/>
      <c r="C191" s="493" t="s">
        <v>784</v>
      </c>
      <c r="D191" s="490">
        <v>90</v>
      </c>
    </row>
    <row r="192" spans="1:4" x14ac:dyDescent="0.25">
      <c r="A192" s="1021"/>
      <c r="B192" s="1018"/>
      <c r="C192" s="493" t="s">
        <v>785</v>
      </c>
      <c r="D192" s="490">
        <v>47.999999999999993</v>
      </c>
    </row>
    <row r="193" spans="1:4" x14ac:dyDescent="0.25">
      <c r="A193" s="1021"/>
      <c r="B193" s="1018"/>
      <c r="C193" s="493" t="s">
        <v>786</v>
      </c>
      <c r="D193" s="490">
        <v>17</v>
      </c>
    </row>
    <row r="194" spans="1:4" x14ac:dyDescent="0.25">
      <c r="A194" s="1021"/>
      <c r="B194" s="1018"/>
      <c r="C194" s="493" t="s">
        <v>787</v>
      </c>
      <c r="D194" s="490">
        <v>9</v>
      </c>
    </row>
    <row r="195" spans="1:4" x14ac:dyDescent="0.25">
      <c r="A195" s="1021"/>
      <c r="B195" s="1018"/>
      <c r="C195" s="493" t="s">
        <v>788</v>
      </c>
      <c r="D195" s="490">
        <v>15</v>
      </c>
    </row>
    <row r="196" spans="1:4" x14ac:dyDescent="0.25">
      <c r="A196" s="1021"/>
      <c r="B196" s="1018"/>
      <c r="C196" s="493" t="s">
        <v>789</v>
      </c>
      <c r="D196" s="490">
        <v>27</v>
      </c>
    </row>
    <row r="197" spans="1:4" x14ac:dyDescent="0.25">
      <c r="A197" s="1021"/>
      <c r="B197" s="1018"/>
      <c r="C197" s="493" t="s">
        <v>790</v>
      </c>
      <c r="D197" s="490">
        <v>31.455000000000002</v>
      </c>
    </row>
    <row r="198" spans="1:4" ht="47.25" x14ac:dyDescent="0.25">
      <c r="A198" s="1021"/>
      <c r="B198" s="1018"/>
      <c r="C198" s="493" t="s">
        <v>791</v>
      </c>
      <c r="D198" s="490">
        <v>95</v>
      </c>
    </row>
    <row r="199" spans="1:4" x14ac:dyDescent="0.25">
      <c r="A199" s="1021"/>
      <c r="B199" s="1018"/>
      <c r="C199" s="493" t="s">
        <v>792</v>
      </c>
      <c r="D199" s="490">
        <v>135.00899999999999</v>
      </c>
    </row>
    <row r="200" spans="1:4" ht="47.25" x14ac:dyDescent="0.25">
      <c r="A200" s="1021"/>
      <c r="B200" s="1018"/>
      <c r="C200" s="493" t="s">
        <v>793</v>
      </c>
      <c r="D200" s="490">
        <v>72</v>
      </c>
    </row>
    <row r="201" spans="1:4" ht="47.25" x14ac:dyDescent="0.25">
      <c r="A201" s="1021"/>
      <c r="B201" s="1018"/>
      <c r="C201" s="493" t="s">
        <v>794</v>
      </c>
      <c r="D201" s="490">
        <v>40</v>
      </c>
    </row>
    <row r="202" spans="1:4" ht="31.5" x14ac:dyDescent="0.25">
      <c r="A202" s="1021"/>
      <c r="B202" s="1018"/>
      <c r="C202" s="493" t="s">
        <v>795</v>
      </c>
      <c r="D202" s="490">
        <v>27</v>
      </c>
    </row>
    <row r="203" spans="1:4" ht="31.5" x14ac:dyDescent="0.25">
      <c r="A203" s="1021"/>
      <c r="B203" s="1018"/>
      <c r="C203" s="493" t="s">
        <v>796</v>
      </c>
      <c r="D203" s="490">
        <v>14</v>
      </c>
    </row>
    <row r="204" spans="1:4" ht="31.5" x14ac:dyDescent="0.25">
      <c r="A204" s="1021"/>
      <c r="B204" s="1018"/>
      <c r="C204" s="493" t="s">
        <v>797</v>
      </c>
      <c r="D204" s="490">
        <v>58</v>
      </c>
    </row>
    <row r="205" spans="1:4" ht="31.5" x14ac:dyDescent="0.25">
      <c r="A205" s="1021"/>
      <c r="B205" s="1018"/>
      <c r="C205" s="493" t="s">
        <v>798</v>
      </c>
      <c r="D205" s="490">
        <v>153</v>
      </c>
    </row>
    <row r="206" spans="1:4" x14ac:dyDescent="0.25">
      <c r="A206" s="1021"/>
      <c r="B206" s="1018"/>
      <c r="C206" s="493" t="s">
        <v>799</v>
      </c>
      <c r="D206" s="490">
        <v>4200</v>
      </c>
    </row>
    <row r="207" spans="1:4" x14ac:dyDescent="0.25">
      <c r="A207" s="1021"/>
      <c r="B207" s="1018"/>
      <c r="C207" s="493" t="s">
        <v>800</v>
      </c>
      <c r="D207" s="490">
        <v>800</v>
      </c>
    </row>
    <row r="208" spans="1:4" x14ac:dyDescent="0.25">
      <c r="A208" s="1021"/>
      <c r="B208" s="1018"/>
      <c r="C208" s="493" t="s">
        <v>801</v>
      </c>
      <c r="D208" s="490">
        <v>1190</v>
      </c>
    </row>
    <row r="209" spans="1:4" x14ac:dyDescent="0.25">
      <c r="A209" s="1021"/>
      <c r="B209" s="1018"/>
      <c r="C209" s="493" t="s">
        <v>802</v>
      </c>
      <c r="D209" s="490">
        <v>150</v>
      </c>
    </row>
    <row r="210" spans="1:4" x14ac:dyDescent="0.25">
      <c r="A210" s="1021"/>
      <c r="B210" s="1018"/>
      <c r="C210" s="493" t="s">
        <v>803</v>
      </c>
      <c r="D210" s="490">
        <v>200</v>
      </c>
    </row>
    <row r="211" spans="1:4" x14ac:dyDescent="0.25">
      <c r="A211" s="1021"/>
      <c r="B211" s="1018"/>
      <c r="C211" s="493" t="s">
        <v>804</v>
      </c>
      <c r="D211" s="490">
        <v>180</v>
      </c>
    </row>
    <row r="212" spans="1:4" x14ac:dyDescent="0.25">
      <c r="A212" s="1021"/>
      <c r="B212" s="1018"/>
      <c r="C212" s="493" t="s">
        <v>805</v>
      </c>
      <c r="D212" s="490">
        <v>42</v>
      </c>
    </row>
    <row r="213" spans="1:4" x14ac:dyDescent="0.25">
      <c r="A213" s="1021"/>
      <c r="B213" s="1018"/>
      <c r="C213" s="493" t="s">
        <v>806</v>
      </c>
      <c r="D213" s="490">
        <v>40</v>
      </c>
    </row>
    <row r="214" spans="1:4" x14ac:dyDescent="0.25">
      <c r="A214" s="1021"/>
      <c r="B214" s="1018"/>
      <c r="C214" s="493" t="s">
        <v>807</v>
      </c>
      <c r="D214" s="490">
        <v>40</v>
      </c>
    </row>
    <row r="215" spans="1:4" x14ac:dyDescent="0.25">
      <c r="A215" s="1021"/>
      <c r="B215" s="1018"/>
      <c r="C215" s="493" t="s">
        <v>808</v>
      </c>
      <c r="D215" s="490">
        <v>155</v>
      </c>
    </row>
    <row r="216" spans="1:4" x14ac:dyDescent="0.25">
      <c r="A216" s="1021"/>
      <c r="B216" s="1018"/>
      <c r="C216" s="493" t="s">
        <v>809</v>
      </c>
      <c r="D216" s="490">
        <v>245</v>
      </c>
    </row>
    <row r="217" spans="1:4" ht="31.5" x14ac:dyDescent="0.25">
      <c r="A217" s="1021"/>
      <c r="B217" s="1018"/>
      <c r="C217" s="493" t="s">
        <v>810</v>
      </c>
      <c r="D217" s="490">
        <v>60</v>
      </c>
    </row>
    <row r="218" spans="1:4" x14ac:dyDescent="0.25">
      <c r="A218" s="1021"/>
      <c r="B218" s="1018"/>
      <c r="C218" s="493" t="s">
        <v>811</v>
      </c>
      <c r="D218" s="490">
        <v>172.35899999999998</v>
      </c>
    </row>
    <row r="219" spans="1:4" x14ac:dyDescent="0.25">
      <c r="A219" s="1021"/>
      <c r="B219" s="1018"/>
      <c r="C219" s="493" t="s">
        <v>812</v>
      </c>
      <c r="D219" s="490">
        <v>163.11150000000001</v>
      </c>
    </row>
    <row r="220" spans="1:4" x14ac:dyDescent="0.25">
      <c r="A220" s="1021"/>
      <c r="B220" s="1018"/>
      <c r="C220" s="493" t="s">
        <v>813</v>
      </c>
      <c r="D220" s="490">
        <v>189.8955</v>
      </c>
    </row>
    <row r="221" spans="1:4" x14ac:dyDescent="0.25">
      <c r="A221" s="1021"/>
      <c r="B221" s="1018"/>
      <c r="C221" s="493" t="s">
        <v>814</v>
      </c>
      <c r="D221" s="490">
        <v>95.152499999999989</v>
      </c>
    </row>
    <row r="222" spans="1:4" x14ac:dyDescent="0.25">
      <c r="A222" s="1021"/>
      <c r="B222" s="1018"/>
      <c r="C222" s="493" t="s">
        <v>815</v>
      </c>
      <c r="D222" s="490">
        <v>149.06700000000001</v>
      </c>
    </row>
    <row r="223" spans="1:4" x14ac:dyDescent="0.25">
      <c r="A223" s="1021"/>
      <c r="B223" s="1018"/>
      <c r="C223" s="493" t="s">
        <v>816</v>
      </c>
      <c r="D223" s="490">
        <v>139.68900000000002</v>
      </c>
    </row>
    <row r="224" spans="1:4" x14ac:dyDescent="0.25">
      <c r="A224" s="1021"/>
      <c r="B224" s="1018"/>
      <c r="C224" s="493" t="s">
        <v>817</v>
      </c>
      <c r="D224" s="490">
        <v>134.72999999999999</v>
      </c>
    </row>
    <row r="225" spans="1:4" x14ac:dyDescent="0.25">
      <c r="A225" s="1021"/>
      <c r="B225" s="1018"/>
      <c r="C225" s="493" t="s">
        <v>818</v>
      </c>
      <c r="D225" s="490">
        <v>189.846</v>
      </c>
    </row>
    <row r="226" spans="1:4" x14ac:dyDescent="0.25">
      <c r="A226" s="1021"/>
      <c r="B226" s="1018"/>
      <c r="C226" s="493" t="s">
        <v>819</v>
      </c>
      <c r="D226" s="490">
        <v>201.25800000000001</v>
      </c>
    </row>
    <row r="227" spans="1:4" x14ac:dyDescent="0.25">
      <c r="A227" s="1021"/>
      <c r="B227" s="1018"/>
      <c r="C227" s="493" t="s">
        <v>820</v>
      </c>
      <c r="D227" s="490">
        <v>309.51</v>
      </c>
    </row>
    <row r="228" spans="1:4" x14ac:dyDescent="0.25">
      <c r="A228" s="1021"/>
      <c r="B228" s="1018"/>
      <c r="C228" s="493" t="s">
        <v>821</v>
      </c>
      <c r="D228" s="490">
        <v>73</v>
      </c>
    </row>
    <row r="229" spans="1:4" x14ac:dyDescent="0.25">
      <c r="A229" s="1021"/>
      <c r="B229" s="1018"/>
      <c r="C229" s="493" t="s">
        <v>822</v>
      </c>
      <c r="D229" s="490">
        <v>172</v>
      </c>
    </row>
    <row r="230" spans="1:4" x14ac:dyDescent="0.25">
      <c r="A230" s="1021"/>
      <c r="B230" s="1018"/>
      <c r="C230" s="493" t="s">
        <v>823</v>
      </c>
      <c r="D230" s="490">
        <v>89</v>
      </c>
    </row>
    <row r="231" spans="1:4" x14ac:dyDescent="0.25">
      <c r="A231" s="1021"/>
      <c r="B231" s="1018"/>
      <c r="C231" s="493" t="s">
        <v>824</v>
      </c>
      <c r="D231" s="490">
        <v>130</v>
      </c>
    </row>
    <row r="232" spans="1:4" x14ac:dyDescent="0.25">
      <c r="A232" s="1021"/>
      <c r="B232" s="1018"/>
      <c r="C232" s="493" t="s">
        <v>825</v>
      </c>
      <c r="D232" s="490">
        <v>15</v>
      </c>
    </row>
    <row r="233" spans="1:4" x14ac:dyDescent="0.25">
      <c r="A233" s="1021"/>
      <c r="B233" s="1018"/>
      <c r="C233" s="493" t="s">
        <v>826</v>
      </c>
      <c r="D233" s="490">
        <v>35</v>
      </c>
    </row>
    <row r="234" spans="1:4" x14ac:dyDescent="0.25">
      <c r="A234" s="1021"/>
      <c r="B234" s="1018"/>
      <c r="C234" s="493" t="s">
        <v>827</v>
      </c>
      <c r="D234" s="490">
        <v>60.999999999999993</v>
      </c>
    </row>
    <row r="235" spans="1:4" x14ac:dyDescent="0.25">
      <c r="A235" s="1021"/>
      <c r="B235" s="1018"/>
      <c r="C235" s="493" t="s">
        <v>828</v>
      </c>
      <c r="D235" s="490">
        <v>243</v>
      </c>
    </row>
    <row r="236" spans="1:4" x14ac:dyDescent="0.25">
      <c r="A236" s="1021"/>
      <c r="B236" s="1018"/>
      <c r="C236" s="493" t="s">
        <v>829</v>
      </c>
      <c r="D236" s="490">
        <v>54</v>
      </c>
    </row>
    <row r="237" spans="1:4" ht="31.5" x14ac:dyDescent="0.25">
      <c r="A237" s="1021"/>
      <c r="B237" s="1018"/>
      <c r="C237" s="493" t="s">
        <v>830</v>
      </c>
      <c r="D237" s="490">
        <v>28</v>
      </c>
    </row>
    <row r="238" spans="1:4" x14ac:dyDescent="0.25">
      <c r="A238" s="1021"/>
      <c r="B238" s="1018"/>
      <c r="C238" s="493" t="s">
        <v>831</v>
      </c>
      <c r="D238" s="490">
        <v>2000</v>
      </c>
    </row>
    <row r="239" spans="1:4" x14ac:dyDescent="0.25">
      <c r="A239" s="1021"/>
      <c r="B239" s="1018"/>
      <c r="C239" s="493" t="s">
        <v>832</v>
      </c>
      <c r="D239" s="490">
        <v>6300</v>
      </c>
    </row>
    <row r="240" spans="1:4" x14ac:dyDescent="0.25">
      <c r="A240" s="1021"/>
      <c r="B240" s="1018"/>
      <c r="C240" s="493" t="s">
        <v>833</v>
      </c>
      <c r="D240" s="490">
        <v>900</v>
      </c>
    </row>
    <row r="241" spans="1:4" x14ac:dyDescent="0.25">
      <c r="A241" s="1021"/>
      <c r="B241" s="1018"/>
      <c r="C241" s="493" t="s">
        <v>834</v>
      </c>
      <c r="D241" s="490">
        <v>180.40499999999997</v>
      </c>
    </row>
    <row r="242" spans="1:4" s="485" customFormat="1" x14ac:dyDescent="0.25">
      <c r="A242" s="1021"/>
      <c r="B242" s="1018"/>
      <c r="C242" s="493" t="s">
        <v>835</v>
      </c>
      <c r="D242" s="490">
        <v>850</v>
      </c>
    </row>
    <row r="243" spans="1:4" x14ac:dyDescent="0.25">
      <c r="A243" s="1021"/>
      <c r="B243" s="1018"/>
      <c r="C243" s="581" t="s">
        <v>1389</v>
      </c>
      <c r="D243" s="949">
        <f>3831</f>
        <v>3831</v>
      </c>
    </row>
    <row r="244" spans="1:4" ht="31.5" x14ac:dyDescent="0.25">
      <c r="A244" s="560">
        <v>11</v>
      </c>
      <c r="B244" s="561" t="s">
        <v>473</v>
      </c>
      <c r="C244" s="539"/>
      <c r="D244" s="562">
        <f>SUM(D245:D260)</f>
        <v>16301</v>
      </c>
    </row>
    <row r="245" spans="1:4" x14ac:dyDescent="0.25">
      <c r="A245" s="1034"/>
      <c r="B245" s="1037"/>
      <c r="C245" s="563" t="s">
        <v>474</v>
      </c>
      <c r="D245" s="564">
        <v>797</v>
      </c>
    </row>
    <row r="246" spans="1:4" x14ac:dyDescent="0.25">
      <c r="A246" s="1035"/>
      <c r="B246" s="1030"/>
      <c r="C246" s="495" t="s">
        <v>475</v>
      </c>
      <c r="D246" s="491">
        <v>140</v>
      </c>
    </row>
    <row r="247" spans="1:4" x14ac:dyDescent="0.25">
      <c r="A247" s="1035"/>
      <c r="B247" s="1030"/>
      <c r="C247" s="495" t="s">
        <v>476</v>
      </c>
      <c r="D247" s="491">
        <v>350</v>
      </c>
    </row>
    <row r="248" spans="1:4" x14ac:dyDescent="0.25">
      <c r="A248" s="1035"/>
      <c r="B248" s="1030"/>
      <c r="C248" s="495" t="s">
        <v>477</v>
      </c>
      <c r="D248" s="491">
        <v>493</v>
      </c>
    </row>
    <row r="249" spans="1:4" x14ac:dyDescent="0.25">
      <c r="A249" s="1035"/>
      <c r="B249" s="1030"/>
      <c r="C249" s="495" t="s">
        <v>478</v>
      </c>
      <c r="D249" s="491">
        <v>88</v>
      </c>
    </row>
    <row r="250" spans="1:4" x14ac:dyDescent="0.25">
      <c r="A250" s="1035"/>
      <c r="B250" s="1030"/>
      <c r="C250" s="495" t="s">
        <v>479</v>
      </c>
      <c r="D250" s="491">
        <v>393</v>
      </c>
    </row>
    <row r="251" spans="1:4" x14ac:dyDescent="0.25">
      <c r="A251" s="1035"/>
      <c r="B251" s="1030"/>
      <c r="C251" s="495" t="s">
        <v>480</v>
      </c>
      <c r="D251" s="491">
        <v>176</v>
      </c>
    </row>
    <row r="252" spans="1:4" x14ac:dyDescent="0.25">
      <c r="A252" s="1035"/>
      <c r="B252" s="1030"/>
      <c r="C252" s="495" t="s">
        <v>481</v>
      </c>
      <c r="D252" s="491">
        <v>56</v>
      </c>
    </row>
    <row r="253" spans="1:4" x14ac:dyDescent="0.25">
      <c r="A253" s="1035"/>
      <c r="B253" s="1030"/>
      <c r="C253" s="495" t="s">
        <v>836</v>
      </c>
      <c r="D253" s="491">
        <v>5848</v>
      </c>
    </row>
    <row r="254" spans="1:4" x14ac:dyDescent="0.25">
      <c r="A254" s="1035"/>
      <c r="B254" s="1030"/>
      <c r="C254" s="495" t="s">
        <v>482</v>
      </c>
      <c r="D254" s="491">
        <v>220</v>
      </c>
    </row>
    <row r="255" spans="1:4" x14ac:dyDescent="0.25">
      <c r="A255" s="1035"/>
      <c r="B255" s="1030"/>
      <c r="C255" s="495" t="s">
        <v>837</v>
      </c>
      <c r="D255" s="491">
        <v>3600</v>
      </c>
    </row>
    <row r="256" spans="1:4" x14ac:dyDescent="0.25">
      <c r="A256" s="1035"/>
      <c r="B256" s="1030"/>
      <c r="C256" s="495" t="s">
        <v>838</v>
      </c>
      <c r="D256" s="491">
        <v>156</v>
      </c>
    </row>
    <row r="257" spans="1:4" s="485" customFormat="1" x14ac:dyDescent="0.25">
      <c r="A257" s="1035"/>
      <c r="B257" s="1030"/>
      <c r="C257" s="495" t="s">
        <v>483</v>
      </c>
      <c r="D257" s="491">
        <v>1300</v>
      </c>
    </row>
    <row r="258" spans="1:4" x14ac:dyDescent="0.25">
      <c r="A258" s="1035"/>
      <c r="B258" s="1030"/>
      <c r="C258" s="495" t="s">
        <v>484</v>
      </c>
      <c r="D258" s="491">
        <v>2450</v>
      </c>
    </row>
    <row r="259" spans="1:4" x14ac:dyDescent="0.25">
      <c r="A259" s="1035"/>
      <c r="B259" s="1030"/>
      <c r="C259" s="495" t="s">
        <v>839</v>
      </c>
      <c r="D259" s="491">
        <v>90</v>
      </c>
    </row>
    <row r="260" spans="1:4" x14ac:dyDescent="0.25">
      <c r="A260" s="1036"/>
      <c r="B260" s="1031"/>
      <c r="C260" s="495" t="s">
        <v>840</v>
      </c>
      <c r="D260" s="491">
        <v>144</v>
      </c>
    </row>
    <row r="261" spans="1:4" x14ac:dyDescent="0.25">
      <c r="A261" s="546">
        <v>12</v>
      </c>
      <c r="B261" s="547" t="s">
        <v>485</v>
      </c>
      <c r="C261" s="495"/>
      <c r="D261" s="526">
        <f>SUM(D262:D273)</f>
        <v>15502</v>
      </c>
    </row>
    <row r="262" spans="1:4" ht="31.5" x14ac:dyDescent="0.25">
      <c r="A262" s="1038"/>
      <c r="B262" s="1039"/>
      <c r="C262" s="495" t="s">
        <v>841</v>
      </c>
      <c r="D262" s="491">
        <f>63+40</f>
        <v>103</v>
      </c>
    </row>
    <row r="263" spans="1:4" s="485" customFormat="1" x14ac:dyDescent="0.25">
      <c r="A263" s="1038"/>
      <c r="B263" s="1039"/>
      <c r="C263" s="495" t="s">
        <v>842</v>
      </c>
      <c r="D263" s="491">
        <v>60</v>
      </c>
    </row>
    <row r="264" spans="1:4" ht="31.5" x14ac:dyDescent="0.25">
      <c r="A264" s="1038"/>
      <c r="B264" s="1039"/>
      <c r="C264" s="495" t="s">
        <v>486</v>
      </c>
      <c r="D264" s="491">
        <v>150</v>
      </c>
    </row>
    <row r="265" spans="1:4" x14ac:dyDescent="0.25">
      <c r="A265" s="1038"/>
      <c r="B265" s="1039"/>
      <c r="C265" s="495" t="s">
        <v>487</v>
      </c>
      <c r="D265" s="491">
        <v>76</v>
      </c>
    </row>
    <row r="266" spans="1:4" x14ac:dyDescent="0.25">
      <c r="A266" s="1038"/>
      <c r="B266" s="1039"/>
      <c r="C266" s="495" t="s">
        <v>488</v>
      </c>
      <c r="D266" s="491">
        <v>300</v>
      </c>
    </row>
    <row r="267" spans="1:4" x14ac:dyDescent="0.25">
      <c r="A267" s="1038"/>
      <c r="B267" s="1039"/>
      <c r="C267" s="495" t="s">
        <v>843</v>
      </c>
      <c r="D267" s="491">
        <v>674</v>
      </c>
    </row>
    <row r="268" spans="1:4" x14ac:dyDescent="0.25">
      <c r="A268" s="1038"/>
      <c r="B268" s="1039"/>
      <c r="C268" s="495" t="s">
        <v>489</v>
      </c>
      <c r="D268" s="491">
        <v>789</v>
      </c>
    </row>
    <row r="269" spans="1:4" ht="63" x14ac:dyDescent="0.25">
      <c r="A269" s="1038"/>
      <c r="B269" s="1039"/>
      <c r="C269" s="495" t="s">
        <v>844</v>
      </c>
      <c r="D269" s="491">
        <v>687</v>
      </c>
    </row>
    <row r="270" spans="1:4" x14ac:dyDescent="0.25">
      <c r="A270" s="1038"/>
      <c r="B270" s="1039"/>
      <c r="C270" s="495" t="s">
        <v>490</v>
      </c>
      <c r="D270" s="491">
        <v>91</v>
      </c>
    </row>
    <row r="271" spans="1:4" x14ac:dyDescent="0.25">
      <c r="A271" s="1038"/>
      <c r="B271" s="1039"/>
      <c r="C271" s="495" t="s">
        <v>491</v>
      </c>
      <c r="D271" s="491">
        <v>1225</v>
      </c>
    </row>
    <row r="272" spans="1:4" x14ac:dyDescent="0.25">
      <c r="A272" s="1038"/>
      <c r="B272" s="1039"/>
      <c r="C272" s="495" t="s">
        <v>492</v>
      </c>
      <c r="D272" s="491">
        <v>10857</v>
      </c>
    </row>
    <row r="273" spans="1:4" x14ac:dyDescent="0.25">
      <c r="A273" s="1038"/>
      <c r="B273" s="1039"/>
      <c r="C273" s="495" t="s">
        <v>493</v>
      </c>
      <c r="D273" s="491">
        <v>490</v>
      </c>
    </row>
    <row r="274" spans="1:4" ht="31.5" x14ac:dyDescent="0.25">
      <c r="A274" s="546">
        <v>13</v>
      </c>
      <c r="B274" s="547" t="s">
        <v>383</v>
      </c>
      <c r="C274" s="548"/>
      <c r="D274" s="526">
        <f>SUM(D275:D351)</f>
        <v>42584.188914444443</v>
      </c>
    </row>
    <row r="275" spans="1:4" x14ac:dyDescent="0.25">
      <c r="A275" s="1020"/>
      <c r="B275" s="1017"/>
      <c r="C275" s="493" t="s">
        <v>845</v>
      </c>
      <c r="D275" s="490">
        <v>176</v>
      </c>
    </row>
    <row r="276" spans="1:4" x14ac:dyDescent="0.25">
      <c r="A276" s="1021"/>
      <c r="B276" s="1018"/>
      <c r="C276" s="493" t="s">
        <v>846</v>
      </c>
      <c r="D276" s="490">
        <v>71.748000000000005</v>
      </c>
    </row>
    <row r="277" spans="1:4" x14ac:dyDescent="0.25">
      <c r="A277" s="1021"/>
      <c r="B277" s="1018"/>
      <c r="C277" s="493" t="s">
        <v>522</v>
      </c>
      <c r="D277" s="490">
        <v>280</v>
      </c>
    </row>
    <row r="278" spans="1:4" s="485" customFormat="1" x14ac:dyDescent="0.25">
      <c r="A278" s="1021"/>
      <c r="B278" s="1018"/>
      <c r="C278" s="493" t="s">
        <v>847</v>
      </c>
      <c r="D278" s="490">
        <v>134.78399999999999</v>
      </c>
    </row>
    <row r="279" spans="1:4" x14ac:dyDescent="0.25">
      <c r="A279" s="1021"/>
      <c r="B279" s="1018"/>
      <c r="C279" s="493" t="s">
        <v>848</v>
      </c>
      <c r="D279" s="490">
        <v>35</v>
      </c>
    </row>
    <row r="280" spans="1:4" x14ac:dyDescent="0.25">
      <c r="A280" s="1021"/>
      <c r="B280" s="1018"/>
      <c r="C280" s="493" t="s">
        <v>849</v>
      </c>
      <c r="D280" s="490">
        <v>211</v>
      </c>
    </row>
    <row r="281" spans="1:4" x14ac:dyDescent="0.25">
      <c r="A281" s="1021"/>
      <c r="B281" s="1018"/>
      <c r="C281" s="493" t="s">
        <v>850</v>
      </c>
      <c r="D281" s="490">
        <v>33</v>
      </c>
    </row>
    <row r="282" spans="1:4" s="485" customFormat="1" x14ac:dyDescent="0.25">
      <c r="A282" s="1021"/>
      <c r="B282" s="1018"/>
      <c r="C282" s="493" t="s">
        <v>851</v>
      </c>
      <c r="D282" s="490">
        <v>224</v>
      </c>
    </row>
    <row r="283" spans="1:4" x14ac:dyDescent="0.25">
      <c r="A283" s="1021"/>
      <c r="B283" s="1018"/>
      <c r="C283" s="493" t="s">
        <v>852</v>
      </c>
      <c r="D283" s="490">
        <v>72</v>
      </c>
    </row>
    <row r="284" spans="1:4" x14ac:dyDescent="0.25">
      <c r="A284" s="1021"/>
      <c r="B284" s="1018"/>
      <c r="C284" s="493" t="s">
        <v>853</v>
      </c>
      <c r="D284" s="490">
        <v>7000</v>
      </c>
    </row>
    <row r="285" spans="1:4" x14ac:dyDescent="0.25">
      <c r="A285" s="1021"/>
      <c r="B285" s="1018"/>
      <c r="C285" s="493" t="s">
        <v>854</v>
      </c>
      <c r="D285" s="490">
        <v>469.99999999999994</v>
      </c>
    </row>
    <row r="286" spans="1:4" x14ac:dyDescent="0.25">
      <c r="A286" s="1021"/>
      <c r="B286" s="1018"/>
      <c r="C286" s="493" t="s">
        <v>855</v>
      </c>
      <c r="D286" s="490">
        <v>75.06</v>
      </c>
    </row>
    <row r="287" spans="1:4" x14ac:dyDescent="0.25">
      <c r="A287" s="1021"/>
      <c r="B287" s="1018"/>
      <c r="C287" s="493" t="s">
        <v>856</v>
      </c>
      <c r="D287" s="490">
        <v>200</v>
      </c>
    </row>
    <row r="288" spans="1:4" x14ac:dyDescent="0.25">
      <c r="A288" s="1021"/>
      <c r="B288" s="1018"/>
      <c r="C288" s="493" t="s">
        <v>857</v>
      </c>
      <c r="D288" s="490">
        <v>79.2</v>
      </c>
    </row>
    <row r="289" spans="1:4" x14ac:dyDescent="0.25">
      <c r="A289" s="1021"/>
      <c r="B289" s="1018"/>
      <c r="C289" s="493" t="s">
        <v>858</v>
      </c>
      <c r="D289" s="490">
        <v>10.8414</v>
      </c>
    </row>
    <row r="290" spans="1:4" x14ac:dyDescent="0.25">
      <c r="A290" s="1021"/>
      <c r="B290" s="1018"/>
      <c r="C290" s="493" t="s">
        <v>859</v>
      </c>
      <c r="D290" s="490">
        <v>505.44</v>
      </c>
    </row>
    <row r="291" spans="1:4" x14ac:dyDescent="0.25">
      <c r="A291" s="1021"/>
      <c r="B291" s="1018"/>
      <c r="C291" s="493" t="s">
        <v>860</v>
      </c>
      <c r="D291" s="490">
        <v>9.9273600000000002</v>
      </c>
    </row>
    <row r="292" spans="1:4" x14ac:dyDescent="0.25">
      <c r="A292" s="1021"/>
      <c r="B292" s="1018"/>
      <c r="C292" s="493" t="s">
        <v>861</v>
      </c>
      <c r="D292" s="490">
        <v>23.661360000000002</v>
      </c>
    </row>
    <row r="293" spans="1:4" x14ac:dyDescent="0.25">
      <c r="A293" s="1021"/>
      <c r="B293" s="1018"/>
      <c r="C293" s="493" t="s">
        <v>862</v>
      </c>
      <c r="D293" s="490">
        <v>220</v>
      </c>
    </row>
    <row r="294" spans="1:4" x14ac:dyDescent="0.25">
      <c r="A294" s="1021"/>
      <c r="B294" s="1018"/>
      <c r="C294" s="493" t="s">
        <v>863</v>
      </c>
      <c r="D294" s="490">
        <v>18</v>
      </c>
    </row>
    <row r="295" spans="1:4" x14ac:dyDescent="0.25">
      <c r="A295" s="1021"/>
      <c r="B295" s="1018"/>
      <c r="C295" s="493" t="s">
        <v>864</v>
      </c>
      <c r="D295" s="490">
        <v>14</v>
      </c>
    </row>
    <row r="296" spans="1:4" x14ac:dyDescent="0.25">
      <c r="A296" s="1021"/>
      <c r="B296" s="1018"/>
      <c r="C296" s="493" t="s">
        <v>865</v>
      </c>
      <c r="D296" s="490">
        <v>30</v>
      </c>
    </row>
    <row r="297" spans="1:4" x14ac:dyDescent="0.25">
      <c r="A297" s="1021"/>
      <c r="B297" s="1018"/>
      <c r="C297" s="493" t="s">
        <v>866</v>
      </c>
      <c r="D297" s="490">
        <v>169</v>
      </c>
    </row>
    <row r="298" spans="1:4" x14ac:dyDescent="0.25">
      <c r="A298" s="1021"/>
      <c r="B298" s="1018"/>
      <c r="C298" s="493" t="s">
        <v>867</v>
      </c>
      <c r="D298" s="490">
        <v>98</v>
      </c>
    </row>
    <row r="299" spans="1:4" ht="31.5" x14ac:dyDescent="0.25">
      <c r="A299" s="1021"/>
      <c r="B299" s="1018"/>
      <c r="C299" s="493" t="s">
        <v>868</v>
      </c>
      <c r="D299" s="490">
        <v>18</v>
      </c>
    </row>
    <row r="300" spans="1:4" x14ac:dyDescent="0.25">
      <c r="A300" s="1021"/>
      <c r="B300" s="1018"/>
      <c r="C300" s="493" t="s">
        <v>869</v>
      </c>
      <c r="D300" s="490">
        <v>65</v>
      </c>
    </row>
    <row r="301" spans="1:4" x14ac:dyDescent="0.25">
      <c r="A301" s="1021"/>
      <c r="B301" s="1018"/>
      <c r="C301" s="493" t="s">
        <v>870</v>
      </c>
      <c r="D301" s="490">
        <v>142.875</v>
      </c>
    </row>
    <row r="302" spans="1:4" x14ac:dyDescent="0.25">
      <c r="A302" s="1021"/>
      <c r="B302" s="1018"/>
      <c r="C302" s="493" t="s">
        <v>871</v>
      </c>
      <c r="D302" s="490">
        <v>113.01839999999999</v>
      </c>
    </row>
    <row r="303" spans="1:4" x14ac:dyDescent="0.25">
      <c r="A303" s="1021"/>
      <c r="B303" s="1018"/>
      <c r="C303" s="493" t="s">
        <v>872</v>
      </c>
      <c r="D303" s="490">
        <v>18</v>
      </c>
    </row>
    <row r="304" spans="1:4" x14ac:dyDescent="0.25">
      <c r="A304" s="1021"/>
      <c r="B304" s="1018"/>
      <c r="C304" s="493" t="s">
        <v>873</v>
      </c>
      <c r="D304" s="490">
        <v>92.24</v>
      </c>
    </row>
    <row r="305" spans="1:4" x14ac:dyDescent="0.25">
      <c r="A305" s="1021"/>
      <c r="B305" s="1018"/>
      <c r="C305" s="493" t="s">
        <v>874</v>
      </c>
      <c r="D305" s="490">
        <v>1489</v>
      </c>
    </row>
    <row r="306" spans="1:4" x14ac:dyDescent="0.25">
      <c r="A306" s="1021"/>
      <c r="B306" s="1018"/>
      <c r="C306" s="493" t="s">
        <v>875</v>
      </c>
      <c r="D306" s="490">
        <v>1586</v>
      </c>
    </row>
    <row r="307" spans="1:4" x14ac:dyDescent="0.25">
      <c r="A307" s="1021"/>
      <c r="B307" s="1018"/>
      <c r="C307" s="493" t="s">
        <v>876</v>
      </c>
      <c r="D307" s="490">
        <v>435</v>
      </c>
    </row>
    <row r="308" spans="1:4" x14ac:dyDescent="0.25">
      <c r="A308" s="1021"/>
      <c r="B308" s="1018"/>
      <c r="C308" s="493" t="s">
        <v>877</v>
      </c>
      <c r="D308" s="490">
        <v>896</v>
      </c>
    </row>
    <row r="309" spans="1:4" x14ac:dyDescent="0.25">
      <c r="A309" s="1021"/>
      <c r="B309" s="1018"/>
      <c r="C309" s="493" t="s">
        <v>878</v>
      </c>
      <c r="D309" s="490">
        <v>252</v>
      </c>
    </row>
    <row r="310" spans="1:4" x14ac:dyDescent="0.25">
      <c r="A310" s="1021"/>
      <c r="B310" s="1018"/>
      <c r="C310" s="493" t="s">
        <v>879</v>
      </c>
      <c r="D310" s="490">
        <v>80</v>
      </c>
    </row>
    <row r="311" spans="1:4" x14ac:dyDescent="0.25">
      <c r="A311" s="1021"/>
      <c r="B311" s="1018"/>
      <c r="C311" s="493" t="s">
        <v>880</v>
      </c>
      <c r="D311" s="490">
        <v>11</v>
      </c>
    </row>
    <row r="312" spans="1:4" x14ac:dyDescent="0.25">
      <c r="A312" s="1021"/>
      <c r="B312" s="1018"/>
      <c r="C312" s="493" t="s">
        <v>881</v>
      </c>
      <c r="D312" s="490">
        <v>30</v>
      </c>
    </row>
    <row r="313" spans="1:4" ht="31.5" x14ac:dyDescent="0.25">
      <c r="A313" s="1021"/>
      <c r="B313" s="1018"/>
      <c r="C313" s="493" t="s">
        <v>882</v>
      </c>
      <c r="D313" s="490">
        <v>50</v>
      </c>
    </row>
    <row r="314" spans="1:4" ht="31.5" x14ac:dyDescent="0.25">
      <c r="A314" s="1021"/>
      <c r="B314" s="1018"/>
      <c r="C314" s="493" t="s">
        <v>883</v>
      </c>
      <c r="D314" s="490">
        <v>9.36</v>
      </c>
    </row>
    <row r="315" spans="1:4" x14ac:dyDescent="0.25">
      <c r="A315" s="1021"/>
      <c r="B315" s="1018"/>
      <c r="C315" s="493" t="s">
        <v>884</v>
      </c>
      <c r="D315" s="490">
        <v>35</v>
      </c>
    </row>
    <row r="316" spans="1:4" x14ac:dyDescent="0.25">
      <c r="A316" s="1021"/>
      <c r="B316" s="1018"/>
      <c r="C316" s="493" t="s">
        <v>885</v>
      </c>
      <c r="D316" s="490">
        <v>17.64</v>
      </c>
    </row>
    <row r="317" spans="1:4" x14ac:dyDescent="0.25">
      <c r="A317" s="1021"/>
      <c r="B317" s="1018"/>
      <c r="C317" s="493" t="s">
        <v>886</v>
      </c>
      <c r="D317" s="490">
        <v>32.4</v>
      </c>
    </row>
    <row r="318" spans="1:4" x14ac:dyDescent="0.25">
      <c r="A318" s="1021"/>
      <c r="B318" s="1018"/>
      <c r="C318" s="493" t="s">
        <v>887</v>
      </c>
      <c r="D318" s="490">
        <v>54</v>
      </c>
    </row>
    <row r="319" spans="1:4" x14ac:dyDescent="0.25">
      <c r="A319" s="1021"/>
      <c r="B319" s="1018"/>
      <c r="C319" s="493" t="s">
        <v>888</v>
      </c>
      <c r="D319" s="490">
        <v>9</v>
      </c>
    </row>
    <row r="320" spans="1:4" x14ac:dyDescent="0.25">
      <c r="A320" s="1021"/>
      <c r="B320" s="1018"/>
      <c r="C320" s="493" t="s">
        <v>889</v>
      </c>
      <c r="D320" s="490">
        <v>798</v>
      </c>
    </row>
    <row r="321" spans="1:4" x14ac:dyDescent="0.25">
      <c r="A321" s="1021"/>
      <c r="B321" s="1018"/>
      <c r="C321" s="493" t="s">
        <v>890</v>
      </c>
      <c r="D321" s="490">
        <v>15</v>
      </c>
    </row>
    <row r="322" spans="1:4" x14ac:dyDescent="0.25">
      <c r="A322" s="1021"/>
      <c r="B322" s="1018"/>
      <c r="C322" s="493" t="s">
        <v>891</v>
      </c>
      <c r="D322" s="490">
        <v>20</v>
      </c>
    </row>
    <row r="323" spans="1:4" ht="31.5" x14ac:dyDescent="0.25">
      <c r="A323" s="1021"/>
      <c r="B323" s="1018"/>
      <c r="C323" s="493" t="s">
        <v>892</v>
      </c>
      <c r="D323" s="490">
        <v>118.8</v>
      </c>
    </row>
    <row r="324" spans="1:4" x14ac:dyDescent="0.25">
      <c r="A324" s="1021"/>
      <c r="B324" s="1018"/>
      <c r="C324" s="493" t="s">
        <v>893</v>
      </c>
      <c r="D324" s="490">
        <v>60.999999999999993</v>
      </c>
    </row>
    <row r="325" spans="1:4" x14ac:dyDescent="0.25">
      <c r="A325" s="1021"/>
      <c r="B325" s="1018"/>
      <c r="C325" s="493" t="s">
        <v>894</v>
      </c>
      <c r="D325" s="490">
        <v>18</v>
      </c>
    </row>
    <row r="326" spans="1:4" x14ac:dyDescent="0.25">
      <c r="A326" s="1021"/>
      <c r="B326" s="1018"/>
      <c r="C326" s="493" t="s">
        <v>895</v>
      </c>
      <c r="D326" s="490">
        <v>27</v>
      </c>
    </row>
    <row r="327" spans="1:4" x14ac:dyDescent="0.25">
      <c r="A327" s="1021"/>
      <c r="B327" s="1018"/>
      <c r="C327" s="493" t="s">
        <v>896</v>
      </c>
      <c r="D327" s="490">
        <v>44.01</v>
      </c>
    </row>
    <row r="328" spans="1:4" x14ac:dyDescent="0.25">
      <c r="A328" s="1021"/>
      <c r="B328" s="1018"/>
      <c r="C328" s="493" t="s">
        <v>897</v>
      </c>
      <c r="D328" s="490">
        <v>26</v>
      </c>
    </row>
    <row r="329" spans="1:4" x14ac:dyDescent="0.25">
      <c r="A329" s="1021"/>
      <c r="B329" s="1018"/>
      <c r="C329" s="493" t="s">
        <v>898</v>
      </c>
      <c r="D329" s="490">
        <v>1892</v>
      </c>
    </row>
    <row r="330" spans="1:4" x14ac:dyDescent="0.25">
      <c r="A330" s="1021"/>
      <c r="B330" s="1018"/>
      <c r="C330" s="493" t="s">
        <v>899</v>
      </c>
      <c r="D330" s="490">
        <v>450</v>
      </c>
    </row>
    <row r="331" spans="1:4" x14ac:dyDescent="0.25">
      <c r="A331" s="1021"/>
      <c r="B331" s="1018"/>
      <c r="C331" s="493" t="s">
        <v>900</v>
      </c>
      <c r="D331" s="490">
        <v>30</v>
      </c>
    </row>
    <row r="332" spans="1:4" x14ac:dyDescent="0.25">
      <c r="A332" s="1021"/>
      <c r="B332" s="1018"/>
      <c r="C332" s="493" t="s">
        <v>901</v>
      </c>
      <c r="D332" s="490">
        <v>54.444444444444443</v>
      </c>
    </row>
    <row r="333" spans="1:4" x14ac:dyDescent="0.25">
      <c r="A333" s="1021"/>
      <c r="B333" s="1018"/>
      <c r="C333" s="493" t="s">
        <v>902</v>
      </c>
      <c r="D333" s="490">
        <v>132</v>
      </c>
    </row>
    <row r="334" spans="1:4" x14ac:dyDescent="0.25">
      <c r="A334" s="1021"/>
      <c r="B334" s="1018"/>
      <c r="C334" s="493" t="s">
        <v>903</v>
      </c>
      <c r="D334" s="490">
        <v>4130</v>
      </c>
    </row>
    <row r="335" spans="1:4" ht="31.5" x14ac:dyDescent="0.25">
      <c r="A335" s="1021"/>
      <c r="B335" s="1018"/>
      <c r="C335" s="493" t="s">
        <v>904</v>
      </c>
      <c r="D335" s="490">
        <v>271.08</v>
      </c>
    </row>
    <row r="336" spans="1:4" ht="31.5" x14ac:dyDescent="0.25">
      <c r="A336" s="1021"/>
      <c r="B336" s="1018"/>
      <c r="C336" s="493" t="s">
        <v>905</v>
      </c>
      <c r="D336" s="490">
        <v>479.04525000000001</v>
      </c>
    </row>
    <row r="337" spans="1:4" x14ac:dyDescent="0.25">
      <c r="A337" s="1021"/>
      <c r="B337" s="1018"/>
      <c r="C337" s="493" t="s">
        <v>906</v>
      </c>
      <c r="D337" s="490">
        <v>602</v>
      </c>
    </row>
    <row r="338" spans="1:4" x14ac:dyDescent="0.25">
      <c r="A338" s="1021"/>
      <c r="B338" s="1018"/>
      <c r="C338" s="493" t="s">
        <v>907</v>
      </c>
      <c r="D338" s="490">
        <v>187</v>
      </c>
    </row>
    <row r="339" spans="1:4" x14ac:dyDescent="0.25">
      <c r="A339" s="1021"/>
      <c r="B339" s="1018"/>
      <c r="C339" s="493" t="s">
        <v>908</v>
      </c>
      <c r="D339" s="490">
        <v>206</v>
      </c>
    </row>
    <row r="340" spans="1:4" x14ac:dyDescent="0.25">
      <c r="A340" s="1021"/>
      <c r="B340" s="1018"/>
      <c r="C340" s="493" t="s">
        <v>909</v>
      </c>
      <c r="D340" s="490">
        <v>16</v>
      </c>
    </row>
    <row r="341" spans="1:4" x14ac:dyDescent="0.25">
      <c r="A341" s="1021"/>
      <c r="B341" s="1018"/>
      <c r="C341" s="493" t="s">
        <v>910</v>
      </c>
      <c r="D341" s="490">
        <v>7</v>
      </c>
    </row>
    <row r="342" spans="1:4" x14ac:dyDescent="0.25">
      <c r="A342" s="1021"/>
      <c r="B342" s="1018"/>
      <c r="C342" s="493" t="s">
        <v>911</v>
      </c>
      <c r="D342" s="490">
        <v>406</v>
      </c>
    </row>
    <row r="343" spans="1:4" x14ac:dyDescent="0.25">
      <c r="A343" s="1021"/>
      <c r="B343" s="1018"/>
      <c r="C343" s="493" t="s">
        <v>912</v>
      </c>
      <c r="D343" s="490">
        <v>92</v>
      </c>
    </row>
    <row r="344" spans="1:4" x14ac:dyDescent="0.25">
      <c r="A344" s="1021"/>
      <c r="B344" s="1018"/>
      <c r="C344" s="493" t="s">
        <v>913</v>
      </c>
      <c r="D344" s="490">
        <v>250</v>
      </c>
    </row>
    <row r="345" spans="1:4" x14ac:dyDescent="0.25">
      <c r="A345" s="1021"/>
      <c r="B345" s="1018"/>
      <c r="C345" s="493" t="s">
        <v>914</v>
      </c>
      <c r="D345" s="490">
        <v>95.625</v>
      </c>
    </row>
    <row r="346" spans="1:4" x14ac:dyDescent="0.25">
      <c r="A346" s="1021"/>
      <c r="B346" s="1018"/>
      <c r="C346" s="493" t="s">
        <v>915</v>
      </c>
      <c r="D346" s="490">
        <v>22.988699999999998</v>
      </c>
    </row>
    <row r="347" spans="1:4" s="485" customFormat="1" x14ac:dyDescent="0.25">
      <c r="A347" s="1021"/>
      <c r="B347" s="1018"/>
      <c r="C347" s="493" t="s">
        <v>1340</v>
      </c>
      <c r="D347" s="490">
        <v>5631</v>
      </c>
    </row>
    <row r="348" spans="1:4" ht="31.5" x14ac:dyDescent="0.25">
      <c r="A348" s="1021"/>
      <c r="B348" s="1018"/>
      <c r="C348" s="493" t="s">
        <v>1321</v>
      </c>
      <c r="D348" s="490">
        <v>10430</v>
      </c>
    </row>
    <row r="349" spans="1:4" x14ac:dyDescent="0.25">
      <c r="A349" s="1021"/>
      <c r="B349" s="1018"/>
      <c r="C349" s="493" t="s">
        <v>916</v>
      </c>
      <c r="D349" s="490">
        <v>64</v>
      </c>
    </row>
    <row r="350" spans="1:4" ht="47.25" x14ac:dyDescent="0.25">
      <c r="A350" s="1022"/>
      <c r="B350" s="1019"/>
      <c r="C350" s="493" t="s">
        <v>917</v>
      </c>
      <c r="D350" s="490">
        <v>90</v>
      </c>
    </row>
    <row r="351" spans="1:4" ht="47.25" x14ac:dyDescent="0.25">
      <c r="A351" s="597"/>
      <c r="B351" s="598"/>
      <c r="C351" s="493" t="s">
        <v>1313</v>
      </c>
      <c r="D351" s="490">
        <v>322</v>
      </c>
    </row>
    <row r="352" spans="1:4" s="485" customFormat="1" x14ac:dyDescent="0.25">
      <c r="A352" s="546">
        <v>14</v>
      </c>
      <c r="B352" s="547" t="s">
        <v>494</v>
      </c>
      <c r="C352" s="548"/>
      <c r="D352" s="526">
        <f>SUM(D353:D390)</f>
        <v>35207</v>
      </c>
    </row>
    <row r="353" spans="1:4" x14ac:dyDescent="0.25">
      <c r="A353" s="1020"/>
      <c r="B353" s="1017"/>
      <c r="C353" s="495" t="s">
        <v>495</v>
      </c>
      <c r="D353" s="491">
        <v>80</v>
      </c>
    </row>
    <row r="354" spans="1:4" x14ac:dyDescent="0.25">
      <c r="A354" s="1021"/>
      <c r="B354" s="1018"/>
      <c r="C354" s="495" t="s">
        <v>496</v>
      </c>
      <c r="D354" s="491">
        <v>203</v>
      </c>
    </row>
    <row r="355" spans="1:4" x14ac:dyDescent="0.25">
      <c r="A355" s="1021"/>
      <c r="B355" s="1018"/>
      <c r="C355" s="495" t="s">
        <v>918</v>
      </c>
      <c r="D355" s="491">
        <v>100</v>
      </c>
    </row>
    <row r="356" spans="1:4" x14ac:dyDescent="0.25">
      <c r="A356" s="1021"/>
      <c r="B356" s="1018"/>
      <c r="C356" s="495" t="s">
        <v>470</v>
      </c>
      <c r="D356" s="491">
        <v>130</v>
      </c>
    </row>
    <row r="357" spans="1:4" x14ac:dyDescent="0.25">
      <c r="A357" s="1021"/>
      <c r="B357" s="1018"/>
      <c r="C357" s="495" t="s">
        <v>497</v>
      </c>
      <c r="D357" s="491">
        <v>124</v>
      </c>
    </row>
    <row r="358" spans="1:4" ht="31.5" x14ac:dyDescent="0.25">
      <c r="A358" s="1021"/>
      <c r="B358" s="1018"/>
      <c r="C358" s="495" t="s">
        <v>1341</v>
      </c>
      <c r="D358" s="491">
        <v>720</v>
      </c>
    </row>
    <row r="359" spans="1:4" x14ac:dyDescent="0.25">
      <c r="A359" s="1021"/>
      <c r="B359" s="1018"/>
      <c r="C359" s="495" t="s">
        <v>498</v>
      </c>
      <c r="D359" s="491">
        <v>100</v>
      </c>
    </row>
    <row r="360" spans="1:4" x14ac:dyDescent="0.25">
      <c r="A360" s="1021"/>
      <c r="B360" s="1018"/>
      <c r="C360" s="495" t="s">
        <v>919</v>
      </c>
      <c r="D360" s="491">
        <v>100</v>
      </c>
    </row>
    <row r="361" spans="1:4" x14ac:dyDescent="0.25">
      <c r="A361" s="1021"/>
      <c r="B361" s="1018"/>
      <c r="C361" s="493" t="s">
        <v>920</v>
      </c>
      <c r="D361" s="491">
        <v>80</v>
      </c>
    </row>
    <row r="362" spans="1:4" x14ac:dyDescent="0.25">
      <c r="A362" s="1021"/>
      <c r="B362" s="1018"/>
      <c r="C362" s="493" t="s">
        <v>921</v>
      </c>
      <c r="D362" s="491">
        <v>35</v>
      </c>
    </row>
    <row r="363" spans="1:4" x14ac:dyDescent="0.25">
      <c r="A363" s="1021"/>
      <c r="B363" s="1018"/>
      <c r="C363" s="495" t="s">
        <v>499</v>
      </c>
      <c r="D363" s="491">
        <v>75</v>
      </c>
    </row>
    <row r="364" spans="1:4" ht="31.5" x14ac:dyDescent="0.25">
      <c r="A364" s="1021"/>
      <c r="B364" s="1018"/>
      <c r="C364" s="495" t="s">
        <v>1343</v>
      </c>
      <c r="D364" s="491">
        <v>2165</v>
      </c>
    </row>
    <row r="365" spans="1:4" x14ac:dyDescent="0.25">
      <c r="A365" s="1021"/>
      <c r="B365" s="1018"/>
      <c r="C365" s="495" t="s">
        <v>500</v>
      </c>
      <c r="D365" s="491">
        <v>350</v>
      </c>
    </row>
    <row r="366" spans="1:4" x14ac:dyDescent="0.25">
      <c r="A366" s="1021"/>
      <c r="B366" s="1018"/>
      <c r="C366" s="495" t="s">
        <v>501</v>
      </c>
      <c r="D366" s="491">
        <v>2812</v>
      </c>
    </row>
    <row r="367" spans="1:4" ht="31.5" x14ac:dyDescent="0.25">
      <c r="A367" s="1021"/>
      <c r="B367" s="1018"/>
      <c r="C367" s="495" t="s">
        <v>922</v>
      </c>
      <c r="D367" s="491">
        <v>155</v>
      </c>
    </row>
    <row r="368" spans="1:4" x14ac:dyDescent="0.25">
      <c r="A368" s="1021"/>
      <c r="B368" s="1018"/>
      <c r="C368" s="495" t="s">
        <v>1342</v>
      </c>
      <c r="D368" s="491">
        <v>278</v>
      </c>
    </row>
    <row r="369" spans="1:4" x14ac:dyDescent="0.25">
      <c r="A369" s="1021"/>
      <c r="B369" s="1018"/>
      <c r="C369" s="495" t="s">
        <v>923</v>
      </c>
      <c r="D369" s="491">
        <v>200</v>
      </c>
    </row>
    <row r="370" spans="1:4" x14ac:dyDescent="0.25">
      <c r="A370" s="1021"/>
      <c r="B370" s="1018"/>
      <c r="C370" s="495" t="s">
        <v>924</v>
      </c>
      <c r="D370" s="491">
        <v>540</v>
      </c>
    </row>
    <row r="371" spans="1:4" x14ac:dyDescent="0.25">
      <c r="A371" s="1021"/>
      <c r="B371" s="1018"/>
      <c r="C371" s="493" t="s">
        <v>1344</v>
      </c>
      <c r="D371" s="491">
        <v>48</v>
      </c>
    </row>
    <row r="372" spans="1:4" x14ac:dyDescent="0.25">
      <c r="A372" s="1021"/>
      <c r="B372" s="1018"/>
      <c r="C372" s="493" t="s">
        <v>925</v>
      </c>
      <c r="D372" s="491">
        <v>50</v>
      </c>
    </row>
    <row r="373" spans="1:4" x14ac:dyDescent="0.25">
      <c r="A373" s="1021"/>
      <c r="B373" s="1018"/>
      <c r="C373" s="493" t="s">
        <v>926</v>
      </c>
      <c r="D373" s="491">
        <v>275</v>
      </c>
    </row>
    <row r="374" spans="1:4" x14ac:dyDescent="0.25">
      <c r="A374" s="1021"/>
      <c r="B374" s="1018"/>
      <c r="C374" s="493" t="s">
        <v>927</v>
      </c>
      <c r="D374" s="491">
        <v>61</v>
      </c>
    </row>
    <row r="375" spans="1:4" ht="31.5" x14ac:dyDescent="0.25">
      <c r="A375" s="1021"/>
      <c r="B375" s="1018"/>
      <c r="C375" s="493" t="s">
        <v>928</v>
      </c>
      <c r="D375" s="491">
        <v>200</v>
      </c>
    </row>
    <row r="376" spans="1:4" ht="31.5" x14ac:dyDescent="0.25">
      <c r="A376" s="1021"/>
      <c r="B376" s="1018"/>
      <c r="C376" s="493" t="s">
        <v>929</v>
      </c>
      <c r="D376" s="491">
        <v>200</v>
      </c>
    </row>
    <row r="377" spans="1:4" ht="31.5" x14ac:dyDescent="0.25">
      <c r="A377" s="1021"/>
      <c r="B377" s="1018"/>
      <c r="C377" s="493" t="s">
        <v>930</v>
      </c>
      <c r="D377" s="491">
        <v>100</v>
      </c>
    </row>
    <row r="378" spans="1:4" x14ac:dyDescent="0.25">
      <c r="A378" s="1021"/>
      <c r="B378" s="1018"/>
      <c r="C378" s="493" t="s">
        <v>931</v>
      </c>
      <c r="D378" s="491">
        <v>3387</v>
      </c>
    </row>
    <row r="379" spans="1:4" ht="31.5" x14ac:dyDescent="0.25">
      <c r="A379" s="1021"/>
      <c r="B379" s="1018"/>
      <c r="C379" s="493" t="s">
        <v>502</v>
      </c>
      <c r="D379" s="491">
        <v>3100</v>
      </c>
    </row>
    <row r="380" spans="1:4" x14ac:dyDescent="0.25">
      <c r="A380" s="1021"/>
      <c r="B380" s="1018"/>
      <c r="C380" s="493" t="s">
        <v>932</v>
      </c>
      <c r="D380" s="491">
        <v>50</v>
      </c>
    </row>
    <row r="381" spans="1:4" x14ac:dyDescent="0.25">
      <c r="A381" s="1021"/>
      <c r="B381" s="1018"/>
      <c r="C381" s="493" t="s">
        <v>933</v>
      </c>
      <c r="D381" s="491">
        <v>100</v>
      </c>
    </row>
    <row r="382" spans="1:4" x14ac:dyDescent="0.25">
      <c r="A382" s="1021"/>
      <c r="B382" s="1018"/>
      <c r="C382" s="493" t="s">
        <v>934</v>
      </c>
      <c r="D382" s="491">
        <v>100</v>
      </c>
    </row>
    <row r="383" spans="1:4" x14ac:dyDescent="0.25">
      <c r="A383" s="1021"/>
      <c r="B383" s="1018"/>
      <c r="C383" s="493" t="s">
        <v>935</v>
      </c>
      <c r="D383" s="491">
        <v>1500</v>
      </c>
    </row>
    <row r="384" spans="1:4" ht="31.5" x14ac:dyDescent="0.25">
      <c r="A384" s="1021"/>
      <c r="B384" s="1018"/>
      <c r="C384" s="493" t="s">
        <v>503</v>
      </c>
      <c r="D384" s="491">
        <v>600</v>
      </c>
    </row>
    <row r="385" spans="1:4" x14ac:dyDescent="0.25">
      <c r="A385" s="1021"/>
      <c r="B385" s="1018"/>
      <c r="C385" s="493" t="s">
        <v>936</v>
      </c>
      <c r="D385" s="491">
        <v>50</v>
      </c>
    </row>
    <row r="386" spans="1:4" x14ac:dyDescent="0.25">
      <c r="A386" s="1021"/>
      <c r="B386" s="1018"/>
      <c r="C386" s="493" t="s">
        <v>937</v>
      </c>
      <c r="D386" s="491">
        <v>139</v>
      </c>
    </row>
    <row r="387" spans="1:4" ht="31.5" x14ac:dyDescent="0.25">
      <c r="A387" s="1021"/>
      <c r="B387" s="1018"/>
      <c r="C387" s="565" t="s">
        <v>504</v>
      </c>
      <c r="D387" s="491">
        <v>3000</v>
      </c>
    </row>
    <row r="388" spans="1:4" x14ac:dyDescent="0.25">
      <c r="A388" s="1021"/>
      <c r="B388" s="1018"/>
      <c r="C388" s="493" t="s">
        <v>938</v>
      </c>
      <c r="D388" s="491">
        <v>1000</v>
      </c>
    </row>
    <row r="389" spans="1:4" x14ac:dyDescent="0.25">
      <c r="A389" s="1021"/>
      <c r="B389" s="1018"/>
      <c r="C389" s="493" t="s">
        <v>939</v>
      </c>
      <c r="D389" s="491">
        <v>3000</v>
      </c>
    </row>
    <row r="390" spans="1:4" x14ac:dyDescent="0.25">
      <c r="A390" s="1021"/>
      <c r="B390" s="1018"/>
      <c r="C390" s="493" t="s">
        <v>940</v>
      </c>
      <c r="D390" s="491">
        <v>10000</v>
      </c>
    </row>
    <row r="391" spans="1:4" x14ac:dyDescent="0.25">
      <c r="A391" s="546">
        <v>15</v>
      </c>
      <c r="B391" s="547" t="s">
        <v>117</v>
      </c>
      <c r="C391" s="548"/>
      <c r="D391" s="526">
        <f>SUM(D392:D424)</f>
        <v>39884</v>
      </c>
    </row>
    <row r="392" spans="1:4" x14ac:dyDescent="0.25">
      <c r="A392" s="1026"/>
      <c r="B392" s="1029"/>
      <c r="C392" s="495" t="s">
        <v>505</v>
      </c>
      <c r="D392" s="491">
        <v>27</v>
      </c>
    </row>
    <row r="393" spans="1:4" x14ac:dyDescent="0.25">
      <c r="A393" s="1027"/>
      <c r="B393" s="1030"/>
      <c r="C393" s="495" t="s">
        <v>506</v>
      </c>
      <c r="D393" s="491">
        <v>12185</v>
      </c>
    </row>
    <row r="394" spans="1:4" x14ac:dyDescent="0.25">
      <c r="A394" s="1027"/>
      <c r="B394" s="1030"/>
      <c r="C394" s="495" t="s">
        <v>507</v>
      </c>
      <c r="D394" s="487">
        <v>315</v>
      </c>
    </row>
    <row r="395" spans="1:4" x14ac:dyDescent="0.25">
      <c r="A395" s="1027"/>
      <c r="B395" s="1030"/>
      <c r="C395" s="566" t="s">
        <v>508</v>
      </c>
      <c r="D395" s="487">
        <v>90</v>
      </c>
    </row>
    <row r="396" spans="1:4" x14ac:dyDescent="0.25">
      <c r="A396" s="1027"/>
      <c r="B396" s="1030"/>
      <c r="C396" s="495" t="s">
        <v>1346</v>
      </c>
      <c r="D396" s="487">
        <v>510</v>
      </c>
    </row>
    <row r="397" spans="1:4" x14ac:dyDescent="0.25">
      <c r="A397" s="1027"/>
      <c r="B397" s="1030"/>
      <c r="C397" s="495" t="s">
        <v>509</v>
      </c>
      <c r="D397" s="487">
        <v>185</v>
      </c>
    </row>
    <row r="398" spans="1:4" x14ac:dyDescent="0.25">
      <c r="A398" s="1027"/>
      <c r="B398" s="1030"/>
      <c r="C398" s="495" t="s">
        <v>510</v>
      </c>
      <c r="D398" s="487">
        <v>450</v>
      </c>
    </row>
    <row r="399" spans="1:4" x14ac:dyDescent="0.25">
      <c r="A399" s="1027"/>
      <c r="B399" s="1030"/>
      <c r="C399" s="495" t="s">
        <v>511</v>
      </c>
      <c r="D399" s="487">
        <v>70</v>
      </c>
    </row>
    <row r="400" spans="1:4" x14ac:dyDescent="0.25">
      <c r="A400" s="1027"/>
      <c r="B400" s="1030"/>
      <c r="C400" s="495" t="s">
        <v>1345</v>
      </c>
      <c r="D400" s="487">
        <v>400</v>
      </c>
    </row>
    <row r="401" spans="1:4" x14ac:dyDescent="0.25">
      <c r="A401" s="1027"/>
      <c r="B401" s="1030"/>
      <c r="C401" s="495" t="s">
        <v>613</v>
      </c>
      <c r="D401" s="487">
        <v>58</v>
      </c>
    </row>
    <row r="402" spans="1:4" x14ac:dyDescent="0.25">
      <c r="A402" s="1027"/>
      <c r="B402" s="1030"/>
      <c r="C402" s="495" t="s">
        <v>614</v>
      </c>
      <c r="D402" s="487">
        <v>180</v>
      </c>
    </row>
    <row r="403" spans="1:4" x14ac:dyDescent="0.25">
      <c r="A403" s="1027"/>
      <c r="B403" s="1030"/>
      <c r="C403" s="495" t="s">
        <v>512</v>
      </c>
      <c r="D403" s="487">
        <v>50</v>
      </c>
    </row>
    <row r="404" spans="1:4" x14ac:dyDescent="0.25">
      <c r="A404" s="1027"/>
      <c r="B404" s="1030"/>
      <c r="C404" s="495" t="s">
        <v>513</v>
      </c>
      <c r="D404" s="487">
        <v>90</v>
      </c>
    </row>
    <row r="405" spans="1:4" x14ac:dyDescent="0.25">
      <c r="A405" s="1027"/>
      <c r="B405" s="1030"/>
      <c r="C405" s="495" t="s">
        <v>1347</v>
      </c>
      <c r="D405" s="487">
        <v>535</v>
      </c>
    </row>
    <row r="406" spans="1:4" x14ac:dyDescent="0.25">
      <c r="A406" s="1027"/>
      <c r="B406" s="1030"/>
      <c r="C406" s="495" t="s">
        <v>514</v>
      </c>
      <c r="D406" s="487">
        <v>210</v>
      </c>
    </row>
    <row r="407" spans="1:4" x14ac:dyDescent="0.25">
      <c r="A407" s="1027"/>
      <c r="B407" s="1030"/>
      <c r="C407" s="495" t="s">
        <v>1348</v>
      </c>
      <c r="D407" s="487">
        <v>320</v>
      </c>
    </row>
    <row r="408" spans="1:4" ht="31.5" x14ac:dyDescent="0.25">
      <c r="A408" s="1027"/>
      <c r="B408" s="1030"/>
      <c r="C408" s="495" t="s">
        <v>943</v>
      </c>
      <c r="D408" s="487">
        <v>476</v>
      </c>
    </row>
    <row r="409" spans="1:4" ht="31.5" x14ac:dyDescent="0.25">
      <c r="A409" s="1027"/>
      <c r="B409" s="1030"/>
      <c r="C409" s="495" t="s">
        <v>515</v>
      </c>
      <c r="D409" s="487">
        <v>943</v>
      </c>
    </row>
    <row r="410" spans="1:4" x14ac:dyDescent="0.25">
      <c r="A410" s="1027"/>
      <c r="B410" s="1030"/>
      <c r="C410" s="495" t="s">
        <v>1349</v>
      </c>
      <c r="D410" s="487">
        <v>50</v>
      </c>
    </row>
    <row r="411" spans="1:4" x14ac:dyDescent="0.25">
      <c r="A411" s="1027"/>
      <c r="B411" s="1030"/>
      <c r="C411" s="495" t="s">
        <v>516</v>
      </c>
      <c r="D411" s="487">
        <v>500</v>
      </c>
    </row>
    <row r="412" spans="1:4" x14ac:dyDescent="0.25">
      <c r="A412" s="1027"/>
      <c r="B412" s="1030"/>
      <c r="C412" s="495" t="s">
        <v>517</v>
      </c>
      <c r="D412" s="487">
        <v>50</v>
      </c>
    </row>
    <row r="413" spans="1:4" x14ac:dyDescent="0.25">
      <c r="A413" s="1027"/>
      <c r="B413" s="1030"/>
      <c r="C413" s="566" t="s">
        <v>518</v>
      </c>
      <c r="D413" s="487">
        <v>1870</v>
      </c>
    </row>
    <row r="414" spans="1:4" x14ac:dyDescent="0.25">
      <c r="A414" s="1027"/>
      <c r="B414" s="1030"/>
      <c r="C414" s="566" t="s">
        <v>944</v>
      </c>
      <c r="D414" s="487">
        <v>100</v>
      </c>
    </row>
    <row r="415" spans="1:4" x14ac:dyDescent="0.25">
      <c r="A415" s="1027"/>
      <c r="B415" s="1030"/>
      <c r="C415" s="566" t="s">
        <v>945</v>
      </c>
      <c r="D415" s="487">
        <v>58</v>
      </c>
    </row>
    <row r="416" spans="1:4" x14ac:dyDescent="0.25">
      <c r="A416" s="1027"/>
      <c r="B416" s="1030"/>
      <c r="C416" s="566" t="s">
        <v>946</v>
      </c>
      <c r="D416" s="487">
        <v>200</v>
      </c>
    </row>
    <row r="417" spans="1:4" x14ac:dyDescent="0.25">
      <c r="A417" s="1027"/>
      <c r="B417" s="1030"/>
      <c r="C417" s="566" t="s">
        <v>947</v>
      </c>
      <c r="D417" s="487">
        <v>1350</v>
      </c>
    </row>
    <row r="418" spans="1:4" x14ac:dyDescent="0.25">
      <c r="A418" s="1027"/>
      <c r="B418" s="1030"/>
      <c r="C418" s="495" t="s">
        <v>519</v>
      </c>
      <c r="D418" s="491">
        <v>647</v>
      </c>
    </row>
    <row r="419" spans="1:4" x14ac:dyDescent="0.25">
      <c r="A419" s="1027"/>
      <c r="B419" s="1030"/>
      <c r="C419" s="495" t="s">
        <v>520</v>
      </c>
      <c r="D419" s="491">
        <v>6000</v>
      </c>
    </row>
    <row r="420" spans="1:4" x14ac:dyDescent="0.25">
      <c r="A420" s="1027"/>
      <c r="B420" s="1030"/>
      <c r="C420" s="495" t="s">
        <v>615</v>
      </c>
      <c r="D420" s="491">
        <v>6187</v>
      </c>
    </row>
    <row r="421" spans="1:4" x14ac:dyDescent="0.25">
      <c r="A421" s="1027"/>
      <c r="B421" s="1030"/>
      <c r="C421" s="495" t="s">
        <v>521</v>
      </c>
      <c r="D421" s="491">
        <v>578</v>
      </c>
    </row>
    <row r="422" spans="1:4" x14ac:dyDescent="0.25">
      <c r="A422" s="1027"/>
      <c r="B422" s="1030"/>
      <c r="C422" s="495" t="s">
        <v>948</v>
      </c>
      <c r="D422" s="491">
        <v>2600</v>
      </c>
    </row>
    <row r="423" spans="1:4" x14ac:dyDescent="0.25">
      <c r="A423" s="1027"/>
      <c r="B423" s="1030"/>
      <c r="C423" s="495" t="s">
        <v>949</v>
      </c>
      <c r="D423" s="491">
        <v>1200</v>
      </c>
    </row>
    <row r="424" spans="1:4" x14ac:dyDescent="0.25">
      <c r="A424" s="1028"/>
      <c r="B424" s="1031"/>
      <c r="C424" s="495" t="s">
        <v>602</v>
      </c>
      <c r="D424" s="491">
        <v>1400</v>
      </c>
    </row>
    <row r="425" spans="1:4" x14ac:dyDescent="0.25">
      <c r="A425" s="546">
        <v>16</v>
      </c>
      <c r="B425" s="547" t="s">
        <v>221</v>
      </c>
      <c r="C425" s="548"/>
      <c r="D425" s="526">
        <f>SUM(D426:D471)</f>
        <v>89231</v>
      </c>
    </row>
    <row r="426" spans="1:4" ht="47.25" x14ac:dyDescent="0.25">
      <c r="A426" s="1026"/>
      <c r="B426" s="1032"/>
      <c r="C426" s="567" t="s">
        <v>950</v>
      </c>
      <c r="D426" s="491">
        <v>271</v>
      </c>
    </row>
    <row r="427" spans="1:4" ht="31.5" x14ac:dyDescent="0.25">
      <c r="A427" s="1027"/>
      <c r="B427" s="1033"/>
      <c r="C427" s="493" t="s">
        <v>951</v>
      </c>
      <c r="D427" s="491">
        <v>183</v>
      </c>
    </row>
    <row r="428" spans="1:4" ht="31.5" x14ac:dyDescent="0.25">
      <c r="A428" s="1027"/>
      <c r="B428" s="1033"/>
      <c r="C428" s="493" t="s">
        <v>952</v>
      </c>
      <c r="D428" s="491">
        <v>378</v>
      </c>
    </row>
    <row r="429" spans="1:4" ht="63" x14ac:dyDescent="0.25">
      <c r="A429" s="1027"/>
      <c r="B429" s="1033"/>
      <c r="C429" s="493" t="s">
        <v>953</v>
      </c>
      <c r="D429" s="491">
        <v>634</v>
      </c>
    </row>
    <row r="430" spans="1:4" ht="78.75" x14ac:dyDescent="0.25">
      <c r="A430" s="1027"/>
      <c r="B430" s="1033"/>
      <c r="C430" s="493" t="s">
        <v>954</v>
      </c>
      <c r="D430" s="491">
        <v>1316</v>
      </c>
    </row>
    <row r="431" spans="1:4" ht="31.5" x14ac:dyDescent="0.25">
      <c r="A431" s="1027"/>
      <c r="B431" s="1033"/>
      <c r="C431" s="493" t="s">
        <v>955</v>
      </c>
      <c r="D431" s="491">
        <v>80</v>
      </c>
    </row>
    <row r="432" spans="1:4" x14ac:dyDescent="0.25">
      <c r="A432" s="1027"/>
      <c r="B432" s="1033"/>
      <c r="C432" s="493" t="s">
        <v>956</v>
      </c>
      <c r="D432" s="491">
        <v>1858</v>
      </c>
    </row>
    <row r="433" spans="1:4" ht="31.5" x14ac:dyDescent="0.25">
      <c r="A433" s="1027"/>
      <c r="B433" s="1033"/>
      <c r="C433" s="493" t="s">
        <v>957</v>
      </c>
      <c r="D433" s="491">
        <v>2269</v>
      </c>
    </row>
    <row r="434" spans="1:4" x14ac:dyDescent="0.25">
      <c r="A434" s="1027"/>
      <c r="B434" s="1033"/>
      <c r="C434" s="493" t="s">
        <v>958</v>
      </c>
      <c r="D434" s="491">
        <v>70</v>
      </c>
    </row>
    <row r="435" spans="1:4" ht="47.25" x14ac:dyDescent="0.25">
      <c r="A435" s="1027"/>
      <c r="B435" s="1033"/>
      <c r="C435" s="493" t="s">
        <v>959</v>
      </c>
      <c r="D435" s="491">
        <v>1201</v>
      </c>
    </row>
    <row r="436" spans="1:4" ht="47.25" x14ac:dyDescent="0.25">
      <c r="A436" s="1027"/>
      <c r="B436" s="1033"/>
      <c r="C436" s="493" t="s">
        <v>960</v>
      </c>
      <c r="D436" s="491">
        <v>4151</v>
      </c>
    </row>
    <row r="437" spans="1:4" ht="31.5" x14ac:dyDescent="0.25">
      <c r="A437" s="1027"/>
      <c r="B437" s="1033"/>
      <c r="C437" s="493" t="s">
        <v>961</v>
      </c>
      <c r="D437" s="491">
        <v>102</v>
      </c>
    </row>
    <row r="438" spans="1:4" ht="31.5" x14ac:dyDescent="0.25">
      <c r="A438" s="1027"/>
      <c r="B438" s="1033"/>
      <c r="C438" s="493" t="s">
        <v>962</v>
      </c>
      <c r="D438" s="491">
        <v>113</v>
      </c>
    </row>
    <row r="439" spans="1:4" x14ac:dyDescent="0.25">
      <c r="A439" s="1027"/>
      <c r="B439" s="1033"/>
      <c r="C439" s="493" t="s">
        <v>963</v>
      </c>
      <c r="D439" s="491">
        <v>2194</v>
      </c>
    </row>
    <row r="440" spans="1:4" ht="31.5" x14ac:dyDescent="0.25">
      <c r="A440" s="1027"/>
      <c r="B440" s="1033"/>
      <c r="C440" s="493" t="s">
        <v>964</v>
      </c>
      <c r="D440" s="491">
        <v>216</v>
      </c>
    </row>
    <row r="441" spans="1:4" x14ac:dyDescent="0.25">
      <c r="A441" s="1027"/>
      <c r="B441" s="1033"/>
      <c r="C441" s="493" t="s">
        <v>965</v>
      </c>
      <c r="D441" s="491">
        <v>150</v>
      </c>
    </row>
    <row r="442" spans="1:4" ht="31.5" x14ac:dyDescent="0.25">
      <c r="A442" s="1027"/>
      <c r="B442" s="1033"/>
      <c r="C442" s="493" t="s">
        <v>523</v>
      </c>
      <c r="D442" s="491">
        <v>108</v>
      </c>
    </row>
    <row r="443" spans="1:4" x14ac:dyDescent="0.25">
      <c r="A443" s="1027"/>
      <c r="B443" s="1033"/>
      <c r="C443" s="493" t="s">
        <v>966</v>
      </c>
      <c r="D443" s="491">
        <v>30</v>
      </c>
    </row>
    <row r="444" spans="1:4" ht="31.5" x14ac:dyDescent="0.25">
      <c r="A444" s="1027"/>
      <c r="B444" s="1033"/>
      <c r="C444" s="493" t="s">
        <v>967</v>
      </c>
      <c r="D444" s="491">
        <v>9226</v>
      </c>
    </row>
    <row r="445" spans="1:4" x14ac:dyDescent="0.25">
      <c r="A445" s="1027"/>
      <c r="B445" s="1033"/>
      <c r="C445" s="493" t="s">
        <v>968</v>
      </c>
      <c r="D445" s="491">
        <v>320</v>
      </c>
    </row>
    <row r="446" spans="1:4" x14ac:dyDescent="0.25">
      <c r="A446" s="1027"/>
      <c r="B446" s="1033"/>
      <c r="C446" s="493" t="s">
        <v>969</v>
      </c>
      <c r="D446" s="491">
        <v>46</v>
      </c>
    </row>
    <row r="447" spans="1:4" x14ac:dyDescent="0.25">
      <c r="A447" s="1027"/>
      <c r="B447" s="1033"/>
      <c r="C447" s="493" t="s">
        <v>970</v>
      </c>
      <c r="D447" s="491">
        <v>90</v>
      </c>
    </row>
    <row r="448" spans="1:4" ht="31.5" x14ac:dyDescent="0.25">
      <c r="A448" s="1027"/>
      <c r="B448" s="1033"/>
      <c r="C448" s="493" t="s">
        <v>971</v>
      </c>
      <c r="D448" s="491">
        <v>100</v>
      </c>
    </row>
    <row r="449" spans="1:4" x14ac:dyDescent="0.25">
      <c r="A449" s="1027"/>
      <c r="B449" s="1033"/>
      <c r="C449" s="493" t="s">
        <v>972</v>
      </c>
      <c r="D449" s="491">
        <v>1382</v>
      </c>
    </row>
    <row r="450" spans="1:4" x14ac:dyDescent="0.25">
      <c r="A450" s="1027"/>
      <c r="B450" s="1033"/>
      <c r="C450" s="493" t="s">
        <v>973</v>
      </c>
      <c r="D450" s="491">
        <v>1125</v>
      </c>
    </row>
    <row r="451" spans="1:4" ht="31.5" x14ac:dyDescent="0.25">
      <c r="A451" s="1027"/>
      <c r="B451" s="1033"/>
      <c r="C451" s="493" t="s">
        <v>974</v>
      </c>
      <c r="D451" s="491">
        <v>64</v>
      </c>
    </row>
    <row r="452" spans="1:4" ht="47.25" x14ac:dyDescent="0.25">
      <c r="A452" s="1027"/>
      <c r="B452" s="1033"/>
      <c r="C452" s="568" t="s">
        <v>975</v>
      </c>
      <c r="D452" s="491">
        <v>532</v>
      </c>
    </row>
    <row r="453" spans="1:4" ht="31.5" x14ac:dyDescent="0.25">
      <c r="A453" s="1027"/>
      <c r="B453" s="1033"/>
      <c r="C453" s="569" t="s">
        <v>976</v>
      </c>
      <c r="D453" s="491">
        <v>450</v>
      </c>
    </row>
    <row r="454" spans="1:4" ht="31.5" x14ac:dyDescent="0.25">
      <c r="A454" s="1027"/>
      <c r="B454" s="1033"/>
      <c r="C454" s="568" t="s">
        <v>977</v>
      </c>
      <c r="D454" s="491">
        <v>130</v>
      </c>
    </row>
    <row r="455" spans="1:4" ht="31.5" x14ac:dyDescent="0.25">
      <c r="A455" s="1027"/>
      <c r="B455" s="1033"/>
      <c r="C455" s="570" t="s">
        <v>978</v>
      </c>
      <c r="D455" s="491">
        <v>79</v>
      </c>
    </row>
    <row r="456" spans="1:4" x14ac:dyDescent="0.25">
      <c r="A456" s="1027"/>
      <c r="B456" s="1033"/>
      <c r="C456" s="570" t="s">
        <v>979</v>
      </c>
      <c r="D456" s="491">
        <v>450</v>
      </c>
    </row>
    <row r="457" spans="1:4" ht="31.5" x14ac:dyDescent="0.25">
      <c r="A457" s="1027"/>
      <c r="B457" s="1033"/>
      <c r="C457" s="493" t="s">
        <v>980</v>
      </c>
      <c r="D457" s="491">
        <v>29411</v>
      </c>
    </row>
    <row r="458" spans="1:4" ht="47.25" x14ac:dyDescent="0.25">
      <c r="A458" s="1027"/>
      <c r="B458" s="1033"/>
      <c r="C458" s="571" t="s">
        <v>981</v>
      </c>
      <c r="D458" s="491">
        <v>7240</v>
      </c>
    </row>
    <row r="459" spans="1:4" ht="47.25" x14ac:dyDescent="0.25">
      <c r="A459" s="1027"/>
      <c r="B459" s="1033"/>
      <c r="C459" s="493" t="s">
        <v>982</v>
      </c>
      <c r="D459" s="491">
        <v>8409</v>
      </c>
    </row>
    <row r="460" spans="1:4" ht="31.5" x14ac:dyDescent="0.25">
      <c r="A460" s="1027"/>
      <c r="B460" s="1033"/>
      <c r="C460" s="571" t="s">
        <v>983</v>
      </c>
      <c r="D460" s="491">
        <v>1650</v>
      </c>
    </row>
    <row r="461" spans="1:4" ht="47.25" x14ac:dyDescent="0.25">
      <c r="A461" s="1027"/>
      <c r="B461" s="1033"/>
      <c r="C461" s="493" t="s">
        <v>984</v>
      </c>
      <c r="D461" s="491">
        <v>1566</v>
      </c>
    </row>
    <row r="462" spans="1:4" ht="31.5" x14ac:dyDescent="0.25">
      <c r="A462" s="1027"/>
      <c r="B462" s="1033"/>
      <c r="C462" s="572" t="s">
        <v>985</v>
      </c>
      <c r="D462" s="491">
        <v>1200</v>
      </c>
    </row>
    <row r="463" spans="1:4" ht="63" x14ac:dyDescent="0.25">
      <c r="A463" s="1027"/>
      <c r="B463" s="1033"/>
      <c r="C463" s="493" t="s">
        <v>986</v>
      </c>
      <c r="D463" s="491">
        <v>400</v>
      </c>
    </row>
    <row r="464" spans="1:4" ht="47.25" x14ac:dyDescent="0.25">
      <c r="A464" s="1027"/>
      <c r="B464" s="1033"/>
      <c r="C464" s="493" t="s">
        <v>987</v>
      </c>
      <c r="D464" s="491">
        <v>240</v>
      </c>
    </row>
    <row r="465" spans="1:4" ht="31.5" x14ac:dyDescent="0.25">
      <c r="A465" s="1027"/>
      <c r="B465" s="1033"/>
      <c r="C465" s="571" t="s">
        <v>988</v>
      </c>
      <c r="D465" s="491">
        <v>165</v>
      </c>
    </row>
    <row r="466" spans="1:4" ht="31.5" x14ac:dyDescent="0.25">
      <c r="A466" s="1027"/>
      <c r="B466" s="1033"/>
      <c r="C466" s="493" t="s">
        <v>989</v>
      </c>
      <c r="D466" s="491">
        <v>140</v>
      </c>
    </row>
    <row r="467" spans="1:4" ht="31.5" x14ac:dyDescent="0.25">
      <c r="A467" s="1027"/>
      <c r="B467" s="1033"/>
      <c r="C467" s="493" t="s">
        <v>990</v>
      </c>
      <c r="D467" s="491">
        <v>82</v>
      </c>
    </row>
    <row r="468" spans="1:4" x14ac:dyDescent="0.25">
      <c r="A468" s="1027"/>
      <c r="B468" s="1033"/>
      <c r="C468" s="571" t="s">
        <v>1350</v>
      </c>
      <c r="D468" s="491">
        <v>220</v>
      </c>
    </row>
    <row r="469" spans="1:4" ht="31.5" x14ac:dyDescent="0.25">
      <c r="A469" s="1027"/>
      <c r="B469" s="1033"/>
      <c r="C469" s="572" t="s">
        <v>991</v>
      </c>
      <c r="D469" s="491">
        <v>5000</v>
      </c>
    </row>
    <row r="470" spans="1:4" x14ac:dyDescent="0.25">
      <c r="A470" s="1027"/>
      <c r="B470" s="1033"/>
      <c r="C470" s="573" t="s">
        <v>596</v>
      </c>
      <c r="D470" s="491">
        <v>990</v>
      </c>
    </row>
    <row r="471" spans="1:4" x14ac:dyDescent="0.25">
      <c r="A471" s="1027"/>
      <c r="B471" s="1033"/>
      <c r="C471" s="493" t="s">
        <v>992</v>
      </c>
      <c r="D471" s="491">
        <v>3200</v>
      </c>
    </row>
    <row r="472" spans="1:4" x14ac:dyDescent="0.25">
      <c r="A472" s="546">
        <v>17</v>
      </c>
      <c r="B472" s="547" t="s">
        <v>219</v>
      </c>
      <c r="C472" s="548"/>
      <c r="D472" s="526">
        <f>SUM(D473:D490)</f>
        <v>26475</v>
      </c>
    </row>
    <row r="473" spans="1:4" x14ac:dyDescent="0.25">
      <c r="A473" s="1020"/>
      <c r="B473" s="1017"/>
      <c r="C473" s="495" t="s">
        <v>993</v>
      </c>
      <c r="D473" s="491">
        <v>98</v>
      </c>
    </row>
    <row r="474" spans="1:4" x14ac:dyDescent="0.25">
      <c r="A474" s="1021"/>
      <c r="B474" s="1018"/>
      <c r="C474" s="495" t="s">
        <v>470</v>
      </c>
      <c r="D474" s="491">
        <v>80</v>
      </c>
    </row>
    <row r="475" spans="1:4" x14ac:dyDescent="0.25">
      <c r="A475" s="1021"/>
      <c r="B475" s="1018"/>
      <c r="C475" s="495" t="s">
        <v>616</v>
      </c>
      <c r="D475" s="491">
        <v>526</v>
      </c>
    </row>
    <row r="476" spans="1:4" x14ac:dyDescent="0.25">
      <c r="A476" s="1021"/>
      <c r="B476" s="1018"/>
      <c r="C476" s="495" t="s">
        <v>524</v>
      </c>
      <c r="D476" s="491">
        <v>690</v>
      </c>
    </row>
    <row r="477" spans="1:4" x14ac:dyDescent="0.25">
      <c r="A477" s="1021"/>
      <c r="B477" s="1018"/>
      <c r="C477" s="495" t="s">
        <v>525</v>
      </c>
      <c r="D477" s="491">
        <v>88</v>
      </c>
    </row>
    <row r="478" spans="1:4" x14ac:dyDescent="0.25">
      <c r="A478" s="1021"/>
      <c r="B478" s="1018"/>
      <c r="C478" s="495" t="s">
        <v>526</v>
      </c>
      <c r="D478" s="491">
        <f>2515-1100</f>
        <v>1415</v>
      </c>
    </row>
    <row r="479" spans="1:4" x14ac:dyDescent="0.25">
      <c r="A479" s="1021"/>
      <c r="B479" s="1018"/>
      <c r="C479" s="495" t="s">
        <v>527</v>
      </c>
      <c r="D479" s="491">
        <v>94</v>
      </c>
    </row>
    <row r="480" spans="1:4" x14ac:dyDescent="0.25">
      <c r="A480" s="1021"/>
      <c r="B480" s="1018"/>
      <c r="C480" s="495" t="s">
        <v>528</v>
      </c>
      <c r="D480" s="491">
        <v>2641</v>
      </c>
    </row>
    <row r="481" spans="1:4" x14ac:dyDescent="0.25">
      <c r="A481" s="1021"/>
      <c r="B481" s="1018"/>
      <c r="C481" s="495" t="s">
        <v>994</v>
      </c>
      <c r="D481" s="1000">
        <v>746</v>
      </c>
    </row>
    <row r="482" spans="1:4" x14ac:dyDescent="0.25">
      <c r="A482" s="1021"/>
      <c r="B482" s="1018"/>
      <c r="C482" s="495" t="s">
        <v>995</v>
      </c>
      <c r="D482" s="1000">
        <v>4000</v>
      </c>
    </row>
    <row r="483" spans="1:4" x14ac:dyDescent="0.25">
      <c r="A483" s="1021"/>
      <c r="B483" s="1018"/>
      <c r="C483" s="495" t="s">
        <v>996</v>
      </c>
      <c r="D483" s="1000">
        <v>1500</v>
      </c>
    </row>
    <row r="484" spans="1:4" x14ac:dyDescent="0.25">
      <c r="A484" s="1021"/>
      <c r="B484" s="1018"/>
      <c r="C484" s="495" t="s">
        <v>598</v>
      </c>
      <c r="D484" s="1000">
        <v>2500</v>
      </c>
    </row>
    <row r="485" spans="1:4" ht="31.5" x14ac:dyDescent="0.25">
      <c r="A485" s="1021"/>
      <c r="B485" s="1018"/>
      <c r="C485" s="495" t="s">
        <v>997</v>
      </c>
      <c r="D485" s="1000">
        <v>1300</v>
      </c>
    </row>
    <row r="486" spans="1:4" ht="31.5" x14ac:dyDescent="0.25">
      <c r="A486" s="1021"/>
      <c r="B486" s="1018"/>
      <c r="C486" s="495" t="s">
        <v>1351</v>
      </c>
      <c r="D486" s="1000">
        <v>847</v>
      </c>
    </row>
    <row r="487" spans="1:4" x14ac:dyDescent="0.25">
      <c r="A487" s="1021"/>
      <c r="B487" s="1018"/>
      <c r="C487" s="495" t="s">
        <v>999</v>
      </c>
      <c r="D487" s="1000">
        <v>1640</v>
      </c>
    </row>
    <row r="488" spans="1:4" ht="31.5" x14ac:dyDescent="0.25">
      <c r="A488" s="1021"/>
      <c r="B488" s="1018"/>
      <c r="C488" s="495" t="s">
        <v>1353</v>
      </c>
      <c r="D488" s="1000">
        <v>410</v>
      </c>
    </row>
    <row r="489" spans="1:4" x14ac:dyDescent="0.25">
      <c r="A489" s="1021"/>
      <c r="B489" s="1018"/>
      <c r="C489" s="495" t="s">
        <v>1001</v>
      </c>
      <c r="D489" s="1000">
        <v>6800</v>
      </c>
    </row>
    <row r="490" spans="1:4" ht="31.5" x14ac:dyDescent="0.25">
      <c r="A490" s="1021"/>
      <c r="B490" s="1018"/>
      <c r="C490" s="495" t="s">
        <v>1352</v>
      </c>
      <c r="D490" s="1000">
        <v>1100</v>
      </c>
    </row>
    <row r="491" spans="1:4" x14ac:dyDescent="0.25">
      <c r="A491" s="546">
        <v>18</v>
      </c>
      <c r="B491" s="547" t="s">
        <v>529</v>
      </c>
      <c r="C491" s="525"/>
      <c r="D491" s="526">
        <f>SUM(D492:D498)</f>
        <v>566.34</v>
      </c>
    </row>
    <row r="492" spans="1:4" x14ac:dyDescent="0.25">
      <c r="A492" s="1020"/>
      <c r="B492" s="1017"/>
      <c r="C492" s="493" t="s">
        <v>1007</v>
      </c>
      <c r="D492" s="490">
        <v>311.40000000000009</v>
      </c>
    </row>
    <row r="493" spans="1:4" ht="31.5" x14ac:dyDescent="0.25">
      <c r="A493" s="1021"/>
      <c r="B493" s="1018"/>
      <c r="C493" s="493" t="s">
        <v>1354</v>
      </c>
      <c r="D493" s="490">
        <v>126</v>
      </c>
    </row>
    <row r="494" spans="1:4" x14ac:dyDescent="0.25">
      <c r="A494" s="1021"/>
      <c r="B494" s="1018"/>
      <c r="C494" s="493" t="s">
        <v>1008</v>
      </c>
      <c r="D494" s="490">
        <v>18.899999999999999</v>
      </c>
    </row>
    <row r="495" spans="1:4" x14ac:dyDescent="0.25">
      <c r="A495" s="1021"/>
      <c r="B495" s="1018"/>
      <c r="C495" s="493" t="s">
        <v>1009</v>
      </c>
      <c r="D495" s="490">
        <v>61.56</v>
      </c>
    </row>
    <row r="496" spans="1:4" x14ac:dyDescent="0.25">
      <c r="A496" s="1021"/>
      <c r="B496" s="1018"/>
      <c r="C496" s="493" t="s">
        <v>1010</v>
      </c>
      <c r="D496" s="490">
        <v>17.400000000000002</v>
      </c>
    </row>
    <row r="497" spans="1:4" x14ac:dyDescent="0.25">
      <c r="A497" s="1021"/>
      <c r="B497" s="1018"/>
      <c r="C497" s="493" t="s">
        <v>1011</v>
      </c>
      <c r="D497" s="490">
        <v>17.400000000000002</v>
      </c>
    </row>
    <row r="498" spans="1:4" x14ac:dyDescent="0.25">
      <c r="A498" s="1022"/>
      <c r="B498" s="1019"/>
      <c r="C498" s="493" t="s">
        <v>1012</v>
      </c>
      <c r="D498" s="490">
        <v>13.68</v>
      </c>
    </row>
    <row r="499" spans="1:4" x14ac:dyDescent="0.25">
      <c r="A499" s="546">
        <v>19</v>
      </c>
      <c r="B499" s="547" t="s">
        <v>530</v>
      </c>
      <c r="C499" s="548"/>
      <c r="D499" s="526">
        <f>SUM(D500:D505)</f>
        <v>17637</v>
      </c>
    </row>
    <row r="500" spans="1:4" ht="31.5" x14ac:dyDescent="0.25">
      <c r="A500" s="1038"/>
      <c r="B500" s="1039"/>
      <c r="C500" s="493" t="s">
        <v>531</v>
      </c>
      <c r="D500" s="491">
        <v>4458</v>
      </c>
    </row>
    <row r="501" spans="1:4" x14ac:dyDescent="0.25">
      <c r="A501" s="1038"/>
      <c r="B501" s="1039"/>
      <c r="C501" s="493" t="s">
        <v>1013</v>
      </c>
      <c r="D501" s="491">
        <v>700</v>
      </c>
    </row>
    <row r="502" spans="1:4" ht="31.5" x14ac:dyDescent="0.25">
      <c r="A502" s="1038"/>
      <c r="B502" s="1039"/>
      <c r="C502" s="493" t="s">
        <v>532</v>
      </c>
      <c r="D502" s="491">
        <v>880</v>
      </c>
    </row>
    <row r="503" spans="1:4" x14ac:dyDescent="0.25">
      <c r="A503" s="1038"/>
      <c r="B503" s="1039"/>
      <c r="C503" s="493" t="s">
        <v>533</v>
      </c>
      <c r="D503" s="491">
        <v>10920</v>
      </c>
    </row>
    <row r="504" spans="1:4" x14ac:dyDescent="0.25">
      <c r="A504" s="1038"/>
      <c r="B504" s="1039"/>
      <c r="C504" s="493" t="s">
        <v>534</v>
      </c>
      <c r="D504" s="491">
        <v>578</v>
      </c>
    </row>
    <row r="505" spans="1:4" ht="31.5" x14ac:dyDescent="0.25">
      <c r="A505" s="1038"/>
      <c r="B505" s="1039"/>
      <c r="C505" s="493" t="s">
        <v>1014</v>
      </c>
      <c r="D505" s="491">
        <v>101</v>
      </c>
    </row>
    <row r="506" spans="1:4" ht="31.5" x14ac:dyDescent="0.25">
      <c r="A506" s="546">
        <v>20</v>
      </c>
      <c r="B506" s="547" t="s">
        <v>535</v>
      </c>
      <c r="C506" s="548"/>
      <c r="D506" s="526">
        <f>SUM(D507:D512)</f>
        <v>4183</v>
      </c>
    </row>
    <row r="507" spans="1:4" x14ac:dyDescent="0.25">
      <c r="A507" s="1020"/>
      <c r="B507" s="1017"/>
      <c r="C507" s="493" t="s">
        <v>1355</v>
      </c>
      <c r="D507" s="491">
        <v>232</v>
      </c>
    </row>
    <row r="508" spans="1:4" x14ac:dyDescent="0.25">
      <c r="A508" s="1021"/>
      <c r="B508" s="1018"/>
      <c r="C508" s="495" t="s">
        <v>536</v>
      </c>
      <c r="D508" s="491">
        <v>132</v>
      </c>
    </row>
    <row r="509" spans="1:4" x14ac:dyDescent="0.25">
      <c r="A509" s="1021"/>
      <c r="B509" s="1018"/>
      <c r="C509" s="495" t="s">
        <v>537</v>
      </c>
      <c r="D509" s="491">
        <v>585</v>
      </c>
    </row>
    <row r="510" spans="1:4" ht="31.5" x14ac:dyDescent="0.25">
      <c r="A510" s="1021"/>
      <c r="B510" s="1018"/>
      <c r="C510" s="495" t="s">
        <v>1357</v>
      </c>
      <c r="D510" s="491">
        <v>2805</v>
      </c>
    </row>
    <row r="511" spans="1:4" ht="31.5" x14ac:dyDescent="0.25">
      <c r="A511" s="1021"/>
      <c r="B511" s="1018"/>
      <c r="C511" s="495" t="s">
        <v>1356</v>
      </c>
      <c r="D511" s="491">
        <v>359</v>
      </c>
    </row>
    <row r="512" spans="1:4" x14ac:dyDescent="0.25">
      <c r="A512" s="1022"/>
      <c r="B512" s="1019"/>
      <c r="C512" s="495" t="s">
        <v>538</v>
      </c>
      <c r="D512" s="491">
        <v>70</v>
      </c>
    </row>
    <row r="513" spans="1:4" x14ac:dyDescent="0.25">
      <c r="A513" s="546">
        <v>21</v>
      </c>
      <c r="B513" s="547" t="s">
        <v>359</v>
      </c>
      <c r="C513" s="548"/>
      <c r="D513" s="526">
        <f>SUM(D514:D520)</f>
        <v>42842.81</v>
      </c>
    </row>
    <row r="514" spans="1:4" ht="31.5" x14ac:dyDescent="0.25">
      <c r="A514" s="1020"/>
      <c r="B514" s="1017"/>
      <c r="C514" s="493" t="s">
        <v>1015</v>
      </c>
      <c r="D514" s="491">
        <v>6007</v>
      </c>
    </row>
    <row r="515" spans="1:4" ht="31.5" x14ac:dyDescent="0.25">
      <c r="A515" s="1021"/>
      <c r="B515" s="1018"/>
      <c r="C515" s="493" t="s">
        <v>1016</v>
      </c>
      <c r="D515" s="491">
        <v>2587.7700000000004</v>
      </c>
    </row>
    <row r="516" spans="1:4" x14ac:dyDescent="0.25">
      <c r="A516" s="1021"/>
      <c r="B516" s="1018"/>
      <c r="C516" s="493" t="s">
        <v>539</v>
      </c>
      <c r="D516" s="491">
        <v>34.58</v>
      </c>
    </row>
    <row r="517" spans="1:4" ht="31.5" x14ac:dyDescent="0.25">
      <c r="A517" s="1021"/>
      <c r="B517" s="1018"/>
      <c r="C517" s="493" t="s">
        <v>540</v>
      </c>
      <c r="D517" s="491">
        <v>3419.46</v>
      </c>
    </row>
    <row r="518" spans="1:4" ht="31.5" x14ac:dyDescent="0.25">
      <c r="A518" s="1021"/>
      <c r="B518" s="1018"/>
      <c r="C518" s="574" t="s">
        <v>1017</v>
      </c>
      <c r="D518" s="491">
        <v>5032</v>
      </c>
    </row>
    <row r="519" spans="1:4" ht="31.5" x14ac:dyDescent="0.25">
      <c r="A519" s="1021"/>
      <c r="B519" s="1018"/>
      <c r="C519" s="493" t="s">
        <v>1018</v>
      </c>
      <c r="D519" s="491">
        <v>82</v>
      </c>
    </row>
    <row r="520" spans="1:4" ht="31.5" x14ac:dyDescent="0.25">
      <c r="A520" s="1022"/>
      <c r="B520" s="1019"/>
      <c r="C520" s="493" t="s">
        <v>1019</v>
      </c>
      <c r="D520" s="491">
        <v>25680</v>
      </c>
    </row>
    <row r="521" spans="1:4" s="485" customFormat="1" x14ac:dyDescent="0.25">
      <c r="A521" s="546">
        <v>22</v>
      </c>
      <c r="B521" s="547" t="s">
        <v>129</v>
      </c>
      <c r="C521" s="548"/>
      <c r="D521" s="526">
        <f>SUM(D522:D526)</f>
        <v>2229.4939999999997</v>
      </c>
    </row>
    <row r="522" spans="1:4" x14ac:dyDescent="0.25">
      <c r="A522" s="1020"/>
      <c r="B522" s="1017"/>
      <c r="C522" s="493" t="s">
        <v>1358</v>
      </c>
      <c r="D522" s="490">
        <v>1366.2619999999999</v>
      </c>
    </row>
    <row r="523" spans="1:4" x14ac:dyDescent="0.25">
      <c r="A523" s="1021"/>
      <c r="B523" s="1018"/>
      <c r="C523" s="493" t="s">
        <v>1020</v>
      </c>
      <c r="D523" s="490">
        <v>113.99999999999999</v>
      </c>
    </row>
    <row r="524" spans="1:4" ht="31.5" x14ac:dyDescent="0.25">
      <c r="A524" s="1021"/>
      <c r="B524" s="1018"/>
      <c r="C524" s="493" t="s">
        <v>1359</v>
      </c>
      <c r="D524" s="490">
        <v>69</v>
      </c>
    </row>
    <row r="525" spans="1:4" x14ac:dyDescent="0.25">
      <c r="A525" s="1021"/>
      <c r="B525" s="1018"/>
      <c r="C525" s="493" t="s">
        <v>1021</v>
      </c>
      <c r="D525" s="490">
        <v>650.23199999999997</v>
      </c>
    </row>
    <row r="526" spans="1:4" x14ac:dyDescent="0.25">
      <c r="A526" s="1022"/>
      <c r="B526" s="1019"/>
      <c r="C526" s="493" t="s">
        <v>1022</v>
      </c>
      <c r="D526" s="490">
        <v>30</v>
      </c>
    </row>
    <row r="527" spans="1:4" ht="31.5" x14ac:dyDescent="0.25">
      <c r="A527" s="546">
        <v>23</v>
      </c>
      <c r="B527" s="547" t="s">
        <v>541</v>
      </c>
      <c r="C527" s="548"/>
      <c r="D527" s="526">
        <f>SUM(D528:D532)</f>
        <v>3558</v>
      </c>
    </row>
    <row r="528" spans="1:4" x14ac:dyDescent="0.25">
      <c r="A528" s="546"/>
      <c r="B528" s="547"/>
      <c r="C528" s="493" t="s">
        <v>1023</v>
      </c>
      <c r="D528" s="491">
        <v>318</v>
      </c>
    </row>
    <row r="529" spans="1:4" x14ac:dyDescent="0.25">
      <c r="A529" s="546"/>
      <c r="B529" s="547"/>
      <c r="C529" s="493" t="s">
        <v>1024</v>
      </c>
      <c r="D529" s="491">
        <v>55</v>
      </c>
    </row>
    <row r="530" spans="1:4" x14ac:dyDescent="0.25">
      <c r="A530" s="546"/>
      <c r="B530" s="547"/>
      <c r="C530" s="493" t="s">
        <v>1025</v>
      </c>
      <c r="D530" s="491">
        <v>30</v>
      </c>
    </row>
    <row r="531" spans="1:4" x14ac:dyDescent="0.25">
      <c r="A531" s="546"/>
      <c r="B531" s="547"/>
      <c r="C531" s="493" t="s">
        <v>1026</v>
      </c>
      <c r="D531" s="491">
        <v>1455</v>
      </c>
    </row>
    <row r="532" spans="1:4" x14ac:dyDescent="0.25">
      <c r="A532" s="575"/>
      <c r="B532" s="576"/>
      <c r="C532" s="493" t="s">
        <v>1027</v>
      </c>
      <c r="D532" s="491">
        <v>1700</v>
      </c>
    </row>
    <row r="533" spans="1:4" x14ac:dyDescent="0.25">
      <c r="A533" s="546">
        <v>24</v>
      </c>
      <c r="B533" s="547" t="s">
        <v>542</v>
      </c>
      <c r="C533" s="548"/>
      <c r="D533" s="526">
        <f>+D534</f>
        <v>990</v>
      </c>
    </row>
    <row r="534" spans="1:4" ht="31.5" x14ac:dyDescent="0.25">
      <c r="A534" s="575"/>
      <c r="B534" s="576"/>
      <c r="C534" s="493" t="s">
        <v>543</v>
      </c>
      <c r="D534" s="491">
        <v>990</v>
      </c>
    </row>
    <row r="535" spans="1:4" s="485" customFormat="1" ht="31.5" x14ac:dyDescent="0.25">
      <c r="A535" s="546">
        <v>25</v>
      </c>
      <c r="B535" s="547" t="s">
        <v>544</v>
      </c>
      <c r="C535" s="577"/>
      <c r="D535" s="526">
        <f>SUM(D536:D540)</f>
        <v>366.2</v>
      </c>
    </row>
    <row r="536" spans="1:4" x14ac:dyDescent="0.25">
      <c r="A536" s="1020"/>
      <c r="B536" s="1017"/>
      <c r="C536" s="493" t="s">
        <v>1028</v>
      </c>
      <c r="D536" s="490">
        <v>37.200000000000003</v>
      </c>
    </row>
    <row r="537" spans="1:4" s="485" customFormat="1" x14ac:dyDescent="0.25">
      <c r="A537" s="1021"/>
      <c r="B537" s="1018"/>
      <c r="C537" s="493" t="s">
        <v>1029</v>
      </c>
      <c r="D537" s="490">
        <v>31</v>
      </c>
    </row>
    <row r="538" spans="1:4" ht="31.5" x14ac:dyDescent="0.25">
      <c r="A538" s="1021"/>
      <c r="B538" s="1018"/>
      <c r="C538" s="493" t="s">
        <v>1030</v>
      </c>
      <c r="D538" s="490">
        <v>180</v>
      </c>
    </row>
    <row r="539" spans="1:4" x14ac:dyDescent="0.25">
      <c r="A539" s="1021"/>
      <c r="B539" s="1018"/>
      <c r="C539" s="493" t="s">
        <v>1031</v>
      </c>
      <c r="D539" s="490">
        <v>60</v>
      </c>
    </row>
    <row r="540" spans="1:4" s="485" customFormat="1" x14ac:dyDescent="0.25">
      <c r="A540" s="1022"/>
      <c r="B540" s="1019"/>
      <c r="C540" s="493" t="s">
        <v>1032</v>
      </c>
      <c r="D540" s="490">
        <v>58</v>
      </c>
    </row>
    <row r="541" spans="1:4" x14ac:dyDescent="0.25">
      <c r="A541" s="546">
        <v>26</v>
      </c>
      <c r="B541" s="547" t="s">
        <v>545</v>
      </c>
      <c r="C541" s="548"/>
      <c r="D541" s="526">
        <f>SUM(D542:D552)</f>
        <v>24591</v>
      </c>
    </row>
    <row r="542" spans="1:4" s="485" customFormat="1" x14ac:dyDescent="0.25">
      <c r="A542" s="1020"/>
      <c r="B542" s="1017"/>
      <c r="C542" s="578" t="s">
        <v>1033</v>
      </c>
      <c r="D542" s="487">
        <v>8868</v>
      </c>
    </row>
    <row r="543" spans="1:4" x14ac:dyDescent="0.25">
      <c r="A543" s="1021"/>
      <c r="B543" s="1018"/>
      <c r="C543" s="579" t="s">
        <v>1327</v>
      </c>
      <c r="D543" s="487">
        <f>681-62+50</f>
        <v>669</v>
      </c>
    </row>
    <row r="544" spans="1:4" x14ac:dyDescent="0.25">
      <c r="A544" s="1021"/>
      <c r="B544" s="1018"/>
      <c r="C544" s="579" t="s">
        <v>1328</v>
      </c>
      <c r="D544" s="487">
        <f>514+50</f>
        <v>564</v>
      </c>
    </row>
    <row r="545" spans="1:4" x14ac:dyDescent="0.25">
      <c r="A545" s="1021"/>
      <c r="B545" s="1018"/>
      <c r="C545" s="579" t="s">
        <v>1329</v>
      </c>
      <c r="D545" s="487">
        <f>853+50</f>
        <v>903</v>
      </c>
    </row>
    <row r="546" spans="1:4" x14ac:dyDescent="0.25">
      <c r="A546" s="1021"/>
      <c r="B546" s="1018"/>
      <c r="C546" s="579" t="s">
        <v>1330</v>
      </c>
      <c r="D546" s="487">
        <f>6169+50</f>
        <v>6219</v>
      </c>
    </row>
    <row r="547" spans="1:4" x14ac:dyDescent="0.25">
      <c r="A547" s="1021"/>
      <c r="B547" s="1018"/>
      <c r="C547" s="579" t="s">
        <v>1331</v>
      </c>
      <c r="D547" s="487">
        <f>1763+50</f>
        <v>1813</v>
      </c>
    </row>
    <row r="548" spans="1:4" x14ac:dyDescent="0.25">
      <c r="A548" s="1021"/>
      <c r="B548" s="1018"/>
      <c r="C548" s="579" t="s">
        <v>1034</v>
      </c>
      <c r="D548" s="487">
        <v>656</v>
      </c>
    </row>
    <row r="549" spans="1:4" x14ac:dyDescent="0.25">
      <c r="A549" s="1021"/>
      <c r="B549" s="1018"/>
      <c r="C549" s="579" t="s">
        <v>1035</v>
      </c>
      <c r="D549" s="487">
        <v>1596</v>
      </c>
    </row>
    <row r="550" spans="1:4" ht="31.5" x14ac:dyDescent="0.25">
      <c r="A550" s="1021"/>
      <c r="B550" s="1018"/>
      <c r="C550" s="493" t="s">
        <v>1036</v>
      </c>
      <c r="D550" s="487">
        <f>62+30</f>
        <v>92</v>
      </c>
    </row>
    <row r="551" spans="1:4" x14ac:dyDescent="0.25">
      <c r="A551" s="1021"/>
      <c r="B551" s="1018"/>
      <c r="C551" s="486" t="s">
        <v>1151</v>
      </c>
      <c r="D551" s="487">
        <v>1300</v>
      </c>
    </row>
    <row r="552" spans="1:4" x14ac:dyDescent="0.25">
      <c r="A552" s="555"/>
      <c r="B552" s="580"/>
      <c r="C552" s="486" t="s">
        <v>603</v>
      </c>
      <c r="D552" s="487">
        <v>1911</v>
      </c>
    </row>
    <row r="553" spans="1:4" x14ac:dyDescent="0.25">
      <c r="A553" s="546">
        <v>27</v>
      </c>
      <c r="B553" s="547" t="s">
        <v>546</v>
      </c>
      <c r="C553" s="548"/>
      <c r="D553" s="526">
        <f>SUM(D554:D562)</f>
        <v>2512.59</v>
      </c>
    </row>
    <row r="554" spans="1:4" x14ac:dyDescent="0.25">
      <c r="A554" s="1020"/>
      <c r="B554" s="1017"/>
      <c r="C554" s="493" t="s">
        <v>1038</v>
      </c>
      <c r="D554" s="487">
        <v>15</v>
      </c>
    </row>
    <row r="555" spans="1:4" x14ac:dyDescent="0.25">
      <c r="A555" s="1021"/>
      <c r="B555" s="1018"/>
      <c r="C555" s="493" t="s">
        <v>1039</v>
      </c>
      <c r="D555" s="487">
        <v>120</v>
      </c>
    </row>
    <row r="556" spans="1:4" x14ac:dyDescent="0.25">
      <c r="A556" s="1021"/>
      <c r="B556" s="1018"/>
      <c r="C556" s="493" t="s">
        <v>1040</v>
      </c>
      <c r="D556" s="487">
        <v>60</v>
      </c>
    </row>
    <row r="557" spans="1:4" x14ac:dyDescent="0.25">
      <c r="A557" s="1021"/>
      <c r="B557" s="1018"/>
      <c r="C557" s="493" t="s">
        <v>1041</v>
      </c>
      <c r="D557" s="487">
        <v>136</v>
      </c>
    </row>
    <row r="558" spans="1:4" x14ac:dyDescent="0.25">
      <c r="A558" s="1021"/>
      <c r="B558" s="1018"/>
      <c r="C558" s="493" t="s">
        <v>1042</v>
      </c>
      <c r="D558" s="487">
        <v>30</v>
      </c>
    </row>
    <row r="559" spans="1:4" x14ac:dyDescent="0.25">
      <c r="A559" s="1021"/>
      <c r="B559" s="1018"/>
      <c r="C559" s="493" t="s">
        <v>1043</v>
      </c>
      <c r="D559" s="487">
        <v>153</v>
      </c>
    </row>
    <row r="560" spans="1:4" x14ac:dyDescent="0.25">
      <c r="A560" s="1021"/>
      <c r="B560" s="1018"/>
      <c r="C560" s="493" t="s">
        <v>1044</v>
      </c>
      <c r="D560" s="487">
        <v>150</v>
      </c>
    </row>
    <row r="561" spans="1:4" x14ac:dyDescent="0.25">
      <c r="A561" s="1021"/>
      <c r="B561" s="1018"/>
      <c r="C561" s="556" t="s">
        <v>1045</v>
      </c>
      <c r="D561" s="487">
        <v>400</v>
      </c>
    </row>
    <row r="562" spans="1:4" x14ac:dyDescent="0.25">
      <c r="A562" s="1022"/>
      <c r="B562" s="1019"/>
      <c r="C562" s="581" t="s">
        <v>1046</v>
      </c>
      <c r="D562" s="499">
        <v>1448.59</v>
      </c>
    </row>
    <row r="563" spans="1:4" x14ac:dyDescent="0.25">
      <c r="A563" s="546">
        <v>28</v>
      </c>
      <c r="B563" s="547" t="s">
        <v>454</v>
      </c>
      <c r="C563" s="548"/>
      <c r="D563" s="526">
        <f>SUM(D564:D573)</f>
        <v>1422</v>
      </c>
    </row>
    <row r="564" spans="1:4" x14ac:dyDescent="0.25">
      <c r="A564" s="1020"/>
      <c r="B564" s="1017"/>
      <c r="C564" s="493" t="s">
        <v>1360</v>
      </c>
      <c r="D564" s="491">
        <v>493</v>
      </c>
    </row>
    <row r="565" spans="1:4" x14ac:dyDescent="0.25">
      <c r="A565" s="1021"/>
      <c r="B565" s="1018"/>
      <c r="C565" s="493" t="s">
        <v>1047</v>
      </c>
      <c r="D565" s="491">
        <v>49</v>
      </c>
    </row>
    <row r="566" spans="1:4" ht="31.5" x14ac:dyDescent="0.25">
      <c r="A566" s="1021"/>
      <c r="B566" s="1018"/>
      <c r="C566" s="493" t="s">
        <v>1048</v>
      </c>
      <c r="D566" s="491">
        <v>102</v>
      </c>
    </row>
    <row r="567" spans="1:4" x14ac:dyDescent="0.25">
      <c r="A567" s="1021"/>
      <c r="B567" s="1018"/>
      <c r="C567" s="493" t="s">
        <v>1049</v>
      </c>
      <c r="D567" s="491">
        <v>223</v>
      </c>
    </row>
    <row r="568" spans="1:4" x14ac:dyDescent="0.25">
      <c r="A568" s="1021"/>
      <c r="B568" s="1018"/>
      <c r="C568" s="493" t="s">
        <v>1050</v>
      </c>
      <c r="D568" s="491">
        <v>36</v>
      </c>
    </row>
    <row r="569" spans="1:4" x14ac:dyDescent="0.25">
      <c r="A569" s="1021"/>
      <c r="B569" s="1018"/>
      <c r="C569" s="493" t="s">
        <v>1051</v>
      </c>
      <c r="D569" s="491">
        <v>32</v>
      </c>
    </row>
    <row r="570" spans="1:4" ht="31.5" x14ac:dyDescent="0.25">
      <c r="A570" s="1021"/>
      <c r="B570" s="1018"/>
      <c r="C570" s="493" t="s">
        <v>1052</v>
      </c>
      <c r="D570" s="491">
        <v>94</v>
      </c>
    </row>
    <row r="571" spans="1:4" x14ac:dyDescent="0.25">
      <c r="A571" s="1021"/>
      <c r="B571" s="1018"/>
      <c r="C571" s="493" t="s">
        <v>1053</v>
      </c>
      <c r="D571" s="491">
        <v>53</v>
      </c>
    </row>
    <row r="572" spans="1:4" x14ac:dyDescent="0.25">
      <c r="A572" s="1021"/>
      <c r="B572" s="1018"/>
      <c r="C572" s="493" t="s">
        <v>1361</v>
      </c>
      <c r="D572" s="491">
        <v>160</v>
      </c>
    </row>
    <row r="573" spans="1:4" ht="31.5" x14ac:dyDescent="0.25">
      <c r="A573" s="1022"/>
      <c r="B573" s="1019"/>
      <c r="C573" s="493" t="s">
        <v>1014</v>
      </c>
      <c r="D573" s="487">
        <v>180</v>
      </c>
    </row>
    <row r="574" spans="1:4" x14ac:dyDescent="0.25">
      <c r="A574" s="546">
        <v>29</v>
      </c>
      <c r="B574" s="547" t="s">
        <v>547</v>
      </c>
      <c r="C574" s="548"/>
      <c r="D574" s="526">
        <f>SUM(D575:D581)</f>
        <v>466.22</v>
      </c>
    </row>
    <row r="575" spans="1:4" ht="47.25" x14ac:dyDescent="0.25">
      <c r="A575" s="1020"/>
      <c r="B575" s="1017"/>
      <c r="C575" s="493" t="s">
        <v>1362</v>
      </c>
      <c r="D575" s="490">
        <v>28</v>
      </c>
    </row>
    <row r="576" spans="1:4" ht="31.5" x14ac:dyDescent="0.25">
      <c r="A576" s="1021"/>
      <c r="B576" s="1018"/>
      <c r="C576" s="493" t="s">
        <v>1054</v>
      </c>
      <c r="D576" s="490">
        <v>23.999999999999996</v>
      </c>
    </row>
    <row r="577" spans="1:4" x14ac:dyDescent="0.25">
      <c r="A577" s="1021"/>
      <c r="B577" s="1018"/>
      <c r="C577" s="493" t="s">
        <v>548</v>
      </c>
      <c r="D577" s="490">
        <v>112.22999999999999</v>
      </c>
    </row>
    <row r="578" spans="1:4" ht="31.5" x14ac:dyDescent="0.25">
      <c r="A578" s="1021"/>
      <c r="B578" s="1018"/>
      <c r="C578" s="493" t="s">
        <v>1055</v>
      </c>
      <c r="D578" s="490">
        <v>180</v>
      </c>
    </row>
    <row r="579" spans="1:4" ht="31.5" x14ac:dyDescent="0.25">
      <c r="A579" s="1021"/>
      <c r="B579" s="1018"/>
      <c r="C579" s="493" t="s">
        <v>1056</v>
      </c>
      <c r="D579" s="490">
        <v>5.9899999999999993</v>
      </c>
    </row>
    <row r="580" spans="1:4" x14ac:dyDescent="0.25">
      <c r="A580" s="1021"/>
      <c r="B580" s="1018"/>
      <c r="C580" s="493" t="s">
        <v>1057</v>
      </c>
      <c r="D580" s="490">
        <v>46</v>
      </c>
    </row>
    <row r="581" spans="1:4" x14ac:dyDescent="0.25">
      <c r="A581" s="1022"/>
      <c r="B581" s="1019"/>
      <c r="C581" s="493" t="s">
        <v>1058</v>
      </c>
      <c r="D581" s="490">
        <v>70</v>
      </c>
    </row>
    <row r="582" spans="1:4" x14ac:dyDescent="0.25">
      <c r="A582" s="546">
        <v>30</v>
      </c>
      <c r="B582" s="547" t="s">
        <v>549</v>
      </c>
      <c r="C582" s="548"/>
      <c r="D582" s="526">
        <f>SUM(D583:D604)</f>
        <v>2326.7359999999999</v>
      </c>
    </row>
    <row r="583" spans="1:4" x14ac:dyDescent="0.25">
      <c r="A583" s="1038"/>
      <c r="B583" s="1039"/>
      <c r="C583" s="496" t="s">
        <v>550</v>
      </c>
      <c r="D583" s="487">
        <v>142</v>
      </c>
    </row>
    <row r="584" spans="1:4" x14ac:dyDescent="0.25">
      <c r="A584" s="1038"/>
      <c r="B584" s="1039"/>
      <c r="C584" s="496" t="s">
        <v>551</v>
      </c>
      <c r="D584" s="487">
        <v>41</v>
      </c>
    </row>
    <row r="585" spans="1:4" x14ac:dyDescent="0.25">
      <c r="A585" s="1038"/>
      <c r="B585" s="1039"/>
      <c r="C585" s="496" t="s">
        <v>552</v>
      </c>
      <c r="D585" s="487">
        <v>172</v>
      </c>
    </row>
    <row r="586" spans="1:4" x14ac:dyDescent="0.25">
      <c r="A586" s="1038"/>
      <c r="B586" s="1039"/>
      <c r="C586" s="496" t="s">
        <v>553</v>
      </c>
      <c r="D586" s="487">
        <v>20.736000000000001</v>
      </c>
    </row>
    <row r="587" spans="1:4" x14ac:dyDescent="0.25">
      <c r="A587" s="1038"/>
      <c r="B587" s="1039"/>
      <c r="C587" s="496" t="s">
        <v>1363</v>
      </c>
      <c r="D587" s="487">
        <v>62</v>
      </c>
    </row>
    <row r="588" spans="1:4" x14ac:dyDescent="0.25">
      <c r="A588" s="1038"/>
      <c r="B588" s="1039"/>
      <c r="C588" s="496" t="s">
        <v>1059</v>
      </c>
      <c r="D588" s="487">
        <v>67</v>
      </c>
    </row>
    <row r="589" spans="1:4" x14ac:dyDescent="0.25">
      <c r="A589" s="1038"/>
      <c r="B589" s="1039"/>
      <c r="C589" s="496" t="s">
        <v>1060</v>
      </c>
      <c r="D589" s="487">
        <v>20</v>
      </c>
    </row>
    <row r="590" spans="1:4" x14ac:dyDescent="0.25">
      <c r="A590" s="1038"/>
      <c r="B590" s="1039"/>
      <c r="C590" s="493" t="s">
        <v>554</v>
      </c>
      <c r="D590" s="487">
        <v>67</v>
      </c>
    </row>
    <row r="591" spans="1:4" x14ac:dyDescent="0.25">
      <c r="A591" s="1038"/>
      <c r="B591" s="1039"/>
      <c r="C591" s="493" t="s">
        <v>1061</v>
      </c>
      <c r="D591" s="487">
        <v>98</v>
      </c>
    </row>
    <row r="592" spans="1:4" x14ac:dyDescent="0.25">
      <c r="A592" s="1038"/>
      <c r="B592" s="1039"/>
      <c r="C592" s="493" t="s">
        <v>556</v>
      </c>
      <c r="D592" s="487">
        <v>97</v>
      </c>
    </row>
    <row r="593" spans="1:4" x14ac:dyDescent="0.25">
      <c r="A593" s="1038"/>
      <c r="B593" s="1039"/>
      <c r="C593" s="496" t="s">
        <v>557</v>
      </c>
      <c r="D593" s="487">
        <v>93</v>
      </c>
    </row>
    <row r="594" spans="1:4" x14ac:dyDescent="0.25">
      <c r="A594" s="1038"/>
      <c r="B594" s="1039"/>
      <c r="C594" s="496" t="s">
        <v>1332</v>
      </c>
      <c r="D594" s="487">
        <v>50</v>
      </c>
    </row>
    <row r="595" spans="1:4" ht="31.5" x14ac:dyDescent="0.25">
      <c r="A595" s="1038"/>
      <c r="B595" s="1039"/>
      <c r="C595" s="493" t="s">
        <v>555</v>
      </c>
      <c r="D595" s="582">
        <v>56</v>
      </c>
    </row>
    <row r="596" spans="1:4" x14ac:dyDescent="0.25">
      <c r="A596" s="1038"/>
      <c r="B596" s="1039"/>
      <c r="C596" s="493" t="s">
        <v>1364</v>
      </c>
      <c r="D596" s="582">
        <v>769</v>
      </c>
    </row>
    <row r="597" spans="1:4" x14ac:dyDescent="0.25">
      <c r="A597" s="1038"/>
      <c r="B597" s="1039"/>
      <c r="C597" s="493" t="s">
        <v>1062</v>
      </c>
      <c r="D597" s="582">
        <v>72</v>
      </c>
    </row>
    <row r="598" spans="1:4" ht="31.5" x14ac:dyDescent="0.25">
      <c r="A598" s="1038"/>
      <c r="B598" s="1039"/>
      <c r="C598" s="493" t="s">
        <v>1063</v>
      </c>
      <c r="D598" s="582">
        <v>67</v>
      </c>
    </row>
    <row r="599" spans="1:4" ht="31.5" x14ac:dyDescent="0.25">
      <c r="A599" s="1038"/>
      <c r="B599" s="1039"/>
      <c r="C599" s="493" t="s">
        <v>1365</v>
      </c>
      <c r="D599" s="582">
        <v>119</v>
      </c>
    </row>
    <row r="600" spans="1:4" x14ac:dyDescent="0.25">
      <c r="A600" s="1038"/>
      <c r="B600" s="1039"/>
      <c r="C600" s="493" t="s">
        <v>1366</v>
      </c>
      <c r="D600" s="582">
        <v>111</v>
      </c>
    </row>
    <row r="601" spans="1:4" x14ac:dyDescent="0.25">
      <c r="A601" s="1038"/>
      <c r="B601" s="1039"/>
      <c r="C601" s="493" t="s">
        <v>1336</v>
      </c>
      <c r="D601" s="582">
        <v>62</v>
      </c>
    </row>
    <row r="602" spans="1:4" x14ac:dyDescent="0.25">
      <c r="A602" s="1038"/>
      <c r="B602" s="1039"/>
      <c r="C602" s="493" t="s">
        <v>1337</v>
      </c>
      <c r="D602" s="582">
        <v>70</v>
      </c>
    </row>
    <row r="603" spans="1:4" x14ac:dyDescent="0.25">
      <c r="A603" s="1038"/>
      <c r="B603" s="1039"/>
      <c r="C603" s="493" t="s">
        <v>1383</v>
      </c>
      <c r="D603" s="582">
        <v>51</v>
      </c>
    </row>
    <row r="604" spans="1:4" x14ac:dyDescent="0.25">
      <c r="A604" s="1038"/>
      <c r="B604" s="1039"/>
      <c r="C604" s="493" t="s">
        <v>1382</v>
      </c>
      <c r="D604" s="582">
        <v>20</v>
      </c>
    </row>
    <row r="605" spans="1:4" x14ac:dyDescent="0.25">
      <c r="A605" s="546">
        <v>31</v>
      </c>
      <c r="B605" s="547" t="s">
        <v>231</v>
      </c>
      <c r="C605" s="548"/>
      <c r="D605" s="526">
        <f>SUM(D606:D617)</f>
        <v>788.62</v>
      </c>
    </row>
    <row r="606" spans="1:4" x14ac:dyDescent="0.25">
      <c r="A606" s="1020"/>
      <c r="B606" s="1017"/>
      <c r="C606" s="493" t="s">
        <v>1064</v>
      </c>
      <c r="D606" s="487">
        <v>31</v>
      </c>
    </row>
    <row r="607" spans="1:4" x14ac:dyDescent="0.25">
      <c r="A607" s="1021"/>
      <c r="B607" s="1018"/>
      <c r="C607" s="493" t="s">
        <v>1065</v>
      </c>
      <c r="D607" s="487">
        <v>18.45</v>
      </c>
    </row>
    <row r="608" spans="1:4" ht="31.5" x14ac:dyDescent="0.25">
      <c r="A608" s="1021"/>
      <c r="B608" s="1018"/>
      <c r="C608" s="493" t="s">
        <v>1066</v>
      </c>
      <c r="D608" s="487">
        <v>22.29</v>
      </c>
    </row>
    <row r="609" spans="1:4" ht="31.5" x14ac:dyDescent="0.25">
      <c r="A609" s="1021"/>
      <c r="B609" s="1018"/>
      <c r="C609" s="493" t="s">
        <v>1067</v>
      </c>
      <c r="D609" s="487">
        <v>27.8</v>
      </c>
    </row>
    <row r="610" spans="1:4" x14ac:dyDescent="0.25">
      <c r="A610" s="1021"/>
      <c r="B610" s="1018"/>
      <c r="C610" s="493" t="s">
        <v>1068</v>
      </c>
      <c r="D610" s="487">
        <v>26.799999999999997</v>
      </c>
    </row>
    <row r="611" spans="1:4" x14ac:dyDescent="0.25">
      <c r="A611" s="1021"/>
      <c r="B611" s="1018"/>
      <c r="C611" s="493" t="s">
        <v>1069</v>
      </c>
      <c r="D611" s="487">
        <v>98.539999999999992</v>
      </c>
    </row>
    <row r="612" spans="1:4" x14ac:dyDescent="0.25">
      <c r="A612" s="1021"/>
      <c r="B612" s="1018"/>
      <c r="C612" s="493" t="s">
        <v>1070</v>
      </c>
      <c r="D612" s="487">
        <v>56.599999999999994</v>
      </c>
    </row>
    <row r="613" spans="1:4" x14ac:dyDescent="0.25">
      <c r="A613" s="1021"/>
      <c r="B613" s="1018"/>
      <c r="C613" s="493" t="s">
        <v>1071</v>
      </c>
      <c r="D613" s="487">
        <v>138.6</v>
      </c>
    </row>
    <row r="614" spans="1:4" x14ac:dyDescent="0.25">
      <c r="A614" s="1021"/>
      <c r="B614" s="1018"/>
      <c r="C614" s="493" t="s">
        <v>1367</v>
      </c>
      <c r="D614" s="487">
        <v>32.4</v>
      </c>
    </row>
    <row r="615" spans="1:4" ht="31.5" x14ac:dyDescent="0.25">
      <c r="A615" s="1021"/>
      <c r="B615" s="1018"/>
      <c r="C615" s="493" t="s">
        <v>1338</v>
      </c>
      <c r="D615" s="487">
        <v>137</v>
      </c>
    </row>
    <row r="616" spans="1:4" ht="31.5" x14ac:dyDescent="0.25">
      <c r="A616" s="1021"/>
      <c r="B616" s="1018"/>
      <c r="C616" s="493" t="s">
        <v>1072</v>
      </c>
      <c r="D616" s="487">
        <v>139.13999999999999</v>
      </c>
    </row>
    <row r="617" spans="1:4" x14ac:dyDescent="0.25">
      <c r="A617" s="1022"/>
      <c r="B617" s="1019"/>
      <c r="C617" s="493" t="s">
        <v>1073</v>
      </c>
      <c r="D617" s="487">
        <v>60</v>
      </c>
    </row>
    <row r="618" spans="1:4" x14ac:dyDescent="0.25">
      <c r="A618" s="546">
        <v>32</v>
      </c>
      <c r="B618" s="547" t="s">
        <v>558</v>
      </c>
      <c r="C618" s="548"/>
      <c r="D618" s="526">
        <f>SUM(D619:D622)</f>
        <v>488.928</v>
      </c>
    </row>
    <row r="619" spans="1:4" x14ac:dyDescent="0.25">
      <c r="A619" s="1020"/>
      <c r="B619" s="1017"/>
      <c r="C619" s="493" t="s">
        <v>1368</v>
      </c>
      <c r="D619" s="491">
        <v>12</v>
      </c>
    </row>
    <row r="620" spans="1:4" x14ac:dyDescent="0.25">
      <c r="A620" s="1021"/>
      <c r="B620" s="1018"/>
      <c r="C620" s="493" t="s">
        <v>1074</v>
      </c>
      <c r="D620" s="491">
        <v>361.71</v>
      </c>
    </row>
    <row r="621" spans="1:4" x14ac:dyDescent="0.25">
      <c r="A621" s="1021"/>
      <c r="B621" s="1018"/>
      <c r="C621" s="493" t="s">
        <v>1369</v>
      </c>
      <c r="D621" s="491">
        <v>25.740000000000002</v>
      </c>
    </row>
    <row r="622" spans="1:4" x14ac:dyDescent="0.25">
      <c r="A622" s="1022"/>
      <c r="B622" s="1019"/>
      <c r="C622" s="493" t="s">
        <v>1075</v>
      </c>
      <c r="D622" s="491">
        <v>89.478000000000009</v>
      </c>
    </row>
    <row r="623" spans="1:4" x14ac:dyDescent="0.25">
      <c r="A623" s="546">
        <v>33</v>
      </c>
      <c r="B623" s="547" t="s">
        <v>559</v>
      </c>
      <c r="C623" s="548"/>
      <c r="D623" s="526">
        <f>SUM(D624:D629)</f>
        <v>452.2364</v>
      </c>
    </row>
    <row r="624" spans="1:4" x14ac:dyDescent="0.25">
      <c r="A624" s="1020"/>
      <c r="B624" s="1017"/>
      <c r="C624" s="493" t="s">
        <v>560</v>
      </c>
      <c r="D624" s="491">
        <v>220</v>
      </c>
    </row>
    <row r="625" spans="1:4" x14ac:dyDescent="0.25">
      <c r="A625" s="1021"/>
      <c r="B625" s="1018"/>
      <c r="C625" s="493" t="s">
        <v>561</v>
      </c>
      <c r="D625" s="491">
        <v>50</v>
      </c>
    </row>
    <row r="626" spans="1:4" ht="31.5" x14ac:dyDescent="0.25">
      <c r="A626" s="1021"/>
      <c r="B626" s="1018"/>
      <c r="C626" s="493" t="s">
        <v>1076</v>
      </c>
      <c r="D626" s="491">
        <v>60</v>
      </c>
    </row>
    <row r="627" spans="1:4" x14ac:dyDescent="0.25">
      <c r="A627" s="1021"/>
      <c r="B627" s="1018"/>
      <c r="C627" s="493" t="s">
        <v>1077</v>
      </c>
      <c r="D627" s="491">
        <v>83.336399999999998</v>
      </c>
    </row>
    <row r="628" spans="1:4" x14ac:dyDescent="0.25">
      <c r="A628" s="1021"/>
      <c r="B628" s="1018"/>
      <c r="C628" s="493" t="s">
        <v>1078</v>
      </c>
      <c r="D628" s="491">
        <v>26.9</v>
      </c>
    </row>
    <row r="629" spans="1:4" x14ac:dyDescent="0.25">
      <c r="A629" s="1022"/>
      <c r="B629" s="1019"/>
      <c r="C629" s="493" t="s">
        <v>1079</v>
      </c>
      <c r="D629" s="491">
        <v>12</v>
      </c>
    </row>
    <row r="630" spans="1:4" x14ac:dyDescent="0.25">
      <c r="A630" s="546">
        <v>34</v>
      </c>
      <c r="B630" s="547" t="s">
        <v>562</v>
      </c>
      <c r="C630" s="548"/>
      <c r="D630" s="526">
        <f>D631+D632</f>
        <v>242</v>
      </c>
    </row>
    <row r="631" spans="1:4" x14ac:dyDescent="0.25">
      <c r="A631" s="1020"/>
      <c r="B631" s="1017"/>
      <c r="C631" s="493" t="s">
        <v>560</v>
      </c>
      <c r="D631" s="491">
        <v>220</v>
      </c>
    </row>
    <row r="632" spans="1:4" ht="31.5" x14ac:dyDescent="0.25">
      <c r="A632" s="1022"/>
      <c r="B632" s="1019"/>
      <c r="C632" s="493" t="s">
        <v>1080</v>
      </c>
      <c r="D632" s="491">
        <v>22</v>
      </c>
    </row>
    <row r="633" spans="1:4" x14ac:dyDescent="0.25">
      <c r="A633" s="546">
        <v>35</v>
      </c>
      <c r="B633" s="547" t="s">
        <v>563</v>
      </c>
      <c r="C633" s="548"/>
      <c r="D633" s="526">
        <f>SUM(D634:D642)</f>
        <v>6363</v>
      </c>
    </row>
    <row r="634" spans="1:4" x14ac:dyDescent="0.25">
      <c r="A634" s="1020"/>
      <c r="B634" s="1017"/>
      <c r="C634" s="565" t="s">
        <v>1081</v>
      </c>
      <c r="D634" s="491">
        <v>79</v>
      </c>
    </row>
    <row r="635" spans="1:4" x14ac:dyDescent="0.25">
      <c r="A635" s="1021"/>
      <c r="B635" s="1018"/>
      <c r="C635" s="493" t="s">
        <v>1082</v>
      </c>
      <c r="D635" s="491">
        <v>7</v>
      </c>
    </row>
    <row r="636" spans="1:4" x14ac:dyDescent="0.25">
      <c r="A636" s="1021"/>
      <c r="B636" s="1018"/>
      <c r="C636" s="493" t="s">
        <v>1083</v>
      </c>
      <c r="D636" s="491">
        <v>79</v>
      </c>
    </row>
    <row r="637" spans="1:4" x14ac:dyDescent="0.25">
      <c r="A637" s="1021"/>
      <c r="B637" s="1018"/>
      <c r="C637" s="493" t="s">
        <v>1084</v>
      </c>
      <c r="D637" s="491">
        <v>30</v>
      </c>
    </row>
    <row r="638" spans="1:4" x14ac:dyDescent="0.25">
      <c r="A638" s="1021"/>
      <c r="B638" s="1018"/>
      <c r="C638" s="493" t="s">
        <v>1085</v>
      </c>
      <c r="D638" s="491">
        <v>30</v>
      </c>
    </row>
    <row r="639" spans="1:4" x14ac:dyDescent="0.25">
      <c r="A639" s="1021"/>
      <c r="B639" s="1018"/>
      <c r="C639" s="493" t="s">
        <v>1086</v>
      </c>
      <c r="D639" s="491">
        <v>30</v>
      </c>
    </row>
    <row r="640" spans="1:4" ht="66" customHeight="1" x14ac:dyDescent="0.25">
      <c r="A640" s="1021"/>
      <c r="B640" s="1018"/>
      <c r="C640" s="493" t="s">
        <v>1087</v>
      </c>
      <c r="D640" s="491">
        <v>70</v>
      </c>
    </row>
    <row r="641" spans="1:4" x14ac:dyDescent="0.25">
      <c r="A641" s="1021"/>
      <c r="B641" s="1018"/>
      <c r="C641" s="493" t="s">
        <v>1088</v>
      </c>
      <c r="D641" s="491">
        <v>150</v>
      </c>
    </row>
    <row r="642" spans="1:4" x14ac:dyDescent="0.25">
      <c r="A642" s="1022"/>
      <c r="B642" s="1019"/>
      <c r="C642" s="493" t="s">
        <v>1089</v>
      </c>
      <c r="D642" s="491">
        <v>5888</v>
      </c>
    </row>
    <row r="643" spans="1:4" x14ac:dyDescent="0.25">
      <c r="A643" s="546">
        <v>36</v>
      </c>
      <c r="B643" s="547" t="s">
        <v>564</v>
      </c>
      <c r="C643" s="548"/>
      <c r="D643" s="526">
        <f>SUM(D644:D647)</f>
        <v>914.98879999999997</v>
      </c>
    </row>
    <row r="644" spans="1:4" x14ac:dyDescent="0.25">
      <c r="A644" s="1040"/>
      <c r="B644" s="1041"/>
      <c r="C644" s="493" t="s">
        <v>560</v>
      </c>
      <c r="D644" s="491">
        <v>220</v>
      </c>
    </row>
    <row r="645" spans="1:4" x14ac:dyDescent="0.25">
      <c r="A645" s="1040"/>
      <c r="B645" s="1041"/>
      <c r="C645" s="493" t="s">
        <v>1090</v>
      </c>
      <c r="D645" s="491">
        <f>'[1]HVHNT(TH)'!$T$33</f>
        <v>544.98879999999997</v>
      </c>
    </row>
    <row r="646" spans="1:4" x14ac:dyDescent="0.25">
      <c r="A646" s="1040"/>
      <c r="B646" s="1041"/>
      <c r="C646" s="493" t="str">
        <f>'[1]HVHNT(TH)'!$B$34</f>
        <v xml:space="preserve">Tạp chí Văn nghệ Ba Bể Online </v>
      </c>
      <c r="D646" s="491">
        <f>'[1]HVHNT(TH)'!$T$34</f>
        <v>60</v>
      </c>
    </row>
    <row r="647" spans="1:4" x14ac:dyDescent="0.25">
      <c r="A647" s="1040"/>
      <c r="B647" s="1041"/>
      <c r="C647" s="493" t="s">
        <v>1370</v>
      </c>
      <c r="D647" s="491">
        <f>'[1]HVHNT(TH)'!$T$35</f>
        <v>90</v>
      </c>
    </row>
    <row r="648" spans="1:4" x14ac:dyDescent="0.25">
      <c r="A648" s="546">
        <v>37</v>
      </c>
      <c r="B648" s="547" t="s">
        <v>565</v>
      </c>
      <c r="C648" s="548"/>
      <c r="D648" s="526">
        <f>SUM(D649:D652)</f>
        <v>469.34000000000003</v>
      </c>
    </row>
    <row r="649" spans="1:4" x14ac:dyDescent="0.25">
      <c r="A649" s="1040"/>
      <c r="B649" s="1041"/>
      <c r="C649" s="493" t="s">
        <v>566</v>
      </c>
      <c r="D649" s="491">
        <v>120</v>
      </c>
    </row>
    <row r="650" spans="1:4" x14ac:dyDescent="0.25">
      <c r="A650" s="1040"/>
      <c r="B650" s="1041"/>
      <c r="C650" s="493" t="s">
        <v>567</v>
      </c>
      <c r="D650" s="553">
        <v>220</v>
      </c>
    </row>
    <row r="651" spans="1:4" x14ac:dyDescent="0.25">
      <c r="A651" s="1040"/>
      <c r="B651" s="1041"/>
      <c r="C651" s="493" t="s">
        <v>1091</v>
      </c>
      <c r="D651" s="584">
        <v>99.34</v>
      </c>
    </row>
    <row r="652" spans="1:4" x14ac:dyDescent="0.25">
      <c r="A652" s="1040"/>
      <c r="B652" s="1041"/>
      <c r="C652" s="493" t="s">
        <v>1371</v>
      </c>
      <c r="D652" s="553">
        <v>30</v>
      </c>
    </row>
    <row r="653" spans="1:4" x14ac:dyDescent="0.25">
      <c r="A653" s="546">
        <v>38</v>
      </c>
      <c r="B653" s="547" t="s">
        <v>568</v>
      </c>
      <c r="C653" s="548"/>
      <c r="D653" s="526">
        <f>D654+D655</f>
        <v>173.82</v>
      </c>
    </row>
    <row r="654" spans="1:4" x14ac:dyDescent="0.25">
      <c r="A654" s="1020"/>
      <c r="B654" s="1017"/>
      <c r="C654" s="493" t="s">
        <v>560</v>
      </c>
      <c r="D654" s="491">
        <v>120</v>
      </c>
    </row>
    <row r="655" spans="1:4" x14ac:dyDescent="0.25">
      <c r="A655" s="1022"/>
      <c r="B655" s="1019"/>
      <c r="C655" s="493" t="s">
        <v>1092</v>
      </c>
      <c r="D655" s="491">
        <v>53.819999999999993</v>
      </c>
    </row>
    <row r="656" spans="1:4" x14ac:dyDescent="0.25">
      <c r="A656" s="546">
        <v>39</v>
      </c>
      <c r="B656" s="547" t="s">
        <v>569</v>
      </c>
      <c r="C656" s="548"/>
      <c r="D656" s="526">
        <f>D657+D658</f>
        <v>180</v>
      </c>
    </row>
    <row r="657" spans="1:4" x14ac:dyDescent="0.25">
      <c r="A657" s="1040"/>
      <c r="B657" s="1041"/>
      <c r="C657" s="493" t="s">
        <v>560</v>
      </c>
      <c r="D657" s="491">
        <v>120</v>
      </c>
    </row>
    <row r="658" spans="1:4" x14ac:dyDescent="0.25">
      <c r="A658" s="1040"/>
      <c r="B658" s="1041"/>
      <c r="C658" s="493" t="s">
        <v>570</v>
      </c>
      <c r="D658" s="491">
        <v>60</v>
      </c>
    </row>
    <row r="659" spans="1:4" x14ac:dyDescent="0.25">
      <c r="A659" s="546">
        <v>40</v>
      </c>
      <c r="B659" s="547" t="s">
        <v>571</v>
      </c>
      <c r="C659" s="548"/>
      <c r="D659" s="526">
        <f>D660+D661</f>
        <v>150</v>
      </c>
    </row>
    <row r="660" spans="1:4" x14ac:dyDescent="0.25">
      <c r="A660" s="546"/>
      <c r="B660" s="547"/>
      <c r="C660" s="493" t="s">
        <v>560</v>
      </c>
      <c r="D660" s="491">
        <v>120</v>
      </c>
    </row>
    <row r="661" spans="1:4" x14ac:dyDescent="0.25">
      <c r="A661" s="546"/>
      <c r="B661" s="547"/>
      <c r="C661" s="493" t="s">
        <v>1093</v>
      </c>
      <c r="D661" s="491">
        <v>30</v>
      </c>
    </row>
    <row r="662" spans="1:4" ht="31.5" x14ac:dyDescent="0.25">
      <c r="A662" s="546">
        <v>41</v>
      </c>
      <c r="B662" s="547" t="s">
        <v>572</v>
      </c>
      <c r="C662" s="548"/>
      <c r="D662" s="526">
        <f>+D663+D664</f>
        <v>170</v>
      </c>
    </row>
    <row r="663" spans="1:4" x14ac:dyDescent="0.25">
      <c r="A663" s="1040"/>
      <c r="B663" s="1041"/>
      <c r="C663" s="493" t="s">
        <v>560</v>
      </c>
      <c r="D663" s="491">
        <v>120</v>
      </c>
    </row>
    <row r="664" spans="1:4" ht="31.5" x14ac:dyDescent="0.25">
      <c r="A664" s="1040"/>
      <c r="B664" s="1041"/>
      <c r="C664" s="493" t="s">
        <v>1372</v>
      </c>
      <c r="D664" s="491">
        <v>50</v>
      </c>
    </row>
    <row r="665" spans="1:4" x14ac:dyDescent="0.25">
      <c r="A665" s="583">
        <v>42</v>
      </c>
      <c r="B665" s="547" t="s">
        <v>573</v>
      </c>
      <c r="C665" s="548"/>
      <c r="D665" s="526">
        <f>SUM(D666:D668)</f>
        <v>332.97</v>
      </c>
    </row>
    <row r="666" spans="1:4" x14ac:dyDescent="0.25">
      <c r="A666" s="1040"/>
      <c r="B666" s="547"/>
      <c r="C666" s="493" t="s">
        <v>560</v>
      </c>
      <c r="D666" s="491">
        <v>120</v>
      </c>
    </row>
    <row r="667" spans="1:4" ht="31.5" x14ac:dyDescent="0.25">
      <c r="A667" s="1040"/>
      <c r="B667" s="547"/>
      <c r="C667" s="493" t="s">
        <v>1094</v>
      </c>
      <c r="D667" s="491">
        <v>120</v>
      </c>
    </row>
    <row r="668" spans="1:4" x14ac:dyDescent="0.25">
      <c r="A668" s="1040"/>
      <c r="B668" s="547"/>
      <c r="C668" s="493" t="s">
        <v>1373</v>
      </c>
      <c r="D668" s="491">
        <v>92.970000000000013</v>
      </c>
    </row>
    <row r="669" spans="1:4" x14ac:dyDescent="0.25">
      <c r="A669" s="583">
        <v>43</v>
      </c>
      <c r="B669" s="547" t="s">
        <v>1374</v>
      </c>
      <c r="C669" s="548"/>
      <c r="D669" s="526">
        <f>+D670+D671</f>
        <v>175</v>
      </c>
    </row>
    <row r="670" spans="1:4" x14ac:dyDescent="0.25">
      <c r="A670" s="1040"/>
      <c r="B670" s="1041"/>
      <c r="C670" s="493" t="s">
        <v>560</v>
      </c>
      <c r="D670" s="491">
        <v>120</v>
      </c>
    </row>
    <row r="671" spans="1:4" x14ac:dyDescent="0.25">
      <c r="A671" s="1040"/>
      <c r="B671" s="1041"/>
      <c r="C671" s="493" t="s">
        <v>1375</v>
      </c>
      <c r="D671" s="491">
        <v>55</v>
      </c>
    </row>
    <row r="672" spans="1:4" ht="31.5" x14ac:dyDescent="0.25">
      <c r="A672" s="583">
        <v>44</v>
      </c>
      <c r="B672" s="547" t="s">
        <v>1376</v>
      </c>
      <c r="C672" s="548"/>
      <c r="D672" s="526">
        <f>SUM(D673:D675)</f>
        <v>430</v>
      </c>
    </row>
    <row r="673" spans="1:4" x14ac:dyDescent="0.25">
      <c r="A673" s="1038"/>
      <c r="B673" s="1039"/>
      <c r="C673" s="493" t="s">
        <v>1095</v>
      </c>
      <c r="D673" s="491">
        <v>220</v>
      </c>
    </row>
    <row r="674" spans="1:4" ht="31.5" x14ac:dyDescent="0.25">
      <c r="A674" s="1038"/>
      <c r="B674" s="1039"/>
      <c r="C674" s="493" t="s">
        <v>1096</v>
      </c>
      <c r="D674" s="491">
        <v>90</v>
      </c>
    </row>
    <row r="675" spans="1:4" x14ac:dyDescent="0.25">
      <c r="A675" s="1038"/>
      <c r="B675" s="1039"/>
      <c r="C675" s="493" t="s">
        <v>560</v>
      </c>
      <c r="D675" s="491">
        <v>120</v>
      </c>
    </row>
    <row r="676" spans="1:4" x14ac:dyDescent="0.25">
      <c r="A676" s="527">
        <v>45</v>
      </c>
      <c r="B676" s="524" t="s">
        <v>1273</v>
      </c>
      <c r="C676" s="494"/>
      <c r="D676" s="488">
        <f>SUM(D677:D684)</f>
        <v>27315</v>
      </c>
    </row>
    <row r="677" spans="1:4" x14ac:dyDescent="0.25">
      <c r="A677" s="1042"/>
      <c r="B677" s="1043"/>
      <c r="C677" s="523" t="s">
        <v>581</v>
      </c>
      <c r="D677" s="489">
        <v>9100</v>
      </c>
    </row>
    <row r="678" spans="1:4" ht="38.25" customHeight="1" x14ac:dyDescent="0.25">
      <c r="A678" s="1042"/>
      <c r="B678" s="1043"/>
      <c r="C678" s="523" t="s">
        <v>1097</v>
      </c>
      <c r="D678" s="489">
        <v>395</v>
      </c>
    </row>
    <row r="679" spans="1:4" x14ac:dyDescent="0.25">
      <c r="A679" s="586"/>
      <c r="B679" s="492"/>
      <c r="C679" s="523" t="s">
        <v>1098</v>
      </c>
      <c r="D679" s="489">
        <v>305</v>
      </c>
    </row>
    <row r="680" spans="1:4" x14ac:dyDescent="0.25">
      <c r="A680" s="586"/>
      <c r="B680" s="492"/>
      <c r="C680" s="523" t="s">
        <v>583</v>
      </c>
      <c r="D680" s="489">
        <v>429</v>
      </c>
    </row>
    <row r="681" spans="1:4" x14ac:dyDescent="0.25">
      <c r="A681" s="586"/>
      <c r="B681" s="492"/>
      <c r="C681" s="523" t="s">
        <v>1099</v>
      </c>
      <c r="D681" s="489">
        <v>255</v>
      </c>
    </row>
    <row r="682" spans="1:4" x14ac:dyDescent="0.25">
      <c r="A682" s="586"/>
      <c r="B682" s="492"/>
      <c r="C682" s="523" t="s">
        <v>582</v>
      </c>
      <c r="D682" s="489">
        <v>6000</v>
      </c>
    </row>
    <row r="683" spans="1:4" x14ac:dyDescent="0.25">
      <c r="A683" s="586"/>
      <c r="B683" s="492"/>
      <c r="C683" s="523" t="s">
        <v>1100</v>
      </c>
      <c r="D683" s="489">
        <v>10781</v>
      </c>
    </row>
    <row r="684" spans="1:4" x14ac:dyDescent="0.25">
      <c r="A684" s="877"/>
      <c r="B684" s="492"/>
      <c r="C684" s="523" t="s">
        <v>1332</v>
      </c>
      <c r="D684" s="489">
        <v>50</v>
      </c>
    </row>
    <row r="685" spans="1:4" x14ac:dyDescent="0.25">
      <c r="A685" s="527">
        <v>46</v>
      </c>
      <c r="B685" s="524" t="s">
        <v>229</v>
      </c>
      <c r="C685" s="494"/>
      <c r="D685" s="488">
        <f>SUM(D686:D690)</f>
        <v>8800</v>
      </c>
    </row>
    <row r="686" spans="1:4" x14ac:dyDescent="0.25">
      <c r="A686" s="586"/>
      <c r="B686" s="492"/>
      <c r="C686" s="523" t="s">
        <v>580</v>
      </c>
      <c r="D686" s="489">
        <v>8000</v>
      </c>
    </row>
    <row r="687" spans="1:4" x14ac:dyDescent="0.25">
      <c r="A687" s="586"/>
      <c r="B687" s="492"/>
      <c r="C687" s="523" t="s">
        <v>1101</v>
      </c>
      <c r="D687" s="489">
        <v>215</v>
      </c>
    </row>
    <row r="688" spans="1:4" x14ac:dyDescent="0.25">
      <c r="A688" s="586"/>
      <c r="B688" s="492"/>
      <c r="C688" s="523" t="s">
        <v>1102</v>
      </c>
      <c r="D688" s="489">
        <v>385</v>
      </c>
    </row>
    <row r="689" spans="1:4" x14ac:dyDescent="0.25">
      <c r="A689" s="586"/>
      <c r="B689" s="492"/>
      <c r="C689" s="523" t="s">
        <v>1103</v>
      </c>
      <c r="D689" s="489">
        <v>150</v>
      </c>
    </row>
    <row r="690" spans="1:4" x14ac:dyDescent="0.25">
      <c r="A690" s="877"/>
      <c r="B690" s="492"/>
      <c r="C690" s="523" t="s">
        <v>1332</v>
      </c>
      <c r="D690" s="489">
        <v>50</v>
      </c>
    </row>
    <row r="691" spans="1:4" s="485" customFormat="1" ht="31.5" x14ac:dyDescent="0.25">
      <c r="A691" s="527">
        <v>47</v>
      </c>
      <c r="B691" s="524" t="s">
        <v>1105</v>
      </c>
      <c r="C691" s="599"/>
      <c r="D691" s="488">
        <v>5000</v>
      </c>
    </row>
    <row r="692" spans="1:4" x14ac:dyDescent="0.25">
      <c r="A692" s="527"/>
      <c r="B692" s="524"/>
      <c r="C692" s="523" t="s">
        <v>574</v>
      </c>
      <c r="D692" s="489">
        <v>5000</v>
      </c>
    </row>
    <row r="693" spans="1:4" s="485" customFormat="1" x14ac:dyDescent="0.25">
      <c r="A693" s="527">
        <v>48</v>
      </c>
      <c r="B693" s="524" t="s">
        <v>1315</v>
      </c>
      <c r="C693" s="494"/>
      <c r="D693" s="488">
        <f>D694+D695</f>
        <v>223521.59799999997</v>
      </c>
    </row>
    <row r="694" spans="1:4" x14ac:dyDescent="0.25">
      <c r="A694" s="527"/>
      <c r="B694" s="524"/>
      <c r="C694" s="523" t="s">
        <v>1106</v>
      </c>
      <c r="D694" s="489">
        <v>216995.59799999997</v>
      </c>
    </row>
    <row r="695" spans="1:4" x14ac:dyDescent="0.25">
      <c r="A695" s="527"/>
      <c r="B695" s="524"/>
      <c r="C695" s="523" t="s">
        <v>1107</v>
      </c>
      <c r="D695" s="489">
        <v>6526</v>
      </c>
    </row>
    <row r="696" spans="1:4" x14ac:dyDescent="0.25">
      <c r="A696" s="527">
        <v>49</v>
      </c>
      <c r="B696" s="588" t="s">
        <v>1317</v>
      </c>
      <c r="C696" s="493" t="s">
        <v>576</v>
      </c>
      <c r="D696" s="488">
        <v>24</v>
      </c>
    </row>
    <row r="697" spans="1:4" x14ac:dyDescent="0.25">
      <c r="A697" s="527">
        <v>50</v>
      </c>
      <c r="B697" s="588" t="s">
        <v>577</v>
      </c>
      <c r="C697" s="493" t="s">
        <v>576</v>
      </c>
      <c r="D697" s="488">
        <v>18</v>
      </c>
    </row>
    <row r="698" spans="1:4" s="485" customFormat="1" x14ac:dyDescent="0.25">
      <c r="A698" s="527">
        <v>51</v>
      </c>
      <c r="B698" s="547" t="s">
        <v>1316</v>
      </c>
      <c r="C698" s="548"/>
      <c r="D698" s="488">
        <f>SUM(D699:D701)</f>
        <v>162</v>
      </c>
    </row>
    <row r="699" spans="1:4" x14ac:dyDescent="0.25">
      <c r="A699" s="522"/>
      <c r="B699" s="582"/>
      <c r="C699" s="493" t="s">
        <v>1108</v>
      </c>
      <c r="D699" s="489">
        <v>60</v>
      </c>
    </row>
    <row r="700" spans="1:4" x14ac:dyDescent="0.25">
      <c r="A700" s="522"/>
      <c r="B700" s="582"/>
      <c r="C700" s="493" t="s">
        <v>1109</v>
      </c>
      <c r="D700" s="489">
        <v>84</v>
      </c>
    </row>
    <row r="701" spans="1:4" x14ac:dyDescent="0.25">
      <c r="A701" s="522"/>
      <c r="B701" s="582"/>
      <c r="C701" s="493" t="s">
        <v>1110</v>
      </c>
      <c r="D701" s="489">
        <v>18</v>
      </c>
    </row>
    <row r="702" spans="1:4" x14ac:dyDescent="0.25">
      <c r="A702" s="527">
        <v>52</v>
      </c>
      <c r="B702" s="588" t="s">
        <v>578</v>
      </c>
      <c r="C702" s="493" t="s">
        <v>576</v>
      </c>
      <c r="D702" s="488">
        <v>18</v>
      </c>
    </row>
    <row r="703" spans="1:4" s="485" customFormat="1" x14ac:dyDescent="0.25">
      <c r="A703" s="527">
        <v>53</v>
      </c>
      <c r="B703" s="588" t="s">
        <v>1318</v>
      </c>
      <c r="C703" s="548"/>
      <c r="D703" s="488">
        <f>SUM(D704:D709)</f>
        <v>233</v>
      </c>
    </row>
    <row r="704" spans="1:4" x14ac:dyDescent="0.25">
      <c r="A704" s="522"/>
      <c r="B704" s="490"/>
      <c r="C704" s="493" t="s">
        <v>1111</v>
      </c>
      <c r="D704" s="489">
        <v>79</v>
      </c>
    </row>
    <row r="705" spans="1:4" x14ac:dyDescent="0.25">
      <c r="A705" s="522"/>
      <c r="B705" s="490"/>
      <c r="C705" s="493" t="s">
        <v>1112</v>
      </c>
      <c r="D705" s="489">
        <v>43</v>
      </c>
    </row>
    <row r="706" spans="1:4" x14ac:dyDescent="0.25">
      <c r="A706" s="522"/>
      <c r="B706" s="490"/>
      <c r="C706" s="493" t="s">
        <v>1113</v>
      </c>
      <c r="D706" s="489">
        <v>63</v>
      </c>
    </row>
    <row r="707" spans="1:4" x14ac:dyDescent="0.25">
      <c r="A707" s="522"/>
      <c r="B707" s="490"/>
      <c r="C707" s="493" t="s">
        <v>1114</v>
      </c>
      <c r="D707" s="489">
        <v>10</v>
      </c>
    </row>
    <row r="708" spans="1:4" x14ac:dyDescent="0.25">
      <c r="A708" s="522"/>
      <c r="B708" s="490"/>
      <c r="C708" s="493" t="s">
        <v>1115</v>
      </c>
      <c r="D708" s="489">
        <v>13</v>
      </c>
    </row>
    <row r="709" spans="1:4" ht="31.5" x14ac:dyDescent="0.25">
      <c r="A709" s="522"/>
      <c r="B709" s="490"/>
      <c r="C709" s="493" t="s">
        <v>1116</v>
      </c>
      <c r="D709" s="489">
        <v>25</v>
      </c>
    </row>
    <row r="710" spans="1:4" x14ac:dyDescent="0.25">
      <c r="A710" s="527">
        <v>54</v>
      </c>
      <c r="B710" s="526" t="s">
        <v>579</v>
      </c>
      <c r="C710" s="493" t="s">
        <v>576</v>
      </c>
      <c r="D710" s="488">
        <v>18</v>
      </c>
    </row>
    <row r="711" spans="1:4" s="485" customFormat="1" x14ac:dyDescent="0.25">
      <c r="A711" s="527">
        <v>55</v>
      </c>
      <c r="B711" s="526" t="s">
        <v>1117</v>
      </c>
      <c r="C711" s="548"/>
      <c r="D711" s="488">
        <v>50</v>
      </c>
    </row>
    <row r="712" spans="1:4" x14ac:dyDescent="0.25">
      <c r="A712" s="522"/>
      <c r="B712" s="491"/>
      <c r="C712" s="493" t="s">
        <v>1118</v>
      </c>
      <c r="D712" s="489">
        <v>20</v>
      </c>
    </row>
    <row r="713" spans="1:4" x14ac:dyDescent="0.25">
      <c r="A713" s="522"/>
      <c r="B713" s="491"/>
      <c r="C713" s="493" t="s">
        <v>1119</v>
      </c>
      <c r="D713" s="489">
        <v>30</v>
      </c>
    </row>
    <row r="714" spans="1:4" s="485" customFormat="1" x14ac:dyDescent="0.25">
      <c r="A714" s="527">
        <v>56</v>
      </c>
      <c r="B714" s="526" t="s">
        <v>1120</v>
      </c>
      <c r="C714" s="548"/>
      <c r="D714" s="488">
        <v>140</v>
      </c>
    </row>
    <row r="715" spans="1:4" x14ac:dyDescent="0.25">
      <c r="A715" s="522"/>
      <c r="B715" s="492"/>
      <c r="C715" s="493" t="s">
        <v>1121</v>
      </c>
      <c r="D715" s="489">
        <v>61</v>
      </c>
    </row>
    <row r="716" spans="1:4" x14ac:dyDescent="0.25">
      <c r="A716" s="522"/>
      <c r="B716" s="492"/>
      <c r="C716" s="493" t="s">
        <v>1122</v>
      </c>
      <c r="D716" s="489">
        <v>79</v>
      </c>
    </row>
    <row r="717" spans="1:4" ht="31.5" x14ac:dyDescent="0.25">
      <c r="A717" s="527">
        <v>57</v>
      </c>
      <c r="B717" s="589" t="s">
        <v>315</v>
      </c>
      <c r="C717" s="493"/>
      <c r="D717" s="488">
        <f>SUM(D718:D720)</f>
        <v>2141</v>
      </c>
    </row>
    <row r="718" spans="1:4" x14ac:dyDescent="0.25">
      <c r="A718" s="522"/>
      <c r="B718" s="590"/>
      <c r="C718" s="493" t="s">
        <v>1123</v>
      </c>
      <c r="D718" s="489">
        <v>1269</v>
      </c>
    </row>
    <row r="719" spans="1:4" x14ac:dyDescent="0.25">
      <c r="A719" s="522"/>
      <c r="B719" s="590"/>
      <c r="C719" s="523" t="s">
        <v>1124</v>
      </c>
      <c r="D719" s="489">
        <v>57</v>
      </c>
    </row>
    <row r="720" spans="1:4" ht="31.5" x14ac:dyDescent="0.25">
      <c r="A720" s="522"/>
      <c r="B720" s="590"/>
      <c r="C720" s="523" t="s">
        <v>1125</v>
      </c>
      <c r="D720" s="489">
        <v>815</v>
      </c>
    </row>
    <row r="721" spans="1:4" ht="47.25" x14ac:dyDescent="0.25">
      <c r="A721" s="527">
        <v>58</v>
      </c>
      <c r="B721" s="589" t="s">
        <v>1126</v>
      </c>
      <c r="C721" s="523"/>
      <c r="D721" s="488">
        <f>D722+D723</f>
        <v>1464</v>
      </c>
    </row>
    <row r="722" spans="1:4" x14ac:dyDescent="0.25">
      <c r="A722" s="596"/>
      <c r="B722" s="590"/>
      <c r="C722" s="523" t="s">
        <v>1127</v>
      </c>
      <c r="D722" s="489">
        <v>964</v>
      </c>
    </row>
    <row r="723" spans="1:4" ht="47.25" customHeight="1" x14ac:dyDescent="0.25">
      <c r="A723" s="596"/>
      <c r="B723" s="590"/>
      <c r="C723" s="523" t="s">
        <v>1314</v>
      </c>
      <c r="D723" s="489">
        <v>500</v>
      </c>
    </row>
    <row r="724" spans="1:4" x14ac:dyDescent="0.25">
      <c r="A724" s="591">
        <v>59</v>
      </c>
      <c r="B724" s="589" t="s">
        <v>1128</v>
      </c>
      <c r="C724" s="523" t="s">
        <v>1124</v>
      </c>
      <c r="D724" s="488">
        <f>'[2]37-TX'!M73</f>
        <v>62</v>
      </c>
    </row>
    <row r="725" spans="1:4" x14ac:dyDescent="0.25">
      <c r="A725" s="591">
        <v>60</v>
      </c>
      <c r="B725" s="589" t="s">
        <v>1129</v>
      </c>
      <c r="C725" s="523" t="s">
        <v>1124</v>
      </c>
      <c r="D725" s="488">
        <f>'[2]37-TX'!M74</f>
        <v>42</v>
      </c>
    </row>
    <row r="726" spans="1:4" x14ac:dyDescent="0.25">
      <c r="A726" s="591">
        <v>61</v>
      </c>
      <c r="B726" s="589" t="s">
        <v>1130</v>
      </c>
      <c r="C726" s="523" t="s">
        <v>1124</v>
      </c>
      <c r="D726" s="488">
        <f>'[2]37-TX'!M75</f>
        <v>124</v>
      </c>
    </row>
    <row r="727" spans="1:4" ht="31.5" x14ac:dyDescent="0.25">
      <c r="A727" s="591">
        <v>62</v>
      </c>
      <c r="B727" s="589" t="s">
        <v>1131</v>
      </c>
      <c r="C727" s="523" t="s">
        <v>1124</v>
      </c>
      <c r="D727" s="488">
        <f>'[2]37-TX'!M76</f>
        <v>18</v>
      </c>
    </row>
    <row r="728" spans="1:4" x14ac:dyDescent="0.25">
      <c r="A728" s="591">
        <v>63</v>
      </c>
      <c r="B728" s="589" t="s">
        <v>1132</v>
      </c>
      <c r="C728" s="523" t="s">
        <v>1124</v>
      </c>
      <c r="D728" s="488">
        <f>'[2]37-TX'!M77</f>
        <v>39</v>
      </c>
    </row>
    <row r="729" spans="1:4" x14ac:dyDescent="0.25">
      <c r="A729" s="591">
        <v>64</v>
      </c>
      <c r="B729" s="589" t="s">
        <v>1133</v>
      </c>
      <c r="C729" s="523" t="s">
        <v>1124</v>
      </c>
      <c r="D729" s="488">
        <f>'[2]37-TX'!M78</f>
        <v>13</v>
      </c>
    </row>
    <row r="730" spans="1:4" x14ac:dyDescent="0.25">
      <c r="A730" s="591">
        <v>65</v>
      </c>
      <c r="B730" s="589" t="s">
        <v>1134</v>
      </c>
      <c r="C730" s="523" t="s">
        <v>1124</v>
      </c>
      <c r="D730" s="488">
        <f>'[2]37-TX'!M79</f>
        <v>13</v>
      </c>
    </row>
    <row r="731" spans="1:4" x14ac:dyDescent="0.25">
      <c r="A731" s="591">
        <v>66</v>
      </c>
      <c r="B731" s="589" t="s">
        <v>1135</v>
      </c>
      <c r="C731" s="523" t="s">
        <v>1124</v>
      </c>
      <c r="D731" s="488">
        <f>'[2]37-TX'!M80</f>
        <v>37</v>
      </c>
    </row>
    <row r="732" spans="1:4" x14ac:dyDescent="0.25">
      <c r="A732" s="591">
        <v>67</v>
      </c>
      <c r="B732" s="589" t="s">
        <v>1136</v>
      </c>
      <c r="C732" s="523" t="s">
        <v>1124</v>
      </c>
      <c r="D732" s="488">
        <f>'[2]37-TX'!M81</f>
        <v>271</v>
      </c>
    </row>
    <row r="733" spans="1:4" x14ac:dyDescent="0.25">
      <c r="A733" s="591">
        <v>68</v>
      </c>
      <c r="B733" s="589" t="s">
        <v>1137</v>
      </c>
      <c r="C733" s="523" t="s">
        <v>1124</v>
      </c>
      <c r="D733" s="488">
        <f>'[2]37-TX'!M82</f>
        <v>57</v>
      </c>
    </row>
    <row r="734" spans="1:4" x14ac:dyDescent="0.25">
      <c r="A734" s="591">
        <v>69</v>
      </c>
      <c r="B734" s="589" t="s">
        <v>1138</v>
      </c>
      <c r="C734" s="523" t="s">
        <v>1124</v>
      </c>
      <c r="D734" s="488">
        <f>'[2]37-TX'!M83</f>
        <v>66</v>
      </c>
    </row>
    <row r="735" spans="1:4" x14ac:dyDescent="0.25">
      <c r="A735" s="591">
        <v>70</v>
      </c>
      <c r="B735" s="589" t="s">
        <v>1139</v>
      </c>
      <c r="C735" s="523" t="s">
        <v>1124</v>
      </c>
      <c r="D735" s="488">
        <f>'[2]37-TX'!M84</f>
        <v>118</v>
      </c>
    </row>
    <row r="736" spans="1:4" x14ac:dyDescent="0.25">
      <c r="A736" s="591">
        <v>71</v>
      </c>
      <c r="B736" s="589" t="s">
        <v>1140</v>
      </c>
      <c r="C736" s="523" t="s">
        <v>1124</v>
      </c>
      <c r="D736" s="488">
        <f>'[2]37-TX'!M85</f>
        <v>38</v>
      </c>
    </row>
    <row r="737" spans="1:4" x14ac:dyDescent="0.25">
      <c r="A737" s="591">
        <v>72</v>
      </c>
      <c r="B737" s="589" t="s">
        <v>575</v>
      </c>
      <c r="C737" s="523" t="s">
        <v>1124</v>
      </c>
      <c r="D737" s="488">
        <f>'[2]37-TX'!M86</f>
        <v>26</v>
      </c>
    </row>
    <row r="738" spans="1:4" x14ac:dyDescent="0.25">
      <c r="A738" s="591">
        <v>73</v>
      </c>
      <c r="B738" s="589" t="s">
        <v>1141</v>
      </c>
      <c r="C738" s="523" t="s">
        <v>1124</v>
      </c>
      <c r="D738" s="488">
        <f>'[2]37-TX'!M87</f>
        <v>18</v>
      </c>
    </row>
    <row r="739" spans="1:4" x14ac:dyDescent="0.25">
      <c r="A739" s="591">
        <v>74</v>
      </c>
      <c r="B739" s="589" t="s">
        <v>1142</v>
      </c>
      <c r="C739" s="523" t="s">
        <v>1124</v>
      </c>
      <c r="D739" s="488">
        <f>'[2]37-TX'!M88</f>
        <v>10</v>
      </c>
    </row>
    <row r="740" spans="1:4" x14ac:dyDescent="0.25">
      <c r="A740" s="591">
        <v>75</v>
      </c>
      <c r="B740" s="589" t="s">
        <v>1143</v>
      </c>
      <c r="C740" s="523" t="s">
        <v>1124</v>
      </c>
      <c r="D740" s="488">
        <f>'[2]37-TX'!M89</f>
        <v>10</v>
      </c>
    </row>
    <row r="741" spans="1:4" x14ac:dyDescent="0.25">
      <c r="A741" s="591">
        <v>76</v>
      </c>
      <c r="B741" s="589" t="s">
        <v>1144</v>
      </c>
      <c r="C741" s="523" t="s">
        <v>1124</v>
      </c>
      <c r="D741" s="488">
        <f>'[2]37-TX'!M90</f>
        <v>10</v>
      </c>
    </row>
    <row r="742" spans="1:4" x14ac:dyDescent="0.25">
      <c r="A742" s="591">
        <v>77</v>
      </c>
      <c r="B742" s="589" t="s">
        <v>1145</v>
      </c>
      <c r="C742" s="523" t="s">
        <v>1124</v>
      </c>
      <c r="D742" s="488">
        <f>'[2]37-TX'!M91</f>
        <v>10</v>
      </c>
    </row>
    <row r="743" spans="1:4" x14ac:dyDescent="0.25">
      <c r="A743" s="591">
        <v>78</v>
      </c>
      <c r="B743" s="589" t="s">
        <v>1146</v>
      </c>
      <c r="C743" s="523" t="s">
        <v>1124</v>
      </c>
      <c r="D743" s="488">
        <f>'[2]37-TX'!M92</f>
        <v>29</v>
      </c>
    </row>
    <row r="744" spans="1:4" x14ac:dyDescent="0.25">
      <c r="A744" s="591">
        <v>79</v>
      </c>
      <c r="B744" s="589" t="s">
        <v>1147</v>
      </c>
      <c r="C744" s="523" t="s">
        <v>1124</v>
      </c>
      <c r="D744" s="488">
        <f>'[2]37-TX'!M93</f>
        <v>106</v>
      </c>
    </row>
    <row r="745" spans="1:4" x14ac:dyDescent="0.25">
      <c r="A745" s="591">
        <v>80</v>
      </c>
      <c r="B745" s="589" t="s">
        <v>1148</v>
      </c>
      <c r="C745" s="523" t="s">
        <v>1124</v>
      </c>
      <c r="D745" s="488">
        <f>'[2]37-TX'!M94</f>
        <v>32</v>
      </c>
    </row>
    <row r="746" spans="1:4" x14ac:dyDescent="0.25">
      <c r="A746" s="591">
        <v>81</v>
      </c>
      <c r="B746" s="589" t="s">
        <v>1149</v>
      </c>
      <c r="C746" s="523" t="s">
        <v>1124</v>
      </c>
      <c r="D746" s="488">
        <f>'[2]37-TX'!M95</f>
        <v>11</v>
      </c>
    </row>
    <row r="747" spans="1:4" ht="32.25" customHeight="1" x14ac:dyDescent="0.25">
      <c r="A747" s="591">
        <v>82</v>
      </c>
      <c r="B747" s="589" t="s">
        <v>1150</v>
      </c>
      <c r="C747" s="523" t="s">
        <v>1124</v>
      </c>
      <c r="D747" s="488">
        <f>'[2]37-TX'!M96</f>
        <v>78</v>
      </c>
    </row>
    <row r="748" spans="1:4" ht="42" customHeight="1" x14ac:dyDescent="0.25">
      <c r="A748" s="592">
        <v>83</v>
      </c>
      <c r="B748" s="593" t="s">
        <v>1282</v>
      </c>
      <c r="C748" s="587" t="s">
        <v>1124</v>
      </c>
      <c r="D748" s="594">
        <f>'[2]37-TX'!M97</f>
        <v>47</v>
      </c>
    </row>
  </sheetData>
  <mergeCells count="86">
    <mergeCell ref="A673:A675"/>
    <mergeCell ref="B673:B675"/>
    <mergeCell ref="A677:A678"/>
    <mergeCell ref="B677:B678"/>
    <mergeCell ref="A663:A664"/>
    <mergeCell ref="B663:B664"/>
    <mergeCell ref="A666:A668"/>
    <mergeCell ref="A670:A671"/>
    <mergeCell ref="B670:B671"/>
    <mergeCell ref="A649:A652"/>
    <mergeCell ref="B649:B652"/>
    <mergeCell ref="A654:A655"/>
    <mergeCell ref="B654:B655"/>
    <mergeCell ref="A657:A658"/>
    <mergeCell ref="B657:B658"/>
    <mergeCell ref="A631:A632"/>
    <mergeCell ref="B631:B632"/>
    <mergeCell ref="A634:A642"/>
    <mergeCell ref="B634:B642"/>
    <mergeCell ref="A644:A647"/>
    <mergeCell ref="B644:B647"/>
    <mergeCell ref="A606:A617"/>
    <mergeCell ref="B606:B617"/>
    <mergeCell ref="A619:A622"/>
    <mergeCell ref="B619:B622"/>
    <mergeCell ref="A624:A629"/>
    <mergeCell ref="B624:B629"/>
    <mergeCell ref="A564:A573"/>
    <mergeCell ref="B564:B573"/>
    <mergeCell ref="A575:A581"/>
    <mergeCell ref="B575:B581"/>
    <mergeCell ref="A583:A604"/>
    <mergeCell ref="B583:B604"/>
    <mergeCell ref="A536:A540"/>
    <mergeCell ref="B536:B540"/>
    <mergeCell ref="A542:A551"/>
    <mergeCell ref="B542:B551"/>
    <mergeCell ref="A554:A562"/>
    <mergeCell ref="B554:B562"/>
    <mergeCell ref="A507:A512"/>
    <mergeCell ref="B507:B512"/>
    <mergeCell ref="A514:A520"/>
    <mergeCell ref="B514:B520"/>
    <mergeCell ref="A522:A526"/>
    <mergeCell ref="B522:B526"/>
    <mergeCell ref="A473:A490"/>
    <mergeCell ref="B473:B490"/>
    <mergeCell ref="A492:A498"/>
    <mergeCell ref="B492:B498"/>
    <mergeCell ref="A500:A505"/>
    <mergeCell ref="B500:B505"/>
    <mergeCell ref="A392:A424"/>
    <mergeCell ref="B392:B424"/>
    <mergeCell ref="A426:A471"/>
    <mergeCell ref="B426:B471"/>
    <mergeCell ref="A147:A243"/>
    <mergeCell ref="B147:B243"/>
    <mergeCell ref="A245:A260"/>
    <mergeCell ref="B245:B260"/>
    <mergeCell ref="A262:A273"/>
    <mergeCell ref="B262:B273"/>
    <mergeCell ref="A275:A350"/>
    <mergeCell ref="B275:B350"/>
    <mergeCell ref="A353:A390"/>
    <mergeCell ref="B353:B390"/>
    <mergeCell ref="A116:A128"/>
    <mergeCell ref="B116:B128"/>
    <mergeCell ref="A130:A145"/>
    <mergeCell ref="B130:B145"/>
    <mergeCell ref="A1:D1"/>
    <mergeCell ref="A2:D2"/>
    <mergeCell ref="C3:D3"/>
    <mergeCell ref="A7:A13"/>
    <mergeCell ref="B7:B13"/>
    <mergeCell ref="A15:A42"/>
    <mergeCell ref="B15:B42"/>
    <mergeCell ref="A44:A59"/>
    <mergeCell ref="B44:B59"/>
    <mergeCell ref="B61:B69"/>
    <mergeCell ref="A68:A69"/>
    <mergeCell ref="A71:A85"/>
    <mergeCell ref="B71:B85"/>
    <mergeCell ref="A87:A101"/>
    <mergeCell ref="B87:B101"/>
    <mergeCell ref="A103:A114"/>
    <mergeCell ref="B103:B114"/>
  </mergeCells>
  <pageMargins left="0.78740157480314965" right="0.39370078740157483" top="0.78740157480314965" bottom="0.78740157480314965" header="0.31496062992125984" footer="0.31496062992125984"/>
  <pageSetup paperSize="9" scale="85" firstPageNumber="46" orientation="landscape" useFirstPageNumber="1" r:id="rId1"/>
  <headerFooter>
    <oddHeader>&amp;C&amp;P&amp;RPhụ biểu số 2</oddHeader>
  </headerFooter>
  <colBreaks count="1" manualBreakCount="1">
    <brk id="4" max="1048575" man="1"/>
  </colBreaks>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40"/>
  <sheetViews>
    <sheetView view="pageLayout" zoomScale="85" zoomScaleNormal="100" zoomScaleSheetLayoutView="115" zoomScalePageLayoutView="85" workbookViewId="0">
      <selection activeCell="C35" sqref="C35"/>
    </sheetView>
  </sheetViews>
  <sheetFormatPr defaultRowHeight="15" x14ac:dyDescent="0.25"/>
  <cols>
    <col min="1" max="1" width="5.25" style="896" customWidth="1"/>
    <col min="2" max="2" width="24.125" style="896" customWidth="1"/>
    <col min="3" max="3" width="11.625" style="990" customWidth="1"/>
    <col min="4" max="4" width="8.25" style="896" customWidth="1"/>
    <col min="5" max="5" width="9.5" style="896" hidden="1" customWidth="1"/>
    <col min="6" max="10" width="9.5" style="896" customWidth="1"/>
    <col min="11" max="11" width="9.5" style="896" hidden="1" customWidth="1"/>
    <col min="12" max="19" width="9.5" style="896" customWidth="1"/>
    <col min="20" max="20" width="10" style="896" customWidth="1"/>
    <col min="21" max="21" width="9.5" style="896" customWidth="1"/>
    <col min="22" max="22" width="16.375" style="896" customWidth="1"/>
    <col min="23" max="24" width="0" style="896" hidden="1" customWidth="1"/>
    <col min="25" max="25" width="8.875" style="896" hidden="1" customWidth="1"/>
    <col min="26" max="26" width="0" style="896" hidden="1" customWidth="1"/>
    <col min="27" max="16384" width="9" style="896"/>
  </cols>
  <sheetData>
    <row r="1" spans="1:23" s="872" customFormat="1" ht="15.75" x14ac:dyDescent="0.25">
      <c r="A1" s="1214" t="s">
        <v>1384</v>
      </c>
      <c r="B1" s="1214"/>
      <c r="C1" s="1214"/>
      <c r="D1" s="1214"/>
      <c r="E1" s="1214"/>
      <c r="F1" s="1214"/>
      <c r="G1" s="1214"/>
      <c r="H1" s="1214"/>
      <c r="I1" s="1214"/>
      <c r="J1" s="1214"/>
      <c r="K1" s="1214"/>
      <c r="L1" s="1214"/>
      <c r="M1" s="1214"/>
      <c r="N1" s="1214"/>
      <c r="O1" s="1214"/>
      <c r="P1" s="1214"/>
      <c r="Q1" s="1214"/>
      <c r="R1" s="1214"/>
      <c r="S1" s="1214"/>
      <c r="T1" s="1214"/>
      <c r="U1" s="1214"/>
      <c r="V1" s="1214"/>
    </row>
    <row r="2" spans="1:23" s="872" customFormat="1" ht="15.75" x14ac:dyDescent="0.25">
      <c r="A2" s="1215" t="str">
        <f>'7b NTM'!A2:AL2</f>
        <v>(Kèm theo Nghị quyết số          /NQ-HĐND ngày        tháng 12 năm 2023 của HĐND tỉnh Bắc Kạn)</v>
      </c>
      <c r="B2" s="1215"/>
      <c r="C2" s="1215"/>
      <c r="D2" s="1215"/>
      <c r="E2" s="1215"/>
      <c r="F2" s="1215"/>
      <c r="G2" s="1215"/>
      <c r="H2" s="1215"/>
      <c r="I2" s="1215"/>
      <c r="J2" s="1215"/>
      <c r="K2" s="1215"/>
      <c r="L2" s="1215"/>
      <c r="M2" s="1215"/>
      <c r="N2" s="1215"/>
      <c r="O2" s="1215"/>
      <c r="P2" s="1215"/>
      <c r="Q2" s="1215"/>
      <c r="R2" s="1215"/>
      <c r="S2" s="1215"/>
      <c r="T2" s="1215"/>
      <c r="U2" s="1215"/>
      <c r="V2" s="1215"/>
    </row>
    <row r="3" spans="1:23" ht="15.75" x14ac:dyDescent="0.25">
      <c r="U3" s="1226" t="s">
        <v>321</v>
      </c>
      <c r="V3" s="1226"/>
      <c r="W3" s="952"/>
    </row>
    <row r="4" spans="1:23" ht="15" customHeight="1" x14ac:dyDescent="0.25">
      <c r="A4" s="1213" t="s">
        <v>1</v>
      </c>
      <c r="B4" s="1213" t="s">
        <v>36</v>
      </c>
      <c r="C4" s="1216" t="s">
        <v>1283</v>
      </c>
      <c r="D4" s="1217" t="s">
        <v>606</v>
      </c>
      <c r="E4" s="1213" t="s">
        <v>1284</v>
      </c>
      <c r="F4" s="1213"/>
      <c r="G4" s="1213"/>
      <c r="H4" s="1213"/>
      <c r="I4" s="1213"/>
      <c r="J4" s="1213"/>
      <c r="K4" s="1213"/>
      <c r="L4" s="1213"/>
      <c r="M4" s="1213"/>
      <c r="N4" s="1213"/>
      <c r="O4" s="1213"/>
      <c r="P4" s="1213"/>
      <c r="Q4" s="1220" t="s">
        <v>1285</v>
      </c>
      <c r="R4" s="1221"/>
      <c r="S4" s="1222"/>
      <c r="T4" s="1220" t="s">
        <v>1286</v>
      </c>
      <c r="U4" s="1222"/>
      <c r="V4" s="1213" t="s">
        <v>3</v>
      </c>
    </row>
    <row r="5" spans="1:23" ht="15" customHeight="1" x14ac:dyDescent="0.25">
      <c r="A5" s="1213"/>
      <c r="B5" s="1213"/>
      <c r="C5" s="1216"/>
      <c r="D5" s="1218"/>
      <c r="E5" s="1213" t="s">
        <v>604</v>
      </c>
      <c r="F5" s="1213"/>
      <c r="G5" s="1213"/>
      <c r="H5" s="1213"/>
      <c r="I5" s="1213"/>
      <c r="J5" s="1213"/>
      <c r="K5" s="1213" t="s">
        <v>605</v>
      </c>
      <c r="L5" s="1213"/>
      <c r="M5" s="1213"/>
      <c r="N5" s="1213"/>
      <c r="O5" s="1213"/>
      <c r="P5" s="1213"/>
      <c r="Q5" s="1223"/>
      <c r="R5" s="1224"/>
      <c r="S5" s="1225"/>
      <c r="T5" s="1223"/>
      <c r="U5" s="1225"/>
      <c r="V5" s="1213"/>
    </row>
    <row r="6" spans="1:23" x14ac:dyDescent="0.25">
      <c r="A6" s="1213"/>
      <c r="B6" s="1213"/>
      <c r="C6" s="1216"/>
      <c r="D6" s="1218"/>
      <c r="E6" s="1213" t="s">
        <v>606</v>
      </c>
      <c r="F6" s="1213" t="s">
        <v>607</v>
      </c>
      <c r="G6" s="1213" t="s">
        <v>1287</v>
      </c>
      <c r="H6" s="1213" t="s">
        <v>240</v>
      </c>
      <c r="I6" s="1213"/>
      <c r="J6" s="1213" t="s">
        <v>1288</v>
      </c>
      <c r="K6" s="1213" t="s">
        <v>608</v>
      </c>
      <c r="L6" s="1213" t="s">
        <v>609</v>
      </c>
      <c r="M6" s="1213" t="str">
        <f>G6</f>
        <v>Tổng chi phí khoán bảo vệ (300.000 đồng/ha/năm)</v>
      </c>
      <c r="N6" s="1213" t="str">
        <f>H6</f>
        <v>Trong đó</v>
      </c>
      <c r="O6" s="1213"/>
      <c r="P6" s="1213" t="str">
        <f>J6</f>
        <v>Chi phí quản lý (7% chi phí khoán BV)</v>
      </c>
      <c r="Q6" s="1217" t="str">
        <f>L6</f>
        <v>Diện tích  (ha)</v>
      </c>
      <c r="R6" s="1217" t="s">
        <v>1289</v>
      </c>
      <c r="S6" s="1217" t="s">
        <v>1290</v>
      </c>
      <c r="T6" s="1217" t="str">
        <f>[9]Sheet3!D4</f>
        <v>Diện tích (Quy đổi tương đương 1.000 cây/ha)</v>
      </c>
      <c r="U6" s="1217" t="s">
        <v>1291</v>
      </c>
      <c r="V6" s="1213"/>
    </row>
    <row r="7" spans="1:23" ht="70.5" customHeight="1" x14ac:dyDescent="0.25">
      <c r="A7" s="1213"/>
      <c r="B7" s="1213"/>
      <c r="C7" s="1216"/>
      <c r="D7" s="1219"/>
      <c r="E7" s="1213"/>
      <c r="F7" s="1213"/>
      <c r="G7" s="1213"/>
      <c r="H7" s="950" t="s">
        <v>1292</v>
      </c>
      <c r="I7" s="950" t="s">
        <v>1293</v>
      </c>
      <c r="J7" s="1213"/>
      <c r="K7" s="1213"/>
      <c r="L7" s="1213"/>
      <c r="M7" s="1213"/>
      <c r="N7" s="950" t="str">
        <f>H7</f>
        <v>CP lập HS khoán bảo vệ (50.000 đồng/ha)</v>
      </c>
      <c r="O7" s="950" t="s">
        <v>1293</v>
      </c>
      <c r="P7" s="1213"/>
      <c r="Q7" s="1219"/>
      <c r="R7" s="1219"/>
      <c r="S7" s="1219"/>
      <c r="T7" s="1219"/>
      <c r="U7" s="1219"/>
      <c r="V7" s="1213"/>
    </row>
    <row r="8" spans="1:23" ht="27" customHeight="1" x14ac:dyDescent="0.25">
      <c r="A8" s="897" t="s">
        <v>4</v>
      </c>
      <c r="B8" s="897" t="s">
        <v>5</v>
      </c>
      <c r="C8" s="991" t="s">
        <v>1385</v>
      </c>
      <c r="D8" s="897">
        <v>2</v>
      </c>
      <c r="E8" s="897">
        <v>2</v>
      </c>
      <c r="F8" s="897">
        <v>3</v>
      </c>
      <c r="G8" s="897" t="s">
        <v>1294</v>
      </c>
      <c r="H8" s="897" t="s">
        <v>1295</v>
      </c>
      <c r="I8" s="897" t="s">
        <v>1296</v>
      </c>
      <c r="J8" s="897" t="s">
        <v>1297</v>
      </c>
      <c r="K8" s="897">
        <v>8</v>
      </c>
      <c r="L8" s="897">
        <v>8</v>
      </c>
      <c r="M8" s="897" t="s">
        <v>1298</v>
      </c>
      <c r="N8" s="897" t="s">
        <v>1299</v>
      </c>
      <c r="O8" s="897" t="s">
        <v>1300</v>
      </c>
      <c r="P8" s="897" t="s">
        <v>1301</v>
      </c>
      <c r="Q8" s="897">
        <v>13</v>
      </c>
      <c r="R8" s="897" t="s">
        <v>1302</v>
      </c>
      <c r="S8" s="897" t="s">
        <v>1303</v>
      </c>
      <c r="T8" s="897">
        <v>16</v>
      </c>
      <c r="U8" s="897" t="s">
        <v>1304</v>
      </c>
      <c r="V8" s="897">
        <v>18</v>
      </c>
    </row>
    <row r="9" spans="1:23" x14ac:dyDescent="0.25">
      <c r="A9" s="897"/>
      <c r="B9" s="950" t="s">
        <v>67</v>
      </c>
      <c r="C9" s="992">
        <f>SUM(C10:C17)</f>
        <v>10392</v>
      </c>
      <c r="D9" s="898"/>
      <c r="E9" s="898"/>
      <c r="F9" s="953">
        <f>F19+F25+F34</f>
        <v>9641.52</v>
      </c>
      <c r="G9" s="954">
        <f>G19+G25+G34</f>
        <v>2890.5859999999998</v>
      </c>
      <c r="H9" s="954">
        <f t="shared" ref="H9:I9" si="0">H19+H25+H34</f>
        <v>44.680999999999997</v>
      </c>
      <c r="I9" s="954">
        <f t="shared" si="0"/>
        <v>2845.9049999999997</v>
      </c>
      <c r="J9" s="954">
        <f>J19+J25+J34</f>
        <v>202.34102000000001</v>
      </c>
      <c r="K9" s="898"/>
      <c r="L9" s="953">
        <f>L19+L25+L34</f>
        <v>10671.320000000002</v>
      </c>
      <c r="M9" s="954">
        <f>M19+M25+M34</f>
        <v>3070.9952499999999</v>
      </c>
      <c r="N9" s="954">
        <f t="shared" ref="N9:U9" si="1">N19+N25+N34</f>
        <v>226.96850000000003</v>
      </c>
      <c r="O9" s="954">
        <f t="shared" si="1"/>
        <v>2844.02675</v>
      </c>
      <c r="P9" s="954">
        <f t="shared" si="1"/>
        <v>215.22966750000006</v>
      </c>
      <c r="Q9" s="953">
        <f t="shared" si="1"/>
        <v>9949.09</v>
      </c>
      <c r="R9" s="954">
        <f t="shared" si="1"/>
        <v>2984.7269999999999</v>
      </c>
      <c r="S9" s="954">
        <f t="shared" si="1"/>
        <v>120.26645000000002</v>
      </c>
      <c r="T9" s="953">
        <f t="shared" si="1"/>
        <v>181.5</v>
      </c>
      <c r="U9" s="954">
        <f t="shared" si="1"/>
        <v>907.5</v>
      </c>
      <c r="V9" s="898"/>
    </row>
    <row r="10" spans="1:23" x14ac:dyDescent="0.25">
      <c r="A10" s="899">
        <v>1</v>
      </c>
      <c r="B10" s="900" t="s">
        <v>41</v>
      </c>
      <c r="C10" s="993">
        <f t="shared" ref="C10:C17" si="2">ROUND(G10+J10+M10+P10+R10+S10+U10,0)</f>
        <v>707</v>
      </c>
      <c r="D10" s="901"/>
      <c r="E10" s="901">
        <f t="shared" ref="E10:S11" si="3">E20+E26</f>
        <v>0.22499999999999998</v>
      </c>
      <c r="F10" s="955">
        <f>F20+F26</f>
        <v>175.64000000000001</v>
      </c>
      <c r="G10" s="956">
        <f t="shared" si="3"/>
        <v>52.692</v>
      </c>
      <c r="H10" s="956">
        <f t="shared" si="3"/>
        <v>0</v>
      </c>
      <c r="I10" s="956">
        <f t="shared" si="3"/>
        <v>52.692</v>
      </c>
      <c r="J10" s="956">
        <f t="shared" si="3"/>
        <v>3.6884400000000004</v>
      </c>
      <c r="K10" s="901">
        <f t="shared" si="3"/>
        <v>0.22499999999999998</v>
      </c>
      <c r="L10" s="955">
        <f>L20+L26</f>
        <v>1717.3500000000001</v>
      </c>
      <c r="M10" s="956">
        <f>M20+M26</f>
        <v>386.40375</v>
      </c>
      <c r="N10" s="956">
        <f t="shared" ref="N10:O11" si="4">N20+N26</f>
        <v>85.867500000000007</v>
      </c>
      <c r="O10" s="956">
        <f t="shared" si="4"/>
        <v>300.53625</v>
      </c>
      <c r="P10" s="956">
        <f t="shared" si="3"/>
        <v>27.048262500000003</v>
      </c>
      <c r="Q10" s="955">
        <f t="shared" si="3"/>
        <v>738.71</v>
      </c>
      <c r="R10" s="956">
        <f t="shared" si="3"/>
        <v>221.613</v>
      </c>
      <c r="S10" s="956">
        <f t="shared" si="3"/>
        <v>15.512910000000002</v>
      </c>
      <c r="T10" s="955"/>
      <c r="U10" s="956"/>
      <c r="V10" s="902"/>
      <c r="W10" s="957"/>
    </row>
    <row r="11" spans="1:23" x14ac:dyDescent="0.25">
      <c r="A11" s="899">
        <v>2</v>
      </c>
      <c r="B11" s="903" t="s">
        <v>39</v>
      </c>
      <c r="C11" s="993">
        <f t="shared" si="2"/>
        <v>4025</v>
      </c>
      <c r="D11" s="901"/>
      <c r="E11" s="901">
        <f t="shared" si="3"/>
        <v>0.3</v>
      </c>
      <c r="F11" s="955">
        <f>F21+F27</f>
        <v>4620.96</v>
      </c>
      <c r="G11" s="956">
        <f t="shared" si="3"/>
        <v>1386.288</v>
      </c>
      <c r="H11" s="956">
        <f t="shared" si="3"/>
        <v>32.054000000000002</v>
      </c>
      <c r="I11" s="956">
        <f t="shared" si="3"/>
        <v>1354.2339999999999</v>
      </c>
      <c r="J11" s="956">
        <f t="shared" si="3"/>
        <v>97.040160000000014</v>
      </c>
      <c r="K11" s="901">
        <f t="shared" si="3"/>
        <v>0.3</v>
      </c>
      <c r="L11" s="955">
        <f>L21+L27</f>
        <v>5359.5300000000007</v>
      </c>
      <c r="M11" s="956">
        <f t="shared" si="3"/>
        <v>1607.9090000000001</v>
      </c>
      <c r="N11" s="956">
        <f t="shared" si="4"/>
        <v>115.21750000000003</v>
      </c>
      <c r="O11" s="956">
        <f t="shared" si="4"/>
        <v>1492.6915000000004</v>
      </c>
      <c r="P11" s="956">
        <f t="shared" si="3"/>
        <v>112.55363000000003</v>
      </c>
      <c r="Q11" s="955">
        <f t="shared" si="3"/>
        <v>2557.92</v>
      </c>
      <c r="R11" s="956">
        <f t="shared" si="3"/>
        <v>767.37599999999998</v>
      </c>
      <c r="S11" s="956">
        <f t="shared" si="3"/>
        <v>53.716320000000003</v>
      </c>
      <c r="T11" s="955"/>
      <c r="U11" s="956"/>
      <c r="V11" s="904"/>
    </row>
    <row r="12" spans="1:23" x14ac:dyDescent="0.25">
      <c r="A12" s="899">
        <v>3</v>
      </c>
      <c r="B12" s="903" t="s">
        <v>38</v>
      </c>
      <c r="C12" s="993">
        <f t="shared" si="2"/>
        <v>1419</v>
      </c>
      <c r="D12" s="901"/>
      <c r="E12" s="901">
        <f t="shared" ref="E12:U14" si="5">E22+E28+E35</f>
        <v>0.24999999999999997</v>
      </c>
      <c r="F12" s="955">
        <f>F22+F28+F35</f>
        <v>1425.62</v>
      </c>
      <c r="G12" s="956">
        <f>G22+G28+G35</f>
        <v>425.81599999999997</v>
      </c>
      <c r="H12" s="956">
        <f t="shared" ref="H12:I14" si="6">H22+H28+H35</f>
        <v>1.87</v>
      </c>
      <c r="I12" s="956">
        <f t="shared" si="6"/>
        <v>423.94599999999997</v>
      </c>
      <c r="J12" s="956">
        <f t="shared" si="5"/>
        <v>29.807119999999998</v>
      </c>
      <c r="K12" s="901">
        <f t="shared" si="5"/>
        <v>0.24999999999999997</v>
      </c>
      <c r="L12" s="955">
        <f>L22+L28+L35</f>
        <v>1471.3600000000001</v>
      </c>
      <c r="M12" s="956">
        <f t="shared" si="5"/>
        <v>439.75850000000003</v>
      </c>
      <c r="N12" s="956">
        <f t="shared" si="5"/>
        <v>1.6494999999999997</v>
      </c>
      <c r="O12" s="956">
        <f t="shared" si="5"/>
        <v>438.10900000000004</v>
      </c>
      <c r="P12" s="955">
        <f t="shared" si="5"/>
        <v>31.043095000000005</v>
      </c>
      <c r="Q12" s="955">
        <f t="shared" si="5"/>
        <v>1416.15</v>
      </c>
      <c r="R12" s="955">
        <f t="shared" si="5"/>
        <v>424.84500000000003</v>
      </c>
      <c r="S12" s="955">
        <f t="shared" si="5"/>
        <v>29.739150000000006</v>
      </c>
      <c r="T12" s="955">
        <f t="shared" si="5"/>
        <v>7.5</v>
      </c>
      <c r="U12" s="955">
        <f t="shared" si="5"/>
        <v>37.5</v>
      </c>
      <c r="V12" s="904"/>
    </row>
    <row r="13" spans="1:23" x14ac:dyDescent="0.25">
      <c r="A13" s="899">
        <v>4</v>
      </c>
      <c r="B13" s="903" t="s">
        <v>42</v>
      </c>
      <c r="C13" s="993">
        <f t="shared" si="2"/>
        <v>1349</v>
      </c>
      <c r="D13" s="901"/>
      <c r="E13" s="901">
        <f t="shared" si="5"/>
        <v>0.3</v>
      </c>
      <c r="F13" s="955">
        <f>F23+F29+F36</f>
        <v>1002.9599999999999</v>
      </c>
      <c r="G13" s="956">
        <f t="shared" si="5"/>
        <v>300.88799999999992</v>
      </c>
      <c r="H13" s="956">
        <f t="shared" si="6"/>
        <v>2.5070000000000001</v>
      </c>
      <c r="I13" s="956">
        <f t="shared" si="6"/>
        <v>298.38099999999997</v>
      </c>
      <c r="J13" s="956">
        <f t="shared" si="5"/>
        <v>21.062159999999999</v>
      </c>
      <c r="K13" s="901">
        <f t="shared" si="5"/>
        <v>0.3</v>
      </c>
      <c r="L13" s="955">
        <f>L23+L29+L36</f>
        <v>1439.68</v>
      </c>
      <c r="M13" s="956">
        <f t="shared" si="5"/>
        <v>431.904</v>
      </c>
      <c r="N13" s="956">
        <f t="shared" si="5"/>
        <v>23.484000000000002</v>
      </c>
      <c r="O13" s="956">
        <f t="shared" si="5"/>
        <v>408.41999999999996</v>
      </c>
      <c r="P13" s="956">
        <f t="shared" si="5"/>
        <v>30.233280000000001</v>
      </c>
      <c r="Q13" s="955"/>
      <c r="R13" s="956"/>
      <c r="S13" s="956"/>
      <c r="T13" s="955">
        <f t="shared" si="5"/>
        <v>113</v>
      </c>
      <c r="U13" s="956">
        <f t="shared" si="5"/>
        <v>565</v>
      </c>
      <c r="V13" s="904"/>
    </row>
    <row r="14" spans="1:23" x14ac:dyDescent="0.25">
      <c r="A14" s="899">
        <v>5</v>
      </c>
      <c r="B14" s="903" t="str">
        <f>B24</f>
        <v>Thành phố Bắc Kạn</v>
      </c>
      <c r="C14" s="993">
        <f t="shared" si="2"/>
        <v>716</v>
      </c>
      <c r="D14" s="901"/>
      <c r="E14" s="901">
        <f t="shared" si="5"/>
        <v>0.3</v>
      </c>
      <c r="F14" s="955">
        <f>F24+F30+F37</f>
        <v>1205.4000000000001</v>
      </c>
      <c r="G14" s="956">
        <f t="shared" si="5"/>
        <v>361.62</v>
      </c>
      <c r="H14" s="956">
        <f t="shared" si="6"/>
        <v>8.25</v>
      </c>
      <c r="I14" s="956">
        <f t="shared" si="6"/>
        <v>353.37</v>
      </c>
      <c r="J14" s="956">
        <f t="shared" si="5"/>
        <v>25.313400000000001</v>
      </c>
      <c r="K14" s="901">
        <f t="shared" si="5"/>
        <v>0.3</v>
      </c>
      <c r="L14" s="955">
        <f>L24+L30+L37</f>
        <v>314.79000000000002</v>
      </c>
      <c r="M14" s="956">
        <f t="shared" si="5"/>
        <v>94.436999999999998</v>
      </c>
      <c r="N14" s="956">
        <f t="shared" si="5"/>
        <v>0.75</v>
      </c>
      <c r="O14" s="956">
        <f t="shared" si="5"/>
        <v>93.686999999999998</v>
      </c>
      <c r="P14" s="956">
        <f t="shared" si="5"/>
        <v>6.6105900000000011</v>
      </c>
      <c r="Q14" s="955">
        <f>Q30</f>
        <v>305.93</v>
      </c>
      <c r="R14" s="956">
        <f t="shared" ref="R14:S14" si="7">R30</f>
        <v>91.778999999999996</v>
      </c>
      <c r="S14" s="956">
        <f t="shared" si="7"/>
        <v>6.4245300000000007</v>
      </c>
      <c r="T14" s="955">
        <f t="shared" si="5"/>
        <v>26</v>
      </c>
      <c r="U14" s="956">
        <f t="shared" si="5"/>
        <v>130</v>
      </c>
      <c r="V14" s="904"/>
    </row>
    <row r="15" spans="1:23" x14ac:dyDescent="0.25">
      <c r="A15" s="899">
        <v>6</v>
      </c>
      <c r="B15" s="903" t="s">
        <v>40</v>
      </c>
      <c r="C15" s="993">
        <f t="shared" si="2"/>
        <v>160</v>
      </c>
      <c r="D15" s="901"/>
      <c r="E15" s="901">
        <f t="shared" ref="E15:S16" si="8">E31</f>
        <v>0</v>
      </c>
      <c r="F15" s="955">
        <f>F31</f>
        <v>334.51</v>
      </c>
      <c r="G15" s="956">
        <f t="shared" si="8"/>
        <v>100.35299999999999</v>
      </c>
      <c r="H15" s="956">
        <f t="shared" si="8"/>
        <v>0</v>
      </c>
      <c r="I15" s="956">
        <f t="shared" si="8"/>
        <v>100.35299999999999</v>
      </c>
      <c r="J15" s="956">
        <f t="shared" si="8"/>
        <v>7.0247100000000007</v>
      </c>
      <c r="K15" s="901">
        <f t="shared" si="8"/>
        <v>0</v>
      </c>
      <c r="L15" s="955">
        <f>L31</f>
        <v>147.78</v>
      </c>
      <c r="M15" s="956">
        <f t="shared" si="8"/>
        <v>44.333999999999996</v>
      </c>
      <c r="N15" s="956">
        <f t="shared" si="8"/>
        <v>0</v>
      </c>
      <c r="O15" s="956">
        <f t="shared" si="8"/>
        <v>44.333999999999996</v>
      </c>
      <c r="P15" s="956">
        <f t="shared" si="8"/>
        <v>3.10338</v>
      </c>
      <c r="Q15" s="955">
        <f t="shared" si="8"/>
        <v>13.99</v>
      </c>
      <c r="R15" s="955">
        <f t="shared" si="8"/>
        <v>4.1970000000000001</v>
      </c>
      <c r="S15" s="958">
        <f t="shared" si="8"/>
        <v>0.49379000000000006</v>
      </c>
      <c r="T15" s="955"/>
      <c r="U15" s="956"/>
      <c r="V15" s="904"/>
    </row>
    <row r="16" spans="1:23" x14ac:dyDescent="0.25">
      <c r="A16" s="899">
        <v>7</v>
      </c>
      <c r="B16" s="903" t="s">
        <v>44</v>
      </c>
      <c r="C16" s="993">
        <f t="shared" si="2"/>
        <v>747</v>
      </c>
      <c r="D16" s="901"/>
      <c r="E16" s="901">
        <f t="shared" ref="E16:U16" si="9">E32+E38</f>
        <v>0.3</v>
      </c>
      <c r="F16" s="955">
        <f>F32+F38</f>
        <v>876.43000000000006</v>
      </c>
      <c r="G16" s="956">
        <f t="shared" si="9"/>
        <v>262.92900000000003</v>
      </c>
      <c r="H16" s="956">
        <f t="shared" si="9"/>
        <v>0</v>
      </c>
      <c r="I16" s="956">
        <f t="shared" si="9"/>
        <v>262.92900000000003</v>
      </c>
      <c r="J16" s="956">
        <f t="shared" si="9"/>
        <v>18.405030000000004</v>
      </c>
      <c r="K16" s="901">
        <f t="shared" si="9"/>
        <v>0</v>
      </c>
      <c r="L16" s="955">
        <f>L32</f>
        <v>220.83</v>
      </c>
      <c r="M16" s="956">
        <f t="shared" si="8"/>
        <v>66.248999999999995</v>
      </c>
      <c r="N16" s="956">
        <f t="shared" si="8"/>
        <v>0</v>
      </c>
      <c r="O16" s="956">
        <f t="shared" si="8"/>
        <v>66.248999999999995</v>
      </c>
      <c r="P16" s="956">
        <f t="shared" si="8"/>
        <v>4.6374300000000002</v>
      </c>
      <c r="Q16" s="955">
        <f t="shared" ref="Q16" si="10">Q32+Q38</f>
        <v>684.75</v>
      </c>
      <c r="R16" s="956">
        <f t="shared" si="9"/>
        <v>205.42499999999998</v>
      </c>
      <c r="S16" s="956">
        <f t="shared" si="9"/>
        <v>14.37975</v>
      </c>
      <c r="T16" s="955">
        <f t="shared" si="9"/>
        <v>35</v>
      </c>
      <c r="U16" s="956">
        <f t="shared" si="9"/>
        <v>175</v>
      </c>
      <c r="V16" s="904"/>
    </row>
    <row r="17" spans="1:25" ht="25.5" x14ac:dyDescent="0.25">
      <c r="A17" s="899">
        <v>8</v>
      </c>
      <c r="B17" s="903" t="s">
        <v>1305</v>
      </c>
      <c r="C17" s="993">
        <f t="shared" si="2"/>
        <v>1269</v>
      </c>
      <c r="D17" s="901"/>
      <c r="E17" s="901">
        <f t="shared" ref="E17:R17" si="11">E33</f>
        <v>0</v>
      </c>
      <c r="F17" s="955"/>
      <c r="G17" s="956"/>
      <c r="H17" s="956"/>
      <c r="I17" s="956"/>
      <c r="J17" s="956"/>
      <c r="K17" s="901"/>
      <c r="L17" s="955"/>
      <c r="M17" s="956"/>
      <c r="N17" s="956"/>
      <c r="O17" s="956"/>
      <c r="P17" s="956"/>
      <c r="Q17" s="955">
        <f t="shared" ref="Q17" si="12">Q33</f>
        <v>4231.6400000000003</v>
      </c>
      <c r="R17" s="956">
        <f t="shared" si="11"/>
        <v>1269.492</v>
      </c>
      <c r="S17" s="956"/>
      <c r="T17" s="955"/>
      <c r="U17" s="956"/>
      <c r="V17" s="904"/>
    </row>
    <row r="18" spans="1:25" x14ac:dyDescent="0.25">
      <c r="A18" s="898"/>
      <c r="B18" s="951" t="s">
        <v>1306</v>
      </c>
      <c r="C18" s="994"/>
      <c r="D18" s="898"/>
      <c r="E18" s="898"/>
      <c r="F18" s="959"/>
      <c r="G18" s="960"/>
      <c r="H18" s="960"/>
      <c r="I18" s="960"/>
      <c r="J18" s="960"/>
      <c r="K18" s="898"/>
      <c r="L18" s="959"/>
      <c r="M18" s="960"/>
      <c r="N18" s="960"/>
      <c r="O18" s="960"/>
      <c r="P18" s="960"/>
      <c r="Q18" s="959"/>
      <c r="R18" s="960"/>
      <c r="S18" s="960"/>
      <c r="T18" s="959"/>
      <c r="U18" s="960"/>
      <c r="V18" s="898"/>
    </row>
    <row r="19" spans="1:25" ht="27" customHeight="1" x14ac:dyDescent="0.25">
      <c r="A19" s="897"/>
      <c r="B19" s="905" t="s">
        <v>1307</v>
      </c>
      <c r="C19" s="992">
        <f>SUM(C20:C24)</f>
        <v>1603</v>
      </c>
      <c r="D19" s="871"/>
      <c r="E19" s="871"/>
      <c r="F19" s="953">
        <f>SUM(F20:F24)</f>
        <v>893.62</v>
      </c>
      <c r="G19" s="954">
        <f>SUM(G20:G24)</f>
        <v>266.21600000000001</v>
      </c>
      <c r="H19" s="954">
        <f>SUM(H20:H24)</f>
        <v>44.680999999999997</v>
      </c>
      <c r="I19" s="954">
        <f>SUM(I20:I24)</f>
        <v>221.535</v>
      </c>
      <c r="J19" s="954">
        <f>SUM(J20:J24)</f>
        <v>18.635120000000004</v>
      </c>
      <c r="K19" s="871"/>
      <c r="L19" s="953">
        <f>SUM(L20:L24)</f>
        <v>4539.3700000000008</v>
      </c>
      <c r="M19" s="954">
        <f>SUM(M20:M24)</f>
        <v>1231.4102499999999</v>
      </c>
      <c r="N19" s="954">
        <f>SUM(N20:N24)</f>
        <v>226.96850000000003</v>
      </c>
      <c r="O19" s="954">
        <f>SUM(O20:O24)</f>
        <v>1004.44175</v>
      </c>
      <c r="P19" s="954">
        <f>SUM(P20:P24)</f>
        <v>86.198717500000015</v>
      </c>
      <c r="Q19" s="953"/>
      <c r="R19" s="954"/>
      <c r="S19" s="954"/>
      <c r="T19" s="953"/>
      <c r="U19" s="954"/>
      <c r="V19" s="906"/>
    </row>
    <row r="20" spans="1:25" s="872" customFormat="1" ht="38.25" customHeight="1" x14ac:dyDescent="0.25">
      <c r="A20" s="899">
        <v>1</v>
      </c>
      <c r="B20" s="907" t="s">
        <v>41</v>
      </c>
      <c r="C20" s="995">
        <f>ROUND(G20+J20+M20+P20+R20+S20+U20,0)</f>
        <v>413</v>
      </c>
      <c r="D20" s="908">
        <v>0.22499999999999998</v>
      </c>
      <c r="E20" s="909">
        <f>0.3/12*9</f>
        <v>0.22499999999999998</v>
      </c>
      <c r="F20" s="961"/>
      <c r="G20" s="962"/>
      <c r="H20" s="962"/>
      <c r="I20" s="962"/>
      <c r="J20" s="962"/>
      <c r="K20" s="909">
        <f>(0.3)/12*9</f>
        <v>0.22499999999999998</v>
      </c>
      <c r="L20" s="961">
        <v>1717.3500000000001</v>
      </c>
      <c r="M20" s="963">
        <f>K20*L20</f>
        <v>386.40375</v>
      </c>
      <c r="N20" s="964">
        <f>0.05*L20</f>
        <v>85.867500000000007</v>
      </c>
      <c r="O20" s="964">
        <f>M20-N20</f>
        <v>300.53625</v>
      </c>
      <c r="P20" s="962">
        <f>M20*0.07</f>
        <v>27.048262500000003</v>
      </c>
      <c r="Q20" s="961"/>
      <c r="R20" s="962"/>
      <c r="S20" s="962"/>
      <c r="T20" s="961"/>
      <c r="U20" s="962"/>
      <c r="V20" s="910" t="s">
        <v>1308</v>
      </c>
      <c r="Y20" s="911"/>
    </row>
    <row r="21" spans="1:25" s="872" customFormat="1" x14ac:dyDescent="0.25">
      <c r="A21" s="912">
        <v>2</v>
      </c>
      <c r="B21" s="903" t="s">
        <v>39</v>
      </c>
      <c r="C21" s="993">
        <v>946</v>
      </c>
      <c r="D21" s="901">
        <v>0.3</v>
      </c>
      <c r="E21" s="913">
        <v>0.3</v>
      </c>
      <c r="F21" s="965">
        <v>641.08000000000004</v>
      </c>
      <c r="G21" s="964">
        <f>E21*F21</f>
        <v>192.32400000000001</v>
      </c>
      <c r="H21" s="964">
        <f>0.05*F21</f>
        <v>32.054000000000002</v>
      </c>
      <c r="I21" s="964">
        <f>G21-H21</f>
        <v>160.27000000000001</v>
      </c>
      <c r="J21" s="964">
        <f>G21*0.07</f>
        <v>13.462680000000002</v>
      </c>
      <c r="K21" s="913">
        <v>0.3</v>
      </c>
      <c r="L21" s="966">
        <v>2304.3500000000004</v>
      </c>
      <c r="M21" s="967">
        <f>K21*L21+0.05</f>
        <v>691.35500000000002</v>
      </c>
      <c r="N21" s="964">
        <f t="shared" ref="N21:N24" si="13">0.05*L21</f>
        <v>115.21750000000003</v>
      </c>
      <c r="O21" s="964">
        <f t="shared" ref="O21:O24" si="14">M21-N21</f>
        <v>576.13750000000005</v>
      </c>
      <c r="P21" s="964">
        <f>M21*0.07</f>
        <v>48.394850000000005</v>
      </c>
      <c r="Q21" s="966"/>
      <c r="R21" s="964"/>
      <c r="S21" s="964"/>
      <c r="T21" s="966"/>
      <c r="U21" s="964"/>
      <c r="V21" s="915"/>
    </row>
    <row r="22" spans="1:25" s="872" customFormat="1" ht="38.25" customHeight="1" x14ac:dyDescent="0.25">
      <c r="A22" s="912">
        <v>3</v>
      </c>
      <c r="B22" s="903" t="s">
        <v>38</v>
      </c>
      <c r="C22" s="993">
        <f>ROUND(G22+J22+M22+P22+R22+S22+U22,0)</f>
        <v>19</v>
      </c>
      <c r="D22" s="901">
        <v>0.24999999999999997</v>
      </c>
      <c r="E22" s="913">
        <f t="shared" ref="E22" si="15">0.3/12*10</f>
        <v>0.24999999999999997</v>
      </c>
      <c r="F22" s="965">
        <v>37.4</v>
      </c>
      <c r="G22" s="964">
        <f>E22*F22</f>
        <v>9.3499999999999979</v>
      </c>
      <c r="H22" s="964">
        <f t="shared" ref="H22:H24" si="16">0.05*F22</f>
        <v>1.87</v>
      </c>
      <c r="I22" s="964">
        <f t="shared" ref="I22:I24" si="17">G22-H22</f>
        <v>7.4799999999999978</v>
      </c>
      <c r="J22" s="964">
        <f t="shared" ref="J22:J24" si="18">G22*0.07</f>
        <v>0.65449999999999986</v>
      </c>
      <c r="K22" s="913">
        <f t="shared" ref="K22" si="19">0.3/12*10</f>
        <v>0.24999999999999997</v>
      </c>
      <c r="L22" s="966">
        <v>32.989999999999995</v>
      </c>
      <c r="M22" s="967">
        <f>K22*L22</f>
        <v>8.2474999999999969</v>
      </c>
      <c r="N22" s="964">
        <f t="shared" si="13"/>
        <v>1.6494999999999997</v>
      </c>
      <c r="O22" s="964">
        <f t="shared" si="14"/>
        <v>6.5979999999999972</v>
      </c>
      <c r="P22" s="964">
        <f t="shared" ref="P22:P24" si="20">M22*0.07</f>
        <v>0.57732499999999987</v>
      </c>
      <c r="Q22" s="966"/>
      <c r="R22" s="964"/>
      <c r="S22" s="964"/>
      <c r="T22" s="966"/>
      <c r="U22" s="964"/>
      <c r="V22" s="916" t="s">
        <v>1309</v>
      </c>
    </row>
    <row r="23" spans="1:25" s="872" customFormat="1" x14ac:dyDescent="0.25">
      <c r="A23" s="912">
        <v>4</v>
      </c>
      <c r="B23" s="903" t="s">
        <v>42</v>
      </c>
      <c r="C23" s="993">
        <f>ROUND(G23+J23+M23+P23+R23+S23+U23,0)</f>
        <v>167</v>
      </c>
      <c r="D23" s="901">
        <v>0.3</v>
      </c>
      <c r="E23" s="913">
        <v>0.3</v>
      </c>
      <c r="F23" s="968">
        <v>50.14</v>
      </c>
      <c r="G23" s="964">
        <f>E23*F23</f>
        <v>15.042</v>
      </c>
      <c r="H23" s="964">
        <f t="shared" si="16"/>
        <v>2.5070000000000001</v>
      </c>
      <c r="I23" s="964">
        <f t="shared" si="17"/>
        <v>12.535</v>
      </c>
      <c r="J23" s="964">
        <f t="shared" si="18"/>
        <v>1.05294</v>
      </c>
      <c r="K23" s="913">
        <v>0.3</v>
      </c>
      <c r="L23" s="966">
        <v>469.68</v>
      </c>
      <c r="M23" s="967">
        <f>K23*L23</f>
        <v>140.904</v>
      </c>
      <c r="N23" s="964">
        <f t="shared" si="13"/>
        <v>23.484000000000002</v>
      </c>
      <c r="O23" s="964">
        <f t="shared" si="14"/>
        <v>117.41999999999999</v>
      </c>
      <c r="P23" s="964">
        <f t="shared" si="20"/>
        <v>9.8632800000000014</v>
      </c>
      <c r="Q23" s="966"/>
      <c r="R23" s="964"/>
      <c r="S23" s="964"/>
      <c r="T23" s="966"/>
      <c r="U23" s="964"/>
      <c r="V23" s="917"/>
    </row>
    <row r="24" spans="1:25" s="872" customFormat="1" x14ac:dyDescent="0.25">
      <c r="A24" s="918">
        <v>5</v>
      </c>
      <c r="B24" s="919" t="str">
        <f>B37</f>
        <v>Thành phố Bắc Kạn</v>
      </c>
      <c r="C24" s="996">
        <f>ROUND(G24+J24+M24+P24+R24+S24+U24,0)</f>
        <v>58</v>
      </c>
      <c r="D24" s="920">
        <v>0.3</v>
      </c>
      <c r="E24" s="921">
        <v>0.3</v>
      </c>
      <c r="F24" s="969">
        <v>165</v>
      </c>
      <c r="G24" s="970">
        <f>E24*F24</f>
        <v>49.5</v>
      </c>
      <c r="H24" s="970">
        <f t="shared" si="16"/>
        <v>8.25</v>
      </c>
      <c r="I24" s="970">
        <f t="shared" si="17"/>
        <v>41.25</v>
      </c>
      <c r="J24" s="970">
        <f t="shared" si="18"/>
        <v>3.4650000000000003</v>
      </c>
      <c r="K24" s="921">
        <v>0.3</v>
      </c>
      <c r="L24" s="971">
        <v>15</v>
      </c>
      <c r="M24" s="972">
        <f>K24*L24</f>
        <v>4.5</v>
      </c>
      <c r="N24" s="964">
        <f t="shared" si="13"/>
        <v>0.75</v>
      </c>
      <c r="O24" s="964">
        <f t="shared" si="14"/>
        <v>3.75</v>
      </c>
      <c r="P24" s="970">
        <f t="shared" si="20"/>
        <v>0.31500000000000006</v>
      </c>
      <c r="Q24" s="971"/>
      <c r="R24" s="970"/>
      <c r="S24" s="970"/>
      <c r="T24" s="971"/>
      <c r="U24" s="970"/>
      <c r="V24" s="922" t="s">
        <v>610</v>
      </c>
    </row>
    <row r="25" spans="1:25" ht="18.75" customHeight="1" x14ac:dyDescent="0.25">
      <c r="A25" s="897"/>
      <c r="B25" s="905" t="s">
        <v>1310</v>
      </c>
      <c r="C25" s="997">
        <f>SUM(C26:C33)</f>
        <v>7881</v>
      </c>
      <c r="D25" s="923"/>
      <c r="E25" s="923"/>
      <c r="F25" s="973">
        <f>SUM(F26:F33)</f>
        <v>8747.9</v>
      </c>
      <c r="G25" s="974">
        <f t="shared" ref="G25:K25" si="21">SUM(G26:G33)</f>
        <v>2624.37</v>
      </c>
      <c r="H25" s="974"/>
      <c r="I25" s="974">
        <f t="shared" si="21"/>
        <v>2624.37</v>
      </c>
      <c r="J25" s="974">
        <f t="shared" si="21"/>
        <v>183.70590000000001</v>
      </c>
      <c r="K25" s="923">
        <f t="shared" si="21"/>
        <v>0</v>
      </c>
      <c r="L25" s="973">
        <f>SUM(L26:L33)</f>
        <v>6131.9500000000007</v>
      </c>
      <c r="M25" s="974">
        <f>SUM(M26:M33)</f>
        <v>1839.5850000000003</v>
      </c>
      <c r="N25" s="974"/>
      <c r="O25" s="974">
        <f t="shared" ref="O25:S25" si="22">SUM(O26:O33)</f>
        <v>1839.5850000000003</v>
      </c>
      <c r="P25" s="974">
        <f t="shared" si="22"/>
        <v>129.03095000000005</v>
      </c>
      <c r="Q25" s="973">
        <f t="shared" si="22"/>
        <v>9949.09</v>
      </c>
      <c r="R25" s="974">
        <f t="shared" si="22"/>
        <v>2984.7269999999999</v>
      </c>
      <c r="S25" s="974">
        <f t="shared" si="22"/>
        <v>120.26645000000002</v>
      </c>
      <c r="T25" s="973"/>
      <c r="U25" s="974"/>
      <c r="V25" s="924"/>
    </row>
    <row r="26" spans="1:25" x14ac:dyDescent="0.25">
      <c r="A26" s="899">
        <v>1</v>
      </c>
      <c r="B26" s="900" t="s">
        <v>41</v>
      </c>
      <c r="C26" s="993">
        <f>ROUND(G26+J26+M26+P26+R26+S26+U26,0)</f>
        <v>294</v>
      </c>
      <c r="D26" s="925">
        <v>0.3</v>
      </c>
      <c r="E26" s="926"/>
      <c r="F26" s="975">
        <v>175.64000000000001</v>
      </c>
      <c r="G26" s="976">
        <f>D26*F26</f>
        <v>52.692</v>
      </c>
      <c r="H26" s="977"/>
      <c r="I26" s="976">
        <v>52.692</v>
      </c>
      <c r="J26" s="964">
        <f>I26*0.07</f>
        <v>3.6884400000000004</v>
      </c>
      <c r="K26" s="902"/>
      <c r="L26" s="965"/>
      <c r="M26" s="964"/>
      <c r="N26" s="978"/>
      <c r="O26" s="964"/>
      <c r="P26" s="964"/>
      <c r="Q26" s="966">
        <v>738.71</v>
      </c>
      <c r="R26" s="964">
        <f>Q26*D26</f>
        <v>221.613</v>
      </c>
      <c r="S26" s="964">
        <f>R26*0.07</f>
        <v>15.512910000000002</v>
      </c>
      <c r="T26" s="961"/>
      <c r="U26" s="962"/>
      <c r="V26" s="902"/>
    </row>
    <row r="27" spans="1:25" x14ac:dyDescent="0.25">
      <c r="A27" s="899">
        <v>2</v>
      </c>
      <c r="B27" s="903" t="s">
        <v>39</v>
      </c>
      <c r="C27" s="993">
        <f>ROUND(G27+J27+M27+P27+R27+S27+U27,0)</f>
        <v>3079</v>
      </c>
      <c r="D27" s="901">
        <v>0.3</v>
      </c>
      <c r="E27" s="913"/>
      <c r="F27" s="965">
        <v>3979.8799999999997</v>
      </c>
      <c r="G27" s="964">
        <f t="shared" ref="G27:G32" si="23">D27*F27</f>
        <v>1193.9639999999999</v>
      </c>
      <c r="H27" s="978"/>
      <c r="I27" s="964">
        <v>1193.9639999999999</v>
      </c>
      <c r="J27" s="964">
        <f t="shared" ref="J27:J31" si="24">I27*0.07</f>
        <v>83.577480000000008</v>
      </c>
      <c r="K27" s="904"/>
      <c r="L27" s="965">
        <v>3055.1800000000007</v>
      </c>
      <c r="M27" s="964">
        <f t="shared" ref="M27:M32" si="25">D27*L27</f>
        <v>916.5540000000002</v>
      </c>
      <c r="N27" s="978"/>
      <c r="O27" s="964">
        <v>916.5540000000002</v>
      </c>
      <c r="P27" s="964">
        <f>O27*0.07</f>
        <v>64.158780000000021</v>
      </c>
      <c r="Q27" s="966">
        <v>2557.92</v>
      </c>
      <c r="R27" s="964">
        <f>Q27*D27</f>
        <v>767.37599999999998</v>
      </c>
      <c r="S27" s="964">
        <f t="shared" ref="S27:S32" si="26">R27*0.07</f>
        <v>53.716320000000003</v>
      </c>
      <c r="T27" s="966"/>
      <c r="U27" s="964"/>
      <c r="V27" s="904"/>
    </row>
    <row r="28" spans="1:25" x14ac:dyDescent="0.25">
      <c r="A28" s="899">
        <v>3</v>
      </c>
      <c r="B28" s="903" t="s">
        <v>38</v>
      </c>
      <c r="C28" s="993">
        <f>ROUND(G28+J28+M28+P28+R28+S28+U28,0)</f>
        <v>1362</v>
      </c>
      <c r="D28" s="901">
        <v>0.3</v>
      </c>
      <c r="E28" s="913"/>
      <c r="F28" s="965">
        <v>1388.2199999999998</v>
      </c>
      <c r="G28" s="964">
        <f t="shared" si="23"/>
        <v>416.46599999999995</v>
      </c>
      <c r="H28" s="978"/>
      <c r="I28" s="964">
        <v>416.46599999999995</v>
      </c>
      <c r="J28" s="964">
        <f t="shared" si="24"/>
        <v>29.152619999999999</v>
      </c>
      <c r="K28" s="904"/>
      <c r="L28" s="965">
        <v>1438.3700000000001</v>
      </c>
      <c r="M28" s="964">
        <f t="shared" si="25"/>
        <v>431.51100000000002</v>
      </c>
      <c r="N28" s="978"/>
      <c r="O28" s="964">
        <v>431.51100000000002</v>
      </c>
      <c r="P28" s="964">
        <f>O28*0.07+0.26</f>
        <v>30.465770000000006</v>
      </c>
      <c r="Q28" s="966">
        <v>1416.15</v>
      </c>
      <c r="R28" s="964">
        <f>Q28*D28</f>
        <v>424.84500000000003</v>
      </c>
      <c r="S28" s="964">
        <f t="shared" si="26"/>
        <v>29.739150000000006</v>
      </c>
      <c r="T28" s="966"/>
      <c r="U28" s="964"/>
      <c r="V28" s="904"/>
    </row>
    <row r="29" spans="1:25" x14ac:dyDescent="0.25">
      <c r="A29" s="899">
        <v>4</v>
      </c>
      <c r="B29" s="903" t="s">
        <v>42</v>
      </c>
      <c r="C29" s="993">
        <f>ROUND(G29+J29+M29+P29+R29+S29+U29,0)</f>
        <v>617</v>
      </c>
      <c r="D29" s="901">
        <v>0.3</v>
      </c>
      <c r="E29" s="913"/>
      <c r="F29" s="965">
        <v>952.81999999999994</v>
      </c>
      <c r="G29" s="964">
        <f t="shared" si="23"/>
        <v>285.84599999999995</v>
      </c>
      <c r="H29" s="978"/>
      <c r="I29" s="964">
        <v>285.84599999999995</v>
      </c>
      <c r="J29" s="964">
        <f t="shared" si="24"/>
        <v>20.009219999999999</v>
      </c>
      <c r="K29" s="904"/>
      <c r="L29" s="965">
        <v>970</v>
      </c>
      <c r="M29" s="964">
        <f t="shared" si="25"/>
        <v>291</v>
      </c>
      <c r="N29" s="978"/>
      <c r="O29" s="964">
        <v>291</v>
      </c>
      <c r="P29" s="964">
        <f t="shared" ref="P29:P32" si="27">O29*0.07</f>
        <v>20.37</v>
      </c>
      <c r="Q29" s="966"/>
      <c r="R29" s="964"/>
      <c r="S29" s="964"/>
      <c r="T29" s="966"/>
      <c r="U29" s="964"/>
      <c r="V29" s="904"/>
    </row>
    <row r="30" spans="1:25" x14ac:dyDescent="0.25">
      <c r="A30" s="899">
        <v>5</v>
      </c>
      <c r="B30" s="903" t="str">
        <f>B37</f>
        <v>Thành phố Bắc Kạn</v>
      </c>
      <c r="C30" s="993">
        <f>ROUND(G30+J30+M30+P30+R30+S30+U30,0)</f>
        <v>528</v>
      </c>
      <c r="D30" s="901">
        <v>0.3</v>
      </c>
      <c r="E30" s="913"/>
      <c r="F30" s="965">
        <v>1040.4000000000001</v>
      </c>
      <c r="G30" s="964">
        <f t="shared" si="23"/>
        <v>312.12</v>
      </c>
      <c r="H30" s="978"/>
      <c r="I30" s="964">
        <v>312.12</v>
      </c>
      <c r="J30" s="964">
        <f t="shared" si="24"/>
        <v>21.848400000000002</v>
      </c>
      <c r="K30" s="904"/>
      <c r="L30" s="965">
        <v>299.79000000000002</v>
      </c>
      <c r="M30" s="964">
        <f t="shared" si="25"/>
        <v>89.936999999999998</v>
      </c>
      <c r="N30" s="978"/>
      <c r="O30" s="964">
        <v>89.936999999999998</v>
      </c>
      <c r="P30" s="964">
        <f t="shared" si="27"/>
        <v>6.2955900000000007</v>
      </c>
      <c r="Q30" s="966">
        <v>305.93</v>
      </c>
      <c r="R30" s="964">
        <f>Q30*D30</f>
        <v>91.778999999999996</v>
      </c>
      <c r="S30" s="964">
        <f t="shared" si="26"/>
        <v>6.4245300000000007</v>
      </c>
      <c r="T30" s="966"/>
      <c r="U30" s="964"/>
      <c r="V30" s="904"/>
    </row>
    <row r="31" spans="1:25" x14ac:dyDescent="0.25">
      <c r="A31" s="899">
        <v>6</v>
      </c>
      <c r="B31" s="903" t="s">
        <v>40</v>
      </c>
      <c r="C31" s="993">
        <v>160</v>
      </c>
      <c r="D31" s="901">
        <v>0.3</v>
      </c>
      <c r="E31" s="913"/>
      <c r="F31" s="965">
        <v>334.51</v>
      </c>
      <c r="G31" s="964">
        <f t="shared" si="23"/>
        <v>100.35299999999999</v>
      </c>
      <c r="H31" s="978"/>
      <c r="I31" s="964">
        <v>100.35299999999999</v>
      </c>
      <c r="J31" s="964">
        <f t="shared" si="24"/>
        <v>7.0247100000000007</v>
      </c>
      <c r="K31" s="904"/>
      <c r="L31" s="965">
        <v>147.78</v>
      </c>
      <c r="M31" s="964">
        <f t="shared" si="25"/>
        <v>44.333999999999996</v>
      </c>
      <c r="N31" s="978"/>
      <c r="O31" s="964">
        <v>44.333999999999996</v>
      </c>
      <c r="P31" s="964">
        <f t="shared" si="27"/>
        <v>3.10338</v>
      </c>
      <c r="Q31" s="966">
        <v>13.99</v>
      </c>
      <c r="R31" s="964">
        <f>Q31*D31</f>
        <v>4.1970000000000001</v>
      </c>
      <c r="S31" s="979">
        <f>R31*0.07+0.2</f>
        <v>0.49379000000000006</v>
      </c>
      <c r="T31" s="966"/>
      <c r="U31" s="964"/>
      <c r="V31" s="904"/>
    </row>
    <row r="32" spans="1:25" x14ac:dyDescent="0.25">
      <c r="A32" s="899">
        <v>7</v>
      </c>
      <c r="B32" s="903" t="s">
        <v>44</v>
      </c>
      <c r="C32" s="993">
        <f>ROUND(G32+J32+M32+P32+R32+S32+U32,0)</f>
        <v>572</v>
      </c>
      <c r="D32" s="901">
        <v>0.3</v>
      </c>
      <c r="E32" s="901">
        <v>0.3</v>
      </c>
      <c r="F32" s="965">
        <v>876.43000000000006</v>
      </c>
      <c r="G32" s="964">
        <f t="shared" si="23"/>
        <v>262.92900000000003</v>
      </c>
      <c r="H32" s="978"/>
      <c r="I32" s="964">
        <v>262.92900000000003</v>
      </c>
      <c r="J32" s="964">
        <f>I32*0.07</f>
        <v>18.405030000000004</v>
      </c>
      <c r="K32" s="904"/>
      <c r="L32" s="965">
        <v>220.83</v>
      </c>
      <c r="M32" s="964">
        <f t="shared" si="25"/>
        <v>66.248999999999995</v>
      </c>
      <c r="N32" s="978"/>
      <c r="O32" s="964">
        <v>66.248999999999995</v>
      </c>
      <c r="P32" s="964">
        <f t="shared" si="27"/>
        <v>4.6374300000000002</v>
      </c>
      <c r="Q32" s="966">
        <v>684.75</v>
      </c>
      <c r="R32" s="964">
        <f>Q32*D32</f>
        <v>205.42499999999998</v>
      </c>
      <c r="S32" s="964">
        <f t="shared" si="26"/>
        <v>14.37975</v>
      </c>
      <c r="T32" s="966"/>
      <c r="U32" s="964"/>
      <c r="V32" s="904"/>
    </row>
    <row r="33" spans="1:22" ht="25.5" x14ac:dyDescent="0.25">
      <c r="A33" s="927">
        <v>8</v>
      </c>
      <c r="B33" s="919" t="str">
        <f>B17</f>
        <v>Công ty TNHH MTV lâm nghiệp Bắc Kạn</v>
      </c>
      <c r="C33" s="996">
        <f>ROUND(G33+J33+M33+P33+R33+S33+U33,0)</f>
        <v>1269</v>
      </c>
      <c r="D33" s="901">
        <v>0.3</v>
      </c>
      <c r="E33" s="921"/>
      <c r="F33" s="928"/>
      <c r="G33" s="970"/>
      <c r="H33" s="980"/>
      <c r="I33" s="970"/>
      <c r="J33" s="970"/>
      <c r="K33" s="929"/>
      <c r="L33" s="928"/>
      <c r="M33" s="970"/>
      <c r="N33" s="980"/>
      <c r="O33" s="980"/>
      <c r="P33" s="980"/>
      <c r="Q33" s="981">
        <v>4231.6400000000003</v>
      </c>
      <c r="R33" s="964">
        <f>Q33*D33</f>
        <v>1269.492</v>
      </c>
      <c r="S33" s="970"/>
      <c r="T33" s="971"/>
      <c r="U33" s="970"/>
      <c r="V33" s="929"/>
    </row>
    <row r="34" spans="1:22" ht="29.25" customHeight="1" x14ac:dyDescent="0.25">
      <c r="A34" s="930"/>
      <c r="B34" s="905" t="s">
        <v>1311</v>
      </c>
      <c r="C34" s="997">
        <f>C35+C36+C37+C38</f>
        <v>908</v>
      </c>
      <c r="D34" s="931"/>
      <c r="E34" s="932"/>
      <c r="F34" s="933"/>
      <c r="G34" s="982"/>
      <c r="H34" s="983"/>
      <c r="I34" s="982"/>
      <c r="J34" s="982"/>
      <c r="K34" s="934"/>
      <c r="L34" s="933"/>
      <c r="M34" s="982"/>
      <c r="N34" s="983"/>
      <c r="O34" s="983"/>
      <c r="P34" s="983"/>
      <c r="Q34" s="933"/>
      <c r="R34" s="982"/>
      <c r="S34" s="982"/>
      <c r="T34" s="984">
        <f>T35+T36+T37+T38</f>
        <v>181.5</v>
      </c>
      <c r="U34" s="985">
        <f>U35+U36+U37+U38</f>
        <v>907.5</v>
      </c>
      <c r="V34" s="934"/>
    </row>
    <row r="35" spans="1:22" x14ac:dyDescent="0.25">
      <c r="A35" s="899">
        <v>1</v>
      </c>
      <c r="B35" s="907" t="s">
        <v>38</v>
      </c>
      <c r="C35" s="995">
        <f t="shared" ref="C35:C38" si="28">ROUND(G35+J35+M35+P35+R35+S35+U35,0)</f>
        <v>38</v>
      </c>
      <c r="D35" s="908">
        <v>5</v>
      </c>
      <c r="E35" s="909"/>
      <c r="F35" s="935"/>
      <c r="G35" s="962"/>
      <c r="H35" s="986"/>
      <c r="I35" s="962"/>
      <c r="J35" s="962"/>
      <c r="K35" s="936"/>
      <c r="L35" s="935"/>
      <c r="M35" s="962"/>
      <c r="N35" s="986"/>
      <c r="O35" s="962"/>
      <c r="P35" s="962"/>
      <c r="Q35" s="935"/>
      <c r="R35" s="962"/>
      <c r="S35" s="962"/>
      <c r="T35" s="961">
        <v>7.5</v>
      </c>
      <c r="U35" s="962">
        <f>D35*T35</f>
        <v>37.5</v>
      </c>
      <c r="V35" s="936"/>
    </row>
    <row r="36" spans="1:22" x14ac:dyDescent="0.25">
      <c r="A36" s="899">
        <v>2</v>
      </c>
      <c r="B36" s="903" t="s">
        <v>42</v>
      </c>
      <c r="C36" s="993">
        <f t="shared" si="28"/>
        <v>565</v>
      </c>
      <c r="D36" s="901">
        <v>5</v>
      </c>
      <c r="E36" s="913"/>
      <c r="F36" s="914"/>
      <c r="G36" s="964"/>
      <c r="H36" s="978"/>
      <c r="I36" s="964"/>
      <c r="J36" s="964"/>
      <c r="K36" s="904"/>
      <c r="L36" s="914"/>
      <c r="M36" s="964"/>
      <c r="N36" s="978"/>
      <c r="O36" s="964"/>
      <c r="P36" s="964"/>
      <c r="Q36" s="914"/>
      <c r="R36" s="964"/>
      <c r="S36" s="964"/>
      <c r="T36" s="966">
        <v>113</v>
      </c>
      <c r="U36" s="964">
        <f>D36*T36</f>
        <v>565</v>
      </c>
      <c r="V36" s="904"/>
    </row>
    <row r="37" spans="1:22" x14ac:dyDescent="0.25">
      <c r="A37" s="899">
        <v>3</v>
      </c>
      <c r="B37" s="903" t="s">
        <v>45</v>
      </c>
      <c r="C37" s="993">
        <f t="shared" si="28"/>
        <v>130</v>
      </c>
      <c r="D37" s="901">
        <v>5</v>
      </c>
      <c r="E37" s="913"/>
      <c r="F37" s="914"/>
      <c r="G37" s="964"/>
      <c r="H37" s="978"/>
      <c r="I37" s="964"/>
      <c r="J37" s="964"/>
      <c r="K37" s="904"/>
      <c r="L37" s="914"/>
      <c r="M37" s="964"/>
      <c r="N37" s="978"/>
      <c r="O37" s="964"/>
      <c r="P37" s="964"/>
      <c r="Q37" s="914"/>
      <c r="R37" s="964"/>
      <c r="S37" s="964"/>
      <c r="T37" s="966">
        <v>26</v>
      </c>
      <c r="U37" s="964">
        <f>D37*T37</f>
        <v>130</v>
      </c>
      <c r="V37" s="904"/>
    </row>
    <row r="38" spans="1:22" x14ac:dyDescent="0.25">
      <c r="A38" s="937">
        <v>4</v>
      </c>
      <c r="B38" s="938" t="s">
        <v>44</v>
      </c>
      <c r="C38" s="998">
        <f t="shared" si="28"/>
        <v>175</v>
      </c>
      <c r="D38" s="939">
        <v>5</v>
      </c>
      <c r="E38" s="940"/>
      <c r="F38" s="941"/>
      <c r="G38" s="987"/>
      <c r="H38" s="988"/>
      <c r="I38" s="987"/>
      <c r="J38" s="987"/>
      <c r="K38" s="942"/>
      <c r="L38" s="941"/>
      <c r="M38" s="987"/>
      <c r="N38" s="988"/>
      <c r="O38" s="987"/>
      <c r="P38" s="987"/>
      <c r="Q38" s="941"/>
      <c r="R38" s="987"/>
      <c r="S38" s="987"/>
      <c r="T38" s="989">
        <v>35</v>
      </c>
      <c r="U38" s="987">
        <f>D38*T38</f>
        <v>175</v>
      </c>
      <c r="V38" s="942"/>
    </row>
    <row r="39" spans="1:22" s="872" customFormat="1" x14ac:dyDescent="0.25">
      <c r="A39" s="943"/>
      <c r="B39" s="944"/>
      <c r="C39" s="999"/>
      <c r="D39" s="945"/>
      <c r="E39" s="946"/>
      <c r="F39" s="947"/>
      <c r="G39" s="946"/>
      <c r="H39" s="948"/>
      <c r="I39" s="946"/>
      <c r="J39" s="946"/>
      <c r="K39" s="948"/>
      <c r="L39" s="947"/>
      <c r="M39" s="946"/>
      <c r="N39" s="948"/>
      <c r="O39" s="946"/>
      <c r="P39" s="946"/>
      <c r="Q39" s="947"/>
      <c r="R39" s="946"/>
      <c r="S39" s="946"/>
      <c r="T39" s="946"/>
      <c r="U39" s="946"/>
      <c r="V39" s="948"/>
    </row>
    <row r="40" spans="1:22" s="872" customFormat="1" x14ac:dyDescent="0.25">
      <c r="A40" s="1212" t="s">
        <v>1312</v>
      </c>
      <c r="B40" s="1212"/>
      <c r="C40" s="1212"/>
      <c r="D40" s="1212"/>
      <c r="E40" s="1212"/>
      <c r="F40" s="1212"/>
      <c r="G40" s="1212"/>
      <c r="H40" s="1212"/>
      <c r="I40" s="1212"/>
      <c r="J40" s="1212"/>
      <c r="K40" s="1212"/>
      <c r="L40" s="1212"/>
      <c r="M40" s="1212"/>
      <c r="N40" s="1212"/>
      <c r="O40" s="1212"/>
      <c r="P40" s="1212"/>
      <c r="Q40" s="1212"/>
      <c r="R40" s="1212"/>
      <c r="S40" s="1212"/>
      <c r="T40" s="1212"/>
      <c r="U40" s="1212"/>
      <c r="V40" s="948"/>
    </row>
  </sheetData>
  <mergeCells count="29">
    <mergeCell ref="E6:E7"/>
    <mergeCell ref="F6:F7"/>
    <mergeCell ref="G6:G7"/>
    <mergeCell ref="H6:I6"/>
    <mergeCell ref="R6:R7"/>
    <mergeCell ref="S6:S7"/>
    <mergeCell ref="T6:T7"/>
    <mergeCell ref="U6:U7"/>
    <mergeCell ref="K6:K7"/>
    <mergeCell ref="L6:L7"/>
    <mergeCell ref="M6:M7"/>
    <mergeCell ref="N6:O6"/>
    <mergeCell ref="P6:P7"/>
    <mergeCell ref="A40:U40"/>
    <mergeCell ref="J6:J7"/>
    <mergeCell ref="A1:V1"/>
    <mergeCell ref="A2:V2"/>
    <mergeCell ref="A4:A7"/>
    <mergeCell ref="B4:B7"/>
    <mergeCell ref="C4:C7"/>
    <mergeCell ref="D4:D7"/>
    <mergeCell ref="E4:P4"/>
    <mergeCell ref="Q4:S5"/>
    <mergeCell ref="T4:U5"/>
    <mergeCell ref="V4:V7"/>
    <mergeCell ref="E5:J5"/>
    <mergeCell ref="K5:P5"/>
    <mergeCell ref="U3:V3"/>
    <mergeCell ref="Q6:Q7"/>
  </mergeCells>
  <pageMargins left="0.59055118110236227" right="0.23622047244094491" top="0.59055118110236227" bottom="0.39370078740157483" header="0.31496062992125984" footer="0.31496062992125984"/>
  <pageSetup paperSize="9" scale="58" firstPageNumber="93" orientation="landscape" useFirstPageNumber="1" r:id="rId1"/>
  <headerFooter>
    <oddHeader>&amp;C&amp;P&amp;RPhụ biểu số 8</oddHeader>
  </headerFooter>
  <colBreaks count="1" manualBreakCount="1">
    <brk id="22"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0"/>
  <sheetViews>
    <sheetView view="pageLayout" zoomScale="85" zoomScaleNormal="100" zoomScaleSheetLayoutView="100" zoomScalePageLayoutView="85" workbookViewId="0">
      <selection activeCell="B17" sqref="B17"/>
    </sheetView>
  </sheetViews>
  <sheetFormatPr defaultColWidth="9" defaultRowHeight="15.75" x14ac:dyDescent="0.25"/>
  <cols>
    <col min="1" max="1" width="4.625" style="68" customWidth="1"/>
    <col min="2" max="2" width="112.125" style="74" customWidth="1"/>
    <col min="3" max="3" width="10.625" style="515" customWidth="1"/>
    <col min="4" max="4" width="10.25" style="74" customWidth="1"/>
    <col min="5" max="5" width="27.25" style="74" hidden="1" customWidth="1"/>
    <col min="6" max="6" width="0" style="74" hidden="1" customWidth="1"/>
    <col min="7" max="7" width="10.75" style="74" hidden="1" customWidth="1"/>
    <col min="8" max="8" width="20.75" style="74" hidden="1" customWidth="1"/>
    <col min="9" max="16" width="0" style="74" hidden="1" customWidth="1"/>
    <col min="17" max="16384" width="9" style="74"/>
  </cols>
  <sheetData>
    <row r="1" spans="1:12" ht="25.5" customHeight="1" x14ac:dyDescent="0.25">
      <c r="A1" s="1044" t="s">
        <v>1319</v>
      </c>
      <c r="B1" s="1044"/>
      <c r="C1" s="1044"/>
      <c r="D1" s="1044"/>
    </row>
    <row r="2" spans="1:12" ht="21.75" customHeight="1" x14ac:dyDescent="0.25">
      <c r="A2" s="1045" t="str">
        <f>'2 Nhiệm vụ'!A2:D2</f>
        <v>(Kèm theo Nghị quyết số          /NQ-HĐND ngày        tháng 12 năm 2023 của HĐND tỉnh Bắc Kạn)</v>
      </c>
      <c r="B2" s="1045"/>
      <c r="C2" s="1045"/>
      <c r="D2" s="1045"/>
      <c r="E2" s="1045"/>
      <c r="F2" s="1045"/>
      <c r="G2" s="1045"/>
      <c r="H2" s="1045"/>
      <c r="I2" s="1045"/>
      <c r="J2" s="1045"/>
      <c r="K2" s="1045"/>
      <c r="L2" s="1045"/>
    </row>
    <row r="3" spans="1:12" x14ac:dyDescent="0.25">
      <c r="A3" s="1046" t="s">
        <v>593</v>
      </c>
      <c r="B3" s="1046"/>
      <c r="C3" s="1046"/>
      <c r="D3" s="1046"/>
    </row>
    <row r="4" spans="1:12" ht="69.75" customHeight="1" x14ac:dyDescent="0.25">
      <c r="A4" s="484" t="s">
        <v>1</v>
      </c>
      <c r="B4" s="484" t="s">
        <v>594</v>
      </c>
      <c r="C4" s="506" t="s">
        <v>1320</v>
      </c>
      <c r="D4" s="484" t="s">
        <v>3</v>
      </c>
    </row>
    <row r="5" spans="1:12" ht="18" customHeight="1" x14ac:dyDescent="0.25">
      <c r="A5" s="484"/>
      <c r="B5" s="484" t="s">
        <v>287</v>
      </c>
      <c r="C5" s="507">
        <f>C6+C15</f>
        <v>38368</v>
      </c>
      <c r="D5" s="484"/>
    </row>
    <row r="6" spans="1:12" s="67" customFormat="1" ht="18" customHeight="1" x14ac:dyDescent="0.25">
      <c r="A6" s="878" t="s">
        <v>4</v>
      </c>
      <c r="B6" s="895" t="s">
        <v>242</v>
      </c>
      <c r="C6" s="507">
        <f>SUM(C7:C14)</f>
        <v>4000</v>
      </c>
      <c r="D6" s="878"/>
    </row>
    <row r="7" spans="1:12" ht="18" customHeight="1" x14ac:dyDescent="0.25">
      <c r="A7" s="884">
        <v>1</v>
      </c>
      <c r="B7" s="885" t="s">
        <v>42</v>
      </c>
      <c r="C7" s="894">
        <v>500</v>
      </c>
      <c r="D7" s="885"/>
      <c r="G7" s="511"/>
    </row>
    <row r="8" spans="1:12" ht="18" customHeight="1" x14ac:dyDescent="0.25">
      <c r="A8" s="508">
        <v>2</v>
      </c>
      <c r="B8" s="509" t="s">
        <v>39</v>
      </c>
      <c r="C8" s="510">
        <v>500</v>
      </c>
      <c r="D8" s="509"/>
    </row>
    <row r="9" spans="1:12" ht="18" customHeight="1" x14ac:dyDescent="0.25">
      <c r="A9" s="508">
        <v>3</v>
      </c>
      <c r="B9" s="509" t="s">
        <v>40</v>
      </c>
      <c r="C9" s="510">
        <v>500</v>
      </c>
      <c r="D9" s="509"/>
    </row>
    <row r="10" spans="1:12" ht="18" customHeight="1" x14ac:dyDescent="0.25">
      <c r="A10" s="508">
        <v>4</v>
      </c>
      <c r="B10" s="509" t="s">
        <v>41</v>
      </c>
      <c r="C10" s="510">
        <v>500</v>
      </c>
      <c r="D10" s="509"/>
    </row>
    <row r="11" spans="1:12" ht="18" customHeight="1" x14ac:dyDescent="0.25">
      <c r="A11" s="508">
        <v>5</v>
      </c>
      <c r="B11" s="509" t="s">
        <v>43</v>
      </c>
      <c r="C11" s="510">
        <v>500</v>
      </c>
      <c r="D11" s="509"/>
    </row>
    <row r="12" spans="1:12" ht="18" customHeight="1" x14ac:dyDescent="0.25">
      <c r="A12" s="508">
        <v>6</v>
      </c>
      <c r="B12" s="509" t="s">
        <v>38</v>
      </c>
      <c r="C12" s="510">
        <v>500</v>
      </c>
      <c r="D12" s="509"/>
    </row>
    <row r="13" spans="1:12" ht="18" customHeight="1" x14ac:dyDescent="0.25">
      <c r="A13" s="508">
        <v>7</v>
      </c>
      <c r="B13" s="509" t="s">
        <v>44</v>
      </c>
      <c r="C13" s="510">
        <v>500</v>
      </c>
      <c r="D13" s="509"/>
      <c r="E13" s="68"/>
    </row>
    <row r="14" spans="1:12" ht="18" customHeight="1" x14ac:dyDescent="0.25">
      <c r="A14" s="881">
        <v>8</v>
      </c>
      <c r="B14" s="882" t="s">
        <v>45</v>
      </c>
      <c r="C14" s="883">
        <v>500</v>
      </c>
      <c r="D14" s="882"/>
      <c r="E14" s="68"/>
    </row>
    <row r="15" spans="1:12" s="513" customFormat="1" ht="18" customHeight="1" x14ac:dyDescent="0.25">
      <c r="A15" s="878" t="s">
        <v>595</v>
      </c>
      <c r="B15" s="886" t="s">
        <v>144</v>
      </c>
      <c r="C15" s="507">
        <v>34368</v>
      </c>
      <c r="D15" s="886"/>
      <c r="E15" s="512"/>
    </row>
    <row r="16" spans="1:12" x14ac:dyDescent="0.25">
      <c r="A16" s="887">
        <v>1</v>
      </c>
      <c r="B16" s="888" t="s">
        <v>1326</v>
      </c>
      <c r="C16" s="889">
        <v>1104.8199999999997</v>
      </c>
      <c r="D16" s="890"/>
    </row>
    <row r="17" spans="1:4" ht="31.5" x14ac:dyDescent="0.25">
      <c r="A17" s="508">
        <v>2</v>
      </c>
      <c r="B17" s="880" t="s">
        <v>1322</v>
      </c>
      <c r="C17" s="510">
        <v>5000</v>
      </c>
      <c r="D17" s="509"/>
    </row>
    <row r="18" spans="1:4" ht="47.25" x14ac:dyDescent="0.25">
      <c r="A18" s="508">
        <v>3</v>
      </c>
      <c r="B18" s="880" t="s">
        <v>1323</v>
      </c>
      <c r="C18" s="510">
        <v>9000</v>
      </c>
      <c r="D18" s="509"/>
    </row>
    <row r="19" spans="1:4" ht="31.5" x14ac:dyDescent="0.25">
      <c r="A19" s="508">
        <v>4</v>
      </c>
      <c r="B19" s="880" t="s">
        <v>1324</v>
      </c>
      <c r="C19" s="879">
        <v>10263.18</v>
      </c>
      <c r="D19" s="509"/>
    </row>
    <row r="20" spans="1:4" ht="47.25" x14ac:dyDescent="0.25">
      <c r="A20" s="514">
        <v>5</v>
      </c>
      <c r="B20" s="891" t="s">
        <v>1325</v>
      </c>
      <c r="C20" s="892">
        <v>9000</v>
      </c>
      <c r="D20" s="893"/>
    </row>
  </sheetData>
  <mergeCells count="4">
    <mergeCell ref="A1:D1"/>
    <mergeCell ref="A2:D2"/>
    <mergeCell ref="E2:L2"/>
    <mergeCell ref="A3:D3"/>
  </mergeCells>
  <pageMargins left="0.78740157480314965" right="0.55118110236220474" top="0.78740157480314965" bottom="0.78740157480314965" header="0.31496062992125984" footer="0.31496062992125984"/>
  <pageSetup paperSize="9" scale="88" firstPageNumber="73" orientation="landscape" useFirstPageNumber="1" r:id="rId1"/>
  <headerFooter>
    <oddHeader>&amp;C&amp;P&amp;RPhụ biểu số 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6"/>
  <sheetViews>
    <sheetView view="pageLayout" zoomScaleNormal="100" zoomScaleSheetLayoutView="100" workbookViewId="0">
      <selection activeCell="A2" sqref="A2:O2"/>
    </sheetView>
  </sheetViews>
  <sheetFormatPr defaultRowHeight="15" x14ac:dyDescent="0.25"/>
  <cols>
    <col min="1" max="1" width="5.125" style="500" customWidth="1"/>
    <col min="2" max="2" width="20.5" style="500" customWidth="1"/>
    <col min="3" max="3" width="9" style="500"/>
    <col min="4" max="4" width="9" style="504"/>
    <col min="5" max="5" width="9.75" style="632" bestFit="1" customWidth="1"/>
    <col min="6" max="6" width="9.25" style="500" bestFit="1" customWidth="1"/>
    <col min="7" max="7" width="8.625" style="500" customWidth="1"/>
    <col min="8" max="8" width="9.25" style="500" customWidth="1"/>
    <col min="9" max="9" width="9.5" style="500" customWidth="1"/>
    <col min="10" max="10" width="9.625" style="500" customWidth="1"/>
    <col min="11" max="11" width="9.75" style="500" customWidth="1"/>
    <col min="12" max="12" width="9.625" style="500" customWidth="1"/>
    <col min="13" max="13" width="9.25" style="500" customWidth="1"/>
    <col min="14" max="14" width="8.75" style="500" customWidth="1"/>
    <col min="15" max="15" width="9" style="500" customWidth="1"/>
    <col min="16" max="256" width="9" style="500"/>
    <col min="257" max="257" width="5.125" style="500" customWidth="1"/>
    <col min="258" max="258" width="20.5" style="500" customWidth="1"/>
    <col min="259" max="260" width="9" style="500"/>
    <col min="261" max="261" width="9.75" style="500" bestFit="1" customWidth="1"/>
    <col min="262" max="262" width="9.25" style="500" bestFit="1" customWidth="1"/>
    <col min="263" max="263" width="8.625" style="500" customWidth="1"/>
    <col min="264" max="264" width="9.25" style="500" customWidth="1"/>
    <col min="265" max="265" width="9.5" style="500" customWidth="1"/>
    <col min="266" max="266" width="9.625" style="500" customWidth="1"/>
    <col min="267" max="267" width="9.75" style="500" customWidth="1"/>
    <col min="268" max="268" width="9.625" style="500" customWidth="1"/>
    <col min="269" max="269" width="9.25" style="500" customWidth="1"/>
    <col min="270" max="270" width="8.75" style="500" customWidth="1"/>
    <col min="271" max="271" width="9" style="500" customWidth="1"/>
    <col min="272" max="512" width="9" style="500"/>
    <col min="513" max="513" width="5.125" style="500" customWidth="1"/>
    <col min="514" max="514" width="20.5" style="500" customWidth="1"/>
    <col min="515" max="516" width="9" style="500"/>
    <col min="517" max="517" width="9.75" style="500" bestFit="1" customWidth="1"/>
    <col min="518" max="518" width="9.25" style="500" bestFit="1" customWidth="1"/>
    <col min="519" max="519" width="8.625" style="500" customWidth="1"/>
    <col min="520" max="520" width="9.25" style="500" customWidth="1"/>
    <col min="521" max="521" width="9.5" style="500" customWidth="1"/>
    <col min="522" max="522" width="9.625" style="500" customWidth="1"/>
    <col min="523" max="523" width="9.75" style="500" customWidth="1"/>
    <col min="524" max="524" width="9.625" style="500" customWidth="1"/>
    <col min="525" max="525" width="9.25" style="500" customWidth="1"/>
    <col min="526" max="526" width="8.75" style="500" customWidth="1"/>
    <col min="527" max="527" width="9" style="500" customWidth="1"/>
    <col min="528" max="768" width="9" style="500"/>
    <col min="769" max="769" width="5.125" style="500" customWidth="1"/>
    <col min="770" max="770" width="20.5" style="500" customWidth="1"/>
    <col min="771" max="772" width="9" style="500"/>
    <col min="773" max="773" width="9.75" style="500" bestFit="1" customWidth="1"/>
    <col min="774" max="774" width="9.25" style="500" bestFit="1" customWidth="1"/>
    <col min="775" max="775" width="8.625" style="500" customWidth="1"/>
    <col min="776" max="776" width="9.25" style="500" customWidth="1"/>
    <col min="777" max="777" width="9.5" style="500" customWidth="1"/>
    <col min="778" max="778" width="9.625" style="500" customWidth="1"/>
    <col min="779" max="779" width="9.75" style="500" customWidth="1"/>
    <col min="780" max="780" width="9.625" style="500" customWidth="1"/>
    <col min="781" max="781" width="9.25" style="500" customWidth="1"/>
    <col min="782" max="782" width="8.75" style="500" customWidth="1"/>
    <col min="783" max="783" width="9" style="500" customWidth="1"/>
    <col min="784" max="1024" width="9" style="500"/>
    <col min="1025" max="1025" width="5.125" style="500" customWidth="1"/>
    <col min="1026" max="1026" width="20.5" style="500" customWidth="1"/>
    <col min="1027" max="1028" width="9" style="500"/>
    <col min="1029" max="1029" width="9.75" style="500" bestFit="1" customWidth="1"/>
    <col min="1030" max="1030" width="9.25" style="500" bestFit="1" customWidth="1"/>
    <col min="1031" max="1031" width="8.625" style="500" customWidth="1"/>
    <col min="1032" max="1032" width="9.25" style="500" customWidth="1"/>
    <col min="1033" max="1033" width="9.5" style="500" customWidth="1"/>
    <col min="1034" max="1034" width="9.625" style="500" customWidth="1"/>
    <col min="1035" max="1035" width="9.75" style="500" customWidth="1"/>
    <col min="1036" max="1036" width="9.625" style="500" customWidth="1"/>
    <col min="1037" max="1037" width="9.25" style="500" customWidth="1"/>
    <col min="1038" max="1038" width="8.75" style="500" customWidth="1"/>
    <col min="1039" max="1039" width="9" style="500" customWidth="1"/>
    <col min="1040" max="1280" width="9" style="500"/>
    <col min="1281" max="1281" width="5.125" style="500" customWidth="1"/>
    <col min="1282" max="1282" width="20.5" style="500" customWidth="1"/>
    <col min="1283" max="1284" width="9" style="500"/>
    <col min="1285" max="1285" width="9.75" style="500" bestFit="1" customWidth="1"/>
    <col min="1286" max="1286" width="9.25" style="500" bestFit="1" customWidth="1"/>
    <col min="1287" max="1287" width="8.625" style="500" customWidth="1"/>
    <col min="1288" max="1288" width="9.25" style="500" customWidth="1"/>
    <col min="1289" max="1289" width="9.5" style="500" customWidth="1"/>
    <col min="1290" max="1290" width="9.625" style="500" customWidth="1"/>
    <col min="1291" max="1291" width="9.75" style="500" customWidth="1"/>
    <col min="1292" max="1292" width="9.625" style="500" customWidth="1"/>
    <col min="1293" max="1293" width="9.25" style="500" customWidth="1"/>
    <col min="1294" max="1294" width="8.75" style="500" customWidth="1"/>
    <col min="1295" max="1295" width="9" style="500" customWidth="1"/>
    <col min="1296" max="1536" width="9" style="500"/>
    <col min="1537" max="1537" width="5.125" style="500" customWidth="1"/>
    <col min="1538" max="1538" width="20.5" style="500" customWidth="1"/>
    <col min="1539" max="1540" width="9" style="500"/>
    <col min="1541" max="1541" width="9.75" style="500" bestFit="1" customWidth="1"/>
    <col min="1542" max="1542" width="9.25" style="500" bestFit="1" customWidth="1"/>
    <col min="1543" max="1543" width="8.625" style="500" customWidth="1"/>
    <col min="1544" max="1544" width="9.25" style="500" customWidth="1"/>
    <col min="1545" max="1545" width="9.5" style="500" customWidth="1"/>
    <col min="1546" max="1546" width="9.625" style="500" customWidth="1"/>
    <col min="1547" max="1547" width="9.75" style="500" customWidth="1"/>
    <col min="1548" max="1548" width="9.625" style="500" customWidth="1"/>
    <col min="1549" max="1549" width="9.25" style="500" customWidth="1"/>
    <col min="1550" max="1550" width="8.75" style="500" customWidth="1"/>
    <col min="1551" max="1551" width="9" style="500" customWidth="1"/>
    <col min="1552" max="1792" width="9" style="500"/>
    <col min="1793" max="1793" width="5.125" style="500" customWidth="1"/>
    <col min="1794" max="1794" width="20.5" style="500" customWidth="1"/>
    <col min="1795" max="1796" width="9" style="500"/>
    <col min="1797" max="1797" width="9.75" style="500" bestFit="1" customWidth="1"/>
    <col min="1798" max="1798" width="9.25" style="500" bestFit="1" customWidth="1"/>
    <col min="1799" max="1799" width="8.625" style="500" customWidth="1"/>
    <col min="1800" max="1800" width="9.25" style="500" customWidth="1"/>
    <col min="1801" max="1801" width="9.5" style="500" customWidth="1"/>
    <col min="1802" max="1802" width="9.625" style="500" customWidth="1"/>
    <col min="1803" max="1803" width="9.75" style="500" customWidth="1"/>
    <col min="1804" max="1804" width="9.625" style="500" customWidth="1"/>
    <col min="1805" max="1805" width="9.25" style="500" customWidth="1"/>
    <col min="1806" max="1806" width="8.75" style="500" customWidth="1"/>
    <col min="1807" max="1807" width="9" style="500" customWidth="1"/>
    <col min="1808" max="2048" width="9" style="500"/>
    <col min="2049" max="2049" width="5.125" style="500" customWidth="1"/>
    <col min="2050" max="2050" width="20.5" style="500" customWidth="1"/>
    <col min="2051" max="2052" width="9" style="500"/>
    <col min="2053" max="2053" width="9.75" style="500" bestFit="1" customWidth="1"/>
    <col min="2054" max="2054" width="9.25" style="500" bestFit="1" customWidth="1"/>
    <col min="2055" max="2055" width="8.625" style="500" customWidth="1"/>
    <col min="2056" max="2056" width="9.25" style="500" customWidth="1"/>
    <col min="2057" max="2057" width="9.5" style="500" customWidth="1"/>
    <col min="2058" max="2058" width="9.625" style="500" customWidth="1"/>
    <col min="2059" max="2059" width="9.75" style="500" customWidth="1"/>
    <col min="2060" max="2060" width="9.625" style="500" customWidth="1"/>
    <col min="2061" max="2061" width="9.25" style="500" customWidth="1"/>
    <col min="2062" max="2062" width="8.75" style="500" customWidth="1"/>
    <col min="2063" max="2063" width="9" style="500" customWidth="1"/>
    <col min="2064" max="2304" width="9" style="500"/>
    <col min="2305" max="2305" width="5.125" style="500" customWidth="1"/>
    <col min="2306" max="2306" width="20.5" style="500" customWidth="1"/>
    <col min="2307" max="2308" width="9" style="500"/>
    <col min="2309" max="2309" width="9.75" style="500" bestFit="1" customWidth="1"/>
    <col min="2310" max="2310" width="9.25" style="500" bestFit="1" customWidth="1"/>
    <col min="2311" max="2311" width="8.625" style="500" customWidth="1"/>
    <col min="2312" max="2312" width="9.25" style="500" customWidth="1"/>
    <col min="2313" max="2313" width="9.5" style="500" customWidth="1"/>
    <col min="2314" max="2314" width="9.625" style="500" customWidth="1"/>
    <col min="2315" max="2315" width="9.75" style="500" customWidth="1"/>
    <col min="2316" max="2316" width="9.625" style="500" customWidth="1"/>
    <col min="2317" max="2317" width="9.25" style="500" customWidth="1"/>
    <col min="2318" max="2318" width="8.75" style="500" customWidth="1"/>
    <col min="2319" max="2319" width="9" style="500" customWidth="1"/>
    <col min="2320" max="2560" width="9" style="500"/>
    <col min="2561" max="2561" width="5.125" style="500" customWidth="1"/>
    <col min="2562" max="2562" width="20.5" style="500" customWidth="1"/>
    <col min="2563" max="2564" width="9" style="500"/>
    <col min="2565" max="2565" width="9.75" style="500" bestFit="1" customWidth="1"/>
    <col min="2566" max="2566" width="9.25" style="500" bestFit="1" customWidth="1"/>
    <col min="2567" max="2567" width="8.625" style="500" customWidth="1"/>
    <col min="2568" max="2568" width="9.25" style="500" customWidth="1"/>
    <col min="2569" max="2569" width="9.5" style="500" customWidth="1"/>
    <col min="2570" max="2570" width="9.625" style="500" customWidth="1"/>
    <col min="2571" max="2571" width="9.75" style="500" customWidth="1"/>
    <col min="2572" max="2572" width="9.625" style="500" customWidth="1"/>
    <col min="2573" max="2573" width="9.25" style="500" customWidth="1"/>
    <col min="2574" max="2574" width="8.75" style="500" customWidth="1"/>
    <col min="2575" max="2575" width="9" style="500" customWidth="1"/>
    <col min="2576" max="2816" width="9" style="500"/>
    <col min="2817" max="2817" width="5.125" style="500" customWidth="1"/>
    <col min="2818" max="2818" width="20.5" style="500" customWidth="1"/>
    <col min="2819" max="2820" width="9" style="500"/>
    <col min="2821" max="2821" width="9.75" style="500" bestFit="1" customWidth="1"/>
    <col min="2822" max="2822" width="9.25" style="500" bestFit="1" customWidth="1"/>
    <col min="2823" max="2823" width="8.625" style="500" customWidth="1"/>
    <col min="2824" max="2824" width="9.25" style="500" customWidth="1"/>
    <col min="2825" max="2825" width="9.5" style="500" customWidth="1"/>
    <col min="2826" max="2826" width="9.625" style="500" customWidth="1"/>
    <col min="2827" max="2827" width="9.75" style="500" customWidth="1"/>
    <col min="2828" max="2828" width="9.625" style="500" customWidth="1"/>
    <col min="2829" max="2829" width="9.25" style="500" customWidth="1"/>
    <col min="2830" max="2830" width="8.75" style="500" customWidth="1"/>
    <col min="2831" max="2831" width="9" style="500" customWidth="1"/>
    <col min="2832" max="3072" width="9" style="500"/>
    <col min="3073" max="3073" width="5.125" style="500" customWidth="1"/>
    <col min="3074" max="3074" width="20.5" style="500" customWidth="1"/>
    <col min="3075" max="3076" width="9" style="500"/>
    <col min="3077" max="3077" width="9.75" style="500" bestFit="1" customWidth="1"/>
    <col min="3078" max="3078" width="9.25" style="500" bestFit="1" customWidth="1"/>
    <col min="3079" max="3079" width="8.625" style="500" customWidth="1"/>
    <col min="3080" max="3080" width="9.25" style="500" customWidth="1"/>
    <col min="3081" max="3081" width="9.5" style="500" customWidth="1"/>
    <col min="3082" max="3082" width="9.625" style="500" customWidth="1"/>
    <col min="3083" max="3083" width="9.75" style="500" customWidth="1"/>
    <col min="3084" max="3084" width="9.625" style="500" customWidth="1"/>
    <col min="3085" max="3085" width="9.25" style="500" customWidth="1"/>
    <col min="3086" max="3086" width="8.75" style="500" customWidth="1"/>
    <col min="3087" max="3087" width="9" style="500" customWidth="1"/>
    <col min="3088" max="3328" width="9" style="500"/>
    <col min="3329" max="3329" width="5.125" style="500" customWidth="1"/>
    <col min="3330" max="3330" width="20.5" style="500" customWidth="1"/>
    <col min="3331" max="3332" width="9" style="500"/>
    <col min="3333" max="3333" width="9.75" style="500" bestFit="1" customWidth="1"/>
    <col min="3334" max="3334" width="9.25" style="500" bestFit="1" customWidth="1"/>
    <col min="3335" max="3335" width="8.625" style="500" customWidth="1"/>
    <col min="3336" max="3336" width="9.25" style="500" customWidth="1"/>
    <col min="3337" max="3337" width="9.5" style="500" customWidth="1"/>
    <col min="3338" max="3338" width="9.625" style="500" customWidth="1"/>
    <col min="3339" max="3339" width="9.75" style="500" customWidth="1"/>
    <col min="3340" max="3340" width="9.625" style="500" customWidth="1"/>
    <col min="3341" max="3341" width="9.25" style="500" customWidth="1"/>
    <col min="3342" max="3342" width="8.75" style="500" customWidth="1"/>
    <col min="3343" max="3343" width="9" style="500" customWidth="1"/>
    <col min="3344" max="3584" width="9" style="500"/>
    <col min="3585" max="3585" width="5.125" style="500" customWidth="1"/>
    <col min="3586" max="3586" width="20.5" style="500" customWidth="1"/>
    <col min="3587" max="3588" width="9" style="500"/>
    <col min="3589" max="3589" width="9.75" style="500" bestFit="1" customWidth="1"/>
    <col min="3590" max="3590" width="9.25" style="500" bestFit="1" customWidth="1"/>
    <col min="3591" max="3591" width="8.625" style="500" customWidth="1"/>
    <col min="3592" max="3592" width="9.25" style="500" customWidth="1"/>
    <col min="3593" max="3593" width="9.5" style="500" customWidth="1"/>
    <col min="3594" max="3594" width="9.625" style="500" customWidth="1"/>
    <col min="3595" max="3595" width="9.75" style="500" customWidth="1"/>
    <col min="3596" max="3596" width="9.625" style="500" customWidth="1"/>
    <col min="3597" max="3597" width="9.25" style="500" customWidth="1"/>
    <col min="3598" max="3598" width="8.75" style="500" customWidth="1"/>
    <col min="3599" max="3599" width="9" style="500" customWidth="1"/>
    <col min="3600" max="3840" width="9" style="500"/>
    <col min="3841" max="3841" width="5.125" style="500" customWidth="1"/>
    <col min="3842" max="3842" width="20.5" style="500" customWidth="1"/>
    <col min="3843" max="3844" width="9" style="500"/>
    <col min="3845" max="3845" width="9.75" style="500" bestFit="1" customWidth="1"/>
    <col min="3846" max="3846" width="9.25" style="500" bestFit="1" customWidth="1"/>
    <col min="3847" max="3847" width="8.625" style="500" customWidth="1"/>
    <col min="3848" max="3848" width="9.25" style="500" customWidth="1"/>
    <col min="3849" max="3849" width="9.5" style="500" customWidth="1"/>
    <col min="3850" max="3850" width="9.625" style="500" customWidth="1"/>
    <col min="3851" max="3851" width="9.75" style="500" customWidth="1"/>
    <col min="3852" max="3852" width="9.625" style="500" customWidth="1"/>
    <col min="3853" max="3853" width="9.25" style="500" customWidth="1"/>
    <col min="3854" max="3854" width="8.75" style="500" customWidth="1"/>
    <col min="3855" max="3855" width="9" style="500" customWidth="1"/>
    <col min="3856" max="4096" width="9" style="500"/>
    <col min="4097" max="4097" width="5.125" style="500" customWidth="1"/>
    <col min="4098" max="4098" width="20.5" style="500" customWidth="1"/>
    <col min="4099" max="4100" width="9" style="500"/>
    <col min="4101" max="4101" width="9.75" style="500" bestFit="1" customWidth="1"/>
    <col min="4102" max="4102" width="9.25" style="500" bestFit="1" customWidth="1"/>
    <col min="4103" max="4103" width="8.625" style="500" customWidth="1"/>
    <col min="4104" max="4104" width="9.25" style="500" customWidth="1"/>
    <col min="4105" max="4105" width="9.5" style="500" customWidth="1"/>
    <col min="4106" max="4106" width="9.625" style="500" customWidth="1"/>
    <col min="4107" max="4107" width="9.75" style="500" customWidth="1"/>
    <col min="4108" max="4108" width="9.625" style="500" customWidth="1"/>
    <col min="4109" max="4109" width="9.25" style="500" customWidth="1"/>
    <col min="4110" max="4110" width="8.75" style="500" customWidth="1"/>
    <col min="4111" max="4111" width="9" style="500" customWidth="1"/>
    <col min="4112" max="4352" width="9" style="500"/>
    <col min="4353" max="4353" width="5.125" style="500" customWidth="1"/>
    <col min="4354" max="4354" width="20.5" style="500" customWidth="1"/>
    <col min="4355" max="4356" width="9" style="500"/>
    <col min="4357" max="4357" width="9.75" style="500" bestFit="1" customWidth="1"/>
    <col min="4358" max="4358" width="9.25" style="500" bestFit="1" customWidth="1"/>
    <col min="4359" max="4359" width="8.625" style="500" customWidth="1"/>
    <col min="4360" max="4360" width="9.25" style="500" customWidth="1"/>
    <col min="4361" max="4361" width="9.5" style="500" customWidth="1"/>
    <col min="4362" max="4362" width="9.625" style="500" customWidth="1"/>
    <col min="4363" max="4363" width="9.75" style="500" customWidth="1"/>
    <col min="4364" max="4364" width="9.625" style="500" customWidth="1"/>
    <col min="4365" max="4365" width="9.25" style="500" customWidth="1"/>
    <col min="4366" max="4366" width="8.75" style="500" customWidth="1"/>
    <col min="4367" max="4367" width="9" style="500" customWidth="1"/>
    <col min="4368" max="4608" width="9" style="500"/>
    <col min="4609" max="4609" width="5.125" style="500" customWidth="1"/>
    <col min="4610" max="4610" width="20.5" style="500" customWidth="1"/>
    <col min="4611" max="4612" width="9" style="500"/>
    <col min="4613" max="4613" width="9.75" style="500" bestFit="1" customWidth="1"/>
    <col min="4614" max="4614" width="9.25" style="500" bestFit="1" customWidth="1"/>
    <col min="4615" max="4615" width="8.625" style="500" customWidth="1"/>
    <col min="4616" max="4616" width="9.25" style="500" customWidth="1"/>
    <col min="4617" max="4617" width="9.5" style="500" customWidth="1"/>
    <col min="4618" max="4618" width="9.625" style="500" customWidth="1"/>
    <col min="4619" max="4619" width="9.75" style="500" customWidth="1"/>
    <col min="4620" max="4620" width="9.625" style="500" customWidth="1"/>
    <col min="4621" max="4621" width="9.25" style="500" customWidth="1"/>
    <col min="4622" max="4622" width="8.75" style="500" customWidth="1"/>
    <col min="4623" max="4623" width="9" style="500" customWidth="1"/>
    <col min="4624" max="4864" width="9" style="500"/>
    <col min="4865" max="4865" width="5.125" style="500" customWidth="1"/>
    <col min="4866" max="4866" width="20.5" style="500" customWidth="1"/>
    <col min="4867" max="4868" width="9" style="500"/>
    <col min="4869" max="4869" width="9.75" style="500" bestFit="1" customWidth="1"/>
    <col min="4870" max="4870" width="9.25" style="500" bestFit="1" customWidth="1"/>
    <col min="4871" max="4871" width="8.625" style="500" customWidth="1"/>
    <col min="4872" max="4872" width="9.25" style="500" customWidth="1"/>
    <col min="4873" max="4873" width="9.5" style="500" customWidth="1"/>
    <col min="4874" max="4874" width="9.625" style="500" customWidth="1"/>
    <col min="4875" max="4875" width="9.75" style="500" customWidth="1"/>
    <col min="4876" max="4876" width="9.625" style="500" customWidth="1"/>
    <col min="4877" max="4877" width="9.25" style="500" customWidth="1"/>
    <col min="4878" max="4878" width="8.75" style="500" customWidth="1"/>
    <col min="4879" max="4879" width="9" style="500" customWidth="1"/>
    <col min="4880" max="5120" width="9" style="500"/>
    <col min="5121" max="5121" width="5.125" style="500" customWidth="1"/>
    <col min="5122" max="5122" width="20.5" style="500" customWidth="1"/>
    <col min="5123" max="5124" width="9" style="500"/>
    <col min="5125" max="5125" width="9.75" style="500" bestFit="1" customWidth="1"/>
    <col min="5126" max="5126" width="9.25" style="500" bestFit="1" customWidth="1"/>
    <col min="5127" max="5127" width="8.625" style="500" customWidth="1"/>
    <col min="5128" max="5128" width="9.25" style="500" customWidth="1"/>
    <col min="5129" max="5129" width="9.5" style="500" customWidth="1"/>
    <col min="5130" max="5130" width="9.625" style="500" customWidth="1"/>
    <col min="5131" max="5131" width="9.75" style="500" customWidth="1"/>
    <col min="5132" max="5132" width="9.625" style="500" customWidth="1"/>
    <col min="5133" max="5133" width="9.25" style="500" customWidth="1"/>
    <col min="5134" max="5134" width="8.75" style="500" customWidth="1"/>
    <col min="5135" max="5135" width="9" style="500" customWidth="1"/>
    <col min="5136" max="5376" width="9" style="500"/>
    <col min="5377" max="5377" width="5.125" style="500" customWidth="1"/>
    <col min="5378" max="5378" width="20.5" style="500" customWidth="1"/>
    <col min="5379" max="5380" width="9" style="500"/>
    <col min="5381" max="5381" width="9.75" style="500" bestFit="1" customWidth="1"/>
    <col min="5382" max="5382" width="9.25" style="500" bestFit="1" customWidth="1"/>
    <col min="5383" max="5383" width="8.625" style="500" customWidth="1"/>
    <col min="5384" max="5384" width="9.25" style="500" customWidth="1"/>
    <col min="5385" max="5385" width="9.5" style="500" customWidth="1"/>
    <col min="5386" max="5386" width="9.625" style="500" customWidth="1"/>
    <col min="5387" max="5387" width="9.75" style="500" customWidth="1"/>
    <col min="5388" max="5388" width="9.625" style="500" customWidth="1"/>
    <col min="5389" max="5389" width="9.25" style="500" customWidth="1"/>
    <col min="5390" max="5390" width="8.75" style="500" customWidth="1"/>
    <col min="5391" max="5391" width="9" style="500" customWidth="1"/>
    <col min="5392" max="5632" width="9" style="500"/>
    <col min="5633" max="5633" width="5.125" style="500" customWidth="1"/>
    <col min="5634" max="5634" width="20.5" style="500" customWidth="1"/>
    <col min="5635" max="5636" width="9" style="500"/>
    <col min="5637" max="5637" width="9.75" style="500" bestFit="1" customWidth="1"/>
    <col min="5638" max="5638" width="9.25" style="500" bestFit="1" customWidth="1"/>
    <col min="5639" max="5639" width="8.625" style="500" customWidth="1"/>
    <col min="5640" max="5640" width="9.25" style="500" customWidth="1"/>
    <col min="5641" max="5641" width="9.5" style="500" customWidth="1"/>
    <col min="5642" max="5642" width="9.625" style="500" customWidth="1"/>
    <col min="5643" max="5643" width="9.75" style="500" customWidth="1"/>
    <col min="5644" max="5644" width="9.625" style="500" customWidth="1"/>
    <col min="5645" max="5645" width="9.25" style="500" customWidth="1"/>
    <col min="5646" max="5646" width="8.75" style="500" customWidth="1"/>
    <col min="5647" max="5647" width="9" style="500" customWidth="1"/>
    <col min="5648" max="5888" width="9" style="500"/>
    <col min="5889" max="5889" width="5.125" style="500" customWidth="1"/>
    <col min="5890" max="5890" width="20.5" style="500" customWidth="1"/>
    <col min="5891" max="5892" width="9" style="500"/>
    <col min="5893" max="5893" width="9.75" style="500" bestFit="1" customWidth="1"/>
    <col min="5894" max="5894" width="9.25" style="500" bestFit="1" customWidth="1"/>
    <col min="5895" max="5895" width="8.625" style="500" customWidth="1"/>
    <col min="5896" max="5896" width="9.25" style="500" customWidth="1"/>
    <col min="5897" max="5897" width="9.5" style="500" customWidth="1"/>
    <col min="5898" max="5898" width="9.625" style="500" customWidth="1"/>
    <col min="5899" max="5899" width="9.75" style="500" customWidth="1"/>
    <col min="5900" max="5900" width="9.625" style="500" customWidth="1"/>
    <col min="5901" max="5901" width="9.25" style="500" customWidth="1"/>
    <col min="5902" max="5902" width="8.75" style="500" customWidth="1"/>
    <col min="5903" max="5903" width="9" style="500" customWidth="1"/>
    <col min="5904" max="6144" width="9" style="500"/>
    <col min="6145" max="6145" width="5.125" style="500" customWidth="1"/>
    <col min="6146" max="6146" width="20.5" style="500" customWidth="1"/>
    <col min="6147" max="6148" width="9" style="500"/>
    <col min="6149" max="6149" width="9.75" style="500" bestFit="1" customWidth="1"/>
    <col min="6150" max="6150" width="9.25" style="500" bestFit="1" customWidth="1"/>
    <col min="6151" max="6151" width="8.625" style="500" customWidth="1"/>
    <col min="6152" max="6152" width="9.25" style="500" customWidth="1"/>
    <col min="6153" max="6153" width="9.5" style="500" customWidth="1"/>
    <col min="6154" max="6154" width="9.625" style="500" customWidth="1"/>
    <col min="6155" max="6155" width="9.75" style="500" customWidth="1"/>
    <col min="6156" max="6156" width="9.625" style="500" customWidth="1"/>
    <col min="6157" max="6157" width="9.25" style="500" customWidth="1"/>
    <col min="6158" max="6158" width="8.75" style="500" customWidth="1"/>
    <col min="6159" max="6159" width="9" style="500" customWidth="1"/>
    <col min="6160" max="6400" width="9" style="500"/>
    <col min="6401" max="6401" width="5.125" style="500" customWidth="1"/>
    <col min="6402" max="6402" width="20.5" style="500" customWidth="1"/>
    <col min="6403" max="6404" width="9" style="500"/>
    <col min="6405" max="6405" width="9.75" style="500" bestFit="1" customWidth="1"/>
    <col min="6406" max="6406" width="9.25" style="500" bestFit="1" customWidth="1"/>
    <col min="6407" max="6407" width="8.625" style="500" customWidth="1"/>
    <col min="6408" max="6408" width="9.25" style="500" customWidth="1"/>
    <col min="6409" max="6409" width="9.5" style="500" customWidth="1"/>
    <col min="6410" max="6410" width="9.625" style="500" customWidth="1"/>
    <col min="6411" max="6411" width="9.75" style="500" customWidth="1"/>
    <col min="6412" max="6412" width="9.625" style="500" customWidth="1"/>
    <col min="6413" max="6413" width="9.25" style="500" customWidth="1"/>
    <col min="6414" max="6414" width="8.75" style="500" customWidth="1"/>
    <col min="6415" max="6415" width="9" style="500" customWidth="1"/>
    <col min="6416" max="6656" width="9" style="500"/>
    <col min="6657" max="6657" width="5.125" style="500" customWidth="1"/>
    <col min="6658" max="6658" width="20.5" style="500" customWidth="1"/>
    <col min="6659" max="6660" width="9" style="500"/>
    <col min="6661" max="6661" width="9.75" style="500" bestFit="1" customWidth="1"/>
    <col min="6662" max="6662" width="9.25" style="500" bestFit="1" customWidth="1"/>
    <col min="6663" max="6663" width="8.625" style="500" customWidth="1"/>
    <col min="6664" max="6664" width="9.25" style="500" customWidth="1"/>
    <col min="6665" max="6665" width="9.5" style="500" customWidth="1"/>
    <col min="6666" max="6666" width="9.625" style="500" customWidth="1"/>
    <col min="6667" max="6667" width="9.75" style="500" customWidth="1"/>
    <col min="6668" max="6668" width="9.625" style="500" customWidth="1"/>
    <col min="6669" max="6669" width="9.25" style="500" customWidth="1"/>
    <col min="6670" max="6670" width="8.75" style="500" customWidth="1"/>
    <col min="6671" max="6671" width="9" style="500" customWidth="1"/>
    <col min="6672" max="6912" width="9" style="500"/>
    <col min="6913" max="6913" width="5.125" style="500" customWidth="1"/>
    <col min="6914" max="6914" width="20.5" style="500" customWidth="1"/>
    <col min="6915" max="6916" width="9" style="500"/>
    <col min="6917" max="6917" width="9.75" style="500" bestFit="1" customWidth="1"/>
    <col min="6918" max="6918" width="9.25" style="500" bestFit="1" customWidth="1"/>
    <col min="6919" max="6919" width="8.625" style="500" customWidth="1"/>
    <col min="6920" max="6920" width="9.25" style="500" customWidth="1"/>
    <col min="6921" max="6921" width="9.5" style="500" customWidth="1"/>
    <col min="6922" max="6922" width="9.625" style="500" customWidth="1"/>
    <col min="6923" max="6923" width="9.75" style="500" customWidth="1"/>
    <col min="6924" max="6924" width="9.625" style="500" customWidth="1"/>
    <col min="6925" max="6925" width="9.25" style="500" customWidth="1"/>
    <col min="6926" max="6926" width="8.75" style="500" customWidth="1"/>
    <col min="6927" max="6927" width="9" style="500" customWidth="1"/>
    <col min="6928" max="7168" width="9" style="500"/>
    <col min="7169" max="7169" width="5.125" style="500" customWidth="1"/>
    <col min="7170" max="7170" width="20.5" style="500" customWidth="1"/>
    <col min="7171" max="7172" width="9" style="500"/>
    <col min="7173" max="7173" width="9.75" style="500" bestFit="1" customWidth="1"/>
    <col min="7174" max="7174" width="9.25" style="500" bestFit="1" customWidth="1"/>
    <col min="7175" max="7175" width="8.625" style="500" customWidth="1"/>
    <col min="7176" max="7176" width="9.25" style="500" customWidth="1"/>
    <col min="7177" max="7177" width="9.5" style="500" customWidth="1"/>
    <col min="7178" max="7178" width="9.625" style="500" customWidth="1"/>
    <col min="7179" max="7179" width="9.75" style="500" customWidth="1"/>
    <col min="7180" max="7180" width="9.625" style="500" customWidth="1"/>
    <col min="7181" max="7181" width="9.25" style="500" customWidth="1"/>
    <col min="7182" max="7182" width="8.75" style="500" customWidth="1"/>
    <col min="7183" max="7183" width="9" style="500" customWidth="1"/>
    <col min="7184" max="7424" width="9" style="500"/>
    <col min="7425" max="7425" width="5.125" style="500" customWidth="1"/>
    <col min="7426" max="7426" width="20.5" style="500" customWidth="1"/>
    <col min="7427" max="7428" width="9" style="500"/>
    <col min="7429" max="7429" width="9.75" style="500" bestFit="1" customWidth="1"/>
    <col min="7430" max="7430" width="9.25" style="500" bestFit="1" customWidth="1"/>
    <col min="7431" max="7431" width="8.625" style="500" customWidth="1"/>
    <col min="7432" max="7432" width="9.25" style="500" customWidth="1"/>
    <col min="7433" max="7433" width="9.5" style="500" customWidth="1"/>
    <col min="7434" max="7434" width="9.625" style="500" customWidth="1"/>
    <col min="7435" max="7435" width="9.75" style="500" customWidth="1"/>
    <col min="7436" max="7436" width="9.625" style="500" customWidth="1"/>
    <col min="7437" max="7437" width="9.25" style="500" customWidth="1"/>
    <col min="7438" max="7438" width="8.75" style="500" customWidth="1"/>
    <col min="7439" max="7439" width="9" style="500" customWidth="1"/>
    <col min="7440" max="7680" width="9" style="500"/>
    <col min="7681" max="7681" width="5.125" style="500" customWidth="1"/>
    <col min="7682" max="7682" width="20.5" style="500" customWidth="1"/>
    <col min="7683" max="7684" width="9" style="500"/>
    <col min="7685" max="7685" width="9.75" style="500" bestFit="1" customWidth="1"/>
    <col min="7686" max="7686" width="9.25" style="500" bestFit="1" customWidth="1"/>
    <col min="7687" max="7687" width="8.625" style="500" customWidth="1"/>
    <col min="7688" max="7688" width="9.25" style="500" customWidth="1"/>
    <col min="7689" max="7689" width="9.5" style="500" customWidth="1"/>
    <col min="7690" max="7690" width="9.625" style="500" customWidth="1"/>
    <col min="7691" max="7691" width="9.75" style="500" customWidth="1"/>
    <col min="7692" max="7692" width="9.625" style="500" customWidth="1"/>
    <col min="7693" max="7693" width="9.25" style="500" customWidth="1"/>
    <col min="7694" max="7694" width="8.75" style="500" customWidth="1"/>
    <col min="7695" max="7695" width="9" style="500" customWidth="1"/>
    <col min="7696" max="7936" width="9" style="500"/>
    <col min="7937" max="7937" width="5.125" style="500" customWidth="1"/>
    <col min="7938" max="7938" width="20.5" style="500" customWidth="1"/>
    <col min="7939" max="7940" width="9" style="500"/>
    <col min="7941" max="7941" width="9.75" style="500" bestFit="1" customWidth="1"/>
    <col min="7942" max="7942" width="9.25" style="500" bestFit="1" customWidth="1"/>
    <col min="7943" max="7943" width="8.625" style="500" customWidth="1"/>
    <col min="7944" max="7944" width="9.25" style="500" customWidth="1"/>
    <col min="7945" max="7945" width="9.5" style="500" customWidth="1"/>
    <col min="7946" max="7946" width="9.625" style="500" customWidth="1"/>
    <col min="7947" max="7947" width="9.75" style="500" customWidth="1"/>
    <col min="7948" max="7948" width="9.625" style="500" customWidth="1"/>
    <col min="7949" max="7949" width="9.25" style="500" customWidth="1"/>
    <col min="7950" max="7950" width="8.75" style="500" customWidth="1"/>
    <col min="7951" max="7951" width="9" style="500" customWidth="1"/>
    <col min="7952" max="8192" width="9" style="500"/>
    <col min="8193" max="8193" width="5.125" style="500" customWidth="1"/>
    <col min="8194" max="8194" width="20.5" style="500" customWidth="1"/>
    <col min="8195" max="8196" width="9" style="500"/>
    <col min="8197" max="8197" width="9.75" style="500" bestFit="1" customWidth="1"/>
    <col min="8198" max="8198" width="9.25" style="500" bestFit="1" customWidth="1"/>
    <col min="8199" max="8199" width="8.625" style="500" customWidth="1"/>
    <col min="8200" max="8200" width="9.25" style="500" customWidth="1"/>
    <col min="8201" max="8201" width="9.5" style="500" customWidth="1"/>
    <col min="8202" max="8202" width="9.625" style="500" customWidth="1"/>
    <col min="8203" max="8203" width="9.75" style="500" customWidth="1"/>
    <col min="8204" max="8204" width="9.625" style="500" customWidth="1"/>
    <col min="8205" max="8205" width="9.25" style="500" customWidth="1"/>
    <col min="8206" max="8206" width="8.75" style="500" customWidth="1"/>
    <col min="8207" max="8207" width="9" style="500" customWidth="1"/>
    <col min="8208" max="8448" width="9" style="500"/>
    <col min="8449" max="8449" width="5.125" style="500" customWidth="1"/>
    <col min="8450" max="8450" width="20.5" style="500" customWidth="1"/>
    <col min="8451" max="8452" width="9" style="500"/>
    <col min="8453" max="8453" width="9.75" style="500" bestFit="1" customWidth="1"/>
    <col min="8454" max="8454" width="9.25" style="500" bestFit="1" customWidth="1"/>
    <col min="8455" max="8455" width="8.625" style="500" customWidth="1"/>
    <col min="8456" max="8456" width="9.25" style="500" customWidth="1"/>
    <col min="8457" max="8457" width="9.5" style="500" customWidth="1"/>
    <col min="8458" max="8458" width="9.625" style="500" customWidth="1"/>
    <col min="8459" max="8459" width="9.75" style="500" customWidth="1"/>
    <col min="8460" max="8460" width="9.625" style="500" customWidth="1"/>
    <col min="8461" max="8461" width="9.25" style="500" customWidth="1"/>
    <col min="8462" max="8462" width="8.75" style="500" customWidth="1"/>
    <col min="8463" max="8463" width="9" style="500" customWidth="1"/>
    <col min="8464" max="8704" width="9" style="500"/>
    <col min="8705" max="8705" width="5.125" style="500" customWidth="1"/>
    <col min="8706" max="8706" width="20.5" style="500" customWidth="1"/>
    <col min="8707" max="8708" width="9" style="500"/>
    <col min="8709" max="8709" width="9.75" style="500" bestFit="1" customWidth="1"/>
    <col min="8710" max="8710" width="9.25" style="500" bestFit="1" customWidth="1"/>
    <col min="8711" max="8711" width="8.625" style="500" customWidth="1"/>
    <col min="8712" max="8712" width="9.25" style="500" customWidth="1"/>
    <col min="8713" max="8713" width="9.5" style="500" customWidth="1"/>
    <col min="8714" max="8714" width="9.625" style="500" customWidth="1"/>
    <col min="8715" max="8715" width="9.75" style="500" customWidth="1"/>
    <col min="8716" max="8716" width="9.625" style="500" customWidth="1"/>
    <col min="8717" max="8717" width="9.25" style="500" customWidth="1"/>
    <col min="8718" max="8718" width="8.75" style="500" customWidth="1"/>
    <col min="8719" max="8719" width="9" style="500" customWidth="1"/>
    <col min="8720" max="8960" width="9" style="500"/>
    <col min="8961" max="8961" width="5.125" style="500" customWidth="1"/>
    <col min="8962" max="8962" width="20.5" style="500" customWidth="1"/>
    <col min="8963" max="8964" width="9" style="500"/>
    <col min="8965" max="8965" width="9.75" style="500" bestFit="1" customWidth="1"/>
    <col min="8966" max="8966" width="9.25" style="500" bestFit="1" customWidth="1"/>
    <col min="8967" max="8967" width="8.625" style="500" customWidth="1"/>
    <col min="8968" max="8968" width="9.25" style="500" customWidth="1"/>
    <col min="8969" max="8969" width="9.5" style="500" customWidth="1"/>
    <col min="8970" max="8970" width="9.625" style="500" customWidth="1"/>
    <col min="8971" max="8971" width="9.75" style="500" customWidth="1"/>
    <col min="8972" max="8972" width="9.625" style="500" customWidth="1"/>
    <col min="8973" max="8973" width="9.25" style="500" customWidth="1"/>
    <col min="8974" max="8974" width="8.75" style="500" customWidth="1"/>
    <col min="8975" max="8975" width="9" style="500" customWidth="1"/>
    <col min="8976" max="9216" width="9" style="500"/>
    <col min="9217" max="9217" width="5.125" style="500" customWidth="1"/>
    <col min="9218" max="9218" width="20.5" style="500" customWidth="1"/>
    <col min="9219" max="9220" width="9" style="500"/>
    <col min="9221" max="9221" width="9.75" style="500" bestFit="1" customWidth="1"/>
    <col min="9222" max="9222" width="9.25" style="500" bestFit="1" customWidth="1"/>
    <col min="9223" max="9223" width="8.625" style="500" customWidth="1"/>
    <col min="9224" max="9224" width="9.25" style="500" customWidth="1"/>
    <col min="9225" max="9225" width="9.5" style="500" customWidth="1"/>
    <col min="9226" max="9226" width="9.625" style="500" customWidth="1"/>
    <col min="9227" max="9227" width="9.75" style="500" customWidth="1"/>
    <col min="9228" max="9228" width="9.625" style="500" customWidth="1"/>
    <col min="9229" max="9229" width="9.25" style="500" customWidth="1"/>
    <col min="9230" max="9230" width="8.75" style="500" customWidth="1"/>
    <col min="9231" max="9231" width="9" style="500" customWidth="1"/>
    <col min="9232" max="9472" width="9" style="500"/>
    <col min="9473" max="9473" width="5.125" style="500" customWidth="1"/>
    <col min="9474" max="9474" width="20.5" style="500" customWidth="1"/>
    <col min="9475" max="9476" width="9" style="500"/>
    <col min="9477" max="9477" width="9.75" style="500" bestFit="1" customWidth="1"/>
    <col min="9478" max="9478" width="9.25" style="500" bestFit="1" customWidth="1"/>
    <col min="9479" max="9479" width="8.625" style="500" customWidth="1"/>
    <col min="9480" max="9480" width="9.25" style="500" customWidth="1"/>
    <col min="9481" max="9481" width="9.5" style="500" customWidth="1"/>
    <col min="9482" max="9482" width="9.625" style="500" customWidth="1"/>
    <col min="9483" max="9483" width="9.75" style="500" customWidth="1"/>
    <col min="9484" max="9484" width="9.625" style="500" customWidth="1"/>
    <col min="9485" max="9485" width="9.25" style="500" customWidth="1"/>
    <col min="9486" max="9486" width="8.75" style="500" customWidth="1"/>
    <col min="9487" max="9487" width="9" style="500" customWidth="1"/>
    <col min="9488" max="9728" width="9" style="500"/>
    <col min="9729" max="9729" width="5.125" style="500" customWidth="1"/>
    <col min="9730" max="9730" width="20.5" style="500" customWidth="1"/>
    <col min="9731" max="9732" width="9" style="500"/>
    <col min="9733" max="9733" width="9.75" style="500" bestFit="1" customWidth="1"/>
    <col min="9734" max="9734" width="9.25" style="500" bestFit="1" customWidth="1"/>
    <col min="9735" max="9735" width="8.625" style="500" customWidth="1"/>
    <col min="9736" max="9736" width="9.25" style="500" customWidth="1"/>
    <col min="9737" max="9737" width="9.5" style="500" customWidth="1"/>
    <col min="9738" max="9738" width="9.625" style="500" customWidth="1"/>
    <col min="9739" max="9739" width="9.75" style="500" customWidth="1"/>
    <col min="9740" max="9740" width="9.625" style="500" customWidth="1"/>
    <col min="9741" max="9741" width="9.25" style="500" customWidth="1"/>
    <col min="9742" max="9742" width="8.75" style="500" customWidth="1"/>
    <col min="9743" max="9743" width="9" style="500" customWidth="1"/>
    <col min="9744" max="9984" width="9" style="500"/>
    <col min="9985" max="9985" width="5.125" style="500" customWidth="1"/>
    <col min="9986" max="9986" width="20.5" style="500" customWidth="1"/>
    <col min="9987" max="9988" width="9" style="500"/>
    <col min="9989" max="9989" width="9.75" style="500" bestFit="1" customWidth="1"/>
    <col min="9990" max="9990" width="9.25" style="500" bestFit="1" customWidth="1"/>
    <col min="9991" max="9991" width="8.625" style="500" customWidth="1"/>
    <col min="9992" max="9992" width="9.25" style="500" customWidth="1"/>
    <col min="9993" max="9993" width="9.5" style="500" customWidth="1"/>
    <col min="9994" max="9994" width="9.625" style="500" customWidth="1"/>
    <col min="9995" max="9995" width="9.75" style="500" customWidth="1"/>
    <col min="9996" max="9996" width="9.625" style="500" customWidth="1"/>
    <col min="9997" max="9997" width="9.25" style="500" customWidth="1"/>
    <col min="9998" max="9998" width="8.75" style="500" customWidth="1"/>
    <col min="9999" max="9999" width="9" style="500" customWidth="1"/>
    <col min="10000" max="10240" width="9" style="500"/>
    <col min="10241" max="10241" width="5.125" style="500" customWidth="1"/>
    <col min="10242" max="10242" width="20.5" style="500" customWidth="1"/>
    <col min="10243" max="10244" width="9" style="500"/>
    <col min="10245" max="10245" width="9.75" style="500" bestFit="1" customWidth="1"/>
    <col min="10246" max="10246" width="9.25" style="500" bestFit="1" customWidth="1"/>
    <col min="10247" max="10247" width="8.625" style="500" customWidth="1"/>
    <col min="10248" max="10248" width="9.25" style="500" customWidth="1"/>
    <col min="10249" max="10249" width="9.5" style="500" customWidth="1"/>
    <col min="10250" max="10250" width="9.625" style="500" customWidth="1"/>
    <col min="10251" max="10251" width="9.75" style="500" customWidth="1"/>
    <col min="10252" max="10252" width="9.625" style="500" customWidth="1"/>
    <col min="10253" max="10253" width="9.25" style="500" customWidth="1"/>
    <col min="10254" max="10254" width="8.75" style="500" customWidth="1"/>
    <col min="10255" max="10255" width="9" style="500" customWidth="1"/>
    <col min="10256" max="10496" width="9" style="500"/>
    <col min="10497" max="10497" width="5.125" style="500" customWidth="1"/>
    <col min="10498" max="10498" width="20.5" style="500" customWidth="1"/>
    <col min="10499" max="10500" width="9" style="500"/>
    <col min="10501" max="10501" width="9.75" style="500" bestFit="1" customWidth="1"/>
    <col min="10502" max="10502" width="9.25" style="500" bestFit="1" customWidth="1"/>
    <col min="10503" max="10503" width="8.625" style="500" customWidth="1"/>
    <col min="10504" max="10504" width="9.25" style="500" customWidth="1"/>
    <col min="10505" max="10505" width="9.5" style="500" customWidth="1"/>
    <col min="10506" max="10506" width="9.625" style="500" customWidth="1"/>
    <col min="10507" max="10507" width="9.75" style="500" customWidth="1"/>
    <col min="10508" max="10508" width="9.625" style="500" customWidth="1"/>
    <col min="10509" max="10509" width="9.25" style="500" customWidth="1"/>
    <col min="10510" max="10510" width="8.75" style="500" customWidth="1"/>
    <col min="10511" max="10511" width="9" style="500" customWidth="1"/>
    <col min="10512" max="10752" width="9" style="500"/>
    <col min="10753" max="10753" width="5.125" style="500" customWidth="1"/>
    <col min="10754" max="10754" width="20.5" style="500" customWidth="1"/>
    <col min="10755" max="10756" width="9" style="500"/>
    <col min="10757" max="10757" width="9.75" style="500" bestFit="1" customWidth="1"/>
    <col min="10758" max="10758" width="9.25" style="500" bestFit="1" customWidth="1"/>
    <col min="10759" max="10759" width="8.625" style="500" customWidth="1"/>
    <col min="10760" max="10760" width="9.25" style="500" customWidth="1"/>
    <col min="10761" max="10761" width="9.5" style="500" customWidth="1"/>
    <col min="10762" max="10762" width="9.625" style="500" customWidth="1"/>
    <col min="10763" max="10763" width="9.75" style="500" customWidth="1"/>
    <col min="10764" max="10764" width="9.625" style="500" customWidth="1"/>
    <col min="10765" max="10765" width="9.25" style="500" customWidth="1"/>
    <col min="10766" max="10766" width="8.75" style="500" customWidth="1"/>
    <col min="10767" max="10767" width="9" style="500" customWidth="1"/>
    <col min="10768" max="11008" width="9" style="500"/>
    <col min="11009" max="11009" width="5.125" style="500" customWidth="1"/>
    <col min="11010" max="11010" width="20.5" style="500" customWidth="1"/>
    <col min="11011" max="11012" width="9" style="500"/>
    <col min="11013" max="11013" width="9.75" style="500" bestFit="1" customWidth="1"/>
    <col min="11014" max="11014" width="9.25" style="500" bestFit="1" customWidth="1"/>
    <col min="11015" max="11015" width="8.625" style="500" customWidth="1"/>
    <col min="11016" max="11016" width="9.25" style="500" customWidth="1"/>
    <col min="11017" max="11017" width="9.5" style="500" customWidth="1"/>
    <col min="11018" max="11018" width="9.625" style="500" customWidth="1"/>
    <col min="11019" max="11019" width="9.75" style="500" customWidth="1"/>
    <col min="11020" max="11020" width="9.625" style="500" customWidth="1"/>
    <col min="11021" max="11021" width="9.25" style="500" customWidth="1"/>
    <col min="11022" max="11022" width="8.75" style="500" customWidth="1"/>
    <col min="11023" max="11023" width="9" style="500" customWidth="1"/>
    <col min="11024" max="11264" width="9" style="500"/>
    <col min="11265" max="11265" width="5.125" style="500" customWidth="1"/>
    <col min="11266" max="11266" width="20.5" style="500" customWidth="1"/>
    <col min="11267" max="11268" width="9" style="500"/>
    <col min="11269" max="11269" width="9.75" style="500" bestFit="1" customWidth="1"/>
    <col min="11270" max="11270" width="9.25" style="500" bestFit="1" customWidth="1"/>
    <col min="11271" max="11271" width="8.625" style="500" customWidth="1"/>
    <col min="11272" max="11272" width="9.25" style="500" customWidth="1"/>
    <col min="11273" max="11273" width="9.5" style="500" customWidth="1"/>
    <col min="11274" max="11274" width="9.625" style="500" customWidth="1"/>
    <col min="11275" max="11275" width="9.75" style="500" customWidth="1"/>
    <col min="11276" max="11276" width="9.625" style="500" customWidth="1"/>
    <col min="11277" max="11277" width="9.25" style="500" customWidth="1"/>
    <col min="11278" max="11278" width="8.75" style="500" customWidth="1"/>
    <col min="11279" max="11279" width="9" style="500" customWidth="1"/>
    <col min="11280" max="11520" width="9" style="500"/>
    <col min="11521" max="11521" width="5.125" style="500" customWidth="1"/>
    <col min="11522" max="11522" width="20.5" style="500" customWidth="1"/>
    <col min="11523" max="11524" width="9" style="500"/>
    <col min="11525" max="11525" width="9.75" style="500" bestFit="1" customWidth="1"/>
    <col min="11526" max="11526" width="9.25" style="500" bestFit="1" customWidth="1"/>
    <col min="11527" max="11527" width="8.625" style="500" customWidth="1"/>
    <col min="11528" max="11528" width="9.25" style="500" customWidth="1"/>
    <col min="11529" max="11529" width="9.5" style="500" customWidth="1"/>
    <col min="11530" max="11530" width="9.625" style="500" customWidth="1"/>
    <col min="11531" max="11531" width="9.75" style="500" customWidth="1"/>
    <col min="11532" max="11532" width="9.625" style="500" customWidth="1"/>
    <col min="11533" max="11533" width="9.25" style="500" customWidth="1"/>
    <col min="11534" max="11534" width="8.75" style="500" customWidth="1"/>
    <col min="11535" max="11535" width="9" style="500" customWidth="1"/>
    <col min="11536" max="11776" width="9" style="500"/>
    <col min="11777" max="11777" width="5.125" style="500" customWidth="1"/>
    <col min="11778" max="11778" width="20.5" style="500" customWidth="1"/>
    <col min="11779" max="11780" width="9" style="500"/>
    <col min="11781" max="11781" width="9.75" style="500" bestFit="1" customWidth="1"/>
    <col min="11782" max="11782" width="9.25" style="500" bestFit="1" customWidth="1"/>
    <col min="11783" max="11783" width="8.625" style="500" customWidth="1"/>
    <col min="11784" max="11784" width="9.25" style="500" customWidth="1"/>
    <col min="11785" max="11785" width="9.5" style="500" customWidth="1"/>
    <col min="11786" max="11786" width="9.625" style="500" customWidth="1"/>
    <col min="11787" max="11787" width="9.75" style="500" customWidth="1"/>
    <col min="11788" max="11788" width="9.625" style="500" customWidth="1"/>
    <col min="11789" max="11789" width="9.25" style="500" customWidth="1"/>
    <col min="11790" max="11790" width="8.75" style="500" customWidth="1"/>
    <col min="11791" max="11791" width="9" style="500" customWidth="1"/>
    <col min="11792" max="12032" width="9" style="500"/>
    <col min="12033" max="12033" width="5.125" style="500" customWidth="1"/>
    <col min="12034" max="12034" width="20.5" style="500" customWidth="1"/>
    <col min="12035" max="12036" width="9" style="500"/>
    <col min="12037" max="12037" width="9.75" style="500" bestFit="1" customWidth="1"/>
    <col min="12038" max="12038" width="9.25" style="500" bestFit="1" customWidth="1"/>
    <col min="12039" max="12039" width="8.625" style="500" customWidth="1"/>
    <col min="12040" max="12040" width="9.25" style="500" customWidth="1"/>
    <col min="12041" max="12041" width="9.5" style="500" customWidth="1"/>
    <col min="12042" max="12042" width="9.625" style="500" customWidth="1"/>
    <col min="12043" max="12043" width="9.75" style="500" customWidth="1"/>
    <col min="12044" max="12044" width="9.625" style="500" customWidth="1"/>
    <col min="12045" max="12045" width="9.25" style="500" customWidth="1"/>
    <col min="12046" max="12046" width="8.75" style="500" customWidth="1"/>
    <col min="12047" max="12047" width="9" style="500" customWidth="1"/>
    <col min="12048" max="12288" width="9" style="500"/>
    <col min="12289" max="12289" width="5.125" style="500" customWidth="1"/>
    <col min="12290" max="12290" width="20.5" style="500" customWidth="1"/>
    <col min="12291" max="12292" width="9" style="500"/>
    <col min="12293" max="12293" width="9.75" style="500" bestFit="1" customWidth="1"/>
    <col min="12294" max="12294" width="9.25" style="500" bestFit="1" customWidth="1"/>
    <col min="12295" max="12295" width="8.625" style="500" customWidth="1"/>
    <col min="12296" max="12296" width="9.25" style="500" customWidth="1"/>
    <col min="12297" max="12297" width="9.5" style="500" customWidth="1"/>
    <col min="12298" max="12298" width="9.625" style="500" customWidth="1"/>
    <col min="12299" max="12299" width="9.75" style="500" customWidth="1"/>
    <col min="12300" max="12300" width="9.625" style="500" customWidth="1"/>
    <col min="12301" max="12301" width="9.25" style="500" customWidth="1"/>
    <col min="12302" max="12302" width="8.75" style="500" customWidth="1"/>
    <col min="12303" max="12303" width="9" style="500" customWidth="1"/>
    <col min="12304" max="12544" width="9" style="500"/>
    <col min="12545" max="12545" width="5.125" style="500" customWidth="1"/>
    <col min="12546" max="12546" width="20.5" style="500" customWidth="1"/>
    <col min="12547" max="12548" width="9" style="500"/>
    <col min="12549" max="12549" width="9.75" style="500" bestFit="1" customWidth="1"/>
    <col min="12550" max="12550" width="9.25" style="500" bestFit="1" customWidth="1"/>
    <col min="12551" max="12551" width="8.625" style="500" customWidth="1"/>
    <col min="12552" max="12552" width="9.25" style="500" customWidth="1"/>
    <col min="12553" max="12553" width="9.5" style="500" customWidth="1"/>
    <col min="12554" max="12554" width="9.625" style="500" customWidth="1"/>
    <col min="12555" max="12555" width="9.75" style="500" customWidth="1"/>
    <col min="12556" max="12556" width="9.625" style="500" customWidth="1"/>
    <col min="12557" max="12557" width="9.25" style="500" customWidth="1"/>
    <col min="12558" max="12558" width="8.75" style="500" customWidth="1"/>
    <col min="12559" max="12559" width="9" style="500" customWidth="1"/>
    <col min="12560" max="12800" width="9" style="500"/>
    <col min="12801" max="12801" width="5.125" style="500" customWidth="1"/>
    <col min="12802" max="12802" width="20.5" style="500" customWidth="1"/>
    <col min="12803" max="12804" width="9" style="500"/>
    <col min="12805" max="12805" width="9.75" style="500" bestFit="1" customWidth="1"/>
    <col min="12806" max="12806" width="9.25" style="500" bestFit="1" customWidth="1"/>
    <col min="12807" max="12807" width="8.625" style="500" customWidth="1"/>
    <col min="12808" max="12808" width="9.25" style="500" customWidth="1"/>
    <col min="12809" max="12809" width="9.5" style="500" customWidth="1"/>
    <col min="12810" max="12810" width="9.625" style="500" customWidth="1"/>
    <col min="12811" max="12811" width="9.75" style="500" customWidth="1"/>
    <col min="12812" max="12812" width="9.625" style="500" customWidth="1"/>
    <col min="12813" max="12813" width="9.25" style="500" customWidth="1"/>
    <col min="12814" max="12814" width="8.75" style="500" customWidth="1"/>
    <col min="12815" max="12815" width="9" style="500" customWidth="1"/>
    <col min="12816" max="13056" width="9" style="500"/>
    <col min="13057" max="13057" width="5.125" style="500" customWidth="1"/>
    <col min="13058" max="13058" width="20.5" style="500" customWidth="1"/>
    <col min="13059" max="13060" width="9" style="500"/>
    <col min="13061" max="13061" width="9.75" style="500" bestFit="1" customWidth="1"/>
    <col min="13062" max="13062" width="9.25" style="500" bestFit="1" customWidth="1"/>
    <col min="13063" max="13063" width="8.625" style="500" customWidth="1"/>
    <col min="13064" max="13064" width="9.25" style="500" customWidth="1"/>
    <col min="13065" max="13065" width="9.5" style="500" customWidth="1"/>
    <col min="13066" max="13066" width="9.625" style="500" customWidth="1"/>
    <col min="13067" max="13067" width="9.75" style="500" customWidth="1"/>
    <col min="13068" max="13068" width="9.625" style="500" customWidth="1"/>
    <col min="13069" max="13069" width="9.25" style="500" customWidth="1"/>
    <col min="13070" max="13070" width="8.75" style="500" customWidth="1"/>
    <col min="13071" max="13071" width="9" style="500" customWidth="1"/>
    <col min="13072" max="13312" width="9" style="500"/>
    <col min="13313" max="13313" width="5.125" style="500" customWidth="1"/>
    <col min="13314" max="13314" width="20.5" style="500" customWidth="1"/>
    <col min="13315" max="13316" width="9" style="500"/>
    <col min="13317" max="13317" width="9.75" style="500" bestFit="1" customWidth="1"/>
    <col min="13318" max="13318" width="9.25" style="500" bestFit="1" customWidth="1"/>
    <col min="13319" max="13319" width="8.625" style="500" customWidth="1"/>
    <col min="13320" max="13320" width="9.25" style="500" customWidth="1"/>
    <col min="13321" max="13321" width="9.5" style="500" customWidth="1"/>
    <col min="13322" max="13322" width="9.625" style="500" customWidth="1"/>
    <col min="13323" max="13323" width="9.75" style="500" customWidth="1"/>
    <col min="13324" max="13324" width="9.625" style="500" customWidth="1"/>
    <col min="13325" max="13325" width="9.25" style="500" customWidth="1"/>
    <col min="13326" max="13326" width="8.75" style="500" customWidth="1"/>
    <col min="13327" max="13327" width="9" style="500" customWidth="1"/>
    <col min="13328" max="13568" width="9" style="500"/>
    <col min="13569" max="13569" width="5.125" style="500" customWidth="1"/>
    <col min="13570" max="13570" width="20.5" style="500" customWidth="1"/>
    <col min="13571" max="13572" width="9" style="500"/>
    <col min="13573" max="13573" width="9.75" style="500" bestFit="1" customWidth="1"/>
    <col min="13574" max="13574" width="9.25" style="500" bestFit="1" customWidth="1"/>
    <col min="13575" max="13575" width="8.625" style="500" customWidth="1"/>
    <col min="13576" max="13576" width="9.25" style="500" customWidth="1"/>
    <col min="13577" max="13577" width="9.5" style="500" customWidth="1"/>
    <col min="13578" max="13578" width="9.625" style="500" customWidth="1"/>
    <col min="13579" max="13579" width="9.75" style="500" customWidth="1"/>
    <col min="13580" max="13580" width="9.625" style="500" customWidth="1"/>
    <col min="13581" max="13581" width="9.25" style="500" customWidth="1"/>
    <col min="13582" max="13582" width="8.75" style="500" customWidth="1"/>
    <col min="13583" max="13583" width="9" style="500" customWidth="1"/>
    <col min="13584" max="13824" width="9" style="500"/>
    <col min="13825" max="13825" width="5.125" style="500" customWidth="1"/>
    <col min="13826" max="13826" width="20.5" style="500" customWidth="1"/>
    <col min="13827" max="13828" width="9" style="500"/>
    <col min="13829" max="13829" width="9.75" style="500" bestFit="1" customWidth="1"/>
    <col min="13830" max="13830" width="9.25" style="500" bestFit="1" customWidth="1"/>
    <col min="13831" max="13831" width="8.625" style="500" customWidth="1"/>
    <col min="13832" max="13832" width="9.25" style="500" customWidth="1"/>
    <col min="13833" max="13833" width="9.5" style="500" customWidth="1"/>
    <col min="13834" max="13834" width="9.625" style="500" customWidth="1"/>
    <col min="13835" max="13835" width="9.75" style="500" customWidth="1"/>
    <col min="13836" max="13836" width="9.625" style="500" customWidth="1"/>
    <col min="13837" max="13837" width="9.25" style="500" customWidth="1"/>
    <col min="13838" max="13838" width="8.75" style="500" customWidth="1"/>
    <col min="13839" max="13839" width="9" style="500" customWidth="1"/>
    <col min="13840" max="14080" width="9" style="500"/>
    <col min="14081" max="14081" width="5.125" style="500" customWidth="1"/>
    <col min="14082" max="14082" width="20.5" style="500" customWidth="1"/>
    <col min="14083" max="14084" width="9" style="500"/>
    <col min="14085" max="14085" width="9.75" style="500" bestFit="1" customWidth="1"/>
    <col min="14086" max="14086" width="9.25" style="500" bestFit="1" customWidth="1"/>
    <col min="14087" max="14087" width="8.625" style="500" customWidth="1"/>
    <col min="14088" max="14088" width="9.25" style="500" customWidth="1"/>
    <col min="14089" max="14089" width="9.5" style="500" customWidth="1"/>
    <col min="14090" max="14090" width="9.625" style="500" customWidth="1"/>
    <col min="14091" max="14091" width="9.75" style="500" customWidth="1"/>
    <col min="14092" max="14092" width="9.625" style="500" customWidth="1"/>
    <col min="14093" max="14093" width="9.25" style="500" customWidth="1"/>
    <col min="14094" max="14094" width="8.75" style="500" customWidth="1"/>
    <col min="14095" max="14095" width="9" style="500" customWidth="1"/>
    <col min="14096" max="14336" width="9" style="500"/>
    <col min="14337" max="14337" width="5.125" style="500" customWidth="1"/>
    <col min="14338" max="14338" width="20.5" style="500" customWidth="1"/>
    <col min="14339" max="14340" width="9" style="500"/>
    <col min="14341" max="14341" width="9.75" style="500" bestFit="1" customWidth="1"/>
    <col min="14342" max="14342" width="9.25" style="500" bestFit="1" customWidth="1"/>
    <col min="14343" max="14343" width="8.625" style="500" customWidth="1"/>
    <col min="14344" max="14344" width="9.25" style="500" customWidth="1"/>
    <col min="14345" max="14345" width="9.5" style="500" customWidth="1"/>
    <col min="14346" max="14346" width="9.625" style="500" customWidth="1"/>
    <col min="14347" max="14347" width="9.75" style="500" customWidth="1"/>
    <col min="14348" max="14348" width="9.625" style="500" customWidth="1"/>
    <col min="14349" max="14349" width="9.25" style="500" customWidth="1"/>
    <col min="14350" max="14350" width="8.75" style="500" customWidth="1"/>
    <col min="14351" max="14351" width="9" style="500" customWidth="1"/>
    <col min="14352" max="14592" width="9" style="500"/>
    <col min="14593" max="14593" width="5.125" style="500" customWidth="1"/>
    <col min="14594" max="14594" width="20.5" style="500" customWidth="1"/>
    <col min="14595" max="14596" width="9" style="500"/>
    <col min="14597" max="14597" width="9.75" style="500" bestFit="1" customWidth="1"/>
    <col min="14598" max="14598" width="9.25" style="500" bestFit="1" customWidth="1"/>
    <col min="14599" max="14599" width="8.625" style="500" customWidth="1"/>
    <col min="14600" max="14600" width="9.25" style="500" customWidth="1"/>
    <col min="14601" max="14601" width="9.5" style="500" customWidth="1"/>
    <col min="14602" max="14602" width="9.625" style="500" customWidth="1"/>
    <col min="14603" max="14603" width="9.75" style="500" customWidth="1"/>
    <col min="14604" max="14604" width="9.625" style="500" customWidth="1"/>
    <col min="14605" max="14605" width="9.25" style="500" customWidth="1"/>
    <col min="14606" max="14606" width="8.75" style="500" customWidth="1"/>
    <col min="14607" max="14607" width="9" style="500" customWidth="1"/>
    <col min="14608" max="14848" width="9" style="500"/>
    <col min="14849" max="14849" width="5.125" style="500" customWidth="1"/>
    <col min="14850" max="14850" width="20.5" style="500" customWidth="1"/>
    <col min="14851" max="14852" width="9" style="500"/>
    <col min="14853" max="14853" width="9.75" style="500" bestFit="1" customWidth="1"/>
    <col min="14854" max="14854" width="9.25" style="500" bestFit="1" customWidth="1"/>
    <col min="14855" max="14855" width="8.625" style="500" customWidth="1"/>
    <col min="14856" max="14856" width="9.25" style="500" customWidth="1"/>
    <col min="14857" max="14857" width="9.5" style="500" customWidth="1"/>
    <col min="14858" max="14858" width="9.625" style="500" customWidth="1"/>
    <col min="14859" max="14859" width="9.75" style="500" customWidth="1"/>
    <col min="14860" max="14860" width="9.625" style="500" customWidth="1"/>
    <col min="14861" max="14861" width="9.25" style="500" customWidth="1"/>
    <col min="14862" max="14862" width="8.75" style="500" customWidth="1"/>
    <col min="14863" max="14863" width="9" style="500" customWidth="1"/>
    <col min="14864" max="15104" width="9" style="500"/>
    <col min="15105" max="15105" width="5.125" style="500" customWidth="1"/>
    <col min="15106" max="15106" width="20.5" style="500" customWidth="1"/>
    <col min="15107" max="15108" width="9" style="500"/>
    <col min="15109" max="15109" width="9.75" style="500" bestFit="1" customWidth="1"/>
    <col min="15110" max="15110" width="9.25" style="500" bestFit="1" customWidth="1"/>
    <col min="15111" max="15111" width="8.625" style="500" customWidth="1"/>
    <col min="15112" max="15112" width="9.25" style="500" customWidth="1"/>
    <col min="15113" max="15113" width="9.5" style="500" customWidth="1"/>
    <col min="15114" max="15114" width="9.625" style="500" customWidth="1"/>
    <col min="15115" max="15115" width="9.75" style="500" customWidth="1"/>
    <col min="15116" max="15116" width="9.625" style="500" customWidth="1"/>
    <col min="15117" max="15117" width="9.25" style="500" customWidth="1"/>
    <col min="15118" max="15118" width="8.75" style="500" customWidth="1"/>
    <col min="15119" max="15119" width="9" style="500" customWidth="1"/>
    <col min="15120" max="15360" width="9" style="500"/>
    <col min="15361" max="15361" width="5.125" style="500" customWidth="1"/>
    <col min="15362" max="15362" width="20.5" style="500" customWidth="1"/>
    <col min="15363" max="15364" width="9" style="500"/>
    <col min="15365" max="15365" width="9.75" style="500" bestFit="1" customWidth="1"/>
    <col min="15366" max="15366" width="9.25" style="500" bestFit="1" customWidth="1"/>
    <col min="15367" max="15367" width="8.625" style="500" customWidth="1"/>
    <col min="15368" max="15368" width="9.25" style="500" customWidth="1"/>
    <col min="15369" max="15369" width="9.5" style="500" customWidth="1"/>
    <col min="15370" max="15370" width="9.625" style="500" customWidth="1"/>
    <col min="15371" max="15371" width="9.75" style="500" customWidth="1"/>
    <col min="15372" max="15372" width="9.625" style="500" customWidth="1"/>
    <col min="15373" max="15373" width="9.25" style="500" customWidth="1"/>
    <col min="15374" max="15374" width="8.75" style="500" customWidth="1"/>
    <col min="15375" max="15375" width="9" style="500" customWidth="1"/>
    <col min="15376" max="15616" width="9" style="500"/>
    <col min="15617" max="15617" width="5.125" style="500" customWidth="1"/>
    <col min="15618" max="15618" width="20.5" style="500" customWidth="1"/>
    <col min="15619" max="15620" width="9" style="500"/>
    <col min="15621" max="15621" width="9.75" style="500" bestFit="1" customWidth="1"/>
    <col min="15622" max="15622" width="9.25" style="500" bestFit="1" customWidth="1"/>
    <col min="15623" max="15623" width="8.625" style="500" customWidth="1"/>
    <col min="15624" max="15624" width="9.25" style="500" customWidth="1"/>
    <col min="15625" max="15625" width="9.5" style="500" customWidth="1"/>
    <col min="15626" max="15626" width="9.625" style="500" customWidth="1"/>
    <col min="15627" max="15627" width="9.75" style="500" customWidth="1"/>
    <col min="15628" max="15628" width="9.625" style="500" customWidth="1"/>
    <col min="15629" max="15629" width="9.25" style="500" customWidth="1"/>
    <col min="15630" max="15630" width="8.75" style="500" customWidth="1"/>
    <col min="15631" max="15631" width="9" style="500" customWidth="1"/>
    <col min="15632" max="15872" width="9" style="500"/>
    <col min="15873" max="15873" width="5.125" style="500" customWidth="1"/>
    <col min="15874" max="15874" width="20.5" style="500" customWidth="1"/>
    <col min="15875" max="15876" width="9" style="500"/>
    <col min="15877" max="15877" width="9.75" style="500" bestFit="1" customWidth="1"/>
    <col min="15878" max="15878" width="9.25" style="500" bestFit="1" customWidth="1"/>
    <col min="15879" max="15879" width="8.625" style="500" customWidth="1"/>
    <col min="15880" max="15880" width="9.25" style="500" customWidth="1"/>
    <col min="15881" max="15881" width="9.5" style="500" customWidth="1"/>
    <col min="15882" max="15882" width="9.625" style="500" customWidth="1"/>
    <col min="15883" max="15883" width="9.75" style="500" customWidth="1"/>
    <col min="15884" max="15884" width="9.625" style="500" customWidth="1"/>
    <col min="15885" max="15885" width="9.25" style="500" customWidth="1"/>
    <col min="15886" max="15886" width="8.75" style="500" customWidth="1"/>
    <col min="15887" max="15887" width="9" style="500" customWidth="1"/>
    <col min="15888" max="16128" width="9" style="500"/>
    <col min="16129" max="16129" width="5.125" style="500" customWidth="1"/>
    <col min="16130" max="16130" width="20.5" style="500" customWidth="1"/>
    <col min="16131" max="16132" width="9" style="500"/>
    <col min="16133" max="16133" width="9.75" style="500" bestFit="1" customWidth="1"/>
    <col min="16134" max="16134" width="9.25" style="500" bestFit="1" customWidth="1"/>
    <col min="16135" max="16135" width="8.625" style="500" customWidth="1"/>
    <col min="16136" max="16136" width="9.25" style="500" customWidth="1"/>
    <col min="16137" max="16137" width="9.5" style="500" customWidth="1"/>
    <col min="16138" max="16138" width="9.625" style="500" customWidth="1"/>
    <col min="16139" max="16139" width="9.75" style="500" customWidth="1"/>
    <col min="16140" max="16140" width="9.625" style="500" customWidth="1"/>
    <col min="16141" max="16141" width="9.25" style="500" customWidth="1"/>
    <col min="16142" max="16142" width="8.75" style="500" customWidth="1"/>
    <col min="16143" max="16143" width="9" style="500" customWidth="1"/>
    <col min="16144" max="16384" width="9" style="500"/>
  </cols>
  <sheetData>
    <row r="1" spans="1:18" ht="30" customHeight="1" x14ac:dyDescent="0.25">
      <c r="A1" s="1057" t="s">
        <v>1165</v>
      </c>
      <c r="B1" s="1057"/>
      <c r="C1" s="1057"/>
      <c r="D1" s="1057"/>
      <c r="E1" s="1057"/>
      <c r="F1" s="1057"/>
      <c r="G1" s="1057"/>
      <c r="H1" s="1057"/>
      <c r="I1" s="1057"/>
      <c r="J1" s="1057"/>
      <c r="K1" s="1057"/>
      <c r="L1" s="1057"/>
      <c r="M1" s="1057"/>
      <c r="N1" s="1057"/>
      <c r="O1" s="1057"/>
    </row>
    <row r="2" spans="1:18" ht="28.5" customHeight="1" x14ac:dyDescent="0.25">
      <c r="A2" s="1058" t="str">
        <f>'3 Bảo trì'!A2:D2</f>
        <v>(Kèm theo Nghị quyết số          /NQ-HĐND ngày        tháng 12 năm 2023 của HĐND tỉnh Bắc Kạn)</v>
      </c>
      <c r="B2" s="1059"/>
      <c r="C2" s="1059"/>
      <c r="D2" s="1059"/>
      <c r="E2" s="1059"/>
      <c r="F2" s="1059"/>
      <c r="G2" s="1059"/>
      <c r="H2" s="1059"/>
      <c r="I2" s="1059"/>
      <c r="J2" s="1059"/>
      <c r="K2" s="1059"/>
      <c r="L2" s="1059"/>
      <c r="M2" s="1059"/>
      <c r="N2" s="1059"/>
      <c r="O2" s="1059"/>
    </row>
    <row r="3" spans="1:18" ht="28.5" customHeight="1" x14ac:dyDescent="0.25">
      <c r="A3" s="528"/>
      <c r="B3" s="528"/>
      <c r="C3" s="528"/>
      <c r="D3" s="528"/>
      <c r="E3" s="528"/>
      <c r="F3" s="528"/>
      <c r="G3" s="528"/>
      <c r="H3" s="528"/>
      <c r="I3" s="528"/>
      <c r="J3" s="528"/>
      <c r="K3" s="528"/>
      <c r="L3" s="528"/>
      <c r="M3" s="1060"/>
      <c r="N3" s="1060"/>
      <c r="O3" s="1060"/>
    </row>
    <row r="4" spans="1:18" ht="52.5" customHeight="1" x14ac:dyDescent="0.25">
      <c r="A4" s="502" t="s">
        <v>363</v>
      </c>
      <c r="B4" s="1052" t="s">
        <v>35</v>
      </c>
      <c r="C4" s="1052"/>
      <c r="D4" s="502" t="s">
        <v>584</v>
      </c>
      <c r="E4" s="501" t="s">
        <v>37</v>
      </c>
      <c r="F4" s="502" t="s">
        <v>1152</v>
      </c>
      <c r="G4" s="502" t="s">
        <v>1153</v>
      </c>
      <c r="H4" s="502" t="s">
        <v>1154</v>
      </c>
      <c r="I4" s="502" t="s">
        <v>1155</v>
      </c>
      <c r="J4" s="502" t="s">
        <v>1156</v>
      </c>
      <c r="K4" s="502" t="s">
        <v>1157</v>
      </c>
      <c r="L4" s="502" t="s">
        <v>1158</v>
      </c>
      <c r="M4" s="502" t="s">
        <v>1159</v>
      </c>
      <c r="N4" s="502" t="s">
        <v>1160</v>
      </c>
      <c r="O4" s="502" t="s">
        <v>1161</v>
      </c>
    </row>
    <row r="5" spans="1:18" ht="22.5" customHeight="1" x14ac:dyDescent="0.25">
      <c r="A5" s="600" t="s">
        <v>4</v>
      </c>
      <c r="B5" s="1056" t="s">
        <v>5</v>
      </c>
      <c r="C5" s="1056"/>
      <c r="D5" s="601">
        <v>1</v>
      </c>
      <c r="E5" s="601">
        <v>2</v>
      </c>
      <c r="F5" s="601">
        <v>3</v>
      </c>
      <c r="G5" s="601">
        <v>4</v>
      </c>
      <c r="H5" s="601">
        <v>5</v>
      </c>
      <c r="I5" s="601">
        <v>6</v>
      </c>
      <c r="J5" s="601">
        <v>7</v>
      </c>
      <c r="K5" s="601">
        <v>8</v>
      </c>
      <c r="L5" s="601">
        <v>9</v>
      </c>
      <c r="M5" s="601">
        <v>10</v>
      </c>
      <c r="N5" s="601">
        <v>11</v>
      </c>
      <c r="O5" s="601">
        <v>12</v>
      </c>
      <c r="P5" s="505"/>
      <c r="Q5" s="505"/>
      <c r="R5" s="505"/>
    </row>
    <row r="6" spans="1:18" s="604" customFormat="1" ht="24" customHeight="1" x14ac:dyDescent="0.25">
      <c r="A6" s="1052" t="s">
        <v>33</v>
      </c>
      <c r="B6" s="1052"/>
      <c r="C6" s="502"/>
      <c r="D6" s="502"/>
      <c r="E6" s="602">
        <f>E16+E13+E10+E8+E18</f>
        <v>19000000</v>
      </c>
      <c r="F6" s="602">
        <f>F16+F13+F10+F8+F18</f>
        <v>5631000</v>
      </c>
      <c r="G6" s="602">
        <f t="shared" ref="G6:O6" si="0">G16+G13+G10+G8</f>
        <v>674000</v>
      </c>
      <c r="H6" s="602">
        <f t="shared" si="0"/>
        <v>658000</v>
      </c>
      <c r="I6" s="602">
        <f t="shared" si="0"/>
        <v>1786000</v>
      </c>
      <c r="J6" s="602">
        <f t="shared" si="0"/>
        <v>2346000</v>
      </c>
      <c r="K6" s="602">
        <f t="shared" si="0"/>
        <v>2190000</v>
      </c>
      <c r="L6" s="602">
        <f t="shared" si="0"/>
        <v>3778000</v>
      </c>
      <c r="M6" s="602">
        <f t="shared" si="0"/>
        <v>660000</v>
      </c>
      <c r="N6" s="602">
        <f t="shared" si="0"/>
        <v>865000</v>
      </c>
      <c r="O6" s="602">
        <f t="shared" si="0"/>
        <v>412000</v>
      </c>
      <c r="P6" s="603"/>
    </row>
    <row r="7" spans="1:18" s="607" customFormat="1" ht="36" customHeight="1" x14ac:dyDescent="0.25">
      <c r="A7" s="1056">
        <v>1</v>
      </c>
      <c r="B7" s="1047" t="s">
        <v>1162</v>
      </c>
      <c r="C7" s="601" t="s">
        <v>585</v>
      </c>
      <c r="D7" s="601" t="s">
        <v>154</v>
      </c>
      <c r="E7" s="605">
        <f>SUM(F7:O7)</f>
        <v>919</v>
      </c>
      <c r="F7" s="605">
        <f>'[3]TH mô hình'!$D$3</f>
        <v>179</v>
      </c>
      <c r="G7" s="605">
        <f>'[4]Sở KH(HC)'!D10</f>
        <v>50</v>
      </c>
      <c r="H7" s="605">
        <f>'[4]TP(HC)'!D5</f>
        <v>60</v>
      </c>
      <c r="I7" s="605">
        <f>'[4]BT (HC)'!D4</f>
        <v>90</v>
      </c>
      <c r="J7" s="605">
        <f>'[4]NS (HC)'!D6</f>
        <v>120</v>
      </c>
      <c r="K7" s="605">
        <f>'[4]BB (HC)'!D4</f>
        <v>90</v>
      </c>
      <c r="L7" s="605">
        <f>'[4]PN (HC)'!D4</f>
        <v>175</v>
      </c>
      <c r="M7" s="605">
        <f>'[4]CĐ (HC)'!D5</f>
        <v>50</v>
      </c>
      <c r="N7" s="605">
        <f>'[4]NR (HC)'!D6</f>
        <v>60</v>
      </c>
      <c r="O7" s="605">
        <f>'[4]CM(HC)'!D4</f>
        <v>45</v>
      </c>
      <c r="P7" s="606"/>
      <c r="Q7" s="606"/>
    </row>
    <row r="8" spans="1:18" s="607" customFormat="1" ht="21" customHeight="1" x14ac:dyDescent="0.25">
      <c r="A8" s="1056"/>
      <c r="B8" s="1047"/>
      <c r="C8" s="601" t="s">
        <v>588</v>
      </c>
      <c r="D8" s="601" t="s">
        <v>587</v>
      </c>
      <c r="E8" s="605">
        <f>SUM(F8:O8)</f>
        <v>15729000</v>
      </c>
      <c r="F8" s="605">
        <v>2963000</v>
      </c>
      <c r="G8" s="605">
        <f>'[4]Sở KH(HC)'!G49/1000</f>
        <v>674000</v>
      </c>
      <c r="H8" s="605">
        <f>'[4]TP(HC)'!H4/1000</f>
        <v>658000</v>
      </c>
      <c r="I8" s="605">
        <f>'[4]BT (HC)'!G19/1000</f>
        <v>1232000</v>
      </c>
      <c r="J8" s="605">
        <f>'[4]NS (HC)'!I5/1000</f>
        <v>2325000</v>
      </c>
      <c r="K8" s="605">
        <f>'[4]BB (HC)'!G24/1000</f>
        <v>2190000</v>
      </c>
      <c r="L8" s="605">
        <f>'[4]PN (HC)'!G33/1000</f>
        <v>3778000</v>
      </c>
      <c r="M8" s="605">
        <f>'[4]CĐ (HC)'!G31/1000</f>
        <v>660000</v>
      </c>
      <c r="N8" s="605">
        <f>'[4]NR (HC)'!I4/1000</f>
        <v>837000</v>
      </c>
      <c r="O8" s="605">
        <f>'[4]CM(HC)'!J4/1000</f>
        <v>412000</v>
      </c>
      <c r="P8" s="606"/>
      <c r="Q8" s="608"/>
    </row>
    <row r="9" spans="1:18" s="503" customFormat="1" ht="33" customHeight="1" x14ac:dyDescent="0.2">
      <c r="A9" s="1056">
        <v>2</v>
      </c>
      <c r="B9" s="1047" t="s">
        <v>589</v>
      </c>
      <c r="C9" s="600" t="s">
        <v>585</v>
      </c>
      <c r="D9" s="600" t="s">
        <v>154</v>
      </c>
      <c r="E9" s="605">
        <f>SUM(F9:O9)</f>
        <v>50</v>
      </c>
      <c r="F9" s="609"/>
      <c r="G9" s="609"/>
      <c r="H9" s="609"/>
      <c r="I9" s="609">
        <f>'[4]BT(CT)'!D4</f>
        <v>50</v>
      </c>
      <c r="J9" s="609"/>
      <c r="K9" s="609"/>
      <c r="L9" s="609"/>
      <c r="M9" s="609"/>
      <c r="N9" s="609"/>
      <c r="O9" s="609"/>
      <c r="P9" s="610"/>
    </row>
    <row r="10" spans="1:18" s="607" customFormat="1" ht="33" customHeight="1" x14ac:dyDescent="0.25">
      <c r="A10" s="1056"/>
      <c r="B10" s="1047"/>
      <c r="C10" s="601" t="s">
        <v>588</v>
      </c>
      <c r="D10" s="601" t="s">
        <v>587</v>
      </c>
      <c r="E10" s="605">
        <f>SUM(F10:O10)</f>
        <v>554000</v>
      </c>
      <c r="F10" s="605"/>
      <c r="G10" s="605"/>
      <c r="H10" s="605"/>
      <c r="I10" s="605">
        <f>'[4]BT(CT)'!G19/1000</f>
        <v>554000</v>
      </c>
      <c r="J10" s="605"/>
      <c r="K10" s="605"/>
      <c r="L10" s="605"/>
      <c r="M10" s="605"/>
      <c r="N10" s="605"/>
      <c r="O10" s="605"/>
      <c r="P10" s="611"/>
    </row>
    <row r="11" spans="1:18" ht="27.75" customHeight="1" x14ac:dyDescent="0.25">
      <c r="A11" s="1048">
        <v>3</v>
      </c>
      <c r="B11" s="1047" t="s">
        <v>1163</v>
      </c>
      <c r="C11" s="600" t="s">
        <v>585</v>
      </c>
      <c r="D11" s="600" t="s">
        <v>154</v>
      </c>
      <c r="E11" s="612">
        <f>SUM(F11:O11)</f>
        <v>4.9000000000000004</v>
      </c>
      <c r="F11" s="613"/>
      <c r="G11" s="613"/>
      <c r="H11" s="609"/>
      <c r="I11" s="609"/>
      <c r="J11" s="613">
        <v>2.1</v>
      </c>
      <c r="K11" s="609"/>
      <c r="L11" s="609"/>
      <c r="M11" s="609"/>
      <c r="N11" s="613">
        <v>2.8</v>
      </c>
      <c r="O11" s="609"/>
      <c r="P11" s="614"/>
    </row>
    <row r="12" spans="1:18" ht="27.75" customHeight="1" x14ac:dyDescent="0.25">
      <c r="A12" s="1054"/>
      <c r="B12" s="1047"/>
      <c r="C12" s="600" t="s">
        <v>586</v>
      </c>
      <c r="D12" s="600" t="s">
        <v>587</v>
      </c>
      <c r="E12" s="602"/>
      <c r="F12" s="609"/>
      <c r="G12" s="609"/>
      <c r="H12" s="609"/>
      <c r="I12" s="609"/>
      <c r="J12" s="609"/>
      <c r="K12" s="609"/>
      <c r="L12" s="609"/>
      <c r="M12" s="609"/>
      <c r="N12" s="609"/>
      <c r="O12" s="609"/>
      <c r="P12" s="614"/>
    </row>
    <row r="13" spans="1:18" s="607" customFormat="1" ht="24" customHeight="1" x14ac:dyDescent="0.25">
      <c r="A13" s="1054"/>
      <c r="B13" s="1047"/>
      <c r="C13" s="601" t="s">
        <v>588</v>
      </c>
      <c r="D13" s="601" t="s">
        <v>587</v>
      </c>
      <c r="E13" s="605">
        <f>SUM(F13:O13)</f>
        <v>49000</v>
      </c>
      <c r="F13" s="605"/>
      <c r="G13" s="605"/>
      <c r="H13" s="605"/>
      <c r="I13" s="605"/>
      <c r="J13" s="605">
        <v>21000</v>
      </c>
      <c r="K13" s="605"/>
      <c r="L13" s="605"/>
      <c r="M13" s="605"/>
      <c r="N13" s="605">
        <v>28000</v>
      </c>
      <c r="O13" s="605"/>
      <c r="P13" s="615"/>
      <c r="Q13" s="616"/>
    </row>
    <row r="14" spans="1:18" s="503" customFormat="1" ht="27.75" customHeight="1" x14ac:dyDescent="0.2">
      <c r="A14" s="1048">
        <v>4</v>
      </c>
      <c r="B14" s="1055" t="s">
        <v>590</v>
      </c>
      <c r="C14" s="617" t="s">
        <v>206</v>
      </c>
      <c r="D14" s="618" t="s">
        <v>591</v>
      </c>
      <c r="E14" s="619"/>
      <c r="F14" s="620"/>
      <c r="G14" s="620"/>
      <c r="H14" s="620"/>
      <c r="I14" s="620"/>
      <c r="J14" s="620"/>
      <c r="K14" s="620"/>
      <c r="L14" s="620"/>
      <c r="M14" s="620"/>
      <c r="N14" s="620"/>
      <c r="O14" s="620"/>
      <c r="P14" s="621"/>
      <c r="Q14" s="622"/>
    </row>
    <row r="15" spans="1:18" s="503" customFormat="1" ht="27.75" customHeight="1" x14ac:dyDescent="0.2">
      <c r="A15" s="1054"/>
      <c r="B15" s="1055"/>
      <c r="C15" s="617" t="s">
        <v>586</v>
      </c>
      <c r="D15" s="618" t="s">
        <v>587</v>
      </c>
      <c r="E15" s="461"/>
      <c r="F15" s="623"/>
      <c r="G15" s="623"/>
      <c r="H15" s="624"/>
      <c r="I15" s="624"/>
      <c r="J15" s="624"/>
      <c r="K15" s="624"/>
      <c r="L15" s="624"/>
      <c r="M15" s="624"/>
      <c r="N15" s="624"/>
      <c r="O15" s="624"/>
      <c r="P15" s="621"/>
      <c r="Q15" s="622"/>
    </row>
    <row r="16" spans="1:18" s="607" customFormat="1" ht="28.5" customHeight="1" x14ac:dyDescent="0.25">
      <c r="A16" s="1049"/>
      <c r="B16" s="1055"/>
      <c r="C16" s="625" t="s">
        <v>588</v>
      </c>
      <c r="D16" s="462" t="s">
        <v>587</v>
      </c>
      <c r="E16" s="626"/>
      <c r="F16" s="626"/>
      <c r="G16" s="626"/>
      <c r="H16" s="605"/>
      <c r="I16" s="605"/>
      <c r="J16" s="605"/>
      <c r="K16" s="605"/>
      <c r="L16" s="605"/>
      <c r="M16" s="605"/>
      <c r="N16" s="605"/>
      <c r="O16" s="605"/>
      <c r="P16" s="615"/>
      <c r="Q16" s="616"/>
    </row>
    <row r="17" spans="1:17" s="607" customFormat="1" ht="27.75" customHeight="1" x14ac:dyDescent="0.25">
      <c r="A17" s="1048">
        <v>4</v>
      </c>
      <c r="B17" s="1050" t="s">
        <v>1164</v>
      </c>
      <c r="C17" s="625" t="s">
        <v>206</v>
      </c>
      <c r="D17" s="462" t="s">
        <v>592</v>
      </c>
      <c r="E17" s="605">
        <f>F17</f>
        <v>3</v>
      </c>
      <c r="F17" s="605">
        <v>3</v>
      </c>
      <c r="G17" s="626"/>
      <c r="H17" s="605"/>
      <c r="I17" s="605"/>
      <c r="J17" s="605"/>
      <c r="K17" s="605"/>
      <c r="L17" s="605"/>
      <c r="M17" s="605"/>
      <c r="N17" s="605"/>
      <c r="O17" s="605"/>
      <c r="P17" s="615"/>
      <c r="Q17" s="616"/>
    </row>
    <row r="18" spans="1:17" s="607" customFormat="1" ht="39" customHeight="1" x14ac:dyDescent="0.25">
      <c r="A18" s="1049"/>
      <c r="B18" s="1051"/>
      <c r="C18" s="601" t="s">
        <v>588</v>
      </c>
      <c r="D18" s="601" t="s">
        <v>587</v>
      </c>
      <c r="E18" s="626">
        <f>F18</f>
        <v>2668000</v>
      </c>
      <c r="F18" s="626">
        <f>19000000-G6-H6-I6-J6-K6-L6-M6-N6-O6-F8</f>
        <v>2668000</v>
      </c>
      <c r="G18" s="626"/>
      <c r="H18" s="605"/>
      <c r="I18" s="605"/>
      <c r="J18" s="605"/>
      <c r="K18" s="605"/>
      <c r="L18" s="605"/>
      <c r="M18" s="605"/>
      <c r="N18" s="605"/>
      <c r="O18" s="605"/>
      <c r="P18" s="615"/>
      <c r="Q18" s="616"/>
    </row>
    <row r="19" spans="1:17" s="630" customFormat="1" x14ac:dyDescent="0.25">
      <c r="A19" s="1053"/>
      <c r="B19" s="1053"/>
      <c r="C19" s="627"/>
      <c r="D19" s="628"/>
      <c r="E19" s="629"/>
      <c r="Q19" s="631"/>
    </row>
    <row r="20" spans="1:17" x14ac:dyDescent="0.25">
      <c r="P20" s="505"/>
    </row>
    <row r="21" spans="1:17" x14ac:dyDescent="0.25">
      <c r="P21" s="505"/>
    </row>
    <row r="24" spans="1:17" x14ac:dyDescent="0.25">
      <c r="P24" s="505"/>
    </row>
    <row r="25" spans="1:17" x14ac:dyDescent="0.25">
      <c r="P25" s="505"/>
    </row>
    <row r="26" spans="1:17" x14ac:dyDescent="0.25">
      <c r="P26" s="505"/>
    </row>
  </sheetData>
  <mergeCells count="17">
    <mergeCell ref="A1:O1"/>
    <mergeCell ref="A2:O2"/>
    <mergeCell ref="M3:O3"/>
    <mergeCell ref="B4:C4"/>
    <mergeCell ref="B5:C5"/>
    <mergeCell ref="B9:B10"/>
    <mergeCell ref="A17:A18"/>
    <mergeCell ref="B17:B18"/>
    <mergeCell ref="A6:B6"/>
    <mergeCell ref="A19:B19"/>
    <mergeCell ref="A11:A13"/>
    <mergeCell ref="B11:B13"/>
    <mergeCell ref="A14:A16"/>
    <mergeCell ref="B14:B16"/>
    <mergeCell ref="A7:A8"/>
    <mergeCell ref="B7:B8"/>
    <mergeCell ref="A9:A10"/>
  </mergeCells>
  <pageMargins left="0.78740157480314965" right="0.39370078740157483" top="0.78740157480314965" bottom="0.78740157480314965" header="0.31496062992125984" footer="0.31496062992125984"/>
  <pageSetup paperSize="9" scale="82" firstPageNumber="74" orientation="landscape" useFirstPageNumber="1" r:id="rId1"/>
  <headerFooter>
    <oddHeader>&amp;C&amp;P&amp;RPhụ biểu số 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1"/>
  <sheetViews>
    <sheetView view="pageLayout" zoomScale="70" zoomScaleNormal="55" zoomScaleSheetLayoutView="85" zoomScalePageLayoutView="70" workbookViewId="0">
      <selection activeCell="D36" sqref="D36"/>
    </sheetView>
  </sheetViews>
  <sheetFormatPr defaultColWidth="8.75" defaultRowHeight="15.75" x14ac:dyDescent="0.25"/>
  <cols>
    <col min="1" max="1" width="8.75" style="633"/>
    <col min="2" max="2" width="0" style="633" hidden="1" customWidth="1"/>
    <col min="3" max="3" width="28.25" style="674" customWidth="1"/>
    <col min="4" max="4" width="58.25" style="674" customWidth="1"/>
    <col min="5" max="5" width="25.75" style="633" hidden="1" customWidth="1"/>
    <col min="6" max="6" width="13.75" style="651" customWidth="1"/>
    <col min="7" max="7" width="24" style="652" customWidth="1"/>
    <col min="8" max="8" width="20.75" style="652" customWidth="1"/>
    <col min="9" max="9" width="27.125" style="653" hidden="1" customWidth="1"/>
    <col min="10" max="10" width="17.25" style="633" hidden="1" customWidth="1"/>
    <col min="11" max="11" width="17.75" style="633" hidden="1" customWidth="1"/>
    <col min="12" max="12" width="0" style="633" hidden="1" customWidth="1"/>
    <col min="13" max="16384" width="8.75" style="633"/>
  </cols>
  <sheetData>
    <row r="1" spans="1:11" ht="19.149999999999999" customHeight="1" x14ac:dyDescent="0.25">
      <c r="A1" s="1061" t="s">
        <v>1193</v>
      </c>
      <c r="B1" s="1061"/>
      <c r="C1" s="1061"/>
      <c r="D1" s="1061"/>
      <c r="E1" s="1061"/>
      <c r="F1" s="1061"/>
      <c r="G1" s="1061"/>
      <c r="H1" s="1061"/>
      <c r="I1" s="1061"/>
    </row>
    <row r="2" spans="1:11" ht="25.15" customHeight="1" x14ac:dyDescent="0.25">
      <c r="A2" s="1062" t="str">
        <f>'4 NĐ 35'!A2</f>
        <v>(Kèm theo Nghị quyết số          /NQ-HĐND ngày        tháng 12 năm 2023 của HĐND tỉnh Bắc Kạn)</v>
      </c>
      <c r="B2" s="1063"/>
      <c r="C2" s="1063"/>
      <c r="D2" s="1063"/>
      <c r="E2" s="1063"/>
      <c r="F2" s="1063"/>
      <c r="G2" s="1063"/>
      <c r="H2" s="1063"/>
      <c r="I2" s="1063"/>
    </row>
    <row r="3" spans="1:11" x14ac:dyDescent="0.25">
      <c r="E3" s="634"/>
      <c r="F3" s="534"/>
      <c r="G3" s="1064" t="s">
        <v>1166</v>
      </c>
      <c r="H3" s="1064"/>
      <c r="I3" s="1064"/>
    </row>
    <row r="4" spans="1:11" s="635" customFormat="1" ht="37.5" x14ac:dyDescent="0.25">
      <c r="A4" s="521" t="s">
        <v>1</v>
      </c>
      <c r="B4" s="521"/>
      <c r="C4" s="521" t="s">
        <v>36</v>
      </c>
      <c r="D4" s="675" t="s">
        <v>1167</v>
      </c>
      <c r="E4" s="521" t="s">
        <v>1168</v>
      </c>
      <c r="F4" s="521" t="s">
        <v>1169</v>
      </c>
      <c r="G4" s="521" t="s">
        <v>1170</v>
      </c>
      <c r="H4" s="538" t="s">
        <v>1171</v>
      </c>
      <c r="I4" s="538" t="s">
        <v>3</v>
      </c>
    </row>
    <row r="5" spans="1:11" s="638" customFormat="1" ht="18.75" x14ac:dyDescent="0.25">
      <c r="A5" s="520">
        <v>1</v>
      </c>
      <c r="B5" s="520"/>
      <c r="C5" s="520">
        <v>2</v>
      </c>
      <c r="D5" s="676">
        <v>3</v>
      </c>
      <c r="E5" s="520">
        <v>4</v>
      </c>
      <c r="F5" s="520"/>
      <c r="G5" s="520">
        <v>4</v>
      </c>
      <c r="H5" s="636">
        <v>5</v>
      </c>
      <c r="I5" s="637">
        <v>6</v>
      </c>
    </row>
    <row r="6" spans="1:11" ht="31.5" customHeight="1" x14ac:dyDescent="0.25">
      <c r="A6" s="654"/>
      <c r="B6" s="654"/>
      <c r="C6" s="677" t="s">
        <v>67</v>
      </c>
      <c r="D6" s="677"/>
      <c r="E6" s="655" t="e">
        <f>E7+E48</f>
        <v>#REF!</v>
      </c>
      <c r="F6" s="654"/>
      <c r="G6" s="655">
        <f>G7+G48</f>
        <v>184750790496</v>
      </c>
      <c r="H6" s="655">
        <f>H7+H48</f>
        <v>73961558000</v>
      </c>
      <c r="I6" s="656"/>
      <c r="J6" s="639">
        <v>74110558000</v>
      </c>
      <c r="K6" s="639">
        <f>H6-J6</f>
        <v>-149000000</v>
      </c>
    </row>
    <row r="7" spans="1:11" ht="56.25" x14ac:dyDescent="0.25">
      <c r="A7" s="640" t="s">
        <v>46</v>
      </c>
      <c r="B7" s="640"/>
      <c r="C7" s="678" t="s">
        <v>1172</v>
      </c>
      <c r="D7" s="678"/>
      <c r="E7" s="641" t="e">
        <f>E46+#REF!+#REF!+#REF!+#REF!+#REF!+#REF!+#REF!+#REF!+#REF!+#REF!+#REF!+#REF!+#REF!+#REF!+#REF!+#REF!+#REF!+#REF!</f>
        <v>#REF!</v>
      </c>
      <c r="F7" s="640"/>
      <c r="G7" s="641">
        <f>G9+G23+G25+G28+G30+G32+G34+G36+G39+G42+G46</f>
        <v>145030390496</v>
      </c>
      <c r="H7" s="641">
        <f>H9+H23+H25+H28+H30+H32+H34+H36+H39+H42+H46</f>
        <v>51522358000</v>
      </c>
      <c r="I7" s="643"/>
      <c r="J7" s="639">
        <f>'[5]CDS 2024'!$K$4*1000000</f>
        <v>74110558000</v>
      </c>
      <c r="K7" s="639">
        <f>SUM(H19:H22)+H52</f>
        <v>1100000000</v>
      </c>
    </row>
    <row r="8" spans="1:11" ht="93.75" hidden="1" x14ac:dyDescent="0.25">
      <c r="A8" s="640"/>
      <c r="B8" s="640"/>
      <c r="C8" s="678"/>
      <c r="D8" s="678"/>
      <c r="E8" s="641"/>
      <c r="F8" s="640"/>
      <c r="G8" s="642" t="s">
        <v>1173</v>
      </c>
      <c r="H8" s="642" t="s">
        <v>1174</v>
      </c>
      <c r="I8" s="643"/>
      <c r="J8" s="639"/>
      <c r="K8" s="639"/>
    </row>
    <row r="9" spans="1:11" s="645" customFormat="1" ht="37.5" x14ac:dyDescent="0.25">
      <c r="A9" s="642">
        <v>1</v>
      </c>
      <c r="B9" s="642"/>
      <c r="C9" s="678" t="s">
        <v>219</v>
      </c>
      <c r="D9" s="678"/>
      <c r="E9" s="657"/>
      <c r="F9" s="642"/>
      <c r="G9" s="526">
        <f>SUM(G10:G22)</f>
        <v>43182000000</v>
      </c>
      <c r="H9" s="526">
        <f>SUM(H10:H22)</f>
        <v>19743377000</v>
      </c>
      <c r="I9" s="490"/>
      <c r="J9" s="644"/>
      <c r="K9" s="644">
        <f>K6-K7</f>
        <v>-1249000000</v>
      </c>
    </row>
    <row r="10" spans="1:11" s="645" customFormat="1" ht="37.5" x14ac:dyDescent="0.25">
      <c r="A10" s="658" t="s">
        <v>8</v>
      </c>
      <c r="B10" s="658">
        <v>1</v>
      </c>
      <c r="C10" s="679"/>
      <c r="D10" s="679" t="s">
        <v>994</v>
      </c>
      <c r="E10" s="657"/>
      <c r="F10" s="642" t="s">
        <v>1175</v>
      </c>
      <c r="G10" s="491">
        <v>2238000000</v>
      </c>
      <c r="H10" s="491">
        <v>746000000</v>
      </c>
      <c r="I10" s="490" t="s">
        <v>1176</v>
      </c>
      <c r="J10" s="644"/>
      <c r="K10" s="644"/>
    </row>
    <row r="11" spans="1:11" s="645" customFormat="1" ht="18.75" x14ac:dyDescent="0.25">
      <c r="A11" s="658" t="s">
        <v>8</v>
      </c>
      <c r="B11" s="658">
        <v>2</v>
      </c>
      <c r="C11" s="679"/>
      <c r="D11" s="679" t="s">
        <v>995</v>
      </c>
      <c r="E11" s="657"/>
      <c r="F11" s="642" t="s">
        <v>1177</v>
      </c>
      <c r="G11" s="491">
        <v>7000000000</v>
      </c>
      <c r="H11" s="491">
        <v>4000000000</v>
      </c>
      <c r="I11" s="490"/>
    </row>
    <row r="12" spans="1:11" s="645" customFormat="1" ht="37.5" x14ac:dyDescent="0.25">
      <c r="A12" s="658" t="s">
        <v>8</v>
      </c>
      <c r="B12" s="658">
        <v>3</v>
      </c>
      <c r="C12" s="679"/>
      <c r="D12" s="679" t="s">
        <v>996</v>
      </c>
      <c r="E12" s="657"/>
      <c r="F12" s="642" t="s">
        <v>1175</v>
      </c>
      <c r="G12" s="491">
        <v>5800000000</v>
      </c>
      <c r="H12" s="491">
        <v>1500000000</v>
      </c>
      <c r="I12" s="490"/>
    </row>
    <row r="13" spans="1:11" s="645" customFormat="1" ht="37.5" x14ac:dyDescent="0.25">
      <c r="A13" s="658" t="s">
        <v>8</v>
      </c>
      <c r="B13" s="658">
        <v>4</v>
      </c>
      <c r="C13" s="679"/>
      <c r="D13" s="679" t="s">
        <v>598</v>
      </c>
      <c r="E13" s="657"/>
      <c r="F13" s="642" t="s">
        <v>1175</v>
      </c>
      <c r="G13" s="491">
        <v>7500000000</v>
      </c>
      <c r="H13" s="491">
        <v>2500000000</v>
      </c>
      <c r="I13" s="490"/>
    </row>
    <row r="14" spans="1:11" s="645" customFormat="1" ht="56.25" x14ac:dyDescent="0.25">
      <c r="A14" s="658" t="s">
        <v>8</v>
      </c>
      <c r="B14" s="658">
        <v>5</v>
      </c>
      <c r="C14" s="679"/>
      <c r="D14" s="679" t="s">
        <v>997</v>
      </c>
      <c r="E14" s="657"/>
      <c r="F14" s="642" t="s">
        <v>1175</v>
      </c>
      <c r="G14" s="491">
        <v>6000000000</v>
      </c>
      <c r="H14" s="491">
        <v>1300000000</v>
      </c>
      <c r="I14" s="490"/>
    </row>
    <row r="15" spans="1:11" s="645" customFormat="1" ht="56.25" x14ac:dyDescent="0.25">
      <c r="A15" s="658" t="s">
        <v>8</v>
      </c>
      <c r="B15" s="658">
        <v>6</v>
      </c>
      <c r="C15" s="683"/>
      <c r="D15" s="679" t="s">
        <v>998</v>
      </c>
      <c r="E15" s="657"/>
      <c r="F15" s="642" t="s">
        <v>1175</v>
      </c>
      <c r="G15" s="491">
        <v>1694000000</v>
      </c>
      <c r="H15" s="491">
        <v>847000000</v>
      </c>
      <c r="I15" s="490" t="s">
        <v>1178</v>
      </c>
    </row>
    <row r="16" spans="1:11" s="645" customFormat="1" ht="18.75" x14ac:dyDescent="0.25">
      <c r="A16" s="658" t="s">
        <v>8</v>
      </c>
      <c r="B16" s="658">
        <v>7</v>
      </c>
      <c r="C16" s="679"/>
      <c r="D16" s="659" t="s">
        <v>999</v>
      </c>
      <c r="E16" s="657"/>
      <c r="F16" s="642" t="s">
        <v>1175</v>
      </c>
      <c r="G16" s="491">
        <v>4920000000</v>
      </c>
      <c r="H16" s="491">
        <v>1640000000</v>
      </c>
      <c r="I16" s="490"/>
    </row>
    <row r="17" spans="1:10" s="645" customFormat="1" ht="78.75" x14ac:dyDescent="0.25">
      <c r="A17" s="658" t="s">
        <v>8</v>
      </c>
      <c r="B17" s="658">
        <v>8</v>
      </c>
      <c r="C17" s="683"/>
      <c r="D17" s="679" t="s">
        <v>1000</v>
      </c>
      <c r="E17" s="657"/>
      <c r="F17" s="642" t="s">
        <v>1177</v>
      </c>
      <c r="G17" s="491">
        <v>1230000000</v>
      </c>
      <c r="H17" s="491">
        <v>410377000</v>
      </c>
      <c r="I17" s="490" t="s">
        <v>1179</v>
      </c>
    </row>
    <row r="18" spans="1:10" s="645" customFormat="1" ht="37.5" x14ac:dyDescent="0.25">
      <c r="A18" s="658" t="s">
        <v>8</v>
      </c>
      <c r="B18" s="658">
        <v>9</v>
      </c>
      <c r="C18" s="679"/>
      <c r="D18" s="679" t="s">
        <v>1001</v>
      </c>
      <c r="E18" s="657"/>
      <c r="F18" s="642" t="s">
        <v>1177</v>
      </c>
      <c r="G18" s="491">
        <v>6800000000</v>
      </c>
      <c r="H18" s="491">
        <v>6800000000</v>
      </c>
      <c r="I18" s="490"/>
    </row>
    <row r="19" spans="1:10" s="645" customFormat="1" ht="18.75" x14ac:dyDescent="0.25">
      <c r="A19" s="658" t="s">
        <v>8</v>
      </c>
      <c r="B19" s="658"/>
      <c r="C19" s="679"/>
      <c r="D19" s="679" t="s">
        <v>599</v>
      </c>
      <c r="E19" s="657"/>
      <c r="F19" s="642"/>
      <c r="G19" s="491"/>
      <c r="H19" s="491"/>
      <c r="I19" s="490" t="s">
        <v>1180</v>
      </c>
      <c r="J19" s="1033" t="s">
        <v>1181</v>
      </c>
    </row>
    <row r="20" spans="1:10" s="645" customFormat="1" ht="18.75" x14ac:dyDescent="0.25">
      <c r="A20" s="658" t="s">
        <v>8</v>
      </c>
      <c r="B20" s="658"/>
      <c r="C20" s="679"/>
      <c r="D20" s="679" t="s">
        <v>601</v>
      </c>
      <c r="E20" s="657"/>
      <c r="F20" s="642"/>
      <c r="G20" s="491"/>
      <c r="H20" s="491"/>
      <c r="I20" s="490" t="s">
        <v>1180</v>
      </c>
      <c r="J20" s="1033"/>
    </row>
    <row r="21" spans="1:10" s="645" customFormat="1" ht="56.25" x14ac:dyDescent="0.25">
      <c r="A21" s="658" t="s">
        <v>8</v>
      </c>
      <c r="B21" s="658"/>
      <c r="C21" s="679"/>
      <c r="D21" s="679" t="s">
        <v>1182</v>
      </c>
      <c r="E21" s="657"/>
      <c r="F21" s="642"/>
      <c r="G21" s="491"/>
      <c r="H21" s="491"/>
      <c r="I21" s="490" t="s">
        <v>1180</v>
      </c>
      <c r="J21" s="1033"/>
    </row>
    <row r="22" spans="1:10" s="645" customFormat="1" ht="56.25" x14ac:dyDescent="0.25">
      <c r="A22" s="658" t="s">
        <v>8</v>
      </c>
      <c r="B22" s="658"/>
      <c r="C22" s="679"/>
      <c r="D22" s="679" t="s">
        <v>1183</v>
      </c>
      <c r="E22" s="657"/>
      <c r="F22" s="642"/>
      <c r="G22" s="491"/>
      <c r="H22" s="491"/>
      <c r="I22" s="490" t="s">
        <v>1180</v>
      </c>
      <c r="J22" s="1033"/>
    </row>
    <row r="23" spans="1:10" s="645" customFormat="1" ht="37.5" x14ac:dyDescent="0.25">
      <c r="A23" s="642">
        <v>2</v>
      </c>
      <c r="B23" s="642"/>
      <c r="C23" s="678" t="s">
        <v>494</v>
      </c>
      <c r="D23" s="680"/>
      <c r="E23" s="657"/>
      <c r="F23" s="642"/>
      <c r="G23" s="526">
        <f>SUM(G24)</f>
        <v>35523667496</v>
      </c>
      <c r="H23" s="526">
        <f>SUM(H24)</f>
        <v>10000000000</v>
      </c>
      <c r="I23" s="490"/>
    </row>
    <row r="24" spans="1:10" s="645" customFormat="1" ht="64.5" customHeight="1" x14ac:dyDescent="0.25">
      <c r="A24" s="642" t="s">
        <v>10</v>
      </c>
      <c r="B24" s="642">
        <v>10</v>
      </c>
      <c r="C24" s="660"/>
      <c r="D24" s="679" t="s">
        <v>940</v>
      </c>
      <c r="E24" s="661"/>
      <c r="F24" s="662" t="s">
        <v>1175</v>
      </c>
      <c r="G24" s="663">
        <v>35523667496</v>
      </c>
      <c r="H24" s="663">
        <v>10000000000</v>
      </c>
      <c r="I24" s="490" t="s">
        <v>1184</v>
      </c>
    </row>
    <row r="25" spans="1:10" s="647" customFormat="1" ht="18.75" x14ac:dyDescent="0.25">
      <c r="A25" s="642">
        <v>3</v>
      </c>
      <c r="B25" s="642"/>
      <c r="C25" s="678" t="s">
        <v>221</v>
      </c>
      <c r="D25" s="681"/>
      <c r="E25" s="664"/>
      <c r="F25" s="665"/>
      <c r="G25" s="526">
        <f>G26+G27</f>
        <v>12642000000</v>
      </c>
      <c r="H25" s="526">
        <f>H26+H27</f>
        <v>4190000000</v>
      </c>
      <c r="I25" s="646"/>
    </row>
    <row r="26" spans="1:10" s="645" customFormat="1" ht="18.75" x14ac:dyDescent="0.25">
      <c r="A26" s="642" t="s">
        <v>10</v>
      </c>
      <c r="B26" s="642">
        <v>11</v>
      </c>
      <c r="C26" s="679"/>
      <c r="D26" s="679" t="s">
        <v>596</v>
      </c>
      <c r="E26" s="657"/>
      <c r="F26" s="642" t="s">
        <v>1175</v>
      </c>
      <c r="G26" s="491">
        <v>3042000000</v>
      </c>
      <c r="H26" s="491">
        <v>990000000</v>
      </c>
      <c r="I26" s="648" t="s">
        <v>1178</v>
      </c>
    </row>
    <row r="27" spans="1:10" s="645" customFormat="1" ht="18.75" x14ac:dyDescent="0.25">
      <c r="A27" s="642" t="s">
        <v>8</v>
      </c>
      <c r="B27" s="642">
        <v>12</v>
      </c>
      <c r="C27" s="679"/>
      <c r="D27" s="659" t="s">
        <v>992</v>
      </c>
      <c r="E27" s="657"/>
      <c r="F27" s="642" t="s">
        <v>1175</v>
      </c>
      <c r="G27" s="666">
        <v>9600000000</v>
      </c>
      <c r="H27" s="491">
        <v>3200000000</v>
      </c>
      <c r="I27" s="648"/>
    </row>
    <row r="28" spans="1:10" s="647" customFormat="1" ht="18.75" x14ac:dyDescent="0.25">
      <c r="A28" s="642">
        <v>4</v>
      </c>
      <c r="B28" s="642"/>
      <c r="C28" s="678" t="s">
        <v>89</v>
      </c>
      <c r="D28" s="681"/>
      <c r="E28" s="664"/>
      <c r="F28" s="665"/>
      <c r="G28" s="526">
        <f>G29</f>
        <v>4000000000</v>
      </c>
      <c r="H28" s="526">
        <f>H29</f>
        <v>2000000000</v>
      </c>
      <c r="I28" s="646"/>
    </row>
    <row r="29" spans="1:10" s="645" customFormat="1" ht="18.75" x14ac:dyDescent="0.25">
      <c r="A29" s="642" t="s">
        <v>10</v>
      </c>
      <c r="B29" s="642">
        <v>13</v>
      </c>
      <c r="C29" s="679"/>
      <c r="D29" s="659" t="s">
        <v>662</v>
      </c>
      <c r="E29" s="657"/>
      <c r="F29" s="642" t="s">
        <v>1175</v>
      </c>
      <c r="G29" s="491">
        <v>4000000000</v>
      </c>
      <c r="H29" s="491">
        <v>2000000000</v>
      </c>
      <c r="I29" s="648"/>
    </row>
    <row r="30" spans="1:10" s="645" customFormat="1" ht="33" x14ac:dyDescent="0.25">
      <c r="A30" s="642">
        <v>5</v>
      </c>
      <c r="B30" s="642"/>
      <c r="C30" s="680" t="s">
        <v>1185</v>
      </c>
      <c r="D30" s="680"/>
      <c r="E30" s="657"/>
      <c r="F30" s="642"/>
      <c r="G30" s="526">
        <f>SUM(G31)</f>
        <v>2985470000</v>
      </c>
      <c r="H30" s="526">
        <f>SUM(H31)</f>
        <v>143906000</v>
      </c>
      <c r="I30" s="490"/>
    </row>
    <row r="31" spans="1:10" s="645" customFormat="1" ht="31.5" customHeight="1" x14ac:dyDescent="0.25">
      <c r="A31" s="658" t="s">
        <v>8</v>
      </c>
      <c r="B31" s="642">
        <v>14</v>
      </c>
      <c r="C31" s="660"/>
      <c r="D31" s="660" t="s">
        <v>840</v>
      </c>
      <c r="E31" s="657"/>
      <c r="F31" s="642" t="s">
        <v>1177</v>
      </c>
      <c r="G31" s="491">
        <v>2985470000</v>
      </c>
      <c r="H31" s="491">
        <v>143906000</v>
      </c>
      <c r="I31" s="490" t="s">
        <v>1186</v>
      </c>
    </row>
    <row r="32" spans="1:10" s="645" customFormat="1" ht="18.75" x14ac:dyDescent="0.25">
      <c r="A32" s="642">
        <v>6</v>
      </c>
      <c r="B32" s="642"/>
      <c r="C32" s="667" t="s">
        <v>223</v>
      </c>
      <c r="D32" s="667"/>
      <c r="E32" s="657"/>
      <c r="F32" s="642"/>
      <c r="G32" s="526">
        <f>SUM(G33)</f>
        <v>4500000000</v>
      </c>
      <c r="H32" s="526">
        <f>SUM(H33)</f>
        <v>2000000000</v>
      </c>
      <c r="I32" s="490"/>
    </row>
    <row r="33" spans="1:9" s="645" customFormat="1" ht="33" x14ac:dyDescent="0.25">
      <c r="A33" s="658" t="s">
        <v>8</v>
      </c>
      <c r="B33" s="642">
        <v>15</v>
      </c>
      <c r="C33" s="659"/>
      <c r="D33" s="660" t="s">
        <v>468</v>
      </c>
      <c r="E33" s="657"/>
      <c r="F33" s="642" t="s">
        <v>1177</v>
      </c>
      <c r="G33" s="491">
        <v>4500000000</v>
      </c>
      <c r="H33" s="491">
        <v>2000000000</v>
      </c>
      <c r="I33" s="490" t="s">
        <v>1186</v>
      </c>
    </row>
    <row r="34" spans="1:9" s="645" customFormat="1" ht="33" x14ac:dyDescent="0.25">
      <c r="A34" s="642">
        <v>7</v>
      </c>
      <c r="B34" s="642"/>
      <c r="C34" s="667" t="s">
        <v>1187</v>
      </c>
      <c r="D34" s="667"/>
      <c r="E34" s="657"/>
      <c r="F34" s="642"/>
      <c r="G34" s="526">
        <f>SUM(G35)</f>
        <v>3200000000</v>
      </c>
      <c r="H34" s="526">
        <f>SUM(H35)</f>
        <v>1920000000</v>
      </c>
      <c r="I34" s="490"/>
    </row>
    <row r="35" spans="1:9" s="645" customFormat="1" ht="33.6" customHeight="1" x14ac:dyDescent="0.25">
      <c r="A35" s="658" t="s">
        <v>8</v>
      </c>
      <c r="B35" s="642">
        <v>16</v>
      </c>
      <c r="C35" s="659"/>
      <c r="D35" s="660" t="s">
        <v>603</v>
      </c>
      <c r="E35" s="657"/>
      <c r="F35" s="642" t="s">
        <v>1177</v>
      </c>
      <c r="G35" s="491">
        <v>3200000000</v>
      </c>
      <c r="H35" s="491">
        <v>1920000000</v>
      </c>
      <c r="I35" s="490" t="s">
        <v>1186</v>
      </c>
    </row>
    <row r="36" spans="1:9" s="647" customFormat="1" ht="37.5" x14ac:dyDescent="0.25">
      <c r="A36" s="642">
        <v>8</v>
      </c>
      <c r="B36" s="642"/>
      <c r="C36" s="678" t="s">
        <v>182</v>
      </c>
      <c r="D36" s="660"/>
      <c r="E36" s="664"/>
      <c r="F36" s="642"/>
      <c r="G36" s="526">
        <f>G37+G38</f>
        <v>11842000000</v>
      </c>
      <c r="H36" s="526">
        <f>H37+H38</f>
        <v>3952000000</v>
      </c>
      <c r="I36" s="646"/>
    </row>
    <row r="37" spans="1:9" s="649" customFormat="1" ht="36" customHeight="1" x14ac:dyDescent="0.25">
      <c r="A37" s="658" t="s">
        <v>8</v>
      </c>
      <c r="B37" s="642">
        <v>17</v>
      </c>
      <c r="C37" s="679"/>
      <c r="D37" s="659" t="s">
        <v>1188</v>
      </c>
      <c r="E37" s="657"/>
      <c r="F37" s="642" t="s">
        <v>1175</v>
      </c>
      <c r="G37" s="491">
        <v>2242000000</v>
      </c>
      <c r="H37" s="491">
        <v>952000000</v>
      </c>
      <c r="I37" s="590" t="s">
        <v>1186</v>
      </c>
    </row>
    <row r="38" spans="1:9" s="649" customFormat="1" ht="36" customHeight="1" x14ac:dyDescent="0.25">
      <c r="A38" s="642" t="s">
        <v>8</v>
      </c>
      <c r="B38" s="642">
        <v>18</v>
      </c>
      <c r="C38" s="679"/>
      <c r="D38" s="659" t="s">
        <v>1189</v>
      </c>
      <c r="E38" s="657"/>
      <c r="F38" s="642" t="s">
        <v>1177</v>
      </c>
      <c r="G38" s="491">
        <v>9600000000</v>
      </c>
      <c r="H38" s="491">
        <v>3000000000</v>
      </c>
      <c r="I38" s="590" t="s">
        <v>1186</v>
      </c>
    </row>
    <row r="39" spans="1:9" s="647" customFormat="1" ht="18.75" x14ac:dyDescent="0.25">
      <c r="A39" s="642">
        <v>9</v>
      </c>
      <c r="B39" s="642"/>
      <c r="C39" s="678" t="s">
        <v>143</v>
      </c>
      <c r="D39" s="680"/>
      <c r="E39" s="664"/>
      <c r="F39" s="642"/>
      <c r="G39" s="526">
        <f>G40+G41</f>
        <v>2523075000</v>
      </c>
      <c r="H39" s="526">
        <f>H40+H41</f>
        <v>1373075000</v>
      </c>
      <c r="I39" s="646"/>
    </row>
    <row r="40" spans="1:9" s="645" customFormat="1" ht="93.75" x14ac:dyDescent="0.25">
      <c r="A40" s="658" t="s">
        <v>8</v>
      </c>
      <c r="B40" s="642">
        <v>19</v>
      </c>
      <c r="C40" s="679"/>
      <c r="D40" s="679" t="s">
        <v>721</v>
      </c>
      <c r="E40" s="657"/>
      <c r="F40" s="642" t="s">
        <v>1175</v>
      </c>
      <c r="G40" s="668">
        <v>1198000000</v>
      </c>
      <c r="H40" s="491">
        <v>648000000</v>
      </c>
      <c r="I40" s="490" t="s">
        <v>1186</v>
      </c>
    </row>
    <row r="41" spans="1:9" s="645" customFormat="1" ht="39.75" customHeight="1" x14ac:dyDescent="0.25">
      <c r="A41" s="642" t="s">
        <v>8</v>
      </c>
      <c r="B41" s="642">
        <v>20</v>
      </c>
      <c r="C41" s="679"/>
      <c r="D41" s="659" t="s">
        <v>722</v>
      </c>
      <c r="E41" s="657"/>
      <c r="F41" s="642" t="s">
        <v>1177</v>
      </c>
      <c r="G41" s="668">
        <v>1325075000</v>
      </c>
      <c r="H41" s="491">
        <v>725075000</v>
      </c>
      <c r="I41" s="490" t="s">
        <v>1186</v>
      </c>
    </row>
    <row r="42" spans="1:9" s="645" customFormat="1" ht="18.75" x14ac:dyDescent="0.25">
      <c r="A42" s="642">
        <v>10</v>
      </c>
      <c r="B42" s="642"/>
      <c r="C42" s="678" t="s">
        <v>117</v>
      </c>
      <c r="D42" s="678"/>
      <c r="E42" s="657"/>
      <c r="F42" s="642"/>
      <c r="G42" s="526">
        <f>SUM(G43:G45)</f>
        <v>7800000000</v>
      </c>
      <c r="H42" s="526">
        <f>SUM(H43:H45)</f>
        <v>5200000000</v>
      </c>
      <c r="I42" s="648"/>
    </row>
    <row r="43" spans="1:9" s="645" customFormat="1" ht="33" x14ac:dyDescent="0.25">
      <c r="A43" s="642"/>
      <c r="B43" s="642">
        <v>21</v>
      </c>
      <c r="C43" s="679"/>
      <c r="D43" s="659" t="s">
        <v>948</v>
      </c>
      <c r="E43" s="657"/>
      <c r="F43" s="642" t="s">
        <v>1175</v>
      </c>
      <c r="G43" s="668">
        <v>4000000000</v>
      </c>
      <c r="H43" s="491">
        <v>2600000000</v>
      </c>
      <c r="I43" s="648"/>
    </row>
    <row r="44" spans="1:9" s="645" customFormat="1" ht="33" x14ac:dyDescent="0.25">
      <c r="A44" s="642"/>
      <c r="B44" s="642">
        <v>22</v>
      </c>
      <c r="C44" s="679"/>
      <c r="D44" s="659" t="s">
        <v>949</v>
      </c>
      <c r="E44" s="657"/>
      <c r="F44" s="642" t="s">
        <v>1175</v>
      </c>
      <c r="G44" s="491">
        <v>1800000000</v>
      </c>
      <c r="H44" s="491">
        <v>1200000000</v>
      </c>
      <c r="I44" s="648"/>
    </row>
    <row r="45" spans="1:9" s="645" customFormat="1" ht="37.5" x14ac:dyDescent="0.25">
      <c r="A45" s="642"/>
      <c r="B45" s="642">
        <v>23</v>
      </c>
      <c r="C45" s="679"/>
      <c r="D45" s="659" t="s">
        <v>602</v>
      </c>
      <c r="E45" s="657"/>
      <c r="F45" s="642" t="s">
        <v>1190</v>
      </c>
      <c r="G45" s="491">
        <v>2000000000</v>
      </c>
      <c r="H45" s="491">
        <v>1400000000</v>
      </c>
      <c r="I45" s="648"/>
    </row>
    <row r="46" spans="1:9" s="645" customFormat="1" ht="37.5" x14ac:dyDescent="0.25">
      <c r="A46" s="642">
        <v>11</v>
      </c>
      <c r="B46" s="642"/>
      <c r="C46" s="678" t="s">
        <v>461</v>
      </c>
      <c r="D46" s="679"/>
      <c r="E46" s="657"/>
      <c r="F46" s="642"/>
      <c r="G46" s="526">
        <f>SUM(G47)</f>
        <v>16832178000</v>
      </c>
      <c r="H46" s="526">
        <f>SUM(H47)</f>
        <v>1000000000</v>
      </c>
      <c r="I46" s="490"/>
    </row>
    <row r="47" spans="1:9" s="645" customFormat="1" ht="37.5" x14ac:dyDescent="0.25">
      <c r="A47" s="642"/>
      <c r="B47" s="642">
        <v>24</v>
      </c>
      <c r="C47" s="679"/>
      <c r="D47" s="679" t="s">
        <v>597</v>
      </c>
      <c r="E47" s="657"/>
      <c r="F47" s="642" t="s">
        <v>1175</v>
      </c>
      <c r="G47" s="491">
        <v>16832178000</v>
      </c>
      <c r="H47" s="491">
        <v>1000000000</v>
      </c>
      <c r="I47" s="490" t="s">
        <v>1176</v>
      </c>
    </row>
    <row r="48" spans="1:9" s="647" customFormat="1" ht="34.5" customHeight="1" x14ac:dyDescent="0.25">
      <c r="A48" s="640" t="s">
        <v>31</v>
      </c>
      <c r="B48" s="640"/>
      <c r="C48" s="678" t="s">
        <v>600</v>
      </c>
      <c r="D48" s="678"/>
      <c r="E48" s="641"/>
      <c r="F48" s="640"/>
      <c r="G48" s="526">
        <f>G49+G55+G58+G61+G63+G65+G68+G70</f>
        <v>39720400000</v>
      </c>
      <c r="H48" s="526">
        <f>H49+H55+H58+H61+H63+H65+H68+H70</f>
        <v>22439200000</v>
      </c>
      <c r="I48" s="588"/>
    </row>
    <row r="49" spans="1:9" s="647" customFormat="1" ht="37.5" x14ac:dyDescent="0.25">
      <c r="A49" s="640">
        <v>1</v>
      </c>
      <c r="B49" s="640"/>
      <c r="C49" s="678" t="s">
        <v>219</v>
      </c>
      <c r="D49" s="669"/>
      <c r="E49" s="641"/>
      <c r="F49" s="640"/>
      <c r="G49" s="526">
        <f>SUM(G50:G54)</f>
        <v>11100000000</v>
      </c>
      <c r="H49" s="526">
        <f>SUM(H50:H54)</f>
        <v>6600000000</v>
      </c>
      <c r="I49" s="588"/>
    </row>
    <row r="50" spans="1:9" s="647" customFormat="1" ht="49.5" x14ac:dyDescent="0.25">
      <c r="A50" s="658" t="s">
        <v>8</v>
      </c>
      <c r="B50" s="642">
        <v>25</v>
      </c>
      <c r="C50" s="678"/>
      <c r="D50" s="660" t="s">
        <v>1002</v>
      </c>
      <c r="E50" s="641"/>
      <c r="F50" s="642" t="s">
        <v>1175</v>
      </c>
      <c r="G50" s="491">
        <v>600000000</v>
      </c>
      <c r="H50" s="491">
        <v>600000000</v>
      </c>
      <c r="I50" s="588"/>
    </row>
    <row r="51" spans="1:9" s="647" customFormat="1" ht="18.75" x14ac:dyDescent="0.25">
      <c r="A51" s="658" t="s">
        <v>8</v>
      </c>
      <c r="B51" s="642">
        <v>26</v>
      </c>
      <c r="C51" s="678"/>
      <c r="D51" s="660" t="s">
        <v>1003</v>
      </c>
      <c r="E51" s="641"/>
      <c r="F51" s="642" t="s">
        <v>1175</v>
      </c>
      <c r="G51" s="491">
        <v>4000000000</v>
      </c>
      <c r="H51" s="491">
        <v>2000000000</v>
      </c>
      <c r="I51" s="588"/>
    </row>
    <row r="52" spans="1:9" s="647" customFormat="1" ht="33" x14ac:dyDescent="0.25">
      <c r="A52" s="658" t="s">
        <v>8</v>
      </c>
      <c r="B52" s="642">
        <v>27</v>
      </c>
      <c r="C52" s="678"/>
      <c r="D52" s="660" t="s">
        <v>1004</v>
      </c>
      <c r="E52" s="641"/>
      <c r="F52" s="662" t="s">
        <v>1175</v>
      </c>
      <c r="G52" s="491">
        <v>1100000000</v>
      </c>
      <c r="H52" s="491">
        <v>1100000000</v>
      </c>
      <c r="I52" s="588"/>
    </row>
    <row r="53" spans="1:9" s="647" customFormat="1" ht="33" x14ac:dyDescent="0.25">
      <c r="A53" s="658" t="s">
        <v>8</v>
      </c>
      <c r="B53" s="642">
        <v>28</v>
      </c>
      <c r="C53" s="678"/>
      <c r="D53" s="660" t="s">
        <v>1005</v>
      </c>
      <c r="E53" s="641"/>
      <c r="F53" s="662" t="s">
        <v>1177</v>
      </c>
      <c r="G53" s="491">
        <v>2400000000</v>
      </c>
      <c r="H53" s="491">
        <v>2400000000</v>
      </c>
      <c r="I53" s="588"/>
    </row>
    <row r="54" spans="1:9" s="647" customFormat="1" ht="18.75" x14ac:dyDescent="0.25">
      <c r="A54" s="658" t="s">
        <v>8</v>
      </c>
      <c r="B54" s="642">
        <v>29</v>
      </c>
      <c r="C54" s="678"/>
      <c r="D54" s="660" t="s">
        <v>1006</v>
      </c>
      <c r="E54" s="641"/>
      <c r="F54" s="662" t="s">
        <v>1177</v>
      </c>
      <c r="G54" s="491">
        <v>3000000000</v>
      </c>
      <c r="H54" s="491">
        <v>500000000</v>
      </c>
      <c r="I54" s="588"/>
    </row>
    <row r="55" spans="1:9" s="645" customFormat="1" ht="37.5" x14ac:dyDescent="0.25">
      <c r="A55" s="642">
        <v>2</v>
      </c>
      <c r="B55" s="642"/>
      <c r="C55" s="678" t="s">
        <v>494</v>
      </c>
      <c r="D55" s="680"/>
      <c r="E55" s="657"/>
      <c r="F55" s="642"/>
      <c r="G55" s="526">
        <f>SUM(G56:G57)</f>
        <v>8638000000</v>
      </c>
      <c r="H55" s="526">
        <f>SUM(H56:H57)</f>
        <v>5138000000</v>
      </c>
      <c r="I55" s="490"/>
    </row>
    <row r="56" spans="1:9" s="645" customFormat="1" ht="33" x14ac:dyDescent="0.25">
      <c r="A56" s="658" t="s">
        <v>8</v>
      </c>
      <c r="B56" s="642">
        <v>30</v>
      </c>
      <c r="C56" s="678"/>
      <c r="D56" s="660" t="s">
        <v>941</v>
      </c>
      <c r="E56" s="660"/>
      <c r="F56" s="662" t="s">
        <v>1177</v>
      </c>
      <c r="G56" s="491">
        <v>1638000000</v>
      </c>
      <c r="H56" s="491">
        <v>1638000000</v>
      </c>
      <c r="I56" s="490"/>
    </row>
    <row r="57" spans="1:9" s="645" customFormat="1" ht="64.5" customHeight="1" x14ac:dyDescent="0.25">
      <c r="A57" s="658" t="s">
        <v>8</v>
      </c>
      <c r="B57" s="642">
        <v>31</v>
      </c>
      <c r="C57" s="660"/>
      <c r="D57" s="660" t="s">
        <v>942</v>
      </c>
      <c r="E57" s="660"/>
      <c r="F57" s="662" t="s">
        <v>1175</v>
      </c>
      <c r="G57" s="491">
        <v>7000000000</v>
      </c>
      <c r="H57" s="491">
        <v>3500000000</v>
      </c>
      <c r="I57" s="490"/>
    </row>
    <row r="58" spans="1:9" s="645" customFormat="1" ht="18.75" x14ac:dyDescent="0.25">
      <c r="A58" s="642">
        <v>3</v>
      </c>
      <c r="B58" s="642"/>
      <c r="C58" s="678" t="s">
        <v>229</v>
      </c>
      <c r="D58" s="680"/>
      <c r="E58" s="657"/>
      <c r="F58" s="642"/>
      <c r="G58" s="526">
        <f>SUM(G59:G60)</f>
        <v>4764400000</v>
      </c>
      <c r="H58" s="526">
        <f>SUM(H59:H60)</f>
        <v>4456200000</v>
      </c>
      <c r="I58" s="490"/>
    </row>
    <row r="59" spans="1:9" s="645" customFormat="1" ht="18.75" x14ac:dyDescent="0.25">
      <c r="A59" s="642"/>
      <c r="B59" s="642">
        <v>32</v>
      </c>
      <c r="C59" s="678"/>
      <c r="D59" s="659" t="s">
        <v>1104</v>
      </c>
      <c r="E59" s="660"/>
      <c r="F59" s="662" t="s">
        <v>1177</v>
      </c>
      <c r="G59" s="491">
        <v>4148000000</v>
      </c>
      <c r="H59" s="491">
        <v>4148000000</v>
      </c>
      <c r="I59" s="490"/>
    </row>
    <row r="60" spans="1:9" s="645" customFormat="1" ht="64.5" customHeight="1" x14ac:dyDescent="0.25">
      <c r="A60" s="642" t="s">
        <v>10</v>
      </c>
      <c r="B60" s="642">
        <v>33</v>
      </c>
      <c r="C60" s="660"/>
      <c r="D60" s="659" t="s">
        <v>1191</v>
      </c>
      <c r="E60" s="660"/>
      <c r="F60" s="662" t="s">
        <v>1177</v>
      </c>
      <c r="G60" s="491">
        <v>616400000</v>
      </c>
      <c r="H60" s="491">
        <v>308200000</v>
      </c>
      <c r="I60" s="490"/>
    </row>
    <row r="61" spans="1:9" s="647" customFormat="1" ht="18.75" x14ac:dyDescent="0.25">
      <c r="A61" s="642">
        <v>4</v>
      </c>
      <c r="B61" s="642"/>
      <c r="C61" s="678" t="s">
        <v>143</v>
      </c>
      <c r="D61" s="680"/>
      <c r="E61" s="664"/>
      <c r="F61" s="642"/>
      <c r="G61" s="526">
        <f>G62</f>
        <v>200000000</v>
      </c>
      <c r="H61" s="526">
        <f>H62</f>
        <v>200000000</v>
      </c>
      <c r="I61" s="646"/>
    </row>
    <row r="62" spans="1:9" s="645" customFormat="1" ht="56.25" x14ac:dyDescent="0.25">
      <c r="A62" s="658" t="s">
        <v>8</v>
      </c>
      <c r="B62" s="642">
        <v>34</v>
      </c>
      <c r="C62" s="679"/>
      <c r="D62" s="679" t="s">
        <v>723</v>
      </c>
      <c r="E62" s="657"/>
      <c r="F62" s="642" t="s">
        <v>1177</v>
      </c>
      <c r="G62" s="668">
        <v>200000000</v>
      </c>
      <c r="H62" s="491">
        <v>200000000</v>
      </c>
      <c r="I62" s="490"/>
    </row>
    <row r="63" spans="1:9" s="645" customFormat="1" ht="18.75" x14ac:dyDescent="0.25">
      <c r="A63" s="642">
        <v>5</v>
      </c>
      <c r="B63" s="642"/>
      <c r="C63" s="680" t="s">
        <v>545</v>
      </c>
      <c r="D63" s="680"/>
      <c r="E63" s="657"/>
      <c r="F63" s="642"/>
      <c r="G63" s="526">
        <f>SUM(G64)</f>
        <v>468000000</v>
      </c>
      <c r="H63" s="526">
        <f>SUM(H64)</f>
        <v>468000000</v>
      </c>
      <c r="I63" s="490"/>
    </row>
    <row r="64" spans="1:9" s="645" customFormat="1" ht="18.75" x14ac:dyDescent="0.25">
      <c r="A64" s="642" t="s">
        <v>10</v>
      </c>
      <c r="B64" s="642">
        <v>35</v>
      </c>
      <c r="C64" s="660"/>
      <c r="D64" s="493" t="s">
        <v>1037</v>
      </c>
      <c r="E64" s="661"/>
      <c r="F64" s="662" t="s">
        <v>1177</v>
      </c>
      <c r="G64" s="491">
        <v>468000000</v>
      </c>
      <c r="H64" s="491">
        <v>468000000</v>
      </c>
      <c r="I64" s="490"/>
    </row>
    <row r="65" spans="1:9" s="645" customFormat="1" ht="18.75" x14ac:dyDescent="0.25">
      <c r="A65" s="642">
        <v>6</v>
      </c>
      <c r="B65" s="642"/>
      <c r="C65" s="525" t="s">
        <v>1192</v>
      </c>
      <c r="D65" s="682"/>
      <c r="E65" s="670"/>
      <c r="F65" s="671"/>
      <c r="G65" s="526">
        <f>SUM(G66:G67)</f>
        <v>1220000000</v>
      </c>
      <c r="H65" s="526">
        <f>SUM(H66:H67)</f>
        <v>577000000</v>
      </c>
      <c r="I65" s="648"/>
    </row>
    <row r="66" spans="1:9" s="645" customFormat="1" ht="31.5" x14ac:dyDescent="0.25">
      <c r="A66" s="642"/>
      <c r="B66" s="642">
        <v>36</v>
      </c>
      <c r="C66" s="659"/>
      <c r="D66" s="495" t="s">
        <v>738</v>
      </c>
      <c r="E66" s="657"/>
      <c r="F66" s="662" t="s">
        <v>1177</v>
      </c>
      <c r="G66" s="491">
        <v>220000000</v>
      </c>
      <c r="H66" s="491">
        <v>77000000</v>
      </c>
      <c r="I66" s="648"/>
    </row>
    <row r="67" spans="1:9" s="645" customFormat="1" ht="18.75" x14ac:dyDescent="0.25">
      <c r="A67" s="642"/>
      <c r="B67" s="642">
        <v>37</v>
      </c>
      <c r="C67" s="679"/>
      <c r="D67" s="495" t="s">
        <v>739</v>
      </c>
      <c r="E67" s="657"/>
      <c r="F67" s="662" t="s">
        <v>1177</v>
      </c>
      <c r="G67" s="491">
        <v>1000000000</v>
      </c>
      <c r="H67" s="491">
        <v>500000000</v>
      </c>
      <c r="I67" s="648"/>
    </row>
    <row r="68" spans="1:9" s="647" customFormat="1" ht="18.75" x14ac:dyDescent="0.25">
      <c r="A68" s="642">
        <v>7</v>
      </c>
      <c r="B68" s="642"/>
      <c r="C68" s="678" t="s">
        <v>89</v>
      </c>
      <c r="D68" s="681"/>
      <c r="E68" s="664"/>
      <c r="F68" s="665"/>
      <c r="G68" s="526">
        <f>G69</f>
        <v>8330000000</v>
      </c>
      <c r="H68" s="526">
        <f>H69</f>
        <v>3000000000</v>
      </c>
      <c r="I68" s="646"/>
    </row>
    <row r="69" spans="1:9" s="645" customFormat="1" ht="18.75" x14ac:dyDescent="0.25">
      <c r="A69" s="642" t="s">
        <v>10</v>
      </c>
      <c r="B69" s="642">
        <v>38</v>
      </c>
      <c r="C69" s="679"/>
      <c r="D69" s="493" t="s">
        <v>663</v>
      </c>
      <c r="E69" s="657"/>
      <c r="F69" s="642" t="s">
        <v>1175</v>
      </c>
      <c r="G69" s="491">
        <v>8330000000</v>
      </c>
      <c r="H69" s="491">
        <v>3000000000</v>
      </c>
      <c r="I69" s="648"/>
    </row>
    <row r="70" spans="1:9" s="647" customFormat="1" ht="18.75" x14ac:dyDescent="0.25">
      <c r="A70" s="642">
        <v>8</v>
      </c>
      <c r="B70" s="642"/>
      <c r="C70" s="678" t="s">
        <v>225</v>
      </c>
      <c r="D70" s="681"/>
      <c r="E70" s="664"/>
      <c r="F70" s="665"/>
      <c r="G70" s="526">
        <f>G71</f>
        <v>5000000000</v>
      </c>
      <c r="H70" s="526">
        <f>H71</f>
        <v>2000000000</v>
      </c>
      <c r="I70" s="646"/>
    </row>
    <row r="71" spans="1:9" s="645" customFormat="1" ht="18.75" x14ac:dyDescent="0.25">
      <c r="A71" s="672" t="s">
        <v>10</v>
      </c>
      <c r="B71" s="672">
        <v>39</v>
      </c>
      <c r="C71" s="684"/>
      <c r="D71" s="581" t="s">
        <v>672</v>
      </c>
      <c r="E71" s="673"/>
      <c r="F71" s="672" t="s">
        <v>1177</v>
      </c>
      <c r="G71" s="585">
        <v>5000000000</v>
      </c>
      <c r="H71" s="585">
        <v>2000000000</v>
      </c>
      <c r="I71" s="650"/>
    </row>
  </sheetData>
  <mergeCells count="4">
    <mergeCell ref="J19:J22"/>
    <mergeCell ref="A1:I1"/>
    <mergeCell ref="A2:I2"/>
    <mergeCell ref="G3:I3"/>
  </mergeCells>
  <pageMargins left="0.78740157480314965" right="0.39370078740157483" top="0.78740157480314965" bottom="0.78740157480314965" header="0.31496062992125984" footer="0.31496062992125984"/>
  <pageSetup paperSize="9" scale="80" firstPageNumber="140" orientation="landscape" useFirstPageNumber="1" r:id="rId1"/>
  <headerFooter>
    <oddHeader>&amp;RPhụ biểu số 5</oddHeader>
    <oddFooter>&amp;R&amp;P</oddFooter>
  </headerFooter>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
  <sheetViews>
    <sheetView view="pageLayout" topLeftCell="A4" zoomScaleNormal="100" zoomScaleSheetLayoutView="100" workbookViewId="0">
      <selection activeCell="B17" sqref="B17"/>
    </sheetView>
  </sheetViews>
  <sheetFormatPr defaultColWidth="9" defaultRowHeight="15.75" x14ac:dyDescent="0.25"/>
  <cols>
    <col min="1" max="1" width="6" style="463" customWidth="1"/>
    <col min="2" max="2" width="42.625" style="735" customWidth="1"/>
    <col min="3" max="3" width="6.5" style="810" customWidth="1"/>
    <col min="4" max="4" width="10.25" style="463" customWidth="1"/>
    <col min="5" max="5" width="10.75" style="463" customWidth="1"/>
    <col min="6" max="6" width="21.75" style="463" customWidth="1"/>
    <col min="7" max="16384" width="9" style="463"/>
  </cols>
  <sheetData>
    <row r="1" spans="1:6" s="736" customFormat="1" ht="16.5" x14ac:dyDescent="0.25">
      <c r="A1" s="1065" t="s">
        <v>1280</v>
      </c>
      <c r="B1" s="1065"/>
      <c r="C1" s="1065"/>
      <c r="D1" s="1065"/>
      <c r="E1" s="1065"/>
      <c r="F1" s="1065"/>
    </row>
    <row r="2" spans="1:6" s="736" customFormat="1" ht="16.5" x14ac:dyDescent="0.25">
      <c r="A2" s="1066" t="str">
        <f>'5 CĐ số'!A2:I2</f>
        <v>(Kèm theo Nghị quyết số          /NQ-HĐND ngày        tháng 12 năm 2023 của HĐND tỉnh Bắc Kạn)</v>
      </c>
      <c r="B2" s="1067"/>
      <c r="C2" s="1067"/>
      <c r="D2" s="1067"/>
      <c r="E2" s="1067"/>
      <c r="F2" s="1067"/>
    </row>
    <row r="3" spans="1:6" s="736" customFormat="1" ht="16.5" x14ac:dyDescent="0.25">
      <c r="A3" s="737"/>
      <c r="B3" s="738"/>
      <c r="C3" s="811"/>
      <c r="D3" s="739"/>
      <c r="E3" s="739"/>
      <c r="F3" s="739"/>
    </row>
    <row r="4" spans="1:6" s="740" customFormat="1" ht="49.5" customHeight="1" x14ac:dyDescent="0.25">
      <c r="A4" s="813" t="s">
        <v>1</v>
      </c>
      <c r="B4" s="813" t="s">
        <v>1239</v>
      </c>
      <c r="C4" s="812" t="s">
        <v>206</v>
      </c>
      <c r="D4" s="812" t="s">
        <v>1240</v>
      </c>
      <c r="E4" s="812" t="s">
        <v>1241</v>
      </c>
      <c r="F4" s="812" t="s">
        <v>3</v>
      </c>
    </row>
    <row r="5" spans="1:6" s="736" customFormat="1" ht="19.5" customHeight="1" x14ac:dyDescent="0.25">
      <c r="A5" s="814">
        <v>1</v>
      </c>
      <c r="B5" s="815" t="s">
        <v>545</v>
      </c>
      <c r="C5" s="814">
        <v>1</v>
      </c>
      <c r="D5" s="816">
        <v>1300</v>
      </c>
      <c r="E5" s="816">
        <f>D5*C5</f>
        <v>1300</v>
      </c>
      <c r="F5" s="814" t="s">
        <v>1278</v>
      </c>
    </row>
    <row r="6" spans="1:6" s="736" customFormat="1" ht="19.5" customHeight="1" x14ac:dyDescent="0.25">
      <c r="A6" s="817">
        <v>2</v>
      </c>
      <c r="B6" s="818" t="s">
        <v>1243</v>
      </c>
      <c r="C6" s="817">
        <v>1</v>
      </c>
      <c r="D6" s="819">
        <v>1455</v>
      </c>
      <c r="E6" s="819">
        <f t="shared" ref="E6:E15" si="0">D6*C6</f>
        <v>1455</v>
      </c>
      <c r="F6" s="817" t="s">
        <v>1242</v>
      </c>
    </row>
    <row r="7" spans="1:6" s="736" customFormat="1" ht="19.5" customHeight="1" x14ac:dyDescent="0.25">
      <c r="A7" s="817">
        <v>3</v>
      </c>
      <c r="B7" s="818" t="s">
        <v>1244</v>
      </c>
      <c r="C7" s="817">
        <v>1</v>
      </c>
      <c r="D7" s="819">
        <v>1455</v>
      </c>
      <c r="E7" s="819">
        <f t="shared" si="0"/>
        <v>1455</v>
      </c>
      <c r="F7" s="817" t="s">
        <v>1242</v>
      </c>
    </row>
    <row r="8" spans="1:6" s="736" customFormat="1" ht="19.5" customHeight="1" x14ac:dyDescent="0.25">
      <c r="A8" s="817">
        <v>4</v>
      </c>
      <c r="B8" s="820" t="s">
        <v>131</v>
      </c>
      <c r="C8" s="821">
        <v>1</v>
      </c>
      <c r="D8" s="819">
        <v>1455</v>
      </c>
      <c r="E8" s="819">
        <f t="shared" si="0"/>
        <v>1455</v>
      </c>
      <c r="F8" s="821" t="s">
        <v>1242</v>
      </c>
    </row>
    <row r="9" spans="1:6" s="736" customFormat="1" ht="19.5" customHeight="1" x14ac:dyDescent="0.25">
      <c r="A9" s="817">
        <v>5</v>
      </c>
      <c r="B9" s="822" t="s">
        <v>226</v>
      </c>
      <c r="C9" s="821">
        <v>1</v>
      </c>
      <c r="D9" s="819">
        <v>1455</v>
      </c>
      <c r="E9" s="819">
        <f t="shared" si="0"/>
        <v>1455</v>
      </c>
      <c r="F9" s="821" t="s">
        <v>1242</v>
      </c>
    </row>
    <row r="10" spans="1:6" s="736" customFormat="1" ht="19.5" customHeight="1" x14ac:dyDescent="0.25">
      <c r="A10" s="817">
        <v>6</v>
      </c>
      <c r="B10" s="823" t="s">
        <v>1245</v>
      </c>
      <c r="C10" s="824">
        <v>1</v>
      </c>
      <c r="D10" s="819">
        <v>1455</v>
      </c>
      <c r="E10" s="819">
        <f t="shared" si="0"/>
        <v>1455</v>
      </c>
      <c r="F10" s="821" t="s">
        <v>1242</v>
      </c>
    </row>
    <row r="11" spans="1:6" s="736" customFormat="1" ht="19.5" customHeight="1" x14ac:dyDescent="0.25">
      <c r="A11" s="817">
        <v>7</v>
      </c>
      <c r="B11" s="825" t="s">
        <v>44</v>
      </c>
      <c r="C11" s="826">
        <v>1</v>
      </c>
      <c r="D11" s="819">
        <v>1455</v>
      </c>
      <c r="E11" s="819">
        <f t="shared" si="0"/>
        <v>1455</v>
      </c>
      <c r="F11" s="826" t="s">
        <v>1242</v>
      </c>
    </row>
    <row r="12" spans="1:6" s="736" customFormat="1" ht="19.5" customHeight="1" x14ac:dyDescent="0.25">
      <c r="A12" s="817">
        <v>8</v>
      </c>
      <c r="B12" s="827" t="s">
        <v>40</v>
      </c>
      <c r="C12" s="828">
        <v>1</v>
      </c>
      <c r="D12" s="819">
        <v>1455</v>
      </c>
      <c r="E12" s="819">
        <f t="shared" si="0"/>
        <v>1455</v>
      </c>
      <c r="F12" s="828" t="s">
        <v>1242</v>
      </c>
    </row>
    <row r="13" spans="1:6" s="736" customFormat="1" ht="19.5" customHeight="1" x14ac:dyDescent="0.25">
      <c r="A13" s="817">
        <v>9</v>
      </c>
      <c r="B13" s="829" t="s">
        <v>39</v>
      </c>
      <c r="C13" s="830">
        <v>1</v>
      </c>
      <c r="D13" s="819">
        <v>1455</v>
      </c>
      <c r="E13" s="819">
        <f t="shared" si="0"/>
        <v>1455</v>
      </c>
      <c r="F13" s="830" t="s">
        <v>1242</v>
      </c>
    </row>
    <row r="14" spans="1:6" ht="19.5" customHeight="1" x14ac:dyDescent="0.25">
      <c r="A14" s="817">
        <v>10</v>
      </c>
      <c r="B14" s="831" t="s">
        <v>43</v>
      </c>
      <c r="C14" s="832">
        <v>1</v>
      </c>
      <c r="D14" s="819">
        <v>1455</v>
      </c>
      <c r="E14" s="819">
        <f t="shared" si="0"/>
        <v>1455</v>
      </c>
      <c r="F14" s="832" t="s">
        <v>1242</v>
      </c>
    </row>
    <row r="15" spans="1:6" ht="60" customHeight="1" x14ac:dyDescent="0.25">
      <c r="A15" s="833">
        <v>11</v>
      </c>
      <c r="B15" s="834" t="s">
        <v>1246</v>
      </c>
      <c r="C15" s="835">
        <v>1</v>
      </c>
      <c r="D15" s="836">
        <v>850</v>
      </c>
      <c r="E15" s="836">
        <f t="shared" si="0"/>
        <v>850</v>
      </c>
      <c r="F15" s="514" t="s">
        <v>1279</v>
      </c>
    </row>
    <row r="16" spans="1:6" ht="24" customHeight="1" x14ac:dyDescent="0.25">
      <c r="A16" s="741"/>
      <c r="B16" s="741" t="s">
        <v>287</v>
      </c>
      <c r="C16" s="742">
        <f>SUM(C5:C15)</f>
        <v>11</v>
      </c>
      <c r="D16" s="741"/>
      <c r="E16" s="743">
        <f>SUM(E5:E15)</f>
        <v>15245</v>
      </c>
      <c r="F16" s="741"/>
    </row>
  </sheetData>
  <mergeCells count="2">
    <mergeCell ref="A1:F1"/>
    <mergeCell ref="A2:F2"/>
  </mergeCells>
  <pageMargins left="0.78740157480314965" right="0.39370078740157483" top="1.0325" bottom="0.78740157480314965" header="0.31496062992125984" footer="0.31496062992125984"/>
  <pageSetup paperSize="9" scale="84" firstPageNumber="144" orientation="portrait" useFirstPageNumber="1" horizontalDpi="200" r:id="rId1"/>
  <headerFooter>
    <oddHeader>&amp;RPhụ biểu số 6</oddHeader>
    <oddFooter xml:space="preserve">&amp;R&amp;P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99"/>
  <sheetViews>
    <sheetView view="pageLayout" topLeftCell="A52" zoomScale="85" zoomScaleNormal="100" zoomScaleSheetLayoutView="85" zoomScalePageLayoutView="85" workbookViewId="0">
      <selection activeCell="B97" sqref="B97"/>
    </sheetView>
  </sheetViews>
  <sheetFormatPr defaultColWidth="8" defaultRowHeight="15" x14ac:dyDescent="0.25"/>
  <cols>
    <col min="1" max="1" width="6" style="724" customWidth="1"/>
    <col min="2" max="2" width="33.5" style="750" customWidth="1"/>
    <col min="3" max="3" width="9.625" style="724" hidden="1" customWidth="1"/>
    <col min="4" max="4" width="16.75" style="724" hidden="1" customWidth="1"/>
    <col min="5" max="6" width="10.25" style="685" hidden="1" customWidth="1"/>
    <col min="7" max="7" width="2" style="685" hidden="1" customWidth="1"/>
    <col min="8" max="9" width="8.75" style="685" customWidth="1"/>
    <col min="10" max="10" width="7.75" style="685" customWidth="1"/>
    <col min="11" max="16" width="12.125" style="685" hidden="1" customWidth="1"/>
    <col min="17" max="17" width="8.25" style="685" customWidth="1"/>
    <col min="18" max="18" width="8.75" style="685" customWidth="1"/>
    <col min="19" max="19" width="7.25" style="685" customWidth="1"/>
    <col min="20" max="20" width="8.25" style="685" customWidth="1"/>
    <col min="21" max="21" width="7.75" style="685" customWidth="1"/>
    <col min="22" max="22" width="7.5" style="685" customWidth="1"/>
    <col min="23" max="23" width="8.25" style="685" customWidth="1"/>
    <col min="24" max="24" width="7.75" style="725" customWidth="1"/>
    <col min="25" max="25" width="8.25" style="685" customWidth="1"/>
    <col min="26" max="26" width="12.125" style="724" hidden="1" customWidth="1"/>
    <col min="27" max="27" width="13.625" style="724" customWidth="1"/>
    <col min="28" max="28" width="9.625" style="724" hidden="1" customWidth="1"/>
    <col min="29" max="16384" width="8" style="685"/>
  </cols>
  <sheetData>
    <row r="1" spans="1:28" ht="21.6" customHeight="1" x14ac:dyDescent="0.25">
      <c r="A1" s="1082"/>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row>
    <row r="2" spans="1:28" ht="47.65" customHeight="1" x14ac:dyDescent="0.25">
      <c r="A2" s="1083" t="s">
        <v>1232</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row>
    <row r="3" spans="1:28" ht="18.75" x14ac:dyDescent="0.25">
      <c r="A3" s="1084" t="str">
        <f>'5 CĐ số'!A2:I2</f>
        <v>(Kèm theo Nghị quyết số          /NQ-HĐND ngày        tháng 12 năm 2023 của HĐND tỉnh Bắc Kạn)</v>
      </c>
      <c r="B3" s="1085"/>
      <c r="C3" s="1085"/>
      <c r="D3" s="1085"/>
      <c r="E3" s="1085"/>
      <c r="F3" s="1085"/>
      <c r="G3" s="1085"/>
      <c r="H3" s="1085"/>
      <c r="I3" s="1085"/>
      <c r="J3" s="1085"/>
      <c r="K3" s="1085"/>
      <c r="L3" s="1085"/>
      <c r="M3" s="1085"/>
      <c r="N3" s="1085"/>
      <c r="O3" s="1085"/>
      <c r="P3" s="1085"/>
      <c r="Q3" s="1085"/>
      <c r="R3" s="1085"/>
      <c r="S3" s="1085"/>
      <c r="T3" s="1085"/>
      <c r="U3" s="1085"/>
      <c r="V3" s="1085"/>
      <c r="W3" s="1085"/>
      <c r="X3" s="1085"/>
      <c r="Y3" s="1085"/>
      <c r="Z3" s="1085"/>
      <c r="AA3" s="1085"/>
      <c r="AB3" s="1085"/>
    </row>
    <row r="4" spans="1:28" ht="3.75" customHeight="1" x14ac:dyDescent="0.25">
      <c r="A4" s="686"/>
      <c r="B4" s="744"/>
      <c r="C4" s="686"/>
      <c r="D4" s="686"/>
      <c r="E4" s="686"/>
      <c r="F4" s="686"/>
      <c r="G4" s="686"/>
      <c r="H4" s="686"/>
      <c r="I4" s="686"/>
      <c r="J4" s="686"/>
      <c r="K4" s="686"/>
      <c r="L4" s="686"/>
      <c r="M4" s="686"/>
      <c r="N4" s="686"/>
      <c r="O4" s="686"/>
      <c r="P4" s="686"/>
      <c r="Q4" s="686"/>
      <c r="R4" s="686"/>
      <c r="S4" s="686"/>
      <c r="T4" s="686"/>
      <c r="U4" s="686"/>
      <c r="V4" s="686"/>
      <c r="W4" s="686"/>
      <c r="X4" s="687"/>
      <c r="Y4" s="686"/>
      <c r="Z4" s="686"/>
      <c r="AA4" s="686"/>
      <c r="AB4" s="686"/>
    </row>
    <row r="5" spans="1:28" ht="18.75" x14ac:dyDescent="0.25">
      <c r="A5" s="688"/>
      <c r="B5" s="745"/>
      <c r="C5" s="688"/>
      <c r="D5" s="688"/>
      <c r="E5" s="689"/>
      <c r="F5" s="689"/>
      <c r="G5" s="689"/>
      <c r="H5" s="689"/>
      <c r="I5" s="689"/>
      <c r="J5" s="689"/>
      <c r="K5" s="689"/>
      <c r="L5" s="689"/>
      <c r="M5" s="689"/>
      <c r="N5" s="689"/>
      <c r="O5" s="689"/>
      <c r="P5" s="689"/>
      <c r="Q5" s="689"/>
      <c r="R5" s="689"/>
      <c r="S5" s="689"/>
      <c r="T5" s="689"/>
      <c r="U5" s="689"/>
      <c r="V5" s="689"/>
      <c r="W5" s="689"/>
      <c r="X5" s="1068" t="s">
        <v>321</v>
      </c>
      <c r="Y5" s="1068"/>
      <c r="Z5" s="1068"/>
      <c r="AA5" s="1068"/>
      <c r="AB5" s="1068"/>
    </row>
    <row r="6" spans="1:28" s="692" customFormat="1" ht="31.15" customHeight="1" x14ac:dyDescent="0.25">
      <c r="A6" s="1075" t="s">
        <v>363</v>
      </c>
      <c r="B6" s="1086" t="s">
        <v>364</v>
      </c>
      <c r="C6" s="1075" t="s">
        <v>365</v>
      </c>
      <c r="D6" s="1089" t="s">
        <v>1194</v>
      </c>
      <c r="E6" s="1090"/>
      <c r="F6" s="1090"/>
      <c r="G6" s="1091"/>
      <c r="H6" s="1092" t="s">
        <v>366</v>
      </c>
      <c r="I6" s="1093"/>
      <c r="J6" s="1094"/>
      <c r="K6" s="690"/>
      <c r="L6" s="690"/>
      <c r="M6" s="690"/>
      <c r="N6" s="690"/>
      <c r="O6" s="690"/>
      <c r="P6" s="690"/>
      <c r="Q6" s="1092" t="s">
        <v>1195</v>
      </c>
      <c r="R6" s="1093"/>
      <c r="S6" s="1094"/>
      <c r="T6" s="1092" t="s">
        <v>1196</v>
      </c>
      <c r="U6" s="1093"/>
      <c r="V6" s="1094"/>
      <c r="W6" s="1092" t="s">
        <v>1197</v>
      </c>
      <c r="X6" s="1093"/>
      <c r="Y6" s="1094"/>
      <c r="Z6" s="691"/>
      <c r="AA6" s="1075" t="s">
        <v>367</v>
      </c>
      <c r="AB6" s="1075" t="s">
        <v>3</v>
      </c>
    </row>
    <row r="7" spans="1:28" s="692" customFormat="1" x14ac:dyDescent="0.25">
      <c r="A7" s="1069"/>
      <c r="B7" s="1087"/>
      <c r="C7" s="1069"/>
      <c r="D7" s="1098" t="s">
        <v>1198</v>
      </c>
      <c r="E7" s="1101" t="s">
        <v>1199</v>
      </c>
      <c r="F7" s="1102"/>
      <c r="G7" s="1103"/>
      <c r="H7" s="1095"/>
      <c r="I7" s="1096"/>
      <c r="J7" s="1097"/>
      <c r="K7" s="1076" t="s">
        <v>1200</v>
      </c>
      <c r="L7" s="1077"/>
      <c r="M7" s="1078"/>
      <c r="N7" s="1076" t="s">
        <v>1201</v>
      </c>
      <c r="O7" s="1077"/>
      <c r="P7" s="1078"/>
      <c r="Q7" s="1095"/>
      <c r="R7" s="1096"/>
      <c r="S7" s="1097"/>
      <c r="T7" s="1095"/>
      <c r="U7" s="1096"/>
      <c r="V7" s="1097"/>
      <c r="W7" s="1095"/>
      <c r="X7" s="1096"/>
      <c r="Y7" s="1097"/>
      <c r="Z7" s="1069" t="s">
        <v>1202</v>
      </c>
      <c r="AA7" s="1069"/>
      <c r="AB7" s="1069"/>
    </row>
    <row r="8" spans="1:28" s="692" customFormat="1" ht="14.25" customHeight="1" x14ac:dyDescent="0.25">
      <c r="A8" s="1069"/>
      <c r="B8" s="1087"/>
      <c r="C8" s="1069"/>
      <c r="D8" s="1099"/>
      <c r="E8" s="1071" t="s">
        <v>37</v>
      </c>
      <c r="F8" s="1073" t="s">
        <v>344</v>
      </c>
      <c r="G8" s="1074"/>
      <c r="H8" s="1075" t="s">
        <v>33</v>
      </c>
      <c r="I8" s="1073" t="s">
        <v>344</v>
      </c>
      <c r="J8" s="1074"/>
      <c r="K8" s="1079"/>
      <c r="L8" s="1080"/>
      <c r="M8" s="1081"/>
      <c r="N8" s="1079"/>
      <c r="O8" s="1080"/>
      <c r="P8" s="1081"/>
      <c r="Q8" s="1075" t="s">
        <v>33</v>
      </c>
      <c r="R8" s="1073" t="s">
        <v>344</v>
      </c>
      <c r="S8" s="1074"/>
      <c r="T8" s="1075" t="s">
        <v>33</v>
      </c>
      <c r="U8" s="1073" t="s">
        <v>344</v>
      </c>
      <c r="V8" s="1074"/>
      <c r="W8" s="1075" t="s">
        <v>33</v>
      </c>
      <c r="X8" s="1073" t="s">
        <v>344</v>
      </c>
      <c r="Y8" s="1074"/>
      <c r="Z8" s="1069"/>
      <c r="AA8" s="1069"/>
      <c r="AB8" s="1069"/>
    </row>
    <row r="9" spans="1:28" s="692" customFormat="1" ht="64.5" customHeight="1" x14ac:dyDescent="0.25">
      <c r="A9" s="1070"/>
      <c r="B9" s="1088"/>
      <c r="C9" s="1070"/>
      <c r="D9" s="1100"/>
      <c r="E9" s="1072"/>
      <c r="F9" s="693" t="s">
        <v>1203</v>
      </c>
      <c r="G9" s="693" t="s">
        <v>1204</v>
      </c>
      <c r="H9" s="1070"/>
      <c r="I9" s="696" t="s">
        <v>218</v>
      </c>
      <c r="J9" s="695" t="s">
        <v>291</v>
      </c>
      <c r="K9" s="695" t="s">
        <v>37</v>
      </c>
      <c r="L9" s="695" t="s">
        <v>1205</v>
      </c>
      <c r="M9" s="695" t="s">
        <v>368</v>
      </c>
      <c r="N9" s="695" t="s">
        <v>37</v>
      </c>
      <c r="O9" s="695" t="s">
        <v>1205</v>
      </c>
      <c r="P9" s="695" t="s">
        <v>368</v>
      </c>
      <c r="Q9" s="1070"/>
      <c r="R9" s="696" t="s">
        <v>218</v>
      </c>
      <c r="S9" s="695" t="s">
        <v>291</v>
      </c>
      <c r="T9" s="1070"/>
      <c r="U9" s="696" t="s">
        <v>218</v>
      </c>
      <c r="V9" s="695" t="s">
        <v>291</v>
      </c>
      <c r="W9" s="1070"/>
      <c r="X9" s="696" t="s">
        <v>218</v>
      </c>
      <c r="Y9" s="695" t="s">
        <v>291</v>
      </c>
      <c r="Z9" s="1070"/>
      <c r="AA9" s="1070"/>
      <c r="AB9" s="1070"/>
    </row>
    <row r="10" spans="1:28" s="700" customFormat="1" ht="22.9" customHeight="1" x14ac:dyDescent="0.25">
      <c r="A10" s="696"/>
      <c r="B10" s="746" t="s">
        <v>34</v>
      </c>
      <c r="C10" s="696"/>
      <c r="D10" s="696"/>
      <c r="E10" s="697"/>
      <c r="F10" s="697"/>
      <c r="G10" s="697"/>
      <c r="H10" s="837">
        <f t="shared" ref="H10:P10" si="0">H11+H72</f>
        <v>1668338.7143000001</v>
      </c>
      <c r="I10" s="837">
        <f t="shared" si="0"/>
        <v>1576719.8785850001</v>
      </c>
      <c r="J10" s="837">
        <f t="shared" si="0"/>
        <v>91618.835714999994</v>
      </c>
      <c r="K10" s="837">
        <f t="shared" si="0"/>
        <v>317252</v>
      </c>
      <c r="L10" s="837">
        <f t="shared" si="0"/>
        <v>300876</v>
      </c>
      <c r="M10" s="837">
        <f t="shared" si="0"/>
        <v>16376</v>
      </c>
      <c r="N10" s="837">
        <f t="shared" si="0"/>
        <v>416528</v>
      </c>
      <c r="O10" s="837">
        <f t="shared" si="0"/>
        <v>395135</v>
      </c>
      <c r="P10" s="837">
        <f t="shared" si="0"/>
        <v>21393</v>
      </c>
      <c r="Q10" s="837">
        <f>N10+K10</f>
        <v>733780</v>
      </c>
      <c r="R10" s="837">
        <f t="shared" ref="R10:S20" si="1">O10+L10</f>
        <v>696011</v>
      </c>
      <c r="S10" s="837">
        <f t="shared" si="1"/>
        <v>37769</v>
      </c>
      <c r="T10" s="837">
        <f t="shared" ref="T10:Y10" si="2">T11+T72</f>
        <v>934558.71429999999</v>
      </c>
      <c r="U10" s="837">
        <f t="shared" si="2"/>
        <v>880708.87858500006</v>
      </c>
      <c r="V10" s="837">
        <f t="shared" si="2"/>
        <v>53849.835715000001</v>
      </c>
      <c r="W10" s="837">
        <f t="shared" si="2"/>
        <v>422108</v>
      </c>
      <c r="X10" s="837">
        <f t="shared" si="2"/>
        <v>398908</v>
      </c>
      <c r="Y10" s="837">
        <f t="shared" si="2"/>
        <v>23200</v>
      </c>
      <c r="Z10" s="699"/>
      <c r="AA10" s="696"/>
      <c r="AB10" s="696"/>
    </row>
    <row r="11" spans="1:28" s="700" customFormat="1" ht="22.9" customHeight="1" x14ac:dyDescent="0.25">
      <c r="A11" s="696" t="s">
        <v>4</v>
      </c>
      <c r="B11" s="746" t="s">
        <v>369</v>
      </c>
      <c r="C11" s="696"/>
      <c r="D11" s="696"/>
      <c r="E11" s="697"/>
      <c r="F11" s="697"/>
      <c r="G11" s="697"/>
      <c r="H11" s="837">
        <f t="shared" ref="H11:P11" si="3">H12+H18+H29+H32+H57+H61+H70+H67</f>
        <v>787573.71429999999</v>
      </c>
      <c r="I11" s="837">
        <f t="shared" si="3"/>
        <v>739675.87858500006</v>
      </c>
      <c r="J11" s="837">
        <f t="shared" si="3"/>
        <v>47897.835715000001</v>
      </c>
      <c r="K11" s="837">
        <f t="shared" si="3"/>
        <v>165534</v>
      </c>
      <c r="L11" s="837">
        <f t="shared" si="3"/>
        <v>156543</v>
      </c>
      <c r="M11" s="837">
        <f t="shared" si="3"/>
        <v>8991</v>
      </c>
      <c r="N11" s="837">
        <f t="shared" si="3"/>
        <v>196511</v>
      </c>
      <c r="O11" s="837">
        <f t="shared" si="3"/>
        <v>187027</v>
      </c>
      <c r="P11" s="837">
        <f t="shared" si="3"/>
        <v>9484</v>
      </c>
      <c r="Q11" s="837">
        <f t="shared" ref="Q11:S81" si="4">N11+K11</f>
        <v>362045</v>
      </c>
      <c r="R11" s="837">
        <f t="shared" si="1"/>
        <v>343570</v>
      </c>
      <c r="S11" s="837">
        <f t="shared" si="1"/>
        <v>18475</v>
      </c>
      <c r="T11" s="837">
        <f t="shared" ref="T11:Y11" si="5">T12+T18+T29+T32+T57+T61+T70+T67</f>
        <v>425528.71429999999</v>
      </c>
      <c r="U11" s="837">
        <f t="shared" si="5"/>
        <v>396105.878585</v>
      </c>
      <c r="V11" s="837">
        <f t="shared" si="5"/>
        <v>29422.835715000001</v>
      </c>
      <c r="W11" s="837">
        <f t="shared" si="5"/>
        <v>207215</v>
      </c>
      <c r="X11" s="837">
        <f t="shared" si="5"/>
        <v>196492</v>
      </c>
      <c r="Y11" s="837">
        <f t="shared" si="5"/>
        <v>10723</v>
      </c>
      <c r="Z11" s="699"/>
      <c r="AA11" s="696"/>
      <c r="AB11" s="696"/>
    </row>
    <row r="12" spans="1:28" s="700" customFormat="1" ht="49.5" customHeight="1" x14ac:dyDescent="0.25">
      <c r="A12" s="696" t="s">
        <v>46</v>
      </c>
      <c r="B12" s="746" t="s">
        <v>370</v>
      </c>
      <c r="C12" s="696"/>
      <c r="D12" s="696"/>
      <c r="E12" s="697"/>
      <c r="F12" s="697"/>
      <c r="G12" s="697"/>
      <c r="H12" s="837">
        <f>H13</f>
        <v>126092</v>
      </c>
      <c r="I12" s="837">
        <f t="shared" ref="I12:Y12" si="6">I13</f>
        <v>121865</v>
      </c>
      <c r="J12" s="837">
        <f t="shared" si="6"/>
        <v>4227</v>
      </c>
      <c r="K12" s="837">
        <f t="shared" si="6"/>
        <v>43284</v>
      </c>
      <c r="L12" s="837">
        <f t="shared" si="6"/>
        <v>40730</v>
      </c>
      <c r="M12" s="837">
        <f t="shared" si="6"/>
        <v>2554</v>
      </c>
      <c r="N12" s="837">
        <f t="shared" si="6"/>
        <v>57721</v>
      </c>
      <c r="O12" s="837">
        <f t="shared" si="6"/>
        <v>56048</v>
      </c>
      <c r="P12" s="837">
        <f t="shared" si="6"/>
        <v>1673</v>
      </c>
      <c r="Q12" s="837">
        <f t="shared" si="4"/>
        <v>101005</v>
      </c>
      <c r="R12" s="837">
        <f t="shared" si="1"/>
        <v>96778</v>
      </c>
      <c r="S12" s="837">
        <f t="shared" si="1"/>
        <v>4227</v>
      </c>
      <c r="T12" s="837">
        <f>T13</f>
        <v>25087</v>
      </c>
      <c r="U12" s="837">
        <f t="shared" si="6"/>
        <v>25087</v>
      </c>
      <c r="V12" s="837">
        <f t="shared" si="6"/>
        <v>0</v>
      </c>
      <c r="W12" s="837">
        <f>W13</f>
        <v>11786</v>
      </c>
      <c r="X12" s="837">
        <f t="shared" si="6"/>
        <v>11786</v>
      </c>
      <c r="Y12" s="837">
        <f t="shared" si="6"/>
        <v>0</v>
      </c>
      <c r="Z12" s="701"/>
      <c r="AA12" s="696"/>
      <c r="AB12" s="696"/>
    </row>
    <row r="13" spans="1:28" s="705" customFormat="1" ht="21.75" customHeight="1" x14ac:dyDescent="0.25">
      <c r="A13" s="702"/>
      <c r="B13" s="747" t="s">
        <v>371</v>
      </c>
      <c r="C13" s="702"/>
      <c r="D13" s="702"/>
      <c r="E13" s="703"/>
      <c r="F13" s="703"/>
      <c r="G13" s="703"/>
      <c r="H13" s="838">
        <f t="shared" ref="H13:H28" si="7">I13+J13</f>
        <v>126092</v>
      </c>
      <c r="I13" s="838">
        <f>SUM(I15:I17)</f>
        <v>121865</v>
      </c>
      <c r="J13" s="838">
        <f>SUM(J15:J17)</f>
        <v>4227</v>
      </c>
      <c r="K13" s="838">
        <f t="shared" ref="K13:P13" si="8">SUM(K15:K17)</f>
        <v>43284</v>
      </c>
      <c r="L13" s="838">
        <f t="shared" si="8"/>
        <v>40730</v>
      </c>
      <c r="M13" s="838">
        <f t="shared" si="8"/>
        <v>2554</v>
      </c>
      <c r="N13" s="838">
        <f t="shared" si="8"/>
        <v>57721</v>
      </c>
      <c r="O13" s="838">
        <f t="shared" si="8"/>
        <v>56048</v>
      </c>
      <c r="P13" s="838">
        <f t="shared" si="8"/>
        <v>1673</v>
      </c>
      <c r="Q13" s="838">
        <f t="shared" si="4"/>
        <v>101005</v>
      </c>
      <c r="R13" s="838">
        <f t="shared" si="1"/>
        <v>96778</v>
      </c>
      <c r="S13" s="838">
        <f t="shared" si="1"/>
        <v>4227</v>
      </c>
      <c r="T13" s="838">
        <f t="shared" ref="T13" si="9">U13+V13</f>
        <v>25087</v>
      </c>
      <c r="U13" s="838">
        <f>SUM(U15:U17)</f>
        <v>25087</v>
      </c>
      <c r="V13" s="838">
        <f>SUM(V15:V17)</f>
        <v>0</v>
      </c>
      <c r="W13" s="838">
        <f t="shared" ref="W13" si="10">X13+Y13</f>
        <v>11786</v>
      </c>
      <c r="X13" s="838">
        <f>SUM(X15:X17)</f>
        <v>11786</v>
      </c>
      <c r="Y13" s="838">
        <f>SUM(Y15:Y17)</f>
        <v>0</v>
      </c>
      <c r="Z13" s="701"/>
      <c r="AA13" s="702"/>
      <c r="AB13" s="702"/>
    </row>
    <row r="14" spans="1:28" s="710" customFormat="1" ht="30" x14ac:dyDescent="0.25">
      <c r="A14" s="706"/>
      <c r="B14" s="748" t="s">
        <v>1206</v>
      </c>
      <c r="C14" s="706"/>
      <c r="D14" s="706"/>
      <c r="E14" s="707"/>
      <c r="F14" s="707"/>
      <c r="G14" s="707"/>
      <c r="H14" s="839"/>
      <c r="I14" s="839"/>
      <c r="J14" s="839"/>
      <c r="K14" s="839"/>
      <c r="L14" s="839"/>
      <c r="M14" s="839"/>
      <c r="N14" s="839"/>
      <c r="O14" s="839"/>
      <c r="P14" s="839"/>
      <c r="Q14" s="839"/>
      <c r="R14" s="839"/>
      <c r="S14" s="839"/>
      <c r="T14" s="839"/>
      <c r="U14" s="839"/>
      <c r="V14" s="839"/>
      <c r="W14" s="839"/>
      <c r="X14" s="839"/>
      <c r="Y14" s="839"/>
      <c r="Z14" s="709"/>
      <c r="AA14" s="706"/>
      <c r="AB14" s="706"/>
    </row>
    <row r="15" spans="1:28" ht="63" customHeight="1" x14ac:dyDescent="0.25">
      <c r="A15" s="694">
        <v>1</v>
      </c>
      <c r="B15" s="749" t="s">
        <v>372</v>
      </c>
      <c r="C15" s="694" t="s">
        <v>424</v>
      </c>
      <c r="D15" s="694" t="s">
        <v>1207</v>
      </c>
      <c r="E15" s="711">
        <v>83711</v>
      </c>
      <c r="F15" s="711">
        <v>79958</v>
      </c>
      <c r="G15" s="711">
        <v>3753</v>
      </c>
      <c r="H15" s="840">
        <v>66561</v>
      </c>
      <c r="I15" s="840">
        <v>63566</v>
      </c>
      <c r="J15" s="840">
        <v>2995</v>
      </c>
      <c r="K15" s="840">
        <v>42834</v>
      </c>
      <c r="L15" s="840">
        <v>40280</v>
      </c>
      <c r="M15" s="840">
        <v>2554</v>
      </c>
      <c r="N15" s="840">
        <f>O15+P15</f>
        <v>20441</v>
      </c>
      <c r="O15" s="840">
        <v>20000</v>
      </c>
      <c r="P15" s="840">
        <v>441</v>
      </c>
      <c r="Q15" s="840">
        <f t="shared" si="4"/>
        <v>63275</v>
      </c>
      <c r="R15" s="840">
        <f>O15+L15</f>
        <v>60280</v>
      </c>
      <c r="S15" s="840">
        <f t="shared" si="1"/>
        <v>2995</v>
      </c>
      <c r="T15" s="840">
        <f>U15+V15</f>
        <v>3286</v>
      </c>
      <c r="U15" s="840">
        <f>I15-R15</f>
        <v>3286</v>
      </c>
      <c r="V15" s="840">
        <f>J15-S15</f>
        <v>0</v>
      </c>
      <c r="W15" s="840">
        <f>X15+Y15</f>
        <v>3286</v>
      </c>
      <c r="X15" s="840">
        <v>3286</v>
      </c>
      <c r="Y15" s="840">
        <v>0</v>
      </c>
      <c r="Z15" s="713">
        <f>(W15+Q15)/H15</f>
        <v>1</v>
      </c>
      <c r="AA15" s="694" t="s">
        <v>373</v>
      </c>
      <c r="AB15" s="714" t="s">
        <v>1208</v>
      </c>
    </row>
    <row r="16" spans="1:28" s="710" customFormat="1" ht="35.25" customHeight="1" x14ac:dyDescent="0.25">
      <c r="A16" s="706"/>
      <c r="B16" s="748" t="s">
        <v>1209</v>
      </c>
      <c r="C16" s="706"/>
      <c r="D16" s="706"/>
      <c r="E16" s="707"/>
      <c r="F16" s="707"/>
      <c r="G16" s="707"/>
      <c r="H16" s="839"/>
      <c r="I16" s="839"/>
      <c r="J16" s="839"/>
      <c r="K16" s="839"/>
      <c r="L16" s="839"/>
      <c r="M16" s="839"/>
      <c r="N16" s="839"/>
      <c r="O16" s="839"/>
      <c r="P16" s="839"/>
      <c r="Q16" s="839"/>
      <c r="R16" s="839"/>
      <c r="S16" s="839"/>
      <c r="T16" s="839"/>
      <c r="U16" s="839"/>
      <c r="V16" s="839"/>
      <c r="W16" s="839"/>
      <c r="X16" s="839"/>
      <c r="Y16" s="839"/>
      <c r="Z16" s="709"/>
      <c r="AA16" s="706"/>
      <c r="AB16" s="706"/>
    </row>
    <row r="17" spans="1:28" ht="55.5" customHeight="1" x14ac:dyDescent="0.25">
      <c r="A17" s="694">
        <v>2</v>
      </c>
      <c r="B17" s="749" t="s">
        <v>374</v>
      </c>
      <c r="C17" s="694" t="s">
        <v>375</v>
      </c>
      <c r="D17" s="694" t="s">
        <v>1210</v>
      </c>
      <c r="E17" s="711">
        <v>59531</v>
      </c>
      <c r="F17" s="711">
        <v>58299</v>
      </c>
      <c r="G17" s="711">
        <v>1232</v>
      </c>
      <c r="H17" s="840">
        <v>59531</v>
      </c>
      <c r="I17" s="840">
        <v>58299</v>
      </c>
      <c r="J17" s="840">
        <v>1232</v>
      </c>
      <c r="K17" s="840">
        <v>450</v>
      </c>
      <c r="L17" s="840">
        <v>450</v>
      </c>
      <c r="M17" s="840"/>
      <c r="N17" s="840">
        <f>O17+P17</f>
        <v>37280</v>
      </c>
      <c r="O17" s="840">
        <f>25936+10112</f>
        <v>36048</v>
      </c>
      <c r="P17" s="840">
        <f>992+240</f>
        <v>1232</v>
      </c>
      <c r="Q17" s="840">
        <f t="shared" si="4"/>
        <v>37730</v>
      </c>
      <c r="R17" s="840">
        <f t="shared" si="1"/>
        <v>36498</v>
      </c>
      <c r="S17" s="840">
        <f t="shared" si="1"/>
        <v>1232</v>
      </c>
      <c r="T17" s="840">
        <f>U17+V17</f>
        <v>21801</v>
      </c>
      <c r="U17" s="840">
        <f>I17-R17</f>
        <v>21801</v>
      </c>
      <c r="V17" s="840">
        <f>J17-S17</f>
        <v>0</v>
      </c>
      <c r="W17" s="840">
        <f>X17+Y17</f>
        <v>8500</v>
      </c>
      <c r="X17" s="840">
        <v>8500</v>
      </c>
      <c r="Y17" s="840">
        <f>V17</f>
        <v>0</v>
      </c>
      <c r="Z17" s="713">
        <f t="shared" ref="Z17:Z86" si="11">(W17+Q17)/H17</f>
        <v>0.77657019032100927</v>
      </c>
      <c r="AA17" s="694" t="s">
        <v>373</v>
      </c>
      <c r="AB17" s="694" t="s">
        <v>1211</v>
      </c>
    </row>
    <row r="18" spans="1:28" s="700" customFormat="1" ht="49.5" customHeight="1" x14ac:dyDescent="0.25">
      <c r="A18" s="696" t="s">
        <v>31</v>
      </c>
      <c r="B18" s="746" t="s">
        <v>376</v>
      </c>
      <c r="C18" s="696"/>
      <c r="D18" s="696"/>
      <c r="E18" s="697">
        <f t="shared" ref="E18:P18" si="12">SUM(E20:E28)</f>
        <v>174098</v>
      </c>
      <c r="F18" s="697">
        <f t="shared" si="12"/>
        <v>165808</v>
      </c>
      <c r="G18" s="697">
        <f t="shared" si="12"/>
        <v>8290</v>
      </c>
      <c r="H18" s="837">
        <f t="shared" si="12"/>
        <v>174098</v>
      </c>
      <c r="I18" s="837">
        <f t="shared" si="12"/>
        <v>165808</v>
      </c>
      <c r="J18" s="837">
        <f t="shared" si="12"/>
        <v>8290</v>
      </c>
      <c r="K18" s="837">
        <f t="shared" si="12"/>
        <v>29007</v>
      </c>
      <c r="L18" s="837">
        <f t="shared" si="12"/>
        <v>28240</v>
      </c>
      <c r="M18" s="837">
        <f t="shared" si="12"/>
        <v>767</v>
      </c>
      <c r="N18" s="837">
        <f t="shared" si="12"/>
        <v>35418</v>
      </c>
      <c r="O18" s="837">
        <f t="shared" si="12"/>
        <v>33146</v>
      </c>
      <c r="P18" s="837">
        <f t="shared" si="12"/>
        <v>2272</v>
      </c>
      <c r="Q18" s="837">
        <f t="shared" si="4"/>
        <v>64425</v>
      </c>
      <c r="R18" s="837">
        <f t="shared" si="1"/>
        <v>61386</v>
      </c>
      <c r="S18" s="837">
        <f t="shared" si="1"/>
        <v>3039</v>
      </c>
      <c r="T18" s="837">
        <f>SUM(T20:T28)</f>
        <v>109673</v>
      </c>
      <c r="U18" s="837">
        <f>SUM(U20:U28)</f>
        <v>104422</v>
      </c>
      <c r="V18" s="837">
        <f>SUM(V20:V28)</f>
        <v>5251</v>
      </c>
      <c r="W18" s="837">
        <f>X18+Y18</f>
        <v>62549</v>
      </c>
      <c r="X18" s="837">
        <f>SUM(X20:X28)</f>
        <v>60167</v>
      </c>
      <c r="Y18" s="837">
        <f>SUM(Y20:Y28)</f>
        <v>2382</v>
      </c>
      <c r="Z18" s="699"/>
      <c r="AA18" s="696"/>
      <c r="AB18" s="696"/>
    </row>
    <row r="19" spans="1:28" s="700" customFormat="1" ht="30" x14ac:dyDescent="0.25">
      <c r="A19" s="696"/>
      <c r="B19" s="748" t="s">
        <v>1206</v>
      </c>
      <c r="C19" s="696"/>
      <c r="D19" s="696"/>
      <c r="E19" s="697"/>
      <c r="F19" s="697"/>
      <c r="G19" s="697"/>
      <c r="H19" s="837"/>
      <c r="I19" s="837"/>
      <c r="J19" s="837"/>
      <c r="K19" s="837"/>
      <c r="L19" s="837"/>
      <c r="M19" s="837"/>
      <c r="N19" s="837"/>
      <c r="O19" s="837"/>
      <c r="P19" s="837"/>
      <c r="Q19" s="837"/>
      <c r="R19" s="837"/>
      <c r="S19" s="837"/>
      <c r="T19" s="837"/>
      <c r="U19" s="837"/>
      <c r="V19" s="837"/>
      <c r="W19" s="837"/>
      <c r="X19" s="837"/>
      <c r="Y19" s="837"/>
      <c r="Z19" s="699"/>
      <c r="AA19" s="696"/>
      <c r="AB19" s="696"/>
    </row>
    <row r="20" spans="1:28" ht="54.75" customHeight="1" x14ac:dyDescent="0.25">
      <c r="A20" s="694">
        <v>1</v>
      </c>
      <c r="B20" s="749" t="s">
        <v>1212</v>
      </c>
      <c r="C20" s="694" t="s">
        <v>397</v>
      </c>
      <c r="D20" s="715" t="s">
        <v>377</v>
      </c>
      <c r="E20" s="716">
        <v>16000</v>
      </c>
      <c r="F20" s="716">
        <v>15200</v>
      </c>
      <c r="G20" s="716">
        <v>800</v>
      </c>
      <c r="H20" s="840">
        <f t="shared" si="7"/>
        <v>16000</v>
      </c>
      <c r="I20" s="840">
        <v>15200</v>
      </c>
      <c r="J20" s="840">
        <v>800</v>
      </c>
      <c r="K20" s="840">
        <v>6500</v>
      </c>
      <c r="L20" s="840">
        <v>6000</v>
      </c>
      <c r="M20" s="840">
        <v>500</v>
      </c>
      <c r="N20" s="840">
        <f t="shared" ref="N20" si="13">O20+P20</f>
        <v>58</v>
      </c>
      <c r="O20" s="840">
        <f>3000-2942</f>
        <v>58</v>
      </c>
      <c r="P20" s="840"/>
      <c r="Q20" s="840">
        <f t="shared" si="4"/>
        <v>6558</v>
      </c>
      <c r="R20" s="840">
        <f t="shared" si="1"/>
        <v>6058</v>
      </c>
      <c r="S20" s="840">
        <f t="shared" si="1"/>
        <v>500</v>
      </c>
      <c r="T20" s="840">
        <f t="shared" ref="T20:T28" si="14">U20+V20</f>
        <v>9442</v>
      </c>
      <c r="U20" s="840">
        <f t="shared" ref="U20:V28" si="15">I20-R20</f>
        <v>9142</v>
      </c>
      <c r="V20" s="840">
        <f t="shared" si="15"/>
        <v>300</v>
      </c>
      <c r="W20" s="841">
        <f t="shared" ref="W20:X21" si="16">T20</f>
        <v>9442</v>
      </c>
      <c r="X20" s="841">
        <f t="shared" si="16"/>
        <v>9142</v>
      </c>
      <c r="Y20" s="841">
        <f>V20</f>
        <v>300</v>
      </c>
      <c r="Z20" s="713">
        <f t="shared" si="11"/>
        <v>1</v>
      </c>
      <c r="AA20" s="694" t="s">
        <v>373</v>
      </c>
      <c r="AB20" s="693" t="s">
        <v>1213</v>
      </c>
    </row>
    <row r="21" spans="1:28" ht="51.75" customHeight="1" x14ac:dyDescent="0.25">
      <c r="A21" s="694">
        <v>2</v>
      </c>
      <c r="B21" s="749" t="s">
        <v>379</v>
      </c>
      <c r="C21" s="694" t="s">
        <v>397</v>
      </c>
      <c r="D21" s="715" t="s">
        <v>380</v>
      </c>
      <c r="E21" s="717">
        <v>50000</v>
      </c>
      <c r="F21" s="717">
        <v>47665</v>
      </c>
      <c r="G21" s="717">
        <v>2335</v>
      </c>
      <c r="H21" s="840">
        <f>I21+J21</f>
        <v>50000</v>
      </c>
      <c r="I21" s="840">
        <v>47665</v>
      </c>
      <c r="J21" s="840">
        <v>2335</v>
      </c>
      <c r="K21" s="840">
        <v>22240</v>
      </c>
      <c r="L21" s="840">
        <v>22240</v>
      </c>
      <c r="M21" s="840">
        <v>0</v>
      </c>
      <c r="N21" s="840">
        <f>O21+P21</f>
        <v>15000</v>
      </c>
      <c r="O21" s="840">
        <v>14000</v>
      </c>
      <c r="P21" s="840">
        <v>1000</v>
      </c>
      <c r="Q21" s="840">
        <f>N21+K21</f>
        <v>37240</v>
      </c>
      <c r="R21" s="840">
        <f>O21+L21</f>
        <v>36240</v>
      </c>
      <c r="S21" s="840">
        <f>P21+M21</f>
        <v>1000</v>
      </c>
      <c r="T21" s="840">
        <f>U21+V21</f>
        <v>12760</v>
      </c>
      <c r="U21" s="840">
        <f>I21-R21</f>
        <v>11425</v>
      </c>
      <c r="V21" s="840">
        <f>J21-S21</f>
        <v>1335</v>
      </c>
      <c r="W21" s="841">
        <f t="shared" si="16"/>
        <v>12760</v>
      </c>
      <c r="X21" s="841">
        <f t="shared" si="16"/>
        <v>11425</v>
      </c>
      <c r="Y21" s="841">
        <f>V21</f>
        <v>1335</v>
      </c>
      <c r="Z21" s="713">
        <f>(W21+Q21)/H21</f>
        <v>1</v>
      </c>
      <c r="AA21" s="694" t="s">
        <v>373</v>
      </c>
      <c r="AB21" s="693" t="s">
        <v>1213</v>
      </c>
    </row>
    <row r="22" spans="1:28" ht="33" customHeight="1" x14ac:dyDescent="0.25">
      <c r="A22" s="694"/>
      <c r="B22" s="748" t="s">
        <v>1209</v>
      </c>
      <c r="C22" s="694"/>
      <c r="D22" s="715"/>
      <c r="E22" s="717"/>
      <c r="F22" s="717"/>
      <c r="G22" s="717"/>
      <c r="H22" s="840"/>
      <c r="I22" s="840"/>
      <c r="J22" s="840"/>
      <c r="K22" s="840"/>
      <c r="L22" s="840"/>
      <c r="M22" s="840"/>
      <c r="N22" s="840"/>
      <c r="O22" s="840"/>
      <c r="P22" s="840"/>
      <c r="Q22" s="840"/>
      <c r="R22" s="840"/>
      <c r="S22" s="840"/>
      <c r="T22" s="840"/>
      <c r="U22" s="840"/>
      <c r="V22" s="840"/>
      <c r="W22" s="841"/>
      <c r="X22" s="841"/>
      <c r="Y22" s="841"/>
      <c r="Z22" s="713"/>
      <c r="AA22" s="694"/>
      <c r="AB22" s="718"/>
    </row>
    <row r="23" spans="1:28" ht="53.25" customHeight="1" x14ac:dyDescent="0.25">
      <c r="A23" s="694">
        <v>3</v>
      </c>
      <c r="B23" s="749" t="s">
        <v>1214</v>
      </c>
      <c r="C23" s="694" t="s">
        <v>375</v>
      </c>
      <c r="D23" s="694"/>
      <c r="E23" s="712">
        <f>F23+G23</f>
        <v>12500</v>
      </c>
      <c r="F23" s="712">
        <f>43000-31200</f>
        <v>11800</v>
      </c>
      <c r="G23" s="712">
        <f>2000-1300</f>
        <v>700</v>
      </c>
      <c r="H23" s="840">
        <f>I23+J23</f>
        <v>12500</v>
      </c>
      <c r="I23" s="840">
        <f>43000-31200</f>
        <v>11800</v>
      </c>
      <c r="J23" s="840">
        <f>2000-1300</f>
        <v>700</v>
      </c>
      <c r="K23" s="840"/>
      <c r="L23" s="840"/>
      <c r="M23" s="840"/>
      <c r="N23" s="840">
        <f t="shared" ref="N23:N24" si="17">O23+P23</f>
        <v>4160</v>
      </c>
      <c r="O23" s="840">
        <f>500+3500</f>
        <v>4000</v>
      </c>
      <c r="P23" s="840">
        <v>160</v>
      </c>
      <c r="Q23" s="840">
        <f t="shared" ref="Q23:S24" si="18">N23+K23</f>
        <v>4160</v>
      </c>
      <c r="R23" s="840">
        <f t="shared" si="18"/>
        <v>4000</v>
      </c>
      <c r="S23" s="840">
        <f t="shared" si="18"/>
        <v>160</v>
      </c>
      <c r="T23" s="840">
        <f>U23+V23</f>
        <v>8340</v>
      </c>
      <c r="U23" s="840">
        <f>I23-R23</f>
        <v>7800</v>
      </c>
      <c r="V23" s="840">
        <f>J23-S23</f>
        <v>540</v>
      </c>
      <c r="W23" s="840">
        <f>X23+Y23</f>
        <v>5900</v>
      </c>
      <c r="X23" s="840">
        <v>5900</v>
      </c>
      <c r="Y23" s="841">
        <v>0</v>
      </c>
      <c r="Z23" s="713">
        <f>(W23+Q23)/H23</f>
        <v>0.80479999999999996</v>
      </c>
      <c r="AA23" s="694" t="s">
        <v>373</v>
      </c>
      <c r="AB23" s="694" t="s">
        <v>1211</v>
      </c>
    </row>
    <row r="24" spans="1:28" ht="49.5" customHeight="1" x14ac:dyDescent="0.25">
      <c r="A24" s="694">
        <v>4</v>
      </c>
      <c r="B24" s="749" t="s">
        <v>1215</v>
      </c>
      <c r="C24" s="694" t="s">
        <v>375</v>
      </c>
      <c r="D24" s="694"/>
      <c r="E24" s="712">
        <f>F24+G24</f>
        <v>37615</v>
      </c>
      <c r="F24" s="712">
        <f>17193+18540</f>
        <v>35733</v>
      </c>
      <c r="G24" s="712">
        <f>905+977</f>
        <v>1882</v>
      </c>
      <c r="H24" s="840">
        <f>I24+J24</f>
        <v>37615</v>
      </c>
      <c r="I24" s="840">
        <f>17193+18540</f>
        <v>35733</v>
      </c>
      <c r="J24" s="840">
        <f>905+977</f>
        <v>1882</v>
      </c>
      <c r="K24" s="840"/>
      <c r="L24" s="840"/>
      <c r="M24" s="840"/>
      <c r="N24" s="840">
        <f t="shared" si="17"/>
        <v>15900</v>
      </c>
      <c r="O24" s="840">
        <f>500+14288</f>
        <v>14788</v>
      </c>
      <c r="P24" s="840">
        <v>1112</v>
      </c>
      <c r="Q24" s="840">
        <f t="shared" si="18"/>
        <v>15900</v>
      </c>
      <c r="R24" s="840">
        <f t="shared" si="18"/>
        <v>14788</v>
      </c>
      <c r="S24" s="840">
        <f t="shared" si="18"/>
        <v>1112</v>
      </c>
      <c r="T24" s="840">
        <f>U24+V24</f>
        <v>21715</v>
      </c>
      <c r="U24" s="840">
        <f>I24-R24</f>
        <v>20945</v>
      </c>
      <c r="V24" s="840">
        <f>J24-S24</f>
        <v>770</v>
      </c>
      <c r="W24" s="840">
        <f>X24+Y24</f>
        <v>14691</v>
      </c>
      <c r="X24" s="840">
        <v>14000</v>
      </c>
      <c r="Y24" s="841">
        <f>770-79</f>
        <v>691</v>
      </c>
      <c r="Z24" s="713">
        <f>(W24+Q24)/H24</f>
        <v>0.81326598431476804</v>
      </c>
      <c r="AA24" s="694" t="s">
        <v>373</v>
      </c>
      <c r="AB24" s="694" t="s">
        <v>1211</v>
      </c>
    </row>
    <row r="25" spans="1:28" ht="33" customHeight="1" x14ac:dyDescent="0.25">
      <c r="A25" s="694"/>
      <c r="B25" s="748" t="s">
        <v>1216</v>
      </c>
      <c r="C25" s="694"/>
      <c r="D25" s="694"/>
      <c r="E25" s="712"/>
      <c r="F25" s="712"/>
      <c r="G25" s="712"/>
      <c r="H25" s="840"/>
      <c r="I25" s="840"/>
      <c r="J25" s="840"/>
      <c r="K25" s="840"/>
      <c r="L25" s="840"/>
      <c r="M25" s="840"/>
      <c r="N25" s="840"/>
      <c r="O25" s="840"/>
      <c r="P25" s="840"/>
      <c r="Q25" s="840"/>
      <c r="R25" s="840"/>
      <c r="S25" s="840"/>
      <c r="T25" s="840"/>
      <c r="U25" s="840"/>
      <c r="V25" s="840"/>
      <c r="W25" s="840"/>
      <c r="X25" s="840"/>
      <c r="Y25" s="841"/>
      <c r="Z25" s="713"/>
      <c r="AA25" s="694"/>
      <c r="AB25" s="719"/>
    </row>
    <row r="26" spans="1:28" ht="45" x14ac:dyDescent="0.25">
      <c r="A26" s="694">
        <v>5</v>
      </c>
      <c r="B26" s="749" t="s">
        <v>1217</v>
      </c>
      <c r="C26" s="694" t="s">
        <v>375</v>
      </c>
      <c r="D26" s="694"/>
      <c r="E26" s="711">
        <f t="shared" ref="E26:E28" si="19">F26+G26</f>
        <v>13500</v>
      </c>
      <c r="F26" s="711">
        <f>17100-4275</f>
        <v>12825</v>
      </c>
      <c r="G26" s="711">
        <f>900-225</f>
        <v>675</v>
      </c>
      <c r="H26" s="840">
        <f t="shared" si="7"/>
        <v>13500</v>
      </c>
      <c r="I26" s="840">
        <f>17100-4275</f>
        <v>12825</v>
      </c>
      <c r="J26" s="840">
        <f>900-225</f>
        <v>675</v>
      </c>
      <c r="K26" s="840">
        <v>132</v>
      </c>
      <c r="L26" s="840">
        <v>0</v>
      </c>
      <c r="M26" s="840">
        <v>132</v>
      </c>
      <c r="N26" s="840"/>
      <c r="O26" s="840"/>
      <c r="P26" s="840"/>
      <c r="Q26" s="840">
        <f t="shared" si="4"/>
        <v>132</v>
      </c>
      <c r="R26" s="840">
        <f t="shared" si="4"/>
        <v>0</v>
      </c>
      <c r="S26" s="840">
        <f t="shared" si="4"/>
        <v>132</v>
      </c>
      <c r="T26" s="840">
        <f t="shared" si="14"/>
        <v>13368</v>
      </c>
      <c r="U26" s="840">
        <f t="shared" si="15"/>
        <v>12825</v>
      </c>
      <c r="V26" s="840">
        <f t="shared" si="15"/>
        <v>543</v>
      </c>
      <c r="W26" s="841">
        <f>X26+Y26</f>
        <v>4600</v>
      </c>
      <c r="X26" s="841">
        <v>4600</v>
      </c>
      <c r="Y26" s="841">
        <v>0</v>
      </c>
      <c r="Z26" s="713">
        <f t="shared" si="11"/>
        <v>0.35051851851851851</v>
      </c>
      <c r="AA26" s="694" t="s">
        <v>373</v>
      </c>
      <c r="AB26" s="694" t="s">
        <v>1218</v>
      </c>
    </row>
    <row r="27" spans="1:28" ht="57" customHeight="1" x14ac:dyDescent="0.25">
      <c r="A27" s="694">
        <v>6</v>
      </c>
      <c r="B27" s="749" t="s">
        <v>378</v>
      </c>
      <c r="C27" s="694" t="s">
        <v>424</v>
      </c>
      <c r="D27" s="694" t="s">
        <v>1219</v>
      </c>
      <c r="E27" s="712">
        <f t="shared" si="19"/>
        <v>27000</v>
      </c>
      <c r="F27" s="712">
        <v>25650</v>
      </c>
      <c r="G27" s="712">
        <v>1350</v>
      </c>
      <c r="H27" s="840">
        <f t="shared" si="7"/>
        <v>27000</v>
      </c>
      <c r="I27" s="840">
        <v>25650</v>
      </c>
      <c r="J27" s="840">
        <v>1350</v>
      </c>
      <c r="K27" s="840">
        <v>135</v>
      </c>
      <c r="L27" s="840">
        <v>0</v>
      </c>
      <c r="M27" s="840">
        <v>135</v>
      </c>
      <c r="N27" s="840"/>
      <c r="O27" s="840"/>
      <c r="P27" s="840"/>
      <c r="Q27" s="840">
        <f t="shared" si="4"/>
        <v>135</v>
      </c>
      <c r="R27" s="840">
        <f t="shared" si="4"/>
        <v>0</v>
      </c>
      <c r="S27" s="840">
        <f t="shared" si="4"/>
        <v>135</v>
      </c>
      <c r="T27" s="840">
        <f t="shared" si="14"/>
        <v>26865</v>
      </c>
      <c r="U27" s="840">
        <f t="shared" si="15"/>
        <v>25650</v>
      </c>
      <c r="V27" s="840">
        <f t="shared" si="15"/>
        <v>1215</v>
      </c>
      <c r="W27" s="840">
        <f>X27+Y27</f>
        <v>9356</v>
      </c>
      <c r="X27" s="840">
        <v>9300</v>
      </c>
      <c r="Y27" s="841">
        <v>56</v>
      </c>
      <c r="Z27" s="713">
        <f t="shared" si="11"/>
        <v>0.35151851851851851</v>
      </c>
      <c r="AA27" s="694" t="s">
        <v>373</v>
      </c>
      <c r="AB27" s="694" t="s">
        <v>1218</v>
      </c>
    </row>
    <row r="28" spans="1:28" ht="51.75" customHeight="1" x14ac:dyDescent="0.25">
      <c r="A28" s="694">
        <v>7</v>
      </c>
      <c r="B28" s="749" t="s">
        <v>1220</v>
      </c>
      <c r="C28" s="694" t="s">
        <v>375</v>
      </c>
      <c r="D28" s="694"/>
      <c r="E28" s="712">
        <f t="shared" si="19"/>
        <v>17483</v>
      </c>
      <c r="F28" s="712">
        <v>16935</v>
      </c>
      <c r="G28" s="712">
        <v>548</v>
      </c>
      <c r="H28" s="840">
        <f t="shared" si="7"/>
        <v>17483</v>
      </c>
      <c r="I28" s="840">
        <v>16935</v>
      </c>
      <c r="J28" s="840">
        <v>548</v>
      </c>
      <c r="K28" s="840"/>
      <c r="L28" s="840"/>
      <c r="M28" s="840"/>
      <c r="N28" s="840">
        <f>O28+P28</f>
        <v>300</v>
      </c>
      <c r="O28" s="840">
        <v>300</v>
      </c>
      <c r="P28" s="842"/>
      <c r="Q28" s="840">
        <f t="shared" si="4"/>
        <v>300</v>
      </c>
      <c r="R28" s="840">
        <f t="shared" si="4"/>
        <v>300</v>
      </c>
      <c r="S28" s="840">
        <f t="shared" si="4"/>
        <v>0</v>
      </c>
      <c r="T28" s="840">
        <f t="shared" si="14"/>
        <v>17183</v>
      </c>
      <c r="U28" s="840">
        <f t="shared" si="15"/>
        <v>16635</v>
      </c>
      <c r="V28" s="840">
        <f t="shared" si="15"/>
        <v>548</v>
      </c>
      <c r="W28" s="840">
        <f t="shared" ref="W28" si="20">X28+Y28</f>
        <v>5800</v>
      </c>
      <c r="X28" s="840">
        <v>5800</v>
      </c>
      <c r="Y28" s="840">
        <v>0</v>
      </c>
      <c r="Z28" s="713">
        <f t="shared" si="11"/>
        <v>0.34891037007378595</v>
      </c>
      <c r="AA28" s="694" t="s">
        <v>373</v>
      </c>
      <c r="AB28" s="694" t="s">
        <v>1218</v>
      </c>
    </row>
    <row r="29" spans="1:28" s="700" customFormat="1" ht="90.75" customHeight="1" x14ac:dyDescent="0.25">
      <c r="A29" s="696" t="s">
        <v>54</v>
      </c>
      <c r="B29" s="746" t="s">
        <v>381</v>
      </c>
      <c r="C29" s="696"/>
      <c r="D29" s="696"/>
      <c r="E29" s="698"/>
      <c r="F29" s="698"/>
      <c r="G29" s="698"/>
      <c r="H29" s="837">
        <f t="shared" ref="H29:Y29" si="21">H31</f>
        <v>36058</v>
      </c>
      <c r="I29" s="837">
        <f t="shared" si="21"/>
        <v>34340</v>
      </c>
      <c r="J29" s="837">
        <f t="shared" si="21"/>
        <v>1718</v>
      </c>
      <c r="K29" s="837">
        <f t="shared" si="21"/>
        <v>0</v>
      </c>
      <c r="L29" s="837">
        <f t="shared" si="21"/>
        <v>0</v>
      </c>
      <c r="M29" s="837">
        <f t="shared" si="21"/>
        <v>0</v>
      </c>
      <c r="N29" s="837">
        <f t="shared" si="21"/>
        <v>0</v>
      </c>
      <c r="O29" s="837">
        <f t="shared" si="21"/>
        <v>0</v>
      </c>
      <c r="P29" s="837">
        <f t="shared" si="21"/>
        <v>0</v>
      </c>
      <c r="Q29" s="840">
        <f t="shared" si="4"/>
        <v>0</v>
      </c>
      <c r="R29" s="840">
        <f t="shared" si="4"/>
        <v>0</v>
      </c>
      <c r="S29" s="840">
        <f t="shared" si="4"/>
        <v>0</v>
      </c>
      <c r="T29" s="837">
        <f t="shared" si="21"/>
        <v>36058</v>
      </c>
      <c r="U29" s="837">
        <f t="shared" si="21"/>
        <v>34340</v>
      </c>
      <c r="V29" s="837">
        <f t="shared" si="21"/>
        <v>1718</v>
      </c>
      <c r="W29" s="837">
        <f t="shared" si="21"/>
        <v>0</v>
      </c>
      <c r="X29" s="837">
        <f t="shared" si="21"/>
        <v>0</v>
      </c>
      <c r="Y29" s="837">
        <f t="shared" si="21"/>
        <v>0</v>
      </c>
      <c r="Z29" s="699"/>
      <c r="AA29" s="696"/>
      <c r="AB29" s="696"/>
    </row>
    <row r="30" spans="1:28" s="700" customFormat="1" ht="25.5" customHeight="1" x14ac:dyDescent="0.25">
      <c r="A30" s="696"/>
      <c r="B30" s="748" t="s">
        <v>1216</v>
      </c>
      <c r="C30" s="696"/>
      <c r="D30" s="696"/>
      <c r="E30" s="698"/>
      <c r="F30" s="698"/>
      <c r="G30" s="698"/>
      <c r="H30" s="837"/>
      <c r="I30" s="837"/>
      <c r="J30" s="837"/>
      <c r="K30" s="837"/>
      <c r="L30" s="837"/>
      <c r="M30" s="837"/>
      <c r="N30" s="837"/>
      <c r="O30" s="837"/>
      <c r="P30" s="837"/>
      <c r="Q30" s="840"/>
      <c r="R30" s="840"/>
      <c r="S30" s="840"/>
      <c r="T30" s="837"/>
      <c r="U30" s="837"/>
      <c r="V30" s="837"/>
      <c r="W30" s="837"/>
      <c r="X30" s="837"/>
      <c r="Y30" s="837"/>
      <c r="Z30" s="699"/>
      <c r="AA30" s="696"/>
      <c r="AB30" s="696"/>
    </row>
    <row r="31" spans="1:28" ht="63.75" customHeight="1" x14ac:dyDescent="0.25">
      <c r="A31" s="694">
        <v>1</v>
      </c>
      <c r="B31" s="749" t="s">
        <v>382</v>
      </c>
      <c r="C31" s="694" t="s">
        <v>424</v>
      </c>
      <c r="D31" s="694"/>
      <c r="E31" s="712"/>
      <c r="F31" s="712"/>
      <c r="G31" s="712"/>
      <c r="H31" s="840">
        <f>I31+J31</f>
        <v>36058</v>
      </c>
      <c r="I31" s="840">
        <f>28733+5607</f>
        <v>34340</v>
      </c>
      <c r="J31" s="840">
        <f>1437+281</f>
        <v>1718</v>
      </c>
      <c r="K31" s="840"/>
      <c r="L31" s="840"/>
      <c r="M31" s="840"/>
      <c r="N31" s="840"/>
      <c r="O31" s="840"/>
      <c r="P31" s="840"/>
      <c r="Q31" s="840">
        <f t="shared" si="4"/>
        <v>0</v>
      </c>
      <c r="R31" s="840">
        <f t="shared" si="4"/>
        <v>0</v>
      </c>
      <c r="S31" s="840">
        <f t="shared" si="4"/>
        <v>0</v>
      </c>
      <c r="T31" s="840">
        <f>U31+V31</f>
        <v>36058</v>
      </c>
      <c r="U31" s="840">
        <f>I31-R31</f>
        <v>34340</v>
      </c>
      <c r="V31" s="840">
        <f>J31-S31</f>
        <v>1718</v>
      </c>
      <c r="W31" s="840">
        <f>X31+Y31</f>
        <v>0</v>
      </c>
      <c r="X31" s="840"/>
      <c r="Y31" s="840"/>
      <c r="Z31" s="713">
        <f>(W31+Q31)/H31</f>
        <v>0</v>
      </c>
      <c r="AA31" s="694" t="s">
        <v>383</v>
      </c>
      <c r="AB31" s="694" t="s">
        <v>1221</v>
      </c>
    </row>
    <row r="32" spans="1:28" s="700" customFormat="1" ht="61.5" customHeight="1" x14ac:dyDescent="0.25">
      <c r="A32" s="696" t="s">
        <v>56</v>
      </c>
      <c r="B32" s="746" t="s">
        <v>384</v>
      </c>
      <c r="C32" s="696"/>
      <c r="D32" s="696"/>
      <c r="E32" s="698"/>
      <c r="F32" s="698"/>
      <c r="G32" s="698"/>
      <c r="H32" s="837">
        <f t="shared" ref="H32:Y32" si="22">H33+H40+H43</f>
        <v>177643.71429999999</v>
      </c>
      <c r="I32" s="837">
        <f t="shared" si="22"/>
        <v>157012.878585</v>
      </c>
      <c r="J32" s="837">
        <f t="shared" si="22"/>
        <v>20630.835715000001</v>
      </c>
      <c r="K32" s="837">
        <f t="shared" si="22"/>
        <v>57977</v>
      </c>
      <c r="L32" s="837">
        <f t="shared" si="22"/>
        <v>54488</v>
      </c>
      <c r="M32" s="837">
        <f t="shared" si="22"/>
        <v>3489</v>
      </c>
      <c r="N32" s="837">
        <f t="shared" si="22"/>
        <v>46931</v>
      </c>
      <c r="O32" s="837">
        <f t="shared" si="22"/>
        <v>44375</v>
      </c>
      <c r="P32" s="837">
        <f t="shared" si="22"/>
        <v>2556</v>
      </c>
      <c r="Q32" s="837">
        <f t="shared" si="4"/>
        <v>104908</v>
      </c>
      <c r="R32" s="837">
        <f t="shared" si="4"/>
        <v>98863</v>
      </c>
      <c r="S32" s="837">
        <f t="shared" si="4"/>
        <v>6045</v>
      </c>
      <c r="T32" s="837">
        <f t="shared" si="22"/>
        <v>72735.714299999992</v>
      </c>
      <c r="U32" s="837">
        <f t="shared" si="22"/>
        <v>58149.878584999999</v>
      </c>
      <c r="V32" s="837">
        <f t="shared" si="22"/>
        <v>14585.835715000001</v>
      </c>
      <c r="W32" s="837">
        <f t="shared" si="22"/>
        <v>39419</v>
      </c>
      <c r="X32" s="837">
        <f t="shared" si="22"/>
        <v>32539</v>
      </c>
      <c r="Y32" s="837">
        <f t="shared" si="22"/>
        <v>6880</v>
      </c>
      <c r="Z32" s="701"/>
      <c r="AA32" s="696"/>
      <c r="AB32" s="696"/>
    </row>
    <row r="33" spans="1:28" s="705" customFormat="1" ht="55.5" customHeight="1" x14ac:dyDescent="0.25">
      <c r="A33" s="702" t="s">
        <v>385</v>
      </c>
      <c r="B33" s="747" t="s">
        <v>386</v>
      </c>
      <c r="C33" s="702"/>
      <c r="D33" s="702"/>
      <c r="E33" s="704"/>
      <c r="F33" s="704"/>
      <c r="G33" s="704"/>
      <c r="H33" s="838">
        <f t="shared" ref="H33:Y33" si="23">H35+H37+H39</f>
        <v>33293.7143</v>
      </c>
      <c r="I33" s="838">
        <f t="shared" si="23"/>
        <v>31707.878584999999</v>
      </c>
      <c r="J33" s="838">
        <f t="shared" si="23"/>
        <v>1585.8357150000011</v>
      </c>
      <c r="K33" s="838">
        <f t="shared" si="23"/>
        <v>8114</v>
      </c>
      <c r="L33" s="838">
        <f t="shared" si="23"/>
        <v>7745</v>
      </c>
      <c r="M33" s="838">
        <f t="shared" si="23"/>
        <v>369</v>
      </c>
      <c r="N33" s="838">
        <f t="shared" si="23"/>
        <v>8264</v>
      </c>
      <c r="O33" s="838">
        <f t="shared" si="23"/>
        <v>7851</v>
      </c>
      <c r="P33" s="838">
        <f t="shared" si="23"/>
        <v>413</v>
      </c>
      <c r="Q33" s="838">
        <f t="shared" si="4"/>
        <v>16378</v>
      </c>
      <c r="R33" s="838">
        <f t="shared" si="4"/>
        <v>15596</v>
      </c>
      <c r="S33" s="838">
        <f t="shared" si="4"/>
        <v>782</v>
      </c>
      <c r="T33" s="838">
        <f t="shared" si="23"/>
        <v>16915.7143</v>
      </c>
      <c r="U33" s="838">
        <f t="shared" si="23"/>
        <v>16111.878584999999</v>
      </c>
      <c r="V33" s="838">
        <f t="shared" si="23"/>
        <v>803.83571500000107</v>
      </c>
      <c r="W33" s="838">
        <f t="shared" si="23"/>
        <v>1506</v>
      </c>
      <c r="X33" s="838">
        <f>X35+X37+X39</f>
        <v>1457</v>
      </c>
      <c r="Y33" s="838">
        <f t="shared" si="23"/>
        <v>49</v>
      </c>
      <c r="Z33" s="701"/>
      <c r="AA33" s="702"/>
      <c r="AB33" s="702"/>
    </row>
    <row r="34" spans="1:28" s="700" customFormat="1" ht="30" x14ac:dyDescent="0.25">
      <c r="A34" s="696"/>
      <c r="B34" s="748" t="s">
        <v>1206</v>
      </c>
      <c r="C34" s="696"/>
      <c r="D34" s="696"/>
      <c r="E34" s="697"/>
      <c r="F34" s="697"/>
      <c r="G34" s="697"/>
      <c r="H34" s="837"/>
      <c r="I34" s="837"/>
      <c r="J34" s="837"/>
      <c r="K34" s="837"/>
      <c r="L34" s="837"/>
      <c r="M34" s="837"/>
      <c r="N34" s="837"/>
      <c r="O34" s="837"/>
      <c r="P34" s="837"/>
      <c r="Q34" s="837"/>
      <c r="R34" s="837"/>
      <c r="S34" s="837"/>
      <c r="T34" s="837"/>
      <c r="U34" s="837"/>
      <c r="V34" s="837"/>
      <c r="W34" s="837"/>
      <c r="X34" s="837"/>
      <c r="Y34" s="837"/>
      <c r="Z34" s="699"/>
      <c r="AA34" s="696"/>
      <c r="AB34" s="696"/>
    </row>
    <row r="35" spans="1:28" ht="85.5" customHeight="1" x14ac:dyDescent="0.25">
      <c r="A35" s="694">
        <v>1</v>
      </c>
      <c r="B35" s="749" t="s">
        <v>387</v>
      </c>
      <c r="C35" s="694" t="s">
        <v>397</v>
      </c>
      <c r="D35" s="693" t="s">
        <v>1222</v>
      </c>
      <c r="E35" s="717">
        <v>10370</v>
      </c>
      <c r="F35" s="717">
        <v>9852</v>
      </c>
      <c r="G35" s="717">
        <v>518</v>
      </c>
      <c r="H35" s="840">
        <v>10369.857099999999</v>
      </c>
      <c r="I35" s="840">
        <v>9852.2642449999985</v>
      </c>
      <c r="J35" s="840">
        <v>517.59285500000078</v>
      </c>
      <c r="K35" s="840">
        <v>7764</v>
      </c>
      <c r="L35" s="840">
        <v>7395</v>
      </c>
      <c r="M35" s="840">
        <v>369</v>
      </c>
      <c r="N35" s="840">
        <f>O35+P35</f>
        <v>2100</v>
      </c>
      <c r="O35" s="840">
        <v>2000</v>
      </c>
      <c r="P35" s="840">
        <v>100</v>
      </c>
      <c r="Q35" s="840">
        <f t="shared" si="4"/>
        <v>9864</v>
      </c>
      <c r="R35" s="840">
        <f t="shared" si="4"/>
        <v>9395</v>
      </c>
      <c r="S35" s="840">
        <f t="shared" si="4"/>
        <v>469</v>
      </c>
      <c r="T35" s="840">
        <f t="shared" ref="T35:T39" si="24">U35+V35</f>
        <v>505.85709999999926</v>
      </c>
      <c r="U35" s="840">
        <f t="shared" ref="U35:V39" si="25">I35-R35</f>
        <v>457.26424499999848</v>
      </c>
      <c r="V35" s="840">
        <f t="shared" si="25"/>
        <v>48.592855000000782</v>
      </c>
      <c r="W35" s="840">
        <f>X35+Y35</f>
        <v>506</v>
      </c>
      <c r="X35" s="841">
        <v>457</v>
      </c>
      <c r="Y35" s="841">
        <v>49</v>
      </c>
      <c r="Z35" s="713">
        <f t="shared" si="11"/>
        <v>1.0000137803248996</v>
      </c>
      <c r="AA35" s="694" t="s">
        <v>388</v>
      </c>
      <c r="AB35" s="694" t="s">
        <v>1213</v>
      </c>
    </row>
    <row r="36" spans="1:28" ht="31.5" customHeight="1" x14ac:dyDescent="0.25">
      <c r="A36" s="694"/>
      <c r="B36" s="748" t="s">
        <v>1209</v>
      </c>
      <c r="C36" s="694"/>
      <c r="D36" s="693"/>
      <c r="E36" s="717"/>
      <c r="F36" s="717"/>
      <c r="G36" s="717"/>
      <c r="H36" s="840"/>
      <c r="I36" s="840"/>
      <c r="J36" s="840"/>
      <c r="K36" s="840"/>
      <c r="L36" s="840"/>
      <c r="M36" s="840"/>
      <c r="N36" s="840"/>
      <c r="O36" s="840"/>
      <c r="P36" s="840"/>
      <c r="Q36" s="840"/>
      <c r="R36" s="840"/>
      <c r="S36" s="840"/>
      <c r="T36" s="840"/>
      <c r="U36" s="840"/>
      <c r="V36" s="840"/>
      <c r="W36" s="840"/>
      <c r="X36" s="841"/>
      <c r="Y36" s="841"/>
      <c r="Z36" s="713"/>
      <c r="AA36" s="694"/>
      <c r="AB36" s="694"/>
    </row>
    <row r="37" spans="1:28" ht="83.25" customHeight="1" x14ac:dyDescent="0.25">
      <c r="A37" s="694">
        <v>2</v>
      </c>
      <c r="B37" s="749" t="s">
        <v>389</v>
      </c>
      <c r="C37" s="694" t="s">
        <v>375</v>
      </c>
      <c r="D37" s="693" t="s">
        <v>1223</v>
      </c>
      <c r="E37" s="717">
        <v>8072</v>
      </c>
      <c r="F37" s="717">
        <v>7668</v>
      </c>
      <c r="G37" s="712">
        <v>404</v>
      </c>
      <c r="H37" s="840">
        <v>8071.8572000000004</v>
      </c>
      <c r="I37" s="840">
        <v>7667.6143400000001</v>
      </c>
      <c r="J37" s="840">
        <v>404.24286000000029</v>
      </c>
      <c r="K37" s="840">
        <v>350</v>
      </c>
      <c r="L37" s="840">
        <v>350</v>
      </c>
      <c r="M37" s="840">
        <v>0</v>
      </c>
      <c r="N37" s="840">
        <f>O37+P37</f>
        <v>5964</v>
      </c>
      <c r="O37" s="840">
        <v>5651</v>
      </c>
      <c r="P37" s="840">
        <v>313</v>
      </c>
      <c r="Q37" s="840">
        <f t="shared" si="4"/>
        <v>6314</v>
      </c>
      <c r="R37" s="840">
        <f t="shared" si="4"/>
        <v>6001</v>
      </c>
      <c r="S37" s="840">
        <f t="shared" si="4"/>
        <v>313</v>
      </c>
      <c r="T37" s="840">
        <f t="shared" si="24"/>
        <v>1757.8572000000004</v>
      </c>
      <c r="U37" s="840">
        <f t="shared" si="25"/>
        <v>1666.6143400000001</v>
      </c>
      <c r="V37" s="840">
        <f t="shared" si="25"/>
        <v>91.242860000000292</v>
      </c>
      <c r="W37" s="840">
        <f t="shared" ref="W37:W39" si="26">X37+Y37</f>
        <v>1000</v>
      </c>
      <c r="X37" s="841">
        <v>1000</v>
      </c>
      <c r="Y37" s="841">
        <v>0</v>
      </c>
      <c r="Z37" s="713">
        <f t="shared" si="11"/>
        <v>0.90611117352274262</v>
      </c>
      <c r="AA37" s="694" t="s">
        <v>388</v>
      </c>
      <c r="AB37" s="694" t="s">
        <v>1211</v>
      </c>
    </row>
    <row r="38" spans="1:28" ht="15.75" x14ac:dyDescent="0.25">
      <c r="A38" s="694"/>
      <c r="B38" s="748" t="s">
        <v>1216</v>
      </c>
      <c r="C38" s="694"/>
      <c r="D38" s="693"/>
      <c r="E38" s="717"/>
      <c r="F38" s="717"/>
      <c r="G38" s="712"/>
      <c r="H38" s="840"/>
      <c r="I38" s="840"/>
      <c r="J38" s="840"/>
      <c r="K38" s="840"/>
      <c r="L38" s="840"/>
      <c r="M38" s="840"/>
      <c r="N38" s="840"/>
      <c r="O38" s="840"/>
      <c r="P38" s="840"/>
      <c r="Q38" s="840"/>
      <c r="R38" s="840"/>
      <c r="S38" s="840"/>
      <c r="T38" s="840"/>
      <c r="U38" s="840"/>
      <c r="V38" s="840"/>
      <c r="W38" s="840"/>
      <c r="X38" s="841"/>
      <c r="Y38" s="841"/>
      <c r="Z38" s="713"/>
      <c r="AA38" s="694"/>
      <c r="AB38" s="694"/>
    </row>
    <row r="39" spans="1:28" ht="105" x14ac:dyDescent="0.25">
      <c r="A39" s="694">
        <v>3</v>
      </c>
      <c r="B39" s="749" t="s">
        <v>390</v>
      </c>
      <c r="C39" s="694" t="s">
        <v>375</v>
      </c>
      <c r="D39" s="694"/>
      <c r="E39" s="712">
        <v>14852</v>
      </c>
      <c r="F39" s="712">
        <v>14188</v>
      </c>
      <c r="G39" s="712">
        <v>664</v>
      </c>
      <c r="H39" s="840">
        <v>14852</v>
      </c>
      <c r="I39" s="840">
        <v>14188</v>
      </c>
      <c r="J39" s="840">
        <v>664</v>
      </c>
      <c r="K39" s="840"/>
      <c r="L39" s="840"/>
      <c r="M39" s="840"/>
      <c r="N39" s="840">
        <f>O39+P39</f>
        <v>200</v>
      </c>
      <c r="O39" s="840">
        <v>200</v>
      </c>
      <c r="P39" s="840"/>
      <c r="Q39" s="840">
        <f t="shared" si="4"/>
        <v>200</v>
      </c>
      <c r="R39" s="840">
        <f t="shared" si="4"/>
        <v>200</v>
      </c>
      <c r="S39" s="840">
        <f t="shared" si="4"/>
        <v>0</v>
      </c>
      <c r="T39" s="840">
        <f t="shared" si="24"/>
        <v>14652</v>
      </c>
      <c r="U39" s="840">
        <f t="shared" si="25"/>
        <v>13988</v>
      </c>
      <c r="V39" s="840">
        <f t="shared" si="25"/>
        <v>664</v>
      </c>
      <c r="W39" s="840">
        <f t="shared" si="26"/>
        <v>0</v>
      </c>
      <c r="X39" s="841"/>
      <c r="Y39" s="841">
        <v>0</v>
      </c>
      <c r="Z39" s="713">
        <f t="shared" si="11"/>
        <v>1.3466199838405602E-2</v>
      </c>
      <c r="AA39" s="694" t="s">
        <v>388</v>
      </c>
      <c r="AB39" s="694" t="s">
        <v>1221</v>
      </c>
    </row>
    <row r="40" spans="1:28" s="705" customFormat="1" ht="72.75" customHeight="1" x14ac:dyDescent="0.25">
      <c r="A40" s="702" t="s">
        <v>391</v>
      </c>
      <c r="B40" s="747" t="s">
        <v>392</v>
      </c>
      <c r="C40" s="702"/>
      <c r="D40" s="702"/>
      <c r="E40" s="704"/>
      <c r="F40" s="704"/>
      <c r="G40" s="704"/>
      <c r="H40" s="838">
        <f>H42</f>
        <v>3209</v>
      </c>
      <c r="I40" s="838">
        <f t="shared" ref="I40:Y40" si="27">I42</f>
        <v>3056</v>
      </c>
      <c r="J40" s="838">
        <f t="shared" si="27"/>
        <v>153</v>
      </c>
      <c r="K40" s="838">
        <f t="shared" si="27"/>
        <v>0</v>
      </c>
      <c r="L40" s="838">
        <f t="shared" si="27"/>
        <v>0</v>
      </c>
      <c r="M40" s="838">
        <f t="shared" si="27"/>
        <v>0</v>
      </c>
      <c r="N40" s="838">
        <f t="shared" si="27"/>
        <v>963</v>
      </c>
      <c r="O40" s="838">
        <f t="shared" si="27"/>
        <v>915</v>
      </c>
      <c r="P40" s="838">
        <f t="shared" si="27"/>
        <v>48</v>
      </c>
      <c r="Q40" s="837">
        <f t="shared" si="4"/>
        <v>963</v>
      </c>
      <c r="R40" s="837">
        <f t="shared" si="4"/>
        <v>915</v>
      </c>
      <c r="S40" s="837">
        <f t="shared" si="4"/>
        <v>48</v>
      </c>
      <c r="T40" s="838">
        <f>T42</f>
        <v>2246</v>
      </c>
      <c r="U40" s="838">
        <f t="shared" si="27"/>
        <v>2141</v>
      </c>
      <c r="V40" s="838">
        <f t="shared" si="27"/>
        <v>105</v>
      </c>
      <c r="W40" s="838">
        <f>W42</f>
        <v>1534</v>
      </c>
      <c r="X40" s="838">
        <f t="shared" si="27"/>
        <v>1534</v>
      </c>
      <c r="Y40" s="838">
        <f t="shared" si="27"/>
        <v>0</v>
      </c>
      <c r="Z40" s="713"/>
      <c r="AA40" s="702"/>
      <c r="AB40" s="702"/>
    </row>
    <row r="41" spans="1:28" s="705" customFormat="1" ht="29.25" customHeight="1" x14ac:dyDescent="0.25">
      <c r="A41" s="702"/>
      <c r="B41" s="748" t="s">
        <v>1209</v>
      </c>
      <c r="C41" s="702"/>
      <c r="D41" s="702"/>
      <c r="E41" s="704"/>
      <c r="F41" s="704"/>
      <c r="G41" s="704"/>
      <c r="H41" s="838"/>
      <c r="I41" s="838"/>
      <c r="J41" s="838"/>
      <c r="K41" s="838"/>
      <c r="L41" s="838"/>
      <c r="M41" s="838"/>
      <c r="N41" s="838"/>
      <c r="O41" s="838"/>
      <c r="P41" s="838"/>
      <c r="Q41" s="837"/>
      <c r="R41" s="837"/>
      <c r="S41" s="837"/>
      <c r="T41" s="838"/>
      <c r="U41" s="838"/>
      <c r="V41" s="838"/>
      <c r="W41" s="838"/>
      <c r="X41" s="838"/>
      <c r="Y41" s="838"/>
      <c r="Z41" s="713"/>
      <c r="AA41" s="702"/>
      <c r="AB41" s="702"/>
    </row>
    <row r="42" spans="1:28" ht="54.75" customHeight="1" x14ac:dyDescent="0.25">
      <c r="A42" s="694">
        <v>1</v>
      </c>
      <c r="B42" s="749" t="s">
        <v>393</v>
      </c>
      <c r="C42" s="694" t="s">
        <v>375</v>
      </c>
      <c r="D42" s="694"/>
      <c r="E42" s="712">
        <f>F42+G42</f>
        <v>3209</v>
      </c>
      <c r="F42" s="712">
        <v>3056</v>
      </c>
      <c r="G42" s="712">
        <v>153</v>
      </c>
      <c r="H42" s="840">
        <f>I42+J42</f>
        <v>3209</v>
      </c>
      <c r="I42" s="840">
        <v>3056</v>
      </c>
      <c r="J42" s="840">
        <v>153</v>
      </c>
      <c r="K42" s="840"/>
      <c r="L42" s="840"/>
      <c r="M42" s="840"/>
      <c r="N42" s="840">
        <f>O42+P42</f>
        <v>963</v>
      </c>
      <c r="O42" s="840">
        <v>915</v>
      </c>
      <c r="P42" s="840">
        <v>48</v>
      </c>
      <c r="Q42" s="840">
        <f t="shared" si="4"/>
        <v>963</v>
      </c>
      <c r="R42" s="840">
        <f t="shared" si="4"/>
        <v>915</v>
      </c>
      <c r="S42" s="840">
        <f t="shared" si="4"/>
        <v>48</v>
      </c>
      <c r="T42" s="840">
        <f>U42+V42</f>
        <v>2246</v>
      </c>
      <c r="U42" s="840">
        <f>I42-R42</f>
        <v>2141</v>
      </c>
      <c r="V42" s="840">
        <f>J42-S42</f>
        <v>105</v>
      </c>
      <c r="W42" s="840">
        <f>X42+Y42</f>
        <v>1534</v>
      </c>
      <c r="X42" s="841">
        <v>1534</v>
      </c>
      <c r="Y42" s="841">
        <v>0</v>
      </c>
      <c r="Z42" s="713">
        <f>(W42+Q42)/H42</f>
        <v>0.77812402617637888</v>
      </c>
      <c r="AA42" s="694" t="s">
        <v>388</v>
      </c>
      <c r="AB42" s="694" t="s">
        <v>1211</v>
      </c>
    </row>
    <row r="43" spans="1:28" s="705" customFormat="1" ht="93.75" customHeight="1" x14ac:dyDescent="0.25">
      <c r="A43" s="702" t="s">
        <v>394</v>
      </c>
      <c r="B43" s="747" t="s">
        <v>395</v>
      </c>
      <c r="C43" s="702"/>
      <c r="D43" s="702"/>
      <c r="E43" s="704"/>
      <c r="F43" s="704"/>
      <c r="G43" s="704"/>
      <c r="H43" s="838">
        <f t="shared" ref="H43:Y43" si="28">SUM(H45:H56)</f>
        <v>141141</v>
      </c>
      <c r="I43" s="838">
        <f t="shared" si="28"/>
        <v>122249</v>
      </c>
      <c r="J43" s="838">
        <f t="shared" si="28"/>
        <v>18892</v>
      </c>
      <c r="K43" s="838">
        <f t="shared" si="28"/>
        <v>49863</v>
      </c>
      <c r="L43" s="838">
        <f t="shared" si="28"/>
        <v>46743</v>
      </c>
      <c r="M43" s="838">
        <f t="shared" si="28"/>
        <v>3120</v>
      </c>
      <c r="N43" s="838">
        <f t="shared" si="28"/>
        <v>37704</v>
      </c>
      <c r="O43" s="838">
        <f t="shared" si="28"/>
        <v>35609</v>
      </c>
      <c r="P43" s="838">
        <f t="shared" si="28"/>
        <v>2095</v>
      </c>
      <c r="Q43" s="838">
        <f t="shared" si="28"/>
        <v>87567</v>
      </c>
      <c r="R43" s="838">
        <f t="shared" si="28"/>
        <v>82352</v>
      </c>
      <c r="S43" s="838">
        <f t="shared" si="28"/>
        <v>5215</v>
      </c>
      <c r="T43" s="838">
        <f t="shared" si="28"/>
        <v>53574</v>
      </c>
      <c r="U43" s="838">
        <f t="shared" si="28"/>
        <v>39897</v>
      </c>
      <c r="V43" s="838">
        <f t="shared" si="28"/>
        <v>13677</v>
      </c>
      <c r="W43" s="838">
        <f t="shared" si="28"/>
        <v>36379</v>
      </c>
      <c r="X43" s="838">
        <f t="shared" si="28"/>
        <v>29548</v>
      </c>
      <c r="Y43" s="838">
        <f t="shared" si="28"/>
        <v>6831</v>
      </c>
      <c r="Z43" s="713"/>
      <c r="AA43" s="702"/>
      <c r="AB43" s="702"/>
    </row>
    <row r="44" spans="1:28" s="705" customFormat="1" ht="30" x14ac:dyDescent="0.25">
      <c r="A44" s="702"/>
      <c r="B44" s="748" t="s">
        <v>1206</v>
      </c>
      <c r="C44" s="702"/>
      <c r="D44" s="702"/>
      <c r="E44" s="704"/>
      <c r="F44" s="704"/>
      <c r="G44" s="704"/>
      <c r="H44" s="838"/>
      <c r="I44" s="838"/>
      <c r="J44" s="838"/>
      <c r="K44" s="838"/>
      <c r="L44" s="838"/>
      <c r="M44" s="838"/>
      <c r="N44" s="838"/>
      <c r="O44" s="838"/>
      <c r="P44" s="838"/>
      <c r="Q44" s="838"/>
      <c r="R44" s="838"/>
      <c r="S44" s="838"/>
      <c r="T44" s="838"/>
      <c r="U44" s="838"/>
      <c r="V44" s="838"/>
      <c r="W44" s="838"/>
      <c r="X44" s="838"/>
      <c r="Y44" s="838"/>
      <c r="Z44" s="713"/>
      <c r="AA44" s="702"/>
      <c r="AB44" s="702"/>
    </row>
    <row r="45" spans="1:28" ht="30" x14ac:dyDescent="0.25">
      <c r="A45" s="694">
        <v>1</v>
      </c>
      <c r="B45" s="749" t="s">
        <v>396</v>
      </c>
      <c r="C45" s="694" t="s">
        <v>397</v>
      </c>
      <c r="D45" s="693" t="s">
        <v>398</v>
      </c>
      <c r="E45" s="712">
        <v>14686</v>
      </c>
      <c r="F45" s="712">
        <v>12771</v>
      </c>
      <c r="G45" s="712">
        <v>1915</v>
      </c>
      <c r="H45" s="840">
        <v>14686</v>
      </c>
      <c r="I45" s="840">
        <v>12771</v>
      </c>
      <c r="J45" s="840">
        <v>1915</v>
      </c>
      <c r="K45" s="840">
        <f t="shared" ref="K45:K51" si="29">L45+M45</f>
        <v>9876</v>
      </c>
      <c r="L45" s="840">
        <f>6613+2630</f>
        <v>9243</v>
      </c>
      <c r="M45" s="840">
        <f>483+150</f>
        <v>633</v>
      </c>
      <c r="N45" s="840">
        <f t="shared" ref="N45:N54" si="30">O45+P45</f>
        <v>3250</v>
      </c>
      <c r="O45" s="840">
        <f>2900+200</f>
        <v>3100</v>
      </c>
      <c r="P45" s="840">
        <v>150</v>
      </c>
      <c r="Q45" s="840">
        <f t="shared" si="4"/>
        <v>13126</v>
      </c>
      <c r="R45" s="840">
        <f t="shared" si="4"/>
        <v>12343</v>
      </c>
      <c r="S45" s="840">
        <f t="shared" si="4"/>
        <v>783</v>
      </c>
      <c r="T45" s="840">
        <f t="shared" ref="T45:T53" si="31">U45+V45</f>
        <v>1560</v>
      </c>
      <c r="U45" s="840">
        <f t="shared" ref="U45:V53" si="32">I45-R45</f>
        <v>428</v>
      </c>
      <c r="V45" s="840">
        <f t="shared" si="32"/>
        <v>1132</v>
      </c>
      <c r="W45" s="840">
        <f t="shared" ref="W45:Y51" si="33">T45</f>
        <v>1560</v>
      </c>
      <c r="X45" s="840">
        <f t="shared" si="33"/>
        <v>428</v>
      </c>
      <c r="Y45" s="840">
        <f t="shared" si="33"/>
        <v>1132</v>
      </c>
      <c r="Z45" s="713">
        <f t="shared" si="11"/>
        <v>1</v>
      </c>
      <c r="AA45" s="694" t="s">
        <v>399</v>
      </c>
      <c r="AB45" s="694" t="s">
        <v>1213</v>
      </c>
    </row>
    <row r="46" spans="1:28" ht="30" x14ac:dyDescent="0.25">
      <c r="A46" s="694">
        <v>2</v>
      </c>
      <c r="B46" s="749" t="s">
        <v>401</v>
      </c>
      <c r="C46" s="694" t="s">
        <v>397</v>
      </c>
      <c r="D46" s="693" t="s">
        <v>402</v>
      </c>
      <c r="E46" s="712">
        <v>23878</v>
      </c>
      <c r="F46" s="712">
        <v>21416</v>
      </c>
      <c r="G46" s="712">
        <v>2462</v>
      </c>
      <c r="H46" s="840">
        <v>23878</v>
      </c>
      <c r="I46" s="840">
        <v>21416</v>
      </c>
      <c r="J46" s="840">
        <v>2462</v>
      </c>
      <c r="K46" s="840">
        <f t="shared" si="29"/>
        <v>11162</v>
      </c>
      <c r="L46" s="840">
        <v>10816</v>
      </c>
      <c r="M46" s="840">
        <v>346</v>
      </c>
      <c r="N46" s="840">
        <f>O46+P46</f>
        <v>1000</v>
      </c>
      <c r="O46" s="840">
        <f>5200-4475</f>
        <v>725</v>
      </c>
      <c r="P46" s="840">
        <v>275</v>
      </c>
      <c r="Q46" s="840">
        <f t="shared" si="4"/>
        <v>12162</v>
      </c>
      <c r="R46" s="840">
        <f t="shared" si="4"/>
        <v>11541</v>
      </c>
      <c r="S46" s="840">
        <f t="shared" si="4"/>
        <v>621</v>
      </c>
      <c r="T46" s="840">
        <f>U46+V46</f>
        <v>11716</v>
      </c>
      <c r="U46" s="840">
        <f t="shared" si="32"/>
        <v>9875</v>
      </c>
      <c r="V46" s="840">
        <f t="shared" si="32"/>
        <v>1841</v>
      </c>
      <c r="W46" s="840">
        <f t="shared" si="33"/>
        <v>11716</v>
      </c>
      <c r="X46" s="840">
        <f t="shared" si="33"/>
        <v>9875</v>
      </c>
      <c r="Y46" s="840">
        <f t="shared" si="33"/>
        <v>1841</v>
      </c>
      <c r="Z46" s="713">
        <f t="shared" si="11"/>
        <v>1</v>
      </c>
      <c r="AA46" s="694" t="s">
        <v>399</v>
      </c>
      <c r="AB46" s="694" t="s">
        <v>1213</v>
      </c>
    </row>
    <row r="47" spans="1:28" ht="75" x14ac:dyDescent="0.25">
      <c r="A47" s="694">
        <v>3</v>
      </c>
      <c r="B47" s="749" t="s">
        <v>404</v>
      </c>
      <c r="C47" s="694" t="s">
        <v>397</v>
      </c>
      <c r="D47" s="693" t="s">
        <v>405</v>
      </c>
      <c r="E47" s="720">
        <v>10506</v>
      </c>
      <c r="F47" s="720">
        <v>9136</v>
      </c>
      <c r="G47" s="720">
        <v>1370</v>
      </c>
      <c r="H47" s="840">
        <v>10506</v>
      </c>
      <c r="I47" s="840">
        <v>9136</v>
      </c>
      <c r="J47" s="840">
        <v>1370</v>
      </c>
      <c r="K47" s="840">
        <f t="shared" si="29"/>
        <v>6782</v>
      </c>
      <c r="L47" s="840">
        <f>4588+1660</f>
        <v>6248</v>
      </c>
      <c r="M47" s="840">
        <f>434+100</f>
        <v>534</v>
      </c>
      <c r="N47" s="840">
        <f t="shared" ref="N47:N51" si="34">O47+P47</f>
        <v>2510</v>
      </c>
      <c r="O47" s="840">
        <f>2200+200</f>
        <v>2400</v>
      </c>
      <c r="P47" s="840">
        <v>110</v>
      </c>
      <c r="Q47" s="840">
        <f t="shared" si="4"/>
        <v>9292</v>
      </c>
      <c r="R47" s="840">
        <f t="shared" si="4"/>
        <v>8648</v>
      </c>
      <c r="S47" s="840">
        <f t="shared" si="4"/>
        <v>644</v>
      </c>
      <c r="T47" s="840">
        <f>U47+V47</f>
        <v>1214</v>
      </c>
      <c r="U47" s="840">
        <f t="shared" si="32"/>
        <v>488</v>
      </c>
      <c r="V47" s="840">
        <f t="shared" si="32"/>
        <v>726</v>
      </c>
      <c r="W47" s="840">
        <f t="shared" si="33"/>
        <v>1214</v>
      </c>
      <c r="X47" s="840">
        <f t="shared" si="33"/>
        <v>488</v>
      </c>
      <c r="Y47" s="840">
        <f t="shared" si="33"/>
        <v>726</v>
      </c>
      <c r="Z47" s="713">
        <f t="shared" si="11"/>
        <v>1</v>
      </c>
      <c r="AA47" s="694" t="s">
        <v>399</v>
      </c>
      <c r="AB47" s="694" t="s">
        <v>1213</v>
      </c>
    </row>
    <row r="48" spans="1:28" ht="49.5" customHeight="1" x14ac:dyDescent="0.25">
      <c r="A48" s="694">
        <v>4</v>
      </c>
      <c r="B48" s="749" t="s">
        <v>409</v>
      </c>
      <c r="C48" s="694" t="s">
        <v>397</v>
      </c>
      <c r="D48" s="693" t="s">
        <v>410</v>
      </c>
      <c r="E48" s="720">
        <v>7025</v>
      </c>
      <c r="F48" s="720">
        <v>6109</v>
      </c>
      <c r="G48" s="720">
        <v>916</v>
      </c>
      <c r="H48" s="840">
        <v>7025</v>
      </c>
      <c r="I48" s="840">
        <v>6109</v>
      </c>
      <c r="J48" s="840">
        <v>916</v>
      </c>
      <c r="K48" s="840">
        <f t="shared" si="29"/>
        <v>3884</v>
      </c>
      <c r="L48" s="840">
        <f>2849+620</f>
        <v>3469</v>
      </c>
      <c r="M48" s="840">
        <v>415</v>
      </c>
      <c r="N48" s="840">
        <f t="shared" si="34"/>
        <v>2695</v>
      </c>
      <c r="O48" s="840">
        <f>1800+800</f>
        <v>2600</v>
      </c>
      <c r="P48" s="840">
        <v>95</v>
      </c>
      <c r="Q48" s="840">
        <f t="shared" si="4"/>
        <v>6579</v>
      </c>
      <c r="R48" s="840">
        <f t="shared" si="4"/>
        <v>6069</v>
      </c>
      <c r="S48" s="840">
        <f t="shared" si="4"/>
        <v>510</v>
      </c>
      <c r="T48" s="840">
        <f>U48+V48</f>
        <v>446</v>
      </c>
      <c r="U48" s="840">
        <f t="shared" si="32"/>
        <v>40</v>
      </c>
      <c r="V48" s="840">
        <f t="shared" si="32"/>
        <v>406</v>
      </c>
      <c r="W48" s="840">
        <f t="shared" si="33"/>
        <v>446</v>
      </c>
      <c r="X48" s="840">
        <f t="shared" si="33"/>
        <v>40</v>
      </c>
      <c r="Y48" s="840">
        <f t="shared" si="33"/>
        <v>406</v>
      </c>
      <c r="Z48" s="713">
        <f t="shared" si="11"/>
        <v>1</v>
      </c>
      <c r="AA48" s="694" t="s">
        <v>399</v>
      </c>
      <c r="AB48" s="694" t="s">
        <v>1213</v>
      </c>
    </row>
    <row r="49" spans="1:28" ht="36" customHeight="1" x14ac:dyDescent="0.25">
      <c r="A49" s="694">
        <v>5</v>
      </c>
      <c r="B49" s="749" t="s">
        <v>411</v>
      </c>
      <c r="C49" s="694" t="s">
        <v>397</v>
      </c>
      <c r="D49" s="693" t="s">
        <v>1224</v>
      </c>
      <c r="E49" s="712">
        <v>5193</v>
      </c>
      <c r="F49" s="712">
        <v>4576</v>
      </c>
      <c r="G49" s="712">
        <v>617</v>
      </c>
      <c r="H49" s="840">
        <f>I49+J49</f>
        <v>5193</v>
      </c>
      <c r="I49" s="840">
        <v>4576</v>
      </c>
      <c r="J49" s="840">
        <v>617</v>
      </c>
      <c r="K49" s="840">
        <f t="shared" si="29"/>
        <v>3211</v>
      </c>
      <c r="L49" s="840">
        <f>2318+625</f>
        <v>2943</v>
      </c>
      <c r="M49" s="840">
        <f>233+35</f>
        <v>268</v>
      </c>
      <c r="N49" s="840">
        <f t="shared" si="34"/>
        <v>1265</v>
      </c>
      <c r="O49" s="840">
        <v>1200</v>
      </c>
      <c r="P49" s="840">
        <v>65</v>
      </c>
      <c r="Q49" s="840">
        <f t="shared" si="4"/>
        <v>4476</v>
      </c>
      <c r="R49" s="840">
        <f t="shared" si="4"/>
        <v>4143</v>
      </c>
      <c r="S49" s="840">
        <f>P49+M49</f>
        <v>333</v>
      </c>
      <c r="T49" s="840">
        <f t="shared" ref="T49:U49" si="35">H49-Q49</f>
        <v>717</v>
      </c>
      <c r="U49" s="840">
        <f t="shared" si="35"/>
        <v>433</v>
      </c>
      <c r="V49" s="840">
        <f>J49-S49</f>
        <v>284</v>
      </c>
      <c r="W49" s="840">
        <f t="shared" si="33"/>
        <v>717</v>
      </c>
      <c r="X49" s="840">
        <f t="shared" si="33"/>
        <v>433</v>
      </c>
      <c r="Y49" s="840">
        <f t="shared" si="33"/>
        <v>284</v>
      </c>
      <c r="Z49" s="713">
        <f t="shared" si="11"/>
        <v>1</v>
      </c>
      <c r="AA49" s="694" t="s">
        <v>399</v>
      </c>
      <c r="AB49" s="694" t="s">
        <v>1213</v>
      </c>
    </row>
    <row r="50" spans="1:28" ht="30" x14ac:dyDescent="0.25">
      <c r="A50" s="694">
        <v>6</v>
      </c>
      <c r="B50" s="749" t="s">
        <v>412</v>
      </c>
      <c r="C50" s="694" t="s">
        <v>397</v>
      </c>
      <c r="D50" s="693" t="s">
        <v>413</v>
      </c>
      <c r="E50" s="712">
        <v>8096</v>
      </c>
      <c r="F50" s="712">
        <v>7040</v>
      </c>
      <c r="G50" s="712">
        <v>1056</v>
      </c>
      <c r="H50" s="840">
        <v>8096</v>
      </c>
      <c r="I50" s="840">
        <v>7040</v>
      </c>
      <c r="J50" s="840">
        <v>1056</v>
      </c>
      <c r="K50" s="840">
        <f t="shared" si="29"/>
        <v>4854</v>
      </c>
      <c r="L50" s="840">
        <f>3427+990</f>
        <v>4417</v>
      </c>
      <c r="M50" s="840">
        <f>377+60</f>
        <v>437</v>
      </c>
      <c r="N50" s="840">
        <f t="shared" si="34"/>
        <v>2000</v>
      </c>
      <c r="O50" s="840">
        <v>1900</v>
      </c>
      <c r="P50" s="840">
        <v>100</v>
      </c>
      <c r="Q50" s="840">
        <f t="shared" si="4"/>
        <v>6854</v>
      </c>
      <c r="R50" s="840">
        <f t="shared" si="4"/>
        <v>6317</v>
      </c>
      <c r="S50" s="840">
        <f t="shared" si="4"/>
        <v>537</v>
      </c>
      <c r="T50" s="840">
        <f>U50+V50</f>
        <v>1242</v>
      </c>
      <c r="U50" s="840">
        <f>I50-R50</f>
        <v>723</v>
      </c>
      <c r="V50" s="840">
        <f>J50-S50</f>
        <v>519</v>
      </c>
      <c r="W50" s="840">
        <f t="shared" si="33"/>
        <v>1242</v>
      </c>
      <c r="X50" s="840">
        <f t="shared" si="33"/>
        <v>723</v>
      </c>
      <c r="Y50" s="840">
        <f t="shared" si="33"/>
        <v>519</v>
      </c>
      <c r="Z50" s="713">
        <f t="shared" si="11"/>
        <v>1</v>
      </c>
      <c r="AA50" s="694" t="s">
        <v>399</v>
      </c>
      <c r="AB50" s="694" t="s">
        <v>1213</v>
      </c>
    </row>
    <row r="51" spans="1:28" ht="33.75" customHeight="1" x14ac:dyDescent="0.25">
      <c r="A51" s="694">
        <v>7</v>
      </c>
      <c r="B51" s="749" t="s">
        <v>406</v>
      </c>
      <c r="C51" s="694" t="s">
        <v>397</v>
      </c>
      <c r="D51" s="693" t="s">
        <v>407</v>
      </c>
      <c r="E51" s="720">
        <v>25466</v>
      </c>
      <c r="F51" s="720">
        <v>22400</v>
      </c>
      <c r="G51" s="720">
        <f>25466-22400</f>
        <v>3066</v>
      </c>
      <c r="H51" s="840">
        <v>25466</v>
      </c>
      <c r="I51" s="840">
        <v>22400</v>
      </c>
      <c r="J51" s="840">
        <v>3066</v>
      </c>
      <c r="K51" s="840">
        <f t="shared" si="29"/>
        <v>8128</v>
      </c>
      <c r="L51" s="840">
        <v>7728</v>
      </c>
      <c r="M51" s="840">
        <v>400</v>
      </c>
      <c r="N51" s="840">
        <f t="shared" si="34"/>
        <v>13981</v>
      </c>
      <c r="O51" s="840">
        <f>7000+6111</f>
        <v>13111</v>
      </c>
      <c r="P51" s="840">
        <f>370+500</f>
        <v>870</v>
      </c>
      <c r="Q51" s="840">
        <f t="shared" si="4"/>
        <v>22109</v>
      </c>
      <c r="R51" s="840">
        <f t="shared" si="4"/>
        <v>20839</v>
      </c>
      <c r="S51" s="840">
        <f t="shared" si="4"/>
        <v>1270</v>
      </c>
      <c r="T51" s="840">
        <f>U51+V51</f>
        <v>3357</v>
      </c>
      <c r="U51" s="840">
        <f>I51-R51</f>
        <v>1561</v>
      </c>
      <c r="V51" s="840">
        <f>J51-S51</f>
        <v>1796</v>
      </c>
      <c r="W51" s="840">
        <f t="shared" si="33"/>
        <v>3357</v>
      </c>
      <c r="X51" s="840">
        <f t="shared" si="33"/>
        <v>1561</v>
      </c>
      <c r="Y51" s="840">
        <f t="shared" si="33"/>
        <v>1796</v>
      </c>
      <c r="Z51" s="713">
        <f t="shared" si="11"/>
        <v>1</v>
      </c>
      <c r="AA51" s="694" t="s">
        <v>408</v>
      </c>
      <c r="AB51" s="694" t="s">
        <v>1213</v>
      </c>
    </row>
    <row r="52" spans="1:28" ht="33" customHeight="1" x14ac:dyDescent="0.25">
      <c r="A52" s="694"/>
      <c r="B52" s="748" t="s">
        <v>1209</v>
      </c>
      <c r="C52" s="694"/>
      <c r="D52" s="693"/>
      <c r="E52" s="712"/>
      <c r="F52" s="712"/>
      <c r="G52" s="712"/>
      <c r="H52" s="840"/>
      <c r="I52" s="840"/>
      <c r="J52" s="840"/>
      <c r="K52" s="840"/>
      <c r="L52" s="840"/>
      <c r="M52" s="840"/>
      <c r="N52" s="840"/>
      <c r="O52" s="840"/>
      <c r="P52" s="840"/>
      <c r="Q52" s="840"/>
      <c r="R52" s="840"/>
      <c r="S52" s="840"/>
      <c r="T52" s="840"/>
      <c r="U52" s="840"/>
      <c r="V52" s="840"/>
      <c r="W52" s="840"/>
      <c r="X52" s="840"/>
      <c r="Y52" s="840"/>
      <c r="Z52" s="713"/>
      <c r="AA52" s="694"/>
      <c r="AB52" s="694"/>
    </row>
    <row r="53" spans="1:28" ht="30" x14ac:dyDescent="0.25">
      <c r="A53" s="694">
        <v>8</v>
      </c>
      <c r="B53" s="749" t="s">
        <v>400</v>
      </c>
      <c r="C53" s="694" t="s">
        <v>375</v>
      </c>
      <c r="D53" s="694" t="s">
        <v>1225</v>
      </c>
      <c r="E53" s="712">
        <v>24240</v>
      </c>
      <c r="F53" s="712">
        <v>21078</v>
      </c>
      <c r="G53" s="712">
        <v>3162</v>
      </c>
      <c r="H53" s="840">
        <v>24240</v>
      </c>
      <c r="I53" s="840">
        <v>21078</v>
      </c>
      <c r="J53" s="840">
        <v>3162</v>
      </c>
      <c r="K53" s="840">
        <f>SUM(L53:M53)</f>
        <v>1966</v>
      </c>
      <c r="L53" s="840">
        <v>1879</v>
      </c>
      <c r="M53" s="840">
        <v>87</v>
      </c>
      <c r="N53" s="840">
        <f t="shared" si="30"/>
        <v>4328</v>
      </c>
      <c r="O53" s="840">
        <v>4098</v>
      </c>
      <c r="P53" s="840">
        <v>230</v>
      </c>
      <c r="Q53" s="840">
        <f t="shared" si="4"/>
        <v>6294</v>
      </c>
      <c r="R53" s="840">
        <f t="shared" si="4"/>
        <v>5977</v>
      </c>
      <c r="S53" s="840">
        <f t="shared" si="4"/>
        <v>317</v>
      </c>
      <c r="T53" s="840">
        <f t="shared" si="31"/>
        <v>17946</v>
      </c>
      <c r="U53" s="840">
        <f t="shared" si="32"/>
        <v>15101</v>
      </c>
      <c r="V53" s="840">
        <f t="shared" si="32"/>
        <v>2845</v>
      </c>
      <c r="W53" s="840">
        <f>X53+Y53</f>
        <v>13000</v>
      </c>
      <c r="X53" s="840">
        <v>13000</v>
      </c>
      <c r="Y53" s="840">
        <v>0</v>
      </c>
      <c r="Z53" s="713">
        <f t="shared" si="11"/>
        <v>0.79595709570957096</v>
      </c>
      <c r="AA53" s="694" t="s">
        <v>399</v>
      </c>
      <c r="AB53" s="694" t="s">
        <v>1211</v>
      </c>
    </row>
    <row r="54" spans="1:28" ht="39" customHeight="1" x14ac:dyDescent="0.25">
      <c r="A54" s="694">
        <v>9</v>
      </c>
      <c r="B54" s="749" t="s">
        <v>403</v>
      </c>
      <c r="C54" s="694" t="s">
        <v>375</v>
      </c>
      <c r="D54" s="693" t="s">
        <v>1226</v>
      </c>
      <c r="E54" s="712">
        <f>F54+G54</f>
        <v>12051</v>
      </c>
      <c r="F54" s="712">
        <v>10479</v>
      </c>
      <c r="G54" s="712">
        <v>1572</v>
      </c>
      <c r="H54" s="840">
        <v>12051</v>
      </c>
      <c r="I54" s="840">
        <v>10479</v>
      </c>
      <c r="J54" s="840">
        <v>1572</v>
      </c>
      <c r="K54" s="840"/>
      <c r="L54" s="840"/>
      <c r="M54" s="840"/>
      <c r="N54" s="840">
        <f t="shared" si="30"/>
        <v>6675</v>
      </c>
      <c r="O54" s="840">
        <v>6475</v>
      </c>
      <c r="P54" s="840">
        <v>200</v>
      </c>
      <c r="Q54" s="840">
        <f t="shared" si="4"/>
        <v>6675</v>
      </c>
      <c r="R54" s="840">
        <f t="shared" si="4"/>
        <v>6475</v>
      </c>
      <c r="S54" s="840">
        <f t="shared" si="4"/>
        <v>200</v>
      </c>
      <c r="T54" s="840">
        <f>U54+V54</f>
        <v>5376</v>
      </c>
      <c r="U54" s="840">
        <f>I54-R54</f>
        <v>4004</v>
      </c>
      <c r="V54" s="840">
        <f>J54-S54</f>
        <v>1372</v>
      </c>
      <c r="W54" s="840">
        <f>X54+Y54</f>
        <v>2627</v>
      </c>
      <c r="X54" s="840">
        <v>2500</v>
      </c>
      <c r="Y54" s="840">
        <v>127</v>
      </c>
      <c r="Z54" s="713">
        <f t="shared" si="11"/>
        <v>0.77188615052692722</v>
      </c>
      <c r="AA54" s="694" t="s">
        <v>399</v>
      </c>
      <c r="AB54" s="694" t="s">
        <v>1211</v>
      </c>
    </row>
    <row r="55" spans="1:28" ht="24.75" customHeight="1" x14ac:dyDescent="0.25">
      <c r="A55" s="694"/>
      <c r="B55" s="748" t="s">
        <v>1227</v>
      </c>
      <c r="C55" s="694"/>
      <c r="D55" s="693"/>
      <c r="E55" s="720"/>
      <c r="F55" s="720"/>
      <c r="G55" s="720"/>
      <c r="H55" s="840"/>
      <c r="I55" s="840"/>
      <c r="J55" s="840"/>
      <c r="K55" s="840"/>
      <c r="L55" s="840"/>
      <c r="M55" s="840"/>
      <c r="N55" s="840"/>
      <c r="O55" s="840"/>
      <c r="P55" s="840"/>
      <c r="Q55" s="840"/>
      <c r="R55" s="840"/>
      <c r="S55" s="840"/>
      <c r="T55" s="840"/>
      <c r="U55" s="840"/>
      <c r="V55" s="840"/>
      <c r="W55" s="840"/>
      <c r="X55" s="840"/>
      <c r="Y55" s="840"/>
      <c r="Z55" s="713"/>
      <c r="AA55" s="694"/>
      <c r="AB55" s="694"/>
    </row>
    <row r="56" spans="1:28" ht="30" x14ac:dyDescent="0.25">
      <c r="A56" s="694">
        <v>10</v>
      </c>
      <c r="B56" s="749" t="s">
        <v>1228</v>
      </c>
      <c r="C56" s="694" t="s">
        <v>1229</v>
      </c>
      <c r="D56" s="693"/>
      <c r="E56" s="720">
        <v>12000</v>
      </c>
      <c r="F56" s="720">
        <v>7244</v>
      </c>
      <c r="G56" s="720">
        <f>1173+1583</f>
        <v>2756</v>
      </c>
      <c r="H56" s="840">
        <v>10000</v>
      </c>
      <c r="I56" s="841">
        <v>7244</v>
      </c>
      <c r="J56" s="841">
        <f>1173+1583</f>
        <v>2756</v>
      </c>
      <c r="K56" s="841"/>
      <c r="L56" s="841"/>
      <c r="M56" s="841"/>
      <c r="N56" s="841"/>
      <c r="O56" s="841"/>
      <c r="P56" s="841"/>
      <c r="Q56" s="840">
        <f>N56+K56</f>
        <v>0</v>
      </c>
      <c r="R56" s="840">
        <f>O56+L56</f>
        <v>0</v>
      </c>
      <c r="S56" s="840">
        <f>P56+M56</f>
        <v>0</v>
      </c>
      <c r="T56" s="840">
        <f>U56+V56</f>
        <v>10000</v>
      </c>
      <c r="U56" s="840">
        <f>I56-R56</f>
        <v>7244</v>
      </c>
      <c r="V56" s="840">
        <f>J56-S56</f>
        <v>2756</v>
      </c>
      <c r="W56" s="840">
        <f>X56+Y56</f>
        <v>500</v>
      </c>
      <c r="X56" s="841">
        <v>500</v>
      </c>
      <c r="Y56" s="841"/>
      <c r="Z56" s="713">
        <f>(W56+Q56)/H56</f>
        <v>0.05</v>
      </c>
      <c r="AA56" s="694" t="s">
        <v>435</v>
      </c>
      <c r="AB56" s="694" t="s">
        <v>1230</v>
      </c>
    </row>
    <row r="57" spans="1:28" s="700" customFormat="1" ht="42.75" x14ac:dyDescent="0.25">
      <c r="A57" s="696" t="s">
        <v>57</v>
      </c>
      <c r="B57" s="746" t="s">
        <v>414</v>
      </c>
      <c r="C57" s="696"/>
      <c r="D57" s="696"/>
      <c r="E57" s="698"/>
      <c r="F57" s="698"/>
      <c r="G57" s="698"/>
      <c r="H57" s="837">
        <f t="shared" ref="H57:P57" si="36">H59+H60</f>
        <v>158200</v>
      </c>
      <c r="I57" s="837">
        <f t="shared" si="36"/>
        <v>150667</v>
      </c>
      <c r="J57" s="837">
        <f t="shared" si="36"/>
        <v>7533</v>
      </c>
      <c r="K57" s="837">
        <f t="shared" si="36"/>
        <v>19500</v>
      </c>
      <c r="L57" s="837">
        <f t="shared" si="36"/>
        <v>18144</v>
      </c>
      <c r="M57" s="837">
        <f t="shared" si="36"/>
        <v>1356</v>
      </c>
      <c r="N57" s="837">
        <f t="shared" si="36"/>
        <v>34000</v>
      </c>
      <c r="O57" s="837">
        <f t="shared" si="36"/>
        <v>32048</v>
      </c>
      <c r="P57" s="837">
        <f t="shared" si="36"/>
        <v>1952</v>
      </c>
      <c r="Q57" s="837">
        <f t="shared" si="4"/>
        <v>53500</v>
      </c>
      <c r="R57" s="837">
        <f t="shared" si="4"/>
        <v>50192</v>
      </c>
      <c r="S57" s="837">
        <f t="shared" si="4"/>
        <v>3308</v>
      </c>
      <c r="T57" s="837">
        <f t="shared" ref="T57:Y57" si="37">T59+T60</f>
        <v>104700</v>
      </c>
      <c r="U57" s="837">
        <f t="shared" si="37"/>
        <v>100475</v>
      </c>
      <c r="V57" s="837">
        <f t="shared" si="37"/>
        <v>4225</v>
      </c>
      <c r="W57" s="837">
        <f t="shared" si="37"/>
        <v>72461</v>
      </c>
      <c r="X57" s="837">
        <f t="shared" si="37"/>
        <v>72000</v>
      </c>
      <c r="Y57" s="837">
        <f t="shared" si="37"/>
        <v>461</v>
      </c>
      <c r="Z57" s="713"/>
      <c r="AA57" s="696"/>
      <c r="AB57" s="696"/>
    </row>
    <row r="58" spans="1:28" s="700" customFormat="1" ht="27.75" customHeight="1" x14ac:dyDescent="0.25">
      <c r="A58" s="696"/>
      <c r="B58" s="748" t="s">
        <v>1209</v>
      </c>
      <c r="C58" s="696"/>
      <c r="D58" s="696"/>
      <c r="E58" s="698"/>
      <c r="F58" s="698"/>
      <c r="G58" s="698"/>
      <c r="H58" s="837"/>
      <c r="I58" s="837"/>
      <c r="J58" s="837"/>
      <c r="K58" s="837"/>
      <c r="L58" s="837"/>
      <c r="M58" s="837"/>
      <c r="N58" s="837"/>
      <c r="O58" s="837"/>
      <c r="P58" s="837"/>
      <c r="Q58" s="837"/>
      <c r="R58" s="837"/>
      <c r="S58" s="837"/>
      <c r="T58" s="837"/>
      <c r="U58" s="837"/>
      <c r="V58" s="837"/>
      <c r="W58" s="837"/>
      <c r="X58" s="837"/>
      <c r="Y58" s="837"/>
      <c r="Z58" s="713"/>
      <c r="AA58" s="696"/>
      <c r="AB58" s="696"/>
    </row>
    <row r="59" spans="1:28" ht="121.5" customHeight="1" x14ac:dyDescent="0.25">
      <c r="A59" s="694">
        <v>1</v>
      </c>
      <c r="B59" s="749" t="s">
        <v>415</v>
      </c>
      <c r="C59" s="694" t="s">
        <v>424</v>
      </c>
      <c r="D59" s="721" t="s">
        <v>416</v>
      </c>
      <c r="E59" s="720">
        <v>52171</v>
      </c>
      <c r="F59" s="720">
        <v>49667</v>
      </c>
      <c r="G59" s="720">
        <v>2504</v>
      </c>
      <c r="H59" s="841">
        <v>52171</v>
      </c>
      <c r="I59" s="841">
        <v>49667</v>
      </c>
      <c r="J59" s="841">
        <v>2504</v>
      </c>
      <c r="K59" s="840">
        <v>19000</v>
      </c>
      <c r="L59" s="840">
        <v>17644</v>
      </c>
      <c r="M59" s="840">
        <v>1356</v>
      </c>
      <c r="N59" s="840">
        <f>O59+P59</f>
        <v>20000</v>
      </c>
      <c r="O59" s="840">
        <v>19048</v>
      </c>
      <c r="P59" s="840">
        <v>952</v>
      </c>
      <c r="Q59" s="840">
        <f t="shared" si="4"/>
        <v>39000</v>
      </c>
      <c r="R59" s="840">
        <f t="shared" si="4"/>
        <v>36692</v>
      </c>
      <c r="S59" s="840">
        <f t="shared" si="4"/>
        <v>2308</v>
      </c>
      <c r="T59" s="840">
        <f>U59+V59</f>
        <v>13171</v>
      </c>
      <c r="U59" s="840">
        <f>I59-R59</f>
        <v>12975</v>
      </c>
      <c r="V59" s="840">
        <f>J59-S59</f>
        <v>196</v>
      </c>
      <c r="W59" s="841">
        <f>X59+Y59</f>
        <v>2000</v>
      </c>
      <c r="X59" s="841">
        <v>2000</v>
      </c>
      <c r="Y59" s="841">
        <v>0</v>
      </c>
      <c r="Z59" s="713">
        <f t="shared" si="11"/>
        <v>0.78587721147764078</v>
      </c>
      <c r="AA59" s="694" t="s">
        <v>388</v>
      </c>
      <c r="AB59" s="694" t="s">
        <v>1211</v>
      </c>
    </row>
    <row r="60" spans="1:28" ht="111.75" customHeight="1" x14ac:dyDescent="0.25">
      <c r="A60" s="694">
        <v>2</v>
      </c>
      <c r="B60" s="749" t="s">
        <v>417</v>
      </c>
      <c r="C60" s="694" t="s">
        <v>375</v>
      </c>
      <c r="D60" s="694"/>
      <c r="E60" s="712">
        <f t="shared" ref="E60" si="38">F60+G60</f>
        <v>106029</v>
      </c>
      <c r="F60" s="712">
        <f>92925+8075</f>
        <v>101000</v>
      </c>
      <c r="G60" s="712">
        <f>4646+383</f>
        <v>5029</v>
      </c>
      <c r="H60" s="840">
        <f t="shared" ref="H60" si="39">I60+J60</f>
        <v>106029</v>
      </c>
      <c r="I60" s="840">
        <f>92925+8075</f>
        <v>101000</v>
      </c>
      <c r="J60" s="840">
        <f>4646+383</f>
        <v>5029</v>
      </c>
      <c r="K60" s="840">
        <v>500</v>
      </c>
      <c r="L60" s="840">
        <v>500</v>
      </c>
      <c r="M60" s="840">
        <v>0</v>
      </c>
      <c r="N60" s="840">
        <f>O60+P60</f>
        <v>14000</v>
      </c>
      <c r="O60" s="840">
        <v>13000</v>
      </c>
      <c r="P60" s="840">
        <v>1000</v>
      </c>
      <c r="Q60" s="840">
        <f t="shared" si="4"/>
        <v>14500</v>
      </c>
      <c r="R60" s="840">
        <f t="shared" si="4"/>
        <v>13500</v>
      </c>
      <c r="S60" s="840">
        <f t="shared" si="4"/>
        <v>1000</v>
      </c>
      <c r="T60" s="840">
        <f>U60+V60</f>
        <v>91529</v>
      </c>
      <c r="U60" s="840">
        <f>I60-R60</f>
        <v>87500</v>
      </c>
      <c r="V60" s="840">
        <f>J60-S60</f>
        <v>4029</v>
      </c>
      <c r="W60" s="841">
        <f>X60+Y60</f>
        <v>70461</v>
      </c>
      <c r="X60" s="840">
        <v>70000</v>
      </c>
      <c r="Y60" s="840">
        <v>461</v>
      </c>
      <c r="Z60" s="713">
        <f>(W60+Q60)/H60</f>
        <v>0.80129964443689938</v>
      </c>
      <c r="AA60" s="694" t="s">
        <v>388</v>
      </c>
      <c r="AB60" s="694" t="s">
        <v>1211</v>
      </c>
    </row>
    <row r="61" spans="1:28" s="700" customFormat="1" ht="75.75" customHeight="1" x14ac:dyDescent="0.25">
      <c r="A61" s="696" t="s">
        <v>418</v>
      </c>
      <c r="B61" s="746" t="s">
        <v>419</v>
      </c>
      <c r="C61" s="696"/>
      <c r="D61" s="696"/>
      <c r="E61" s="698"/>
      <c r="F61" s="698"/>
      <c r="G61" s="698"/>
      <c r="H61" s="837">
        <f>SUM(H63:H66)</f>
        <v>45908</v>
      </c>
      <c r="I61" s="837">
        <f t="shared" ref="I61:Y61" si="40">SUM(I63:I66)</f>
        <v>43722</v>
      </c>
      <c r="J61" s="837">
        <f t="shared" si="40"/>
        <v>2186</v>
      </c>
      <c r="K61" s="837">
        <f t="shared" si="40"/>
        <v>6805</v>
      </c>
      <c r="L61" s="837">
        <f t="shared" si="40"/>
        <v>6520</v>
      </c>
      <c r="M61" s="837">
        <f t="shared" si="40"/>
        <v>285</v>
      </c>
      <c r="N61" s="837">
        <f t="shared" si="40"/>
        <v>1940</v>
      </c>
      <c r="O61" s="837">
        <f t="shared" si="40"/>
        <v>1940</v>
      </c>
      <c r="P61" s="837">
        <f t="shared" si="40"/>
        <v>0</v>
      </c>
      <c r="Q61" s="837">
        <f t="shared" si="40"/>
        <v>8745</v>
      </c>
      <c r="R61" s="837">
        <f t="shared" si="40"/>
        <v>8460</v>
      </c>
      <c r="S61" s="837">
        <f t="shared" si="40"/>
        <v>285</v>
      </c>
      <c r="T61" s="837">
        <f t="shared" si="40"/>
        <v>37163</v>
      </c>
      <c r="U61" s="837">
        <f t="shared" si="40"/>
        <v>35262</v>
      </c>
      <c r="V61" s="837">
        <f t="shared" si="40"/>
        <v>1901</v>
      </c>
      <c r="W61" s="837">
        <f t="shared" si="40"/>
        <v>0</v>
      </c>
      <c r="X61" s="837">
        <f t="shared" si="40"/>
        <v>0</v>
      </c>
      <c r="Y61" s="837">
        <f t="shared" si="40"/>
        <v>0</v>
      </c>
      <c r="Z61" s="713"/>
      <c r="AA61" s="696"/>
      <c r="AB61" s="696"/>
    </row>
    <row r="62" spans="1:28" s="710" customFormat="1" ht="27" customHeight="1" x14ac:dyDescent="0.25">
      <c r="A62" s="706"/>
      <c r="B62" s="748" t="s">
        <v>1216</v>
      </c>
      <c r="C62" s="706"/>
      <c r="D62" s="706"/>
      <c r="E62" s="708"/>
      <c r="F62" s="708"/>
      <c r="G62" s="708"/>
      <c r="H62" s="839"/>
      <c r="I62" s="839"/>
      <c r="J62" s="839"/>
      <c r="K62" s="839"/>
      <c r="L62" s="839"/>
      <c r="M62" s="839"/>
      <c r="N62" s="839"/>
      <c r="O62" s="839"/>
      <c r="P62" s="839"/>
      <c r="Q62" s="839"/>
      <c r="R62" s="839"/>
      <c r="S62" s="839"/>
      <c r="T62" s="839"/>
      <c r="U62" s="839"/>
      <c r="V62" s="839"/>
      <c r="W62" s="839"/>
      <c r="X62" s="839"/>
      <c r="Y62" s="839"/>
      <c r="Z62" s="709"/>
      <c r="AA62" s="706"/>
      <c r="AB62" s="706"/>
    </row>
    <row r="63" spans="1:28" s="700" customFormat="1" ht="105" x14ac:dyDescent="0.25">
      <c r="A63" s="694">
        <v>1</v>
      </c>
      <c r="B63" s="749" t="s">
        <v>420</v>
      </c>
      <c r="C63" s="696"/>
      <c r="D63" s="696"/>
      <c r="E63" s="698"/>
      <c r="F63" s="698"/>
      <c r="G63" s="698"/>
      <c r="H63" s="840">
        <f t="shared" ref="H63:H66" si="41">I63+J63</f>
        <v>8427</v>
      </c>
      <c r="I63" s="840">
        <v>7987</v>
      </c>
      <c r="J63" s="840">
        <f>399+41</f>
        <v>440</v>
      </c>
      <c r="K63" s="837"/>
      <c r="L63" s="837"/>
      <c r="M63" s="837"/>
      <c r="N63" s="840">
        <f>O63+P63</f>
        <v>500</v>
      </c>
      <c r="O63" s="840">
        <v>500</v>
      </c>
      <c r="P63" s="840"/>
      <c r="Q63" s="840">
        <f t="shared" si="4"/>
        <v>500</v>
      </c>
      <c r="R63" s="840">
        <f t="shared" si="4"/>
        <v>500</v>
      </c>
      <c r="S63" s="840">
        <f t="shared" si="4"/>
        <v>0</v>
      </c>
      <c r="T63" s="840">
        <f t="shared" ref="T63:T65" si="42">U63+V63</f>
        <v>7927</v>
      </c>
      <c r="U63" s="840">
        <f t="shared" ref="U63:V66" si="43">I63-R63</f>
        <v>7487</v>
      </c>
      <c r="V63" s="840">
        <f t="shared" si="43"/>
        <v>440</v>
      </c>
      <c r="W63" s="840">
        <f t="shared" ref="W63:W65" si="44">X63+Y63</f>
        <v>0</v>
      </c>
      <c r="X63" s="840"/>
      <c r="Y63" s="840"/>
      <c r="Z63" s="713">
        <f t="shared" si="11"/>
        <v>5.9333096000949333E-2</v>
      </c>
      <c r="AA63" s="696"/>
      <c r="AB63" s="694" t="s">
        <v>1221</v>
      </c>
    </row>
    <row r="64" spans="1:28" s="700" customFormat="1" ht="65.25" customHeight="1" x14ac:dyDescent="0.25">
      <c r="A64" s="694">
        <v>2</v>
      </c>
      <c r="B64" s="749" t="s">
        <v>421</v>
      </c>
      <c r="C64" s="696"/>
      <c r="D64" s="696"/>
      <c r="E64" s="698"/>
      <c r="F64" s="698"/>
      <c r="G64" s="698"/>
      <c r="H64" s="840">
        <f t="shared" si="41"/>
        <v>20407</v>
      </c>
      <c r="I64" s="840">
        <v>19435</v>
      </c>
      <c r="J64" s="840">
        <v>972</v>
      </c>
      <c r="K64" s="837"/>
      <c r="L64" s="837"/>
      <c r="M64" s="837"/>
      <c r="N64" s="840">
        <f>O64+P64</f>
        <v>960</v>
      </c>
      <c r="O64" s="840">
        <v>960</v>
      </c>
      <c r="P64" s="840"/>
      <c r="Q64" s="840">
        <f t="shared" si="4"/>
        <v>960</v>
      </c>
      <c r="R64" s="840">
        <f t="shared" si="4"/>
        <v>960</v>
      </c>
      <c r="S64" s="840">
        <f t="shared" si="4"/>
        <v>0</v>
      </c>
      <c r="T64" s="840">
        <f t="shared" si="42"/>
        <v>19447</v>
      </c>
      <c r="U64" s="840">
        <f t="shared" si="43"/>
        <v>18475</v>
      </c>
      <c r="V64" s="840">
        <f t="shared" si="43"/>
        <v>972</v>
      </c>
      <c r="W64" s="840">
        <f t="shared" si="44"/>
        <v>0</v>
      </c>
      <c r="X64" s="840"/>
      <c r="Y64" s="840"/>
      <c r="Z64" s="713">
        <f t="shared" si="11"/>
        <v>4.7042681432841675E-2</v>
      </c>
      <c r="AA64" s="696"/>
      <c r="AB64" s="694" t="s">
        <v>1221</v>
      </c>
    </row>
    <row r="65" spans="1:28" s="700" customFormat="1" ht="57" customHeight="1" x14ac:dyDescent="0.25">
      <c r="A65" s="694">
        <v>3</v>
      </c>
      <c r="B65" s="749" t="s">
        <v>422</v>
      </c>
      <c r="C65" s="696"/>
      <c r="D65" s="696"/>
      <c r="E65" s="698"/>
      <c r="F65" s="698"/>
      <c r="G65" s="698"/>
      <c r="H65" s="840">
        <f t="shared" si="41"/>
        <v>10269</v>
      </c>
      <c r="I65" s="840">
        <v>9780</v>
      </c>
      <c r="J65" s="840">
        <v>489</v>
      </c>
      <c r="K65" s="837"/>
      <c r="L65" s="837"/>
      <c r="M65" s="837"/>
      <c r="N65" s="840">
        <f>O65+P65</f>
        <v>480</v>
      </c>
      <c r="O65" s="840">
        <v>480</v>
      </c>
      <c r="P65" s="840"/>
      <c r="Q65" s="840">
        <f t="shared" si="4"/>
        <v>480</v>
      </c>
      <c r="R65" s="840">
        <f t="shared" si="4"/>
        <v>480</v>
      </c>
      <c r="S65" s="840">
        <f t="shared" si="4"/>
        <v>0</v>
      </c>
      <c r="T65" s="840">
        <f t="shared" si="42"/>
        <v>9789</v>
      </c>
      <c r="U65" s="840">
        <f t="shared" si="43"/>
        <v>9300</v>
      </c>
      <c r="V65" s="840">
        <f t="shared" si="43"/>
        <v>489</v>
      </c>
      <c r="W65" s="840">
        <f t="shared" si="44"/>
        <v>0</v>
      </c>
      <c r="X65" s="840"/>
      <c r="Y65" s="840"/>
      <c r="Z65" s="713">
        <f t="shared" si="11"/>
        <v>4.6742623429739998E-2</v>
      </c>
      <c r="AA65" s="696"/>
      <c r="AB65" s="694" t="s">
        <v>1221</v>
      </c>
    </row>
    <row r="66" spans="1:28" s="700" customFormat="1" ht="45" x14ac:dyDescent="0.25">
      <c r="A66" s="694">
        <v>4</v>
      </c>
      <c r="B66" s="749" t="s">
        <v>423</v>
      </c>
      <c r="C66" s="696"/>
      <c r="D66" s="696"/>
      <c r="E66" s="698"/>
      <c r="F66" s="698"/>
      <c r="G66" s="698"/>
      <c r="H66" s="840">
        <f t="shared" si="41"/>
        <v>6805</v>
      </c>
      <c r="I66" s="840">
        <v>6520</v>
      </c>
      <c r="J66" s="840">
        <f>326-41</f>
        <v>285</v>
      </c>
      <c r="K66" s="840">
        <f>L66+M66</f>
        <v>6805</v>
      </c>
      <c r="L66" s="840">
        <v>6520</v>
      </c>
      <c r="M66" s="840">
        <v>285</v>
      </c>
      <c r="N66" s="840">
        <f>O66+P66</f>
        <v>0</v>
      </c>
      <c r="O66" s="840"/>
      <c r="P66" s="840"/>
      <c r="Q66" s="840">
        <f t="shared" si="4"/>
        <v>6805</v>
      </c>
      <c r="R66" s="840">
        <f t="shared" si="4"/>
        <v>6520</v>
      </c>
      <c r="S66" s="840">
        <f>P66+M66</f>
        <v>285</v>
      </c>
      <c r="T66" s="840">
        <f t="shared" ref="T66" si="45">H66-Q66</f>
        <v>0</v>
      </c>
      <c r="U66" s="840">
        <f t="shared" si="43"/>
        <v>0</v>
      </c>
      <c r="V66" s="840">
        <f>J66-S66</f>
        <v>0</v>
      </c>
      <c r="W66" s="837"/>
      <c r="X66" s="837"/>
      <c r="Y66" s="837"/>
      <c r="Z66" s="713">
        <f t="shared" si="11"/>
        <v>1</v>
      </c>
      <c r="AA66" s="696"/>
      <c r="AB66" s="696"/>
    </row>
    <row r="67" spans="1:28" s="700" customFormat="1" ht="81.75" customHeight="1" x14ac:dyDescent="0.25">
      <c r="A67" s="696" t="s">
        <v>425</v>
      </c>
      <c r="B67" s="746" t="s">
        <v>426</v>
      </c>
      <c r="C67" s="696"/>
      <c r="D67" s="696"/>
      <c r="E67" s="698"/>
      <c r="F67" s="698"/>
      <c r="G67" s="698"/>
      <c r="H67" s="837">
        <f t="shared" ref="H67:Y67" si="46">H69</f>
        <v>62969</v>
      </c>
      <c r="I67" s="837">
        <f t="shared" si="46"/>
        <v>59970</v>
      </c>
      <c r="J67" s="837">
        <f t="shared" si="46"/>
        <v>2999</v>
      </c>
      <c r="K67" s="837">
        <f t="shared" si="46"/>
        <v>8961</v>
      </c>
      <c r="L67" s="837">
        <f t="shared" si="46"/>
        <v>8421</v>
      </c>
      <c r="M67" s="837">
        <f t="shared" si="46"/>
        <v>540</v>
      </c>
      <c r="N67" s="837">
        <f t="shared" si="46"/>
        <v>20501</v>
      </c>
      <c r="O67" s="837">
        <f t="shared" si="46"/>
        <v>19470</v>
      </c>
      <c r="P67" s="837">
        <f t="shared" si="46"/>
        <v>1031</v>
      </c>
      <c r="Q67" s="837">
        <f t="shared" si="4"/>
        <v>29462</v>
      </c>
      <c r="R67" s="837">
        <f t="shared" si="4"/>
        <v>27891</v>
      </c>
      <c r="S67" s="837">
        <f t="shared" si="4"/>
        <v>1571</v>
      </c>
      <c r="T67" s="837">
        <f t="shared" si="46"/>
        <v>33507</v>
      </c>
      <c r="U67" s="837">
        <f t="shared" si="46"/>
        <v>32079</v>
      </c>
      <c r="V67" s="837">
        <f t="shared" si="46"/>
        <v>1428</v>
      </c>
      <c r="W67" s="837">
        <f t="shared" si="46"/>
        <v>21000</v>
      </c>
      <c r="X67" s="837">
        <f t="shared" si="46"/>
        <v>20000</v>
      </c>
      <c r="Y67" s="837">
        <f t="shared" si="46"/>
        <v>1000</v>
      </c>
      <c r="Z67" s="699"/>
      <c r="AA67" s="696"/>
      <c r="AB67" s="696"/>
    </row>
    <row r="68" spans="1:28" s="700" customFormat="1" ht="26.25" customHeight="1" x14ac:dyDescent="0.25">
      <c r="A68" s="696"/>
      <c r="B68" s="748" t="s">
        <v>1209</v>
      </c>
      <c r="C68" s="696"/>
      <c r="D68" s="696"/>
      <c r="E68" s="698"/>
      <c r="F68" s="698"/>
      <c r="G68" s="698"/>
      <c r="H68" s="837"/>
      <c r="I68" s="837"/>
      <c r="J68" s="837"/>
      <c r="K68" s="837"/>
      <c r="L68" s="837"/>
      <c r="M68" s="837"/>
      <c r="N68" s="837"/>
      <c r="O68" s="837"/>
      <c r="P68" s="837"/>
      <c r="Q68" s="837"/>
      <c r="R68" s="837"/>
      <c r="S68" s="837"/>
      <c r="T68" s="837"/>
      <c r="U68" s="837"/>
      <c r="V68" s="837"/>
      <c r="W68" s="837"/>
      <c r="X68" s="837"/>
      <c r="Y68" s="837"/>
      <c r="Z68" s="699"/>
      <c r="AA68" s="696"/>
      <c r="AB68" s="696"/>
    </row>
    <row r="69" spans="1:28" ht="36" customHeight="1" x14ac:dyDescent="0.25">
      <c r="A69" s="694">
        <v>1</v>
      </c>
      <c r="B69" s="749" t="s">
        <v>1231</v>
      </c>
      <c r="C69" s="694" t="s">
        <v>424</v>
      </c>
      <c r="D69" s="693" t="s">
        <v>427</v>
      </c>
      <c r="E69" s="712">
        <v>137969</v>
      </c>
      <c r="F69" s="712">
        <v>59970</v>
      </c>
      <c r="G69" s="712">
        <v>2999</v>
      </c>
      <c r="H69" s="840">
        <f>I69+J69</f>
        <v>62969</v>
      </c>
      <c r="I69" s="840">
        <v>59970</v>
      </c>
      <c r="J69" s="840">
        <v>2999</v>
      </c>
      <c r="K69" s="840">
        <f>L69+M69</f>
        <v>8961</v>
      </c>
      <c r="L69" s="840">
        <f>2460+5961</f>
        <v>8421</v>
      </c>
      <c r="M69" s="840">
        <v>540</v>
      </c>
      <c r="N69" s="840">
        <f>O69+P69</f>
        <v>20501</v>
      </c>
      <c r="O69" s="840">
        <f>14470+5000</f>
        <v>19470</v>
      </c>
      <c r="P69" s="840">
        <f>781+250</f>
        <v>1031</v>
      </c>
      <c r="Q69" s="840">
        <f t="shared" si="4"/>
        <v>29462</v>
      </c>
      <c r="R69" s="840">
        <f t="shared" si="4"/>
        <v>27891</v>
      </c>
      <c r="S69" s="840">
        <f t="shared" si="4"/>
        <v>1571</v>
      </c>
      <c r="T69" s="840">
        <f t="shared" ref="T69" si="47">U69+V69</f>
        <v>33507</v>
      </c>
      <c r="U69" s="840">
        <f t="shared" ref="U69:V69" si="48">I69-R69</f>
        <v>32079</v>
      </c>
      <c r="V69" s="840">
        <f t="shared" si="48"/>
        <v>1428</v>
      </c>
      <c r="W69" s="840">
        <f>X69+Y69</f>
        <v>21000</v>
      </c>
      <c r="X69" s="840">
        <v>20000</v>
      </c>
      <c r="Y69" s="840">
        <v>1000</v>
      </c>
      <c r="Z69" s="713">
        <f t="shared" si="11"/>
        <v>0.80137845606568314</v>
      </c>
      <c r="AA69" s="694" t="s">
        <v>388</v>
      </c>
      <c r="AB69" s="694" t="s">
        <v>1211</v>
      </c>
    </row>
    <row r="70" spans="1:28" s="700" customFormat="1" ht="96" customHeight="1" x14ac:dyDescent="0.25">
      <c r="A70" s="696" t="s">
        <v>428</v>
      </c>
      <c r="B70" s="746" t="s">
        <v>429</v>
      </c>
      <c r="C70" s="696"/>
      <c r="D70" s="696"/>
      <c r="E70" s="698"/>
      <c r="F70" s="698"/>
      <c r="G70" s="698"/>
      <c r="H70" s="837">
        <f>H71</f>
        <v>6605</v>
      </c>
      <c r="I70" s="837">
        <f t="shared" ref="I70:P70" si="49">I71</f>
        <v>6291</v>
      </c>
      <c r="J70" s="837">
        <f t="shared" si="49"/>
        <v>314</v>
      </c>
      <c r="K70" s="837">
        <f t="shared" si="49"/>
        <v>0</v>
      </c>
      <c r="L70" s="837">
        <f t="shared" si="49"/>
        <v>0</v>
      </c>
      <c r="M70" s="837">
        <f t="shared" si="49"/>
        <v>0</v>
      </c>
      <c r="N70" s="837">
        <f t="shared" si="49"/>
        <v>0</v>
      </c>
      <c r="O70" s="837">
        <f t="shared" si="49"/>
        <v>0</v>
      </c>
      <c r="P70" s="837">
        <f t="shared" si="49"/>
        <v>0</v>
      </c>
      <c r="Q70" s="840">
        <f t="shared" si="4"/>
        <v>0</v>
      </c>
      <c r="R70" s="840">
        <f t="shared" si="4"/>
        <v>0</v>
      </c>
      <c r="S70" s="840">
        <f t="shared" si="4"/>
        <v>0</v>
      </c>
      <c r="T70" s="837">
        <f>T71</f>
        <v>6605</v>
      </c>
      <c r="U70" s="837">
        <f t="shared" ref="U70:Y70" si="50">U71</f>
        <v>6291</v>
      </c>
      <c r="V70" s="837">
        <f t="shared" si="50"/>
        <v>314</v>
      </c>
      <c r="W70" s="837">
        <f t="shared" si="50"/>
        <v>0</v>
      </c>
      <c r="X70" s="837">
        <f t="shared" si="50"/>
        <v>0</v>
      </c>
      <c r="Y70" s="837">
        <f t="shared" si="50"/>
        <v>0</v>
      </c>
      <c r="Z70" s="713">
        <f t="shared" si="11"/>
        <v>0</v>
      </c>
      <c r="AA70" s="696"/>
      <c r="AB70" s="696"/>
    </row>
    <row r="71" spans="1:28" ht="63" customHeight="1" x14ac:dyDescent="0.25">
      <c r="A71" s="694">
        <v>1</v>
      </c>
      <c r="B71" s="749" t="s">
        <v>430</v>
      </c>
      <c r="C71" s="694" t="s">
        <v>424</v>
      </c>
      <c r="D71" s="694"/>
      <c r="E71" s="712">
        <f>F71+G71</f>
        <v>6605</v>
      </c>
      <c r="F71" s="712">
        <f>4742+1549</f>
        <v>6291</v>
      </c>
      <c r="G71" s="712">
        <f>237+77</f>
        <v>314</v>
      </c>
      <c r="H71" s="840">
        <f>I71+J71</f>
        <v>6605</v>
      </c>
      <c r="I71" s="840">
        <f>4742+1549</f>
        <v>6291</v>
      </c>
      <c r="J71" s="840">
        <f>237+77</f>
        <v>314</v>
      </c>
      <c r="K71" s="840"/>
      <c r="L71" s="840"/>
      <c r="M71" s="840"/>
      <c r="N71" s="840"/>
      <c r="O71" s="840"/>
      <c r="P71" s="840"/>
      <c r="Q71" s="840">
        <f t="shared" si="4"/>
        <v>0</v>
      </c>
      <c r="R71" s="840">
        <f t="shared" si="4"/>
        <v>0</v>
      </c>
      <c r="S71" s="840">
        <f t="shared" si="4"/>
        <v>0</v>
      </c>
      <c r="T71" s="840">
        <f t="shared" ref="T71:U71" si="51">H71-Q71</f>
        <v>6605</v>
      </c>
      <c r="U71" s="840">
        <f t="shared" si="51"/>
        <v>6291</v>
      </c>
      <c r="V71" s="840">
        <f>J71-S71</f>
        <v>314</v>
      </c>
      <c r="W71" s="840">
        <f>X71+Y71</f>
        <v>0</v>
      </c>
      <c r="X71" s="840"/>
      <c r="Y71" s="840"/>
      <c r="Z71" s="713">
        <f t="shared" si="11"/>
        <v>0</v>
      </c>
      <c r="AA71" s="694" t="s">
        <v>219</v>
      </c>
      <c r="AB71" s="694"/>
    </row>
    <row r="72" spans="1:28" s="700" customFormat="1" ht="24" customHeight="1" x14ac:dyDescent="0.25">
      <c r="A72" s="696" t="s">
        <v>5</v>
      </c>
      <c r="B72" s="746" t="s">
        <v>431</v>
      </c>
      <c r="C72" s="696"/>
      <c r="D72" s="696"/>
      <c r="E72" s="698"/>
      <c r="F72" s="698"/>
      <c r="G72" s="698"/>
      <c r="H72" s="837">
        <f t="shared" ref="H72:Y72" si="52">H73+H82+H92</f>
        <v>880765</v>
      </c>
      <c r="I72" s="837">
        <f t="shared" si="52"/>
        <v>837044</v>
      </c>
      <c r="J72" s="837">
        <f t="shared" si="52"/>
        <v>43721</v>
      </c>
      <c r="K72" s="837">
        <f t="shared" si="52"/>
        <v>151718</v>
      </c>
      <c r="L72" s="837">
        <f t="shared" si="52"/>
        <v>144333</v>
      </c>
      <c r="M72" s="837">
        <f t="shared" si="52"/>
        <v>7385</v>
      </c>
      <c r="N72" s="837">
        <f t="shared" si="52"/>
        <v>220017</v>
      </c>
      <c r="O72" s="837">
        <f t="shared" si="52"/>
        <v>208108</v>
      </c>
      <c r="P72" s="837">
        <f t="shared" si="52"/>
        <v>11909</v>
      </c>
      <c r="Q72" s="837">
        <f t="shared" si="52"/>
        <v>371735</v>
      </c>
      <c r="R72" s="837">
        <f t="shared" si="52"/>
        <v>352441</v>
      </c>
      <c r="S72" s="837">
        <f t="shared" si="52"/>
        <v>19294</v>
      </c>
      <c r="T72" s="837">
        <f t="shared" si="52"/>
        <v>509030</v>
      </c>
      <c r="U72" s="837">
        <f t="shared" si="52"/>
        <v>484603</v>
      </c>
      <c r="V72" s="837">
        <f t="shared" si="52"/>
        <v>24427</v>
      </c>
      <c r="W72" s="837">
        <f t="shared" si="52"/>
        <v>214893</v>
      </c>
      <c r="X72" s="837">
        <f t="shared" si="52"/>
        <v>202416</v>
      </c>
      <c r="Y72" s="837">
        <f t="shared" si="52"/>
        <v>12477</v>
      </c>
      <c r="Z72" s="713"/>
      <c r="AA72" s="696"/>
      <c r="AB72" s="696"/>
    </row>
    <row r="73" spans="1:28" s="700" customFormat="1" ht="51.75" customHeight="1" x14ac:dyDescent="0.25">
      <c r="A73" s="696" t="s">
        <v>46</v>
      </c>
      <c r="B73" s="746" t="s">
        <v>370</v>
      </c>
      <c r="C73" s="696"/>
      <c r="D73" s="696"/>
      <c r="E73" s="698"/>
      <c r="F73" s="698"/>
      <c r="G73" s="698"/>
      <c r="H73" s="837">
        <f>H74</f>
        <v>55905</v>
      </c>
      <c r="I73" s="837">
        <f t="shared" ref="I73:Y73" si="53">I74</f>
        <v>51465</v>
      </c>
      <c r="J73" s="837">
        <f t="shared" si="53"/>
        <v>4440</v>
      </c>
      <c r="K73" s="837">
        <f t="shared" si="53"/>
        <v>4897</v>
      </c>
      <c r="L73" s="837">
        <f t="shared" si="53"/>
        <v>4505</v>
      </c>
      <c r="M73" s="837">
        <f t="shared" si="53"/>
        <v>392</v>
      </c>
      <c r="N73" s="837">
        <f t="shared" si="53"/>
        <v>20284</v>
      </c>
      <c r="O73" s="837">
        <f t="shared" si="53"/>
        <v>18608</v>
      </c>
      <c r="P73" s="837">
        <f t="shared" si="53"/>
        <v>1676</v>
      </c>
      <c r="Q73" s="838">
        <f t="shared" si="4"/>
        <v>25181</v>
      </c>
      <c r="R73" s="838">
        <f t="shared" si="4"/>
        <v>23113</v>
      </c>
      <c r="S73" s="838">
        <f t="shared" si="4"/>
        <v>2068</v>
      </c>
      <c r="T73" s="837">
        <f>T74</f>
        <v>30724</v>
      </c>
      <c r="U73" s="837">
        <f t="shared" si="53"/>
        <v>28352</v>
      </c>
      <c r="V73" s="837">
        <f t="shared" si="53"/>
        <v>2372</v>
      </c>
      <c r="W73" s="837">
        <f>W74</f>
        <v>21087</v>
      </c>
      <c r="X73" s="837">
        <f t="shared" si="53"/>
        <v>19235</v>
      </c>
      <c r="Y73" s="837">
        <f t="shared" si="53"/>
        <v>1852</v>
      </c>
      <c r="Z73" s="701"/>
      <c r="AA73" s="696"/>
      <c r="AB73" s="696"/>
    </row>
    <row r="74" spans="1:28" s="705" customFormat="1" ht="35.25" customHeight="1" x14ac:dyDescent="0.25">
      <c r="A74" s="702"/>
      <c r="B74" s="747" t="s">
        <v>432</v>
      </c>
      <c r="C74" s="702"/>
      <c r="D74" s="702"/>
      <c r="E74" s="704"/>
      <c r="F74" s="704"/>
      <c r="G74" s="704"/>
      <c r="H74" s="838">
        <f t="shared" ref="H74:H81" si="54">I74+J74</f>
        <v>55905</v>
      </c>
      <c r="I74" s="838">
        <f>SUM(I75:I81)</f>
        <v>51465</v>
      </c>
      <c r="J74" s="838">
        <f>SUM(J75:J81)</f>
        <v>4440</v>
      </c>
      <c r="K74" s="838">
        <f t="shared" ref="K74:P74" si="55">SUM(K75:K81)</f>
        <v>4897</v>
      </c>
      <c r="L74" s="838">
        <f t="shared" si="55"/>
        <v>4505</v>
      </c>
      <c r="M74" s="838">
        <f t="shared" si="55"/>
        <v>392</v>
      </c>
      <c r="N74" s="838">
        <f t="shared" si="55"/>
        <v>20284</v>
      </c>
      <c r="O74" s="838">
        <f t="shared" si="55"/>
        <v>18608</v>
      </c>
      <c r="P74" s="838">
        <f t="shared" si="55"/>
        <v>1676</v>
      </c>
      <c r="Q74" s="838">
        <f t="shared" si="4"/>
        <v>25181</v>
      </c>
      <c r="R74" s="838">
        <f t="shared" si="4"/>
        <v>23113</v>
      </c>
      <c r="S74" s="838">
        <f t="shared" si="4"/>
        <v>2068</v>
      </c>
      <c r="T74" s="838">
        <f t="shared" ref="T74:T81" si="56">U74+V74</f>
        <v>30724</v>
      </c>
      <c r="U74" s="838">
        <f>SUM(U75:U81)</f>
        <v>28352</v>
      </c>
      <c r="V74" s="838">
        <f>SUM(V75:V81)</f>
        <v>2372</v>
      </c>
      <c r="W74" s="838">
        <f t="shared" ref="W74:W81" si="57">X74+Y74</f>
        <v>21087</v>
      </c>
      <c r="X74" s="838">
        <f>SUM(X75:X81)</f>
        <v>19235</v>
      </c>
      <c r="Y74" s="838">
        <f>SUM(Y75:Y81)</f>
        <v>1852</v>
      </c>
      <c r="Z74" s="701"/>
      <c r="AA74" s="702"/>
      <c r="AB74" s="702"/>
    </row>
    <row r="75" spans="1:28" ht="35.25" customHeight="1" x14ac:dyDescent="0.25">
      <c r="A75" s="694">
        <v>1</v>
      </c>
      <c r="B75" s="749" t="s">
        <v>38</v>
      </c>
      <c r="C75" s="694"/>
      <c r="D75" s="694"/>
      <c r="E75" s="712"/>
      <c r="F75" s="712"/>
      <c r="G75" s="712"/>
      <c r="H75" s="840">
        <f t="shared" si="54"/>
        <v>5045.5</v>
      </c>
      <c r="I75" s="840">
        <v>4617.5</v>
      </c>
      <c r="J75" s="840">
        <v>428</v>
      </c>
      <c r="K75" s="840">
        <f t="shared" ref="K75:K81" si="58">L75+M75</f>
        <v>1278</v>
      </c>
      <c r="L75" s="840">
        <v>1170</v>
      </c>
      <c r="M75" s="840">
        <v>108</v>
      </c>
      <c r="N75" s="840">
        <f>O75+P75</f>
        <v>1785</v>
      </c>
      <c r="O75" s="840">
        <v>1633</v>
      </c>
      <c r="P75" s="840">
        <v>152</v>
      </c>
      <c r="Q75" s="840">
        <f t="shared" si="4"/>
        <v>3063</v>
      </c>
      <c r="R75" s="840">
        <f t="shared" si="4"/>
        <v>2803</v>
      </c>
      <c r="S75" s="840">
        <f t="shared" si="4"/>
        <v>260</v>
      </c>
      <c r="T75" s="840">
        <f t="shared" si="56"/>
        <v>1982.5</v>
      </c>
      <c r="U75" s="840">
        <f t="shared" ref="U75:V81" si="59">I75-R75</f>
        <v>1814.5</v>
      </c>
      <c r="V75" s="840">
        <f t="shared" si="59"/>
        <v>168</v>
      </c>
      <c r="W75" s="840">
        <f t="shared" si="57"/>
        <v>1888</v>
      </c>
      <c r="X75" s="840">
        <v>1720</v>
      </c>
      <c r="Y75" s="840">
        <f>V75</f>
        <v>168</v>
      </c>
      <c r="Z75" s="713">
        <f t="shared" si="11"/>
        <v>0.98127043900505406</v>
      </c>
      <c r="AA75" s="694" t="s">
        <v>433</v>
      </c>
      <c r="AB75" s="694" t="s">
        <v>434</v>
      </c>
    </row>
    <row r="76" spans="1:28" ht="35.25" customHeight="1" x14ac:dyDescent="0.25">
      <c r="A76" s="694">
        <v>2</v>
      </c>
      <c r="B76" s="749" t="s">
        <v>39</v>
      </c>
      <c r="C76" s="694"/>
      <c r="D76" s="694"/>
      <c r="E76" s="712"/>
      <c r="F76" s="712"/>
      <c r="G76" s="712"/>
      <c r="H76" s="840">
        <f t="shared" si="54"/>
        <v>7681</v>
      </c>
      <c r="I76" s="840">
        <v>7085</v>
      </c>
      <c r="J76" s="840">
        <v>596</v>
      </c>
      <c r="K76" s="840">
        <f t="shared" si="58"/>
        <v>485</v>
      </c>
      <c r="L76" s="840">
        <v>445</v>
      </c>
      <c r="M76" s="840">
        <v>40</v>
      </c>
      <c r="N76" s="840">
        <f t="shared" ref="N76:N81" si="60">O76+P76</f>
        <v>2781</v>
      </c>
      <c r="O76" s="840">
        <v>2565</v>
      </c>
      <c r="P76" s="840">
        <v>216</v>
      </c>
      <c r="Q76" s="840">
        <f t="shared" si="4"/>
        <v>3266</v>
      </c>
      <c r="R76" s="840">
        <f t="shared" si="4"/>
        <v>3010</v>
      </c>
      <c r="S76" s="840">
        <f t="shared" si="4"/>
        <v>256</v>
      </c>
      <c r="T76" s="840">
        <f t="shared" si="56"/>
        <v>4415</v>
      </c>
      <c r="U76" s="840">
        <f t="shared" si="59"/>
        <v>4075</v>
      </c>
      <c r="V76" s="840">
        <f t="shared" si="59"/>
        <v>340</v>
      </c>
      <c r="W76" s="840">
        <f t="shared" ref="W76:X76" si="61">T76</f>
        <v>4415</v>
      </c>
      <c r="X76" s="840">
        <f t="shared" si="61"/>
        <v>4075</v>
      </c>
      <c r="Y76" s="840">
        <f>V76</f>
        <v>340</v>
      </c>
      <c r="Z76" s="713">
        <f t="shared" si="11"/>
        <v>1</v>
      </c>
      <c r="AA76" s="694" t="s">
        <v>435</v>
      </c>
      <c r="AB76" s="694" t="s">
        <v>434</v>
      </c>
    </row>
    <row r="77" spans="1:28" ht="35.25" customHeight="1" x14ac:dyDescent="0.25">
      <c r="A77" s="694">
        <v>3</v>
      </c>
      <c r="B77" s="749" t="s">
        <v>40</v>
      </c>
      <c r="C77" s="694"/>
      <c r="D77" s="694"/>
      <c r="E77" s="712"/>
      <c r="F77" s="712"/>
      <c r="G77" s="712"/>
      <c r="H77" s="840">
        <f t="shared" si="54"/>
        <v>5243</v>
      </c>
      <c r="I77" s="840">
        <v>4795</v>
      </c>
      <c r="J77" s="840">
        <v>448</v>
      </c>
      <c r="K77" s="840">
        <f t="shared" si="58"/>
        <v>485</v>
      </c>
      <c r="L77" s="840">
        <v>445</v>
      </c>
      <c r="M77" s="840">
        <v>40</v>
      </c>
      <c r="N77" s="840">
        <f t="shared" si="60"/>
        <v>1804</v>
      </c>
      <c r="O77" s="840">
        <v>1640</v>
      </c>
      <c r="P77" s="840">
        <v>164</v>
      </c>
      <c r="Q77" s="840">
        <f t="shared" si="4"/>
        <v>2289</v>
      </c>
      <c r="R77" s="840">
        <f t="shared" si="4"/>
        <v>2085</v>
      </c>
      <c r="S77" s="840">
        <f t="shared" si="4"/>
        <v>204</v>
      </c>
      <c r="T77" s="840">
        <f t="shared" si="56"/>
        <v>2954</v>
      </c>
      <c r="U77" s="840">
        <f t="shared" si="59"/>
        <v>2710</v>
      </c>
      <c r="V77" s="840">
        <f t="shared" si="59"/>
        <v>244</v>
      </c>
      <c r="W77" s="840">
        <f t="shared" si="57"/>
        <v>1848</v>
      </c>
      <c r="X77" s="840">
        <v>1680</v>
      </c>
      <c r="Y77" s="840">
        <v>168</v>
      </c>
      <c r="Z77" s="713">
        <f t="shared" si="11"/>
        <v>0.78905206942590123</v>
      </c>
      <c r="AA77" s="694" t="s">
        <v>436</v>
      </c>
      <c r="AB77" s="694" t="s">
        <v>434</v>
      </c>
    </row>
    <row r="78" spans="1:28" ht="35.25" customHeight="1" x14ac:dyDescent="0.25">
      <c r="A78" s="694">
        <v>4</v>
      </c>
      <c r="B78" s="749" t="s">
        <v>41</v>
      </c>
      <c r="C78" s="694"/>
      <c r="D78" s="694"/>
      <c r="E78" s="712"/>
      <c r="F78" s="712"/>
      <c r="G78" s="712"/>
      <c r="H78" s="840">
        <f t="shared" si="54"/>
        <v>4590</v>
      </c>
      <c r="I78" s="840">
        <v>4230</v>
      </c>
      <c r="J78" s="840">
        <v>360</v>
      </c>
      <c r="K78" s="840">
        <f t="shared" si="58"/>
        <v>397</v>
      </c>
      <c r="L78" s="840">
        <v>365</v>
      </c>
      <c r="M78" s="840">
        <v>32</v>
      </c>
      <c r="N78" s="840">
        <f t="shared" si="60"/>
        <v>1633</v>
      </c>
      <c r="O78" s="840">
        <v>1505</v>
      </c>
      <c r="P78" s="840">
        <v>128</v>
      </c>
      <c r="Q78" s="840">
        <f t="shared" si="4"/>
        <v>2030</v>
      </c>
      <c r="R78" s="840">
        <f t="shared" si="4"/>
        <v>1870</v>
      </c>
      <c r="S78" s="840">
        <f t="shared" si="4"/>
        <v>160</v>
      </c>
      <c r="T78" s="840">
        <f t="shared" si="56"/>
        <v>2560</v>
      </c>
      <c r="U78" s="840">
        <f t="shared" si="59"/>
        <v>2360</v>
      </c>
      <c r="V78" s="840">
        <f t="shared" si="59"/>
        <v>200</v>
      </c>
      <c r="W78" s="840">
        <f t="shared" si="57"/>
        <v>1892</v>
      </c>
      <c r="X78" s="840">
        <v>1720</v>
      </c>
      <c r="Y78" s="840">
        <v>172</v>
      </c>
      <c r="Z78" s="713">
        <f t="shared" si="11"/>
        <v>0.85446623093681917</v>
      </c>
      <c r="AA78" s="694" t="s">
        <v>437</v>
      </c>
      <c r="AB78" s="694" t="s">
        <v>434</v>
      </c>
    </row>
    <row r="79" spans="1:28" ht="35.25" customHeight="1" x14ac:dyDescent="0.25">
      <c r="A79" s="694">
        <v>5</v>
      </c>
      <c r="B79" s="749" t="s">
        <v>42</v>
      </c>
      <c r="C79" s="694"/>
      <c r="D79" s="694"/>
      <c r="E79" s="712"/>
      <c r="F79" s="712"/>
      <c r="G79" s="712"/>
      <c r="H79" s="840">
        <f t="shared" si="54"/>
        <v>9796</v>
      </c>
      <c r="I79" s="840">
        <v>9020</v>
      </c>
      <c r="J79" s="840">
        <v>776</v>
      </c>
      <c r="K79" s="840">
        <f t="shared" si="58"/>
        <v>530</v>
      </c>
      <c r="L79" s="840">
        <v>490</v>
      </c>
      <c r="M79" s="840">
        <v>40</v>
      </c>
      <c r="N79" s="840">
        <f t="shared" si="60"/>
        <v>3606</v>
      </c>
      <c r="O79" s="840">
        <v>3290</v>
      </c>
      <c r="P79" s="840">
        <f>284+32</f>
        <v>316</v>
      </c>
      <c r="Q79" s="840">
        <f t="shared" si="4"/>
        <v>4136</v>
      </c>
      <c r="R79" s="840">
        <f t="shared" si="4"/>
        <v>3780</v>
      </c>
      <c r="S79" s="840">
        <f t="shared" si="4"/>
        <v>356</v>
      </c>
      <c r="T79" s="840">
        <f t="shared" si="56"/>
        <v>5660</v>
      </c>
      <c r="U79" s="840">
        <f t="shared" si="59"/>
        <v>5240</v>
      </c>
      <c r="V79" s="840">
        <f t="shared" si="59"/>
        <v>420</v>
      </c>
      <c r="W79" s="840">
        <f t="shared" si="57"/>
        <v>3036</v>
      </c>
      <c r="X79" s="840">
        <v>2760</v>
      </c>
      <c r="Y79" s="840">
        <v>276</v>
      </c>
      <c r="Z79" s="713">
        <f t="shared" si="11"/>
        <v>0.73213556553695391</v>
      </c>
      <c r="AA79" s="694" t="s">
        <v>408</v>
      </c>
      <c r="AB79" s="694" t="s">
        <v>434</v>
      </c>
    </row>
    <row r="80" spans="1:28" ht="35.25" customHeight="1" x14ac:dyDescent="0.25">
      <c r="A80" s="694">
        <v>6</v>
      </c>
      <c r="B80" s="749" t="s">
        <v>43</v>
      </c>
      <c r="C80" s="694"/>
      <c r="D80" s="694"/>
      <c r="E80" s="712"/>
      <c r="F80" s="712"/>
      <c r="G80" s="712"/>
      <c r="H80" s="840">
        <f t="shared" si="54"/>
        <v>14482</v>
      </c>
      <c r="I80" s="840">
        <v>13370</v>
      </c>
      <c r="J80" s="840">
        <v>1112</v>
      </c>
      <c r="K80" s="840">
        <f t="shared" si="58"/>
        <v>1104</v>
      </c>
      <c r="L80" s="840">
        <v>1020</v>
      </c>
      <c r="M80" s="840">
        <v>84</v>
      </c>
      <c r="N80" s="840">
        <f t="shared" si="60"/>
        <v>5342</v>
      </c>
      <c r="O80" s="840">
        <v>4930</v>
      </c>
      <c r="P80" s="840">
        <v>412</v>
      </c>
      <c r="Q80" s="840">
        <f t="shared" si="4"/>
        <v>6446</v>
      </c>
      <c r="R80" s="840">
        <f t="shared" si="4"/>
        <v>5950</v>
      </c>
      <c r="S80" s="840">
        <f t="shared" si="4"/>
        <v>496</v>
      </c>
      <c r="T80" s="840">
        <f t="shared" si="56"/>
        <v>8036</v>
      </c>
      <c r="U80" s="840">
        <f t="shared" si="59"/>
        <v>7420</v>
      </c>
      <c r="V80" s="840">
        <f t="shared" si="59"/>
        <v>616</v>
      </c>
      <c r="W80" s="840">
        <f t="shared" si="57"/>
        <v>4840</v>
      </c>
      <c r="X80" s="840">
        <v>4400</v>
      </c>
      <c r="Y80" s="840">
        <v>440</v>
      </c>
      <c r="Z80" s="713">
        <f t="shared" si="11"/>
        <v>0.77931224968926949</v>
      </c>
      <c r="AA80" s="694" t="s">
        <v>438</v>
      </c>
      <c r="AB80" s="694" t="s">
        <v>434</v>
      </c>
    </row>
    <row r="81" spans="1:28" ht="35.25" customHeight="1" x14ac:dyDescent="0.25">
      <c r="A81" s="694">
        <v>7</v>
      </c>
      <c r="B81" s="749" t="s">
        <v>44</v>
      </c>
      <c r="C81" s="694"/>
      <c r="D81" s="694"/>
      <c r="E81" s="712"/>
      <c r="F81" s="712"/>
      <c r="G81" s="712"/>
      <c r="H81" s="840">
        <f t="shared" si="54"/>
        <v>9067.5</v>
      </c>
      <c r="I81" s="840">
        <v>8347.5</v>
      </c>
      <c r="J81" s="840">
        <v>720</v>
      </c>
      <c r="K81" s="840">
        <f t="shared" si="58"/>
        <v>618</v>
      </c>
      <c r="L81" s="840">
        <v>570</v>
      </c>
      <c r="M81" s="840">
        <v>48</v>
      </c>
      <c r="N81" s="840">
        <f t="shared" si="60"/>
        <v>3333</v>
      </c>
      <c r="O81" s="840">
        <v>3045</v>
      </c>
      <c r="P81" s="840">
        <f>264+24</f>
        <v>288</v>
      </c>
      <c r="Q81" s="840">
        <f t="shared" si="4"/>
        <v>3951</v>
      </c>
      <c r="R81" s="840">
        <f t="shared" si="4"/>
        <v>3615</v>
      </c>
      <c r="S81" s="840">
        <f t="shared" si="4"/>
        <v>336</v>
      </c>
      <c r="T81" s="840">
        <f t="shared" si="56"/>
        <v>5116.5</v>
      </c>
      <c r="U81" s="840">
        <f t="shared" si="59"/>
        <v>4732.5</v>
      </c>
      <c r="V81" s="840">
        <f t="shared" si="59"/>
        <v>384</v>
      </c>
      <c r="W81" s="840">
        <f t="shared" si="57"/>
        <v>3168</v>
      </c>
      <c r="X81" s="840">
        <v>2880</v>
      </c>
      <c r="Y81" s="840">
        <v>288</v>
      </c>
      <c r="Z81" s="713">
        <f t="shared" si="11"/>
        <v>0.78511166253101738</v>
      </c>
      <c r="AA81" s="694" t="s">
        <v>439</v>
      </c>
      <c r="AB81" s="694" t="s">
        <v>434</v>
      </c>
    </row>
    <row r="82" spans="1:28" s="700" customFormat="1" ht="57" x14ac:dyDescent="0.25">
      <c r="A82" s="696" t="s">
        <v>31</v>
      </c>
      <c r="B82" s="746" t="s">
        <v>384</v>
      </c>
      <c r="C82" s="696"/>
      <c r="D82" s="696"/>
      <c r="E82" s="698"/>
      <c r="F82" s="698"/>
      <c r="G82" s="698"/>
      <c r="H82" s="837">
        <f>H83</f>
        <v>787425</v>
      </c>
      <c r="I82" s="837">
        <f t="shared" ref="I82:Y82" si="62">I83</f>
        <v>749927</v>
      </c>
      <c r="J82" s="837">
        <f t="shared" si="62"/>
        <v>37498</v>
      </c>
      <c r="K82" s="837">
        <f t="shared" si="62"/>
        <v>141740</v>
      </c>
      <c r="L82" s="837">
        <f t="shared" si="62"/>
        <v>134990</v>
      </c>
      <c r="M82" s="837">
        <f t="shared" si="62"/>
        <v>6750</v>
      </c>
      <c r="N82" s="837">
        <f t="shared" si="62"/>
        <v>190724</v>
      </c>
      <c r="O82" s="837">
        <f t="shared" si="62"/>
        <v>180953</v>
      </c>
      <c r="P82" s="837">
        <f t="shared" si="62"/>
        <v>9771</v>
      </c>
      <c r="Q82" s="837">
        <f t="shared" si="62"/>
        <v>332464</v>
      </c>
      <c r="R82" s="837">
        <f t="shared" si="62"/>
        <v>315943</v>
      </c>
      <c r="S82" s="837">
        <f t="shared" si="62"/>
        <v>16521</v>
      </c>
      <c r="T82" s="837">
        <f t="shared" si="62"/>
        <v>454961</v>
      </c>
      <c r="U82" s="837">
        <f t="shared" si="62"/>
        <v>433984</v>
      </c>
      <c r="V82" s="837">
        <f t="shared" si="62"/>
        <v>20977</v>
      </c>
      <c r="W82" s="837">
        <f t="shared" si="62"/>
        <v>193806</v>
      </c>
      <c r="X82" s="837">
        <f t="shared" si="62"/>
        <v>183181</v>
      </c>
      <c r="Y82" s="837">
        <f t="shared" si="62"/>
        <v>10625</v>
      </c>
      <c r="Z82" s="701"/>
      <c r="AA82" s="696"/>
      <c r="AB82" s="696"/>
    </row>
    <row r="83" spans="1:28" s="705" customFormat="1" ht="62.25" customHeight="1" x14ac:dyDescent="0.25">
      <c r="A83" s="702"/>
      <c r="B83" s="747" t="s">
        <v>440</v>
      </c>
      <c r="C83" s="702"/>
      <c r="D83" s="702"/>
      <c r="E83" s="704"/>
      <c r="F83" s="704"/>
      <c r="G83" s="704"/>
      <c r="H83" s="838">
        <f t="shared" ref="H83:Y83" si="63">SUM(H84:H91)</f>
        <v>787425</v>
      </c>
      <c r="I83" s="838">
        <f t="shared" si="63"/>
        <v>749927</v>
      </c>
      <c r="J83" s="838">
        <f t="shared" si="63"/>
        <v>37498</v>
      </c>
      <c r="K83" s="838">
        <f t="shared" si="63"/>
        <v>141740</v>
      </c>
      <c r="L83" s="838">
        <f t="shared" si="63"/>
        <v>134990</v>
      </c>
      <c r="M83" s="838">
        <f t="shared" si="63"/>
        <v>6750</v>
      </c>
      <c r="N83" s="838">
        <f t="shared" si="63"/>
        <v>190724</v>
      </c>
      <c r="O83" s="838">
        <f t="shared" si="63"/>
        <v>180953</v>
      </c>
      <c r="P83" s="838">
        <f t="shared" si="63"/>
        <v>9771</v>
      </c>
      <c r="Q83" s="838">
        <f t="shared" ref="Q83:S99" si="64">N83+K83</f>
        <v>332464</v>
      </c>
      <c r="R83" s="838">
        <f t="shared" si="64"/>
        <v>315943</v>
      </c>
      <c r="S83" s="838">
        <f t="shared" si="64"/>
        <v>16521</v>
      </c>
      <c r="T83" s="838">
        <f t="shared" si="63"/>
        <v>454961</v>
      </c>
      <c r="U83" s="838">
        <f t="shared" si="63"/>
        <v>433984</v>
      </c>
      <c r="V83" s="838">
        <f t="shared" si="63"/>
        <v>20977</v>
      </c>
      <c r="W83" s="838">
        <f t="shared" si="63"/>
        <v>193806</v>
      </c>
      <c r="X83" s="838">
        <f t="shared" si="63"/>
        <v>183181</v>
      </c>
      <c r="Y83" s="838">
        <f t="shared" si="63"/>
        <v>10625</v>
      </c>
      <c r="Z83" s="701"/>
      <c r="AA83" s="702"/>
      <c r="AB83" s="702"/>
    </row>
    <row r="84" spans="1:28" ht="35.25" customHeight="1" x14ac:dyDescent="0.25">
      <c r="A84" s="694">
        <v>1</v>
      </c>
      <c r="B84" s="749" t="s">
        <v>38</v>
      </c>
      <c r="C84" s="694"/>
      <c r="D84" s="694"/>
      <c r="E84" s="712"/>
      <c r="F84" s="712"/>
      <c r="G84" s="712"/>
      <c r="H84" s="840">
        <f t="shared" ref="H84:H91" si="65">I84+J84</f>
        <v>94569</v>
      </c>
      <c r="I84" s="840">
        <v>90066</v>
      </c>
      <c r="J84" s="840">
        <v>4503</v>
      </c>
      <c r="K84" s="840">
        <f>L84+M84</f>
        <v>17022</v>
      </c>
      <c r="L84" s="840">
        <v>16212</v>
      </c>
      <c r="M84" s="840">
        <v>809.99999999999989</v>
      </c>
      <c r="N84" s="840">
        <f t="shared" ref="N84:N91" si="66">O84+P84</f>
        <v>22907</v>
      </c>
      <c r="O84" s="840">
        <v>21733</v>
      </c>
      <c r="P84" s="840">
        <v>1174</v>
      </c>
      <c r="Q84" s="840">
        <f t="shared" si="64"/>
        <v>39929</v>
      </c>
      <c r="R84" s="840">
        <f t="shared" si="64"/>
        <v>37945</v>
      </c>
      <c r="S84" s="840">
        <f t="shared" si="64"/>
        <v>1984</v>
      </c>
      <c r="T84" s="840">
        <f t="shared" ref="T84:T91" si="67">U84+V84</f>
        <v>54640</v>
      </c>
      <c r="U84" s="840">
        <f t="shared" ref="U84:V91" si="68">I84-R84</f>
        <v>52121</v>
      </c>
      <c r="V84" s="840">
        <f t="shared" si="68"/>
        <v>2519</v>
      </c>
      <c r="W84" s="840">
        <f t="shared" ref="W84:W91" si="69">X84+Y84</f>
        <v>23216</v>
      </c>
      <c r="X84" s="840">
        <v>21940</v>
      </c>
      <c r="Y84" s="840">
        <v>1276</v>
      </c>
      <c r="Z84" s="713">
        <f t="shared" si="11"/>
        <v>0.6677135213442037</v>
      </c>
      <c r="AA84" s="694" t="s">
        <v>433</v>
      </c>
      <c r="AB84" s="694" t="s">
        <v>441</v>
      </c>
    </row>
    <row r="85" spans="1:28" ht="35.25" customHeight="1" x14ac:dyDescent="0.25">
      <c r="A85" s="694">
        <v>2</v>
      </c>
      <c r="B85" s="749" t="s">
        <v>39</v>
      </c>
      <c r="C85" s="694"/>
      <c r="D85" s="694"/>
      <c r="E85" s="712"/>
      <c r="F85" s="712"/>
      <c r="G85" s="712"/>
      <c r="H85" s="840">
        <f t="shared" si="65"/>
        <v>120748</v>
      </c>
      <c r="I85" s="840">
        <v>114998</v>
      </c>
      <c r="J85" s="840">
        <v>5750</v>
      </c>
      <c r="K85" s="840">
        <f>L85+M85</f>
        <v>21735</v>
      </c>
      <c r="L85" s="840">
        <v>20700</v>
      </c>
      <c r="M85" s="840">
        <v>1035</v>
      </c>
      <c r="N85" s="840">
        <f t="shared" si="66"/>
        <v>29246</v>
      </c>
      <c r="O85" s="840">
        <v>27748</v>
      </c>
      <c r="P85" s="840">
        <v>1498</v>
      </c>
      <c r="Q85" s="840">
        <f t="shared" si="64"/>
        <v>50981</v>
      </c>
      <c r="R85" s="840">
        <f t="shared" si="64"/>
        <v>48448</v>
      </c>
      <c r="S85" s="840">
        <f t="shared" si="64"/>
        <v>2533</v>
      </c>
      <c r="T85" s="840">
        <f t="shared" si="67"/>
        <v>69767</v>
      </c>
      <c r="U85" s="840">
        <f t="shared" si="68"/>
        <v>66550</v>
      </c>
      <c r="V85" s="840">
        <f t="shared" si="68"/>
        <v>3217</v>
      </c>
      <c r="W85" s="840">
        <f t="shared" si="69"/>
        <v>30143</v>
      </c>
      <c r="X85" s="840">
        <v>28513</v>
      </c>
      <c r="Y85" s="840">
        <v>1630</v>
      </c>
      <c r="Z85" s="713">
        <f t="shared" si="11"/>
        <v>0.67184549640573754</v>
      </c>
      <c r="AA85" s="694" t="s">
        <v>435</v>
      </c>
      <c r="AB85" s="694" t="s">
        <v>441</v>
      </c>
    </row>
    <row r="86" spans="1:28" ht="35.25" customHeight="1" x14ac:dyDescent="0.25">
      <c r="A86" s="694">
        <v>3</v>
      </c>
      <c r="B86" s="749" t="s">
        <v>40</v>
      </c>
      <c r="C86" s="694"/>
      <c r="D86" s="694"/>
      <c r="E86" s="712"/>
      <c r="F86" s="712"/>
      <c r="G86" s="712"/>
      <c r="H86" s="840">
        <f t="shared" si="65"/>
        <v>92936</v>
      </c>
      <c r="I86" s="840">
        <v>88510</v>
      </c>
      <c r="J86" s="840">
        <v>4426</v>
      </c>
      <c r="K86" s="840">
        <f t="shared" ref="K86:K91" si="70">L86+M86</f>
        <v>16729</v>
      </c>
      <c r="L86" s="840">
        <v>15932</v>
      </c>
      <c r="M86" s="840">
        <v>797</v>
      </c>
      <c r="N86" s="840">
        <f t="shared" si="66"/>
        <v>22510</v>
      </c>
      <c r="O86" s="840">
        <v>21357</v>
      </c>
      <c r="P86" s="840">
        <v>1153</v>
      </c>
      <c r="Q86" s="840">
        <f t="shared" si="64"/>
        <v>39239</v>
      </c>
      <c r="R86" s="840">
        <f t="shared" si="64"/>
        <v>37289</v>
      </c>
      <c r="S86" s="840">
        <f t="shared" si="64"/>
        <v>1950</v>
      </c>
      <c r="T86" s="840">
        <f t="shared" si="67"/>
        <v>53697</v>
      </c>
      <c r="U86" s="840">
        <f t="shared" si="68"/>
        <v>51221</v>
      </c>
      <c r="V86" s="840">
        <f t="shared" si="68"/>
        <v>2476</v>
      </c>
      <c r="W86" s="840">
        <f t="shared" si="69"/>
        <v>22815</v>
      </c>
      <c r="X86" s="840">
        <v>21561</v>
      </c>
      <c r="Y86" s="840">
        <v>1254</v>
      </c>
      <c r="Z86" s="713">
        <f t="shared" si="11"/>
        <v>0.66770680898682966</v>
      </c>
      <c r="AA86" s="694" t="s">
        <v>436</v>
      </c>
      <c r="AB86" s="694" t="s">
        <v>441</v>
      </c>
    </row>
    <row r="87" spans="1:28" ht="35.25" customHeight="1" x14ac:dyDescent="0.25">
      <c r="A87" s="694">
        <v>4</v>
      </c>
      <c r="B87" s="749" t="s">
        <v>41</v>
      </c>
      <c r="C87" s="694"/>
      <c r="D87" s="694"/>
      <c r="E87" s="712"/>
      <c r="F87" s="712"/>
      <c r="G87" s="712"/>
      <c r="H87" s="840">
        <f t="shared" si="65"/>
        <v>99142</v>
      </c>
      <c r="I87" s="840">
        <v>94421</v>
      </c>
      <c r="J87" s="840">
        <v>4721</v>
      </c>
      <c r="K87" s="840">
        <f t="shared" si="70"/>
        <v>17846</v>
      </c>
      <c r="L87" s="840">
        <v>16996</v>
      </c>
      <c r="M87" s="840">
        <v>850.00000000000011</v>
      </c>
      <c r="N87" s="840">
        <f t="shared" si="66"/>
        <v>24013</v>
      </c>
      <c r="O87" s="840">
        <v>22783</v>
      </c>
      <c r="P87" s="840">
        <v>1230</v>
      </c>
      <c r="Q87" s="840">
        <f t="shared" si="64"/>
        <v>41859</v>
      </c>
      <c r="R87" s="840">
        <f t="shared" si="64"/>
        <v>39779</v>
      </c>
      <c r="S87" s="840">
        <f t="shared" si="64"/>
        <v>2080</v>
      </c>
      <c r="T87" s="840">
        <f t="shared" si="67"/>
        <v>57283</v>
      </c>
      <c r="U87" s="840">
        <f t="shared" si="68"/>
        <v>54642</v>
      </c>
      <c r="V87" s="840">
        <f t="shared" si="68"/>
        <v>2641</v>
      </c>
      <c r="W87" s="840">
        <f t="shared" si="69"/>
        <v>24338.999999999996</v>
      </c>
      <c r="X87" s="840">
        <v>23000.999999999996</v>
      </c>
      <c r="Y87" s="840">
        <v>1338</v>
      </c>
      <c r="Z87" s="713">
        <f t="shared" ref="Z87:Z91" si="71">(W87+Q87)/H87</f>
        <v>0.66770894272861148</v>
      </c>
      <c r="AA87" s="694" t="s">
        <v>437</v>
      </c>
      <c r="AB87" s="694" t="s">
        <v>441</v>
      </c>
    </row>
    <row r="88" spans="1:28" ht="35.25" customHeight="1" x14ac:dyDescent="0.25">
      <c r="A88" s="694">
        <v>5</v>
      </c>
      <c r="B88" s="749" t="s">
        <v>42</v>
      </c>
      <c r="C88" s="694"/>
      <c r="D88" s="694"/>
      <c r="E88" s="712"/>
      <c r="F88" s="712"/>
      <c r="G88" s="712"/>
      <c r="H88" s="840">
        <f t="shared" si="65"/>
        <v>154894</v>
      </c>
      <c r="I88" s="840">
        <v>147518</v>
      </c>
      <c r="J88" s="840">
        <v>7376</v>
      </c>
      <c r="K88" s="840">
        <f t="shared" si="70"/>
        <v>27882</v>
      </c>
      <c r="L88" s="840">
        <v>26554</v>
      </c>
      <c r="M88" s="840">
        <v>1328</v>
      </c>
      <c r="N88" s="840">
        <f t="shared" si="66"/>
        <v>37517</v>
      </c>
      <c r="O88" s="840">
        <v>35595</v>
      </c>
      <c r="P88" s="840">
        <v>1922</v>
      </c>
      <c r="Q88" s="840">
        <f t="shared" si="64"/>
        <v>65399</v>
      </c>
      <c r="R88" s="840">
        <f t="shared" si="64"/>
        <v>62149</v>
      </c>
      <c r="S88" s="840">
        <f t="shared" si="64"/>
        <v>3250</v>
      </c>
      <c r="T88" s="840">
        <f t="shared" si="67"/>
        <v>89495</v>
      </c>
      <c r="U88" s="840">
        <f t="shared" si="68"/>
        <v>85369</v>
      </c>
      <c r="V88" s="840">
        <f t="shared" si="68"/>
        <v>4126</v>
      </c>
      <c r="W88" s="840">
        <f t="shared" si="69"/>
        <v>38025</v>
      </c>
      <c r="X88" s="840">
        <v>35935</v>
      </c>
      <c r="Y88" s="840">
        <v>2090</v>
      </c>
      <c r="Z88" s="713">
        <f t="shared" si="71"/>
        <v>0.6677082391829251</v>
      </c>
      <c r="AA88" s="694" t="s">
        <v>408</v>
      </c>
      <c r="AB88" s="694" t="s">
        <v>441</v>
      </c>
    </row>
    <row r="89" spans="1:28" ht="35.25" customHeight="1" x14ac:dyDescent="0.25">
      <c r="A89" s="694">
        <v>6</v>
      </c>
      <c r="B89" s="749" t="s">
        <v>43</v>
      </c>
      <c r="C89" s="694"/>
      <c r="D89" s="694"/>
      <c r="E89" s="712"/>
      <c r="F89" s="712"/>
      <c r="G89" s="712"/>
      <c r="H89" s="840">
        <f t="shared" si="65"/>
        <v>101338</v>
      </c>
      <c r="I89" s="840">
        <v>96512</v>
      </c>
      <c r="J89" s="840">
        <v>4826</v>
      </c>
      <c r="K89" s="840">
        <f t="shared" si="70"/>
        <v>18242</v>
      </c>
      <c r="L89" s="840">
        <v>17373</v>
      </c>
      <c r="M89" s="840">
        <v>869</v>
      </c>
      <c r="N89" s="840">
        <f t="shared" si="66"/>
        <v>24545</v>
      </c>
      <c r="O89" s="840">
        <v>23288</v>
      </c>
      <c r="P89" s="840">
        <v>1257</v>
      </c>
      <c r="Q89" s="840">
        <f t="shared" si="64"/>
        <v>42787</v>
      </c>
      <c r="R89" s="840">
        <f t="shared" si="64"/>
        <v>40661</v>
      </c>
      <c r="S89" s="840">
        <f t="shared" si="64"/>
        <v>2126</v>
      </c>
      <c r="T89" s="840">
        <f t="shared" si="67"/>
        <v>58551</v>
      </c>
      <c r="U89" s="840">
        <f t="shared" si="68"/>
        <v>55851</v>
      </c>
      <c r="V89" s="840">
        <f t="shared" si="68"/>
        <v>2700</v>
      </c>
      <c r="W89" s="840">
        <f t="shared" si="69"/>
        <v>24877</v>
      </c>
      <c r="X89" s="840">
        <v>23510</v>
      </c>
      <c r="Y89" s="840">
        <v>1367</v>
      </c>
      <c r="Z89" s="713">
        <f t="shared" si="71"/>
        <v>0.66770609248258306</v>
      </c>
      <c r="AA89" s="694" t="s">
        <v>438</v>
      </c>
      <c r="AB89" s="694" t="s">
        <v>441</v>
      </c>
    </row>
    <row r="90" spans="1:28" ht="35.25" customHeight="1" x14ac:dyDescent="0.25">
      <c r="A90" s="694">
        <v>7</v>
      </c>
      <c r="B90" s="749" t="s">
        <v>44</v>
      </c>
      <c r="C90" s="694"/>
      <c r="D90" s="694"/>
      <c r="E90" s="712"/>
      <c r="F90" s="712"/>
      <c r="G90" s="712"/>
      <c r="H90" s="840">
        <f t="shared" si="65"/>
        <v>122293</v>
      </c>
      <c r="I90" s="840">
        <v>116469</v>
      </c>
      <c r="J90" s="840">
        <v>5824</v>
      </c>
      <c r="K90" s="840">
        <f t="shared" si="70"/>
        <v>22013</v>
      </c>
      <c r="L90" s="840">
        <v>20965</v>
      </c>
      <c r="M90" s="840">
        <v>1048</v>
      </c>
      <c r="N90" s="840">
        <f t="shared" si="66"/>
        <v>29621</v>
      </c>
      <c r="O90" s="840">
        <v>28103</v>
      </c>
      <c r="P90" s="840">
        <v>1518</v>
      </c>
      <c r="Q90" s="840">
        <f t="shared" si="64"/>
        <v>51634</v>
      </c>
      <c r="R90" s="840">
        <f t="shared" si="64"/>
        <v>49068</v>
      </c>
      <c r="S90" s="840">
        <f t="shared" si="64"/>
        <v>2566</v>
      </c>
      <c r="T90" s="840">
        <f t="shared" si="67"/>
        <v>70659</v>
      </c>
      <c r="U90" s="840">
        <f t="shared" si="68"/>
        <v>67401</v>
      </c>
      <c r="V90" s="840">
        <f t="shared" si="68"/>
        <v>3258</v>
      </c>
      <c r="W90" s="840">
        <f t="shared" si="69"/>
        <v>30022</v>
      </c>
      <c r="X90" s="840">
        <v>28372</v>
      </c>
      <c r="Y90" s="840">
        <v>1650</v>
      </c>
      <c r="Z90" s="713">
        <f t="shared" si="71"/>
        <v>0.66770788189021446</v>
      </c>
      <c r="AA90" s="694" t="s">
        <v>439</v>
      </c>
      <c r="AB90" s="694" t="s">
        <v>441</v>
      </c>
    </row>
    <row r="91" spans="1:28" ht="35.25" customHeight="1" x14ac:dyDescent="0.25">
      <c r="A91" s="694">
        <v>8</v>
      </c>
      <c r="B91" s="749" t="s">
        <v>45</v>
      </c>
      <c r="C91" s="694"/>
      <c r="D91" s="694"/>
      <c r="E91" s="712"/>
      <c r="F91" s="712"/>
      <c r="G91" s="712"/>
      <c r="H91" s="840">
        <f t="shared" si="65"/>
        <v>1505</v>
      </c>
      <c r="I91" s="840">
        <v>1433</v>
      </c>
      <c r="J91" s="840">
        <v>72</v>
      </c>
      <c r="K91" s="840">
        <f t="shared" si="70"/>
        <v>271</v>
      </c>
      <c r="L91" s="840">
        <v>258</v>
      </c>
      <c r="M91" s="840">
        <v>13</v>
      </c>
      <c r="N91" s="840">
        <f t="shared" si="66"/>
        <v>365</v>
      </c>
      <c r="O91" s="840">
        <v>346</v>
      </c>
      <c r="P91" s="840">
        <v>19</v>
      </c>
      <c r="Q91" s="840">
        <f t="shared" si="64"/>
        <v>636</v>
      </c>
      <c r="R91" s="840">
        <f t="shared" si="64"/>
        <v>604</v>
      </c>
      <c r="S91" s="840">
        <f t="shared" si="64"/>
        <v>32</v>
      </c>
      <c r="T91" s="840">
        <f t="shared" si="67"/>
        <v>869</v>
      </c>
      <c r="U91" s="840">
        <f t="shared" si="68"/>
        <v>829</v>
      </c>
      <c r="V91" s="840">
        <f t="shared" si="68"/>
        <v>40</v>
      </c>
      <c r="W91" s="840">
        <f t="shared" si="69"/>
        <v>369</v>
      </c>
      <c r="X91" s="840">
        <v>349</v>
      </c>
      <c r="Y91" s="840">
        <v>20</v>
      </c>
      <c r="Z91" s="713">
        <f t="shared" si="71"/>
        <v>0.66777408637873759</v>
      </c>
      <c r="AA91" s="694" t="s">
        <v>442</v>
      </c>
      <c r="AB91" s="694" t="s">
        <v>441</v>
      </c>
    </row>
    <row r="92" spans="1:28" s="700" customFormat="1" ht="98.25" customHeight="1" x14ac:dyDescent="0.25">
      <c r="A92" s="696" t="s">
        <v>54</v>
      </c>
      <c r="B92" s="746" t="s">
        <v>429</v>
      </c>
      <c r="C92" s="696"/>
      <c r="D92" s="696"/>
      <c r="E92" s="698"/>
      <c r="F92" s="698"/>
      <c r="G92" s="698"/>
      <c r="H92" s="837">
        <f>SUM(H93:H99)</f>
        <v>37435</v>
      </c>
      <c r="I92" s="837">
        <f t="shared" ref="I92:Y92" si="72">SUM(I93:I99)</f>
        <v>35652</v>
      </c>
      <c r="J92" s="837">
        <f t="shared" si="72"/>
        <v>1783</v>
      </c>
      <c r="K92" s="837">
        <f t="shared" si="72"/>
        <v>5081</v>
      </c>
      <c r="L92" s="837">
        <f t="shared" si="72"/>
        <v>4838</v>
      </c>
      <c r="M92" s="837">
        <f t="shared" si="72"/>
        <v>243</v>
      </c>
      <c r="N92" s="837">
        <f t="shared" si="72"/>
        <v>9009</v>
      </c>
      <c r="O92" s="837">
        <f t="shared" si="72"/>
        <v>8547</v>
      </c>
      <c r="P92" s="837">
        <f t="shared" si="72"/>
        <v>462</v>
      </c>
      <c r="Q92" s="837">
        <f t="shared" si="64"/>
        <v>14090</v>
      </c>
      <c r="R92" s="837">
        <f t="shared" si="64"/>
        <v>13385</v>
      </c>
      <c r="S92" s="837">
        <f t="shared" si="64"/>
        <v>705</v>
      </c>
      <c r="T92" s="837">
        <f t="shared" si="72"/>
        <v>23345</v>
      </c>
      <c r="U92" s="837">
        <f t="shared" si="72"/>
        <v>22267</v>
      </c>
      <c r="V92" s="837">
        <f t="shared" si="72"/>
        <v>1078</v>
      </c>
      <c r="W92" s="837">
        <f t="shared" si="72"/>
        <v>0</v>
      </c>
      <c r="X92" s="837">
        <f t="shared" si="72"/>
        <v>0</v>
      </c>
      <c r="Y92" s="837">
        <f t="shared" si="72"/>
        <v>0</v>
      </c>
      <c r="Z92" s="699"/>
      <c r="AA92" s="696"/>
      <c r="AB92" s="696"/>
    </row>
    <row r="93" spans="1:28" ht="24" customHeight="1" x14ac:dyDescent="0.25">
      <c r="A93" s="694">
        <v>1</v>
      </c>
      <c r="B93" s="749" t="s">
        <v>38</v>
      </c>
      <c r="C93" s="694"/>
      <c r="D93" s="694"/>
      <c r="E93" s="712"/>
      <c r="F93" s="712"/>
      <c r="G93" s="712"/>
      <c r="H93" s="840">
        <f>I93+J93</f>
        <v>4554</v>
      </c>
      <c r="I93" s="840">
        <f>3269+1068</f>
        <v>4337</v>
      </c>
      <c r="J93" s="840">
        <f>164+53</f>
        <v>217</v>
      </c>
      <c r="K93" s="840">
        <f>L93+M93</f>
        <v>618</v>
      </c>
      <c r="L93" s="840">
        <v>588</v>
      </c>
      <c r="M93" s="840">
        <v>30</v>
      </c>
      <c r="N93" s="840">
        <f t="shared" ref="N93:N99" si="73">O93+P93</f>
        <v>1095</v>
      </c>
      <c r="O93" s="840">
        <v>1039</v>
      </c>
      <c r="P93" s="840">
        <v>56</v>
      </c>
      <c r="Q93" s="840">
        <f t="shared" si="64"/>
        <v>1713</v>
      </c>
      <c r="R93" s="840">
        <f t="shared" si="64"/>
        <v>1627</v>
      </c>
      <c r="S93" s="840">
        <f t="shared" si="64"/>
        <v>86</v>
      </c>
      <c r="T93" s="840">
        <f t="shared" ref="T93:T99" si="74">U93+V93</f>
        <v>2841</v>
      </c>
      <c r="U93" s="840">
        <f t="shared" ref="U93:V99" si="75">I93-R93</f>
        <v>2710</v>
      </c>
      <c r="V93" s="840">
        <f t="shared" si="75"/>
        <v>131</v>
      </c>
      <c r="W93" s="840"/>
      <c r="X93" s="840"/>
      <c r="Y93" s="840"/>
      <c r="Z93" s="713"/>
      <c r="AA93" s="694"/>
      <c r="AB93" s="694"/>
    </row>
    <row r="94" spans="1:28" ht="24" customHeight="1" x14ac:dyDescent="0.25">
      <c r="A94" s="694">
        <v>2</v>
      </c>
      <c r="B94" s="749" t="s">
        <v>39</v>
      </c>
      <c r="C94" s="694"/>
      <c r="D94" s="694"/>
      <c r="E94" s="712"/>
      <c r="F94" s="712"/>
      <c r="G94" s="712"/>
      <c r="H94" s="840">
        <f t="shared" ref="H94:H99" si="76">I94+J94</f>
        <v>4609</v>
      </c>
      <c r="I94" s="840">
        <f>3309+1081</f>
        <v>4390</v>
      </c>
      <c r="J94" s="840">
        <f>165+54</f>
        <v>219</v>
      </c>
      <c r="K94" s="840">
        <f t="shared" ref="K94:K99" si="77">L94+M94</f>
        <v>626</v>
      </c>
      <c r="L94" s="840">
        <v>596</v>
      </c>
      <c r="M94" s="840">
        <v>30</v>
      </c>
      <c r="N94" s="840">
        <f t="shared" si="73"/>
        <v>1109</v>
      </c>
      <c r="O94" s="840">
        <v>1052</v>
      </c>
      <c r="P94" s="840">
        <v>57</v>
      </c>
      <c r="Q94" s="840">
        <f t="shared" si="64"/>
        <v>1735</v>
      </c>
      <c r="R94" s="840">
        <f t="shared" si="64"/>
        <v>1648</v>
      </c>
      <c r="S94" s="840">
        <f t="shared" si="64"/>
        <v>87</v>
      </c>
      <c r="T94" s="840">
        <f t="shared" si="74"/>
        <v>2874</v>
      </c>
      <c r="U94" s="840">
        <f t="shared" si="75"/>
        <v>2742</v>
      </c>
      <c r="V94" s="840">
        <f t="shared" si="75"/>
        <v>132</v>
      </c>
      <c r="W94" s="840"/>
      <c r="X94" s="840"/>
      <c r="Y94" s="840"/>
      <c r="Z94" s="713"/>
      <c r="AA94" s="694"/>
      <c r="AB94" s="694"/>
    </row>
    <row r="95" spans="1:28" ht="24" customHeight="1" x14ac:dyDescent="0.25">
      <c r="A95" s="694">
        <v>3</v>
      </c>
      <c r="B95" s="749" t="s">
        <v>40</v>
      </c>
      <c r="C95" s="722"/>
      <c r="D95" s="722"/>
      <c r="E95" s="723"/>
      <c r="F95" s="723"/>
      <c r="G95" s="723"/>
      <c r="H95" s="840">
        <f t="shared" si="76"/>
        <v>5039</v>
      </c>
      <c r="I95" s="840">
        <f>3617+1182</f>
        <v>4799</v>
      </c>
      <c r="J95" s="840">
        <f>181+59</f>
        <v>240</v>
      </c>
      <c r="K95" s="840">
        <f t="shared" si="77"/>
        <v>684</v>
      </c>
      <c r="L95" s="840">
        <v>651</v>
      </c>
      <c r="M95" s="840">
        <v>33</v>
      </c>
      <c r="N95" s="840">
        <f t="shared" si="73"/>
        <v>1212</v>
      </c>
      <c r="O95" s="840">
        <v>1150</v>
      </c>
      <c r="P95" s="840">
        <v>62</v>
      </c>
      <c r="Q95" s="840">
        <f t="shared" si="64"/>
        <v>1896</v>
      </c>
      <c r="R95" s="840">
        <f t="shared" si="64"/>
        <v>1801</v>
      </c>
      <c r="S95" s="840">
        <f t="shared" si="64"/>
        <v>95</v>
      </c>
      <c r="T95" s="840">
        <f t="shared" si="74"/>
        <v>3143</v>
      </c>
      <c r="U95" s="840">
        <f t="shared" si="75"/>
        <v>2998</v>
      </c>
      <c r="V95" s="840">
        <f t="shared" si="75"/>
        <v>145</v>
      </c>
      <c r="W95" s="841"/>
      <c r="X95" s="841"/>
      <c r="Y95" s="841"/>
      <c r="Z95" s="713"/>
      <c r="AA95" s="722"/>
      <c r="AB95" s="722"/>
    </row>
    <row r="96" spans="1:28" ht="24" customHeight="1" x14ac:dyDescent="0.25">
      <c r="A96" s="694">
        <v>4</v>
      </c>
      <c r="B96" s="749" t="s">
        <v>41</v>
      </c>
      <c r="C96" s="722"/>
      <c r="D96" s="722"/>
      <c r="E96" s="723"/>
      <c r="F96" s="723"/>
      <c r="G96" s="723"/>
      <c r="H96" s="840">
        <f t="shared" si="76"/>
        <v>4564</v>
      </c>
      <c r="I96" s="840">
        <f>3276+1070</f>
        <v>4346</v>
      </c>
      <c r="J96" s="840">
        <f>164+54</f>
        <v>218</v>
      </c>
      <c r="K96" s="840">
        <f t="shared" si="77"/>
        <v>619</v>
      </c>
      <c r="L96" s="840">
        <v>590</v>
      </c>
      <c r="M96" s="840">
        <v>29</v>
      </c>
      <c r="N96" s="840">
        <f t="shared" si="73"/>
        <v>1098</v>
      </c>
      <c r="O96" s="840">
        <v>1042</v>
      </c>
      <c r="P96" s="840">
        <v>56</v>
      </c>
      <c r="Q96" s="840">
        <f t="shared" si="64"/>
        <v>1717</v>
      </c>
      <c r="R96" s="840">
        <f t="shared" si="64"/>
        <v>1632</v>
      </c>
      <c r="S96" s="840">
        <f t="shared" si="64"/>
        <v>85</v>
      </c>
      <c r="T96" s="840">
        <f t="shared" si="74"/>
        <v>2847</v>
      </c>
      <c r="U96" s="840">
        <f t="shared" si="75"/>
        <v>2714</v>
      </c>
      <c r="V96" s="840">
        <f t="shared" si="75"/>
        <v>133</v>
      </c>
      <c r="W96" s="841"/>
      <c r="X96" s="841"/>
      <c r="Y96" s="841"/>
      <c r="Z96" s="713"/>
      <c r="AA96" s="722"/>
      <c r="AB96" s="722"/>
    </row>
    <row r="97" spans="1:28" ht="24" customHeight="1" x14ac:dyDescent="0.25">
      <c r="A97" s="694">
        <v>5</v>
      </c>
      <c r="B97" s="749" t="s">
        <v>42</v>
      </c>
      <c r="C97" s="722"/>
      <c r="D97" s="722"/>
      <c r="E97" s="723"/>
      <c r="F97" s="723"/>
      <c r="G97" s="723"/>
      <c r="H97" s="840">
        <f t="shared" si="76"/>
        <v>7364</v>
      </c>
      <c r="I97" s="840">
        <f>5287+1727</f>
        <v>7014</v>
      </c>
      <c r="J97" s="840">
        <f>264+86</f>
        <v>350</v>
      </c>
      <c r="K97" s="840">
        <f t="shared" si="77"/>
        <v>1000</v>
      </c>
      <c r="L97" s="840">
        <v>952</v>
      </c>
      <c r="M97" s="840">
        <v>48</v>
      </c>
      <c r="N97" s="840">
        <f t="shared" si="73"/>
        <v>1772</v>
      </c>
      <c r="O97" s="840">
        <v>1681</v>
      </c>
      <c r="P97" s="840">
        <v>91</v>
      </c>
      <c r="Q97" s="840">
        <f t="shared" si="64"/>
        <v>2772</v>
      </c>
      <c r="R97" s="840">
        <f t="shared" si="64"/>
        <v>2633</v>
      </c>
      <c r="S97" s="840">
        <f t="shared" si="64"/>
        <v>139</v>
      </c>
      <c r="T97" s="840">
        <f t="shared" si="74"/>
        <v>4592</v>
      </c>
      <c r="U97" s="840">
        <f t="shared" si="75"/>
        <v>4381</v>
      </c>
      <c r="V97" s="840">
        <f t="shared" si="75"/>
        <v>211</v>
      </c>
      <c r="W97" s="841"/>
      <c r="X97" s="841"/>
      <c r="Y97" s="841"/>
      <c r="Z97" s="713"/>
      <c r="AA97" s="722"/>
      <c r="AB97" s="722"/>
    </row>
    <row r="98" spans="1:28" ht="24" customHeight="1" x14ac:dyDescent="0.25">
      <c r="A98" s="694">
        <v>6</v>
      </c>
      <c r="B98" s="749" t="s">
        <v>43</v>
      </c>
      <c r="C98" s="722"/>
      <c r="D98" s="722"/>
      <c r="E98" s="723"/>
      <c r="F98" s="723"/>
      <c r="G98" s="723"/>
      <c r="H98" s="840">
        <f t="shared" si="76"/>
        <v>5588</v>
      </c>
      <c r="I98" s="840">
        <f>4011+1310</f>
        <v>5321</v>
      </c>
      <c r="J98" s="840">
        <f>201+66</f>
        <v>267</v>
      </c>
      <c r="K98" s="840">
        <f t="shared" si="77"/>
        <v>758</v>
      </c>
      <c r="L98" s="840">
        <v>722</v>
      </c>
      <c r="M98" s="840">
        <v>36</v>
      </c>
      <c r="N98" s="840">
        <f t="shared" si="73"/>
        <v>1344</v>
      </c>
      <c r="O98" s="840">
        <v>1275</v>
      </c>
      <c r="P98" s="840">
        <v>69</v>
      </c>
      <c r="Q98" s="840">
        <f t="shared" si="64"/>
        <v>2102</v>
      </c>
      <c r="R98" s="840">
        <f t="shared" si="64"/>
        <v>1997</v>
      </c>
      <c r="S98" s="840">
        <f t="shared" si="64"/>
        <v>105</v>
      </c>
      <c r="T98" s="840">
        <f t="shared" si="74"/>
        <v>3486</v>
      </c>
      <c r="U98" s="840">
        <f t="shared" si="75"/>
        <v>3324</v>
      </c>
      <c r="V98" s="840">
        <f t="shared" si="75"/>
        <v>162</v>
      </c>
      <c r="W98" s="841"/>
      <c r="X98" s="841"/>
      <c r="Y98" s="841"/>
      <c r="Z98" s="713"/>
      <c r="AA98" s="722"/>
      <c r="AB98" s="722"/>
    </row>
    <row r="99" spans="1:28" ht="24" customHeight="1" x14ac:dyDescent="0.25">
      <c r="A99" s="694">
        <v>7</v>
      </c>
      <c r="B99" s="749" t="s">
        <v>44</v>
      </c>
      <c r="C99" s="722"/>
      <c r="D99" s="722"/>
      <c r="E99" s="723"/>
      <c r="F99" s="723"/>
      <c r="G99" s="723"/>
      <c r="H99" s="840">
        <f t="shared" si="76"/>
        <v>5717</v>
      </c>
      <c r="I99" s="840">
        <f>4104+1341</f>
        <v>5445</v>
      </c>
      <c r="J99" s="840">
        <f>205+67</f>
        <v>272</v>
      </c>
      <c r="K99" s="840">
        <f t="shared" si="77"/>
        <v>776</v>
      </c>
      <c r="L99" s="840">
        <v>739</v>
      </c>
      <c r="M99" s="840">
        <v>37</v>
      </c>
      <c r="N99" s="840">
        <f t="shared" si="73"/>
        <v>1379</v>
      </c>
      <c r="O99" s="840">
        <v>1308</v>
      </c>
      <c r="P99" s="840">
        <v>71</v>
      </c>
      <c r="Q99" s="840">
        <f t="shared" si="64"/>
        <v>2155</v>
      </c>
      <c r="R99" s="840">
        <f t="shared" si="64"/>
        <v>2047</v>
      </c>
      <c r="S99" s="840">
        <f t="shared" si="64"/>
        <v>108</v>
      </c>
      <c r="T99" s="840">
        <f t="shared" si="74"/>
        <v>3562</v>
      </c>
      <c r="U99" s="840">
        <f t="shared" si="75"/>
        <v>3398</v>
      </c>
      <c r="V99" s="840">
        <f t="shared" si="75"/>
        <v>164</v>
      </c>
      <c r="W99" s="841"/>
      <c r="X99" s="841"/>
      <c r="Y99" s="841"/>
      <c r="Z99" s="713"/>
      <c r="AA99" s="722"/>
      <c r="AB99" s="722"/>
    </row>
  </sheetData>
  <mergeCells count="29">
    <mergeCell ref="A1:AB1"/>
    <mergeCell ref="A2:AB2"/>
    <mergeCell ref="A3:AB3"/>
    <mergeCell ref="A6:A9"/>
    <mergeCell ref="B6:B9"/>
    <mergeCell ref="C6:C9"/>
    <mergeCell ref="D6:G6"/>
    <mergeCell ref="H6:J7"/>
    <mergeCell ref="Q6:S7"/>
    <mergeCell ref="T6:V7"/>
    <mergeCell ref="W6:Y7"/>
    <mergeCell ref="AA6:AA9"/>
    <mergeCell ref="AB6:AB9"/>
    <mergeCell ref="D7:D9"/>
    <mergeCell ref="E7:G7"/>
    <mergeCell ref="K7:M8"/>
    <mergeCell ref="X5:AB5"/>
    <mergeCell ref="Z7:Z9"/>
    <mergeCell ref="E8:E9"/>
    <mergeCell ref="F8:G8"/>
    <mergeCell ref="H8:H9"/>
    <mergeCell ref="I8:J8"/>
    <mergeCell ref="Q8:Q9"/>
    <mergeCell ref="R8:S8"/>
    <mergeCell ref="T8:T9"/>
    <mergeCell ref="U8:V8"/>
    <mergeCell ref="W8:W9"/>
    <mergeCell ref="X8:Y8"/>
    <mergeCell ref="N7:P8"/>
  </mergeCells>
  <pageMargins left="0.9283088235294118" right="0.39370078740157483" top="0.59055118110236227" bottom="0.59055118110236227" header="0.31496062992125984" footer="0.31496062992125984"/>
  <pageSetup paperSize="9" scale="80" firstPageNumber="75" orientation="landscape" useFirstPageNumber="1" r:id="rId1"/>
  <headerFooter>
    <oddHeader>&amp;C&amp;P&amp;RPhụ lục số 5A</oddHeader>
  </headerFooter>
  <colBreaks count="1" manualBreakCount="1">
    <brk id="2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R51"/>
  <sheetViews>
    <sheetView tabSelected="1" view="pageLayout" topLeftCell="AP1" zoomScale="70" zoomScaleNormal="145" zoomScaleSheetLayoutView="55" zoomScalePageLayoutView="70" workbookViewId="0">
      <selection activeCell="AS5" sqref="AS5:AU5"/>
    </sheetView>
  </sheetViews>
  <sheetFormatPr defaultColWidth="9" defaultRowHeight="15.75" x14ac:dyDescent="0.25"/>
  <cols>
    <col min="1" max="1" width="6.75" style="6" customWidth="1"/>
    <col min="2" max="2" width="43.25" style="1" customWidth="1"/>
    <col min="3" max="4" width="9.125" style="1" customWidth="1"/>
    <col min="5" max="5" width="10.75" style="1" customWidth="1"/>
    <col min="6" max="8" width="9.125" style="1" customWidth="1"/>
    <col min="9" max="9" width="10.75" style="1" customWidth="1"/>
    <col min="10" max="11" width="9.125" style="1" customWidth="1"/>
    <col min="12" max="12" width="11.25" style="1" customWidth="1"/>
    <col min="13" max="15" width="9.125" style="1" customWidth="1"/>
    <col min="16" max="16" width="11" style="1" customWidth="1"/>
    <col min="17" max="18" width="9.125" style="1" customWidth="1"/>
    <col min="19" max="19" width="10.25" style="1" customWidth="1"/>
    <col min="20" max="21" width="9.125" style="1" customWidth="1"/>
    <col min="22" max="22" width="10.25" style="1" customWidth="1"/>
    <col min="23" max="25" width="9.125" style="1" customWidth="1"/>
    <col min="26" max="26" width="10.75" style="1" customWidth="1"/>
    <col min="27" max="28" width="9.125" style="1" customWidth="1"/>
    <col min="29" max="29" width="11" style="1" customWidth="1"/>
    <col min="30" max="31" width="9.125" style="1" customWidth="1"/>
    <col min="32" max="32" width="11.75" style="1" customWidth="1"/>
    <col min="33" max="34" width="9.125" style="1" customWidth="1"/>
    <col min="35" max="35" width="10.75" style="1" customWidth="1"/>
    <col min="36" max="37" width="9.125" style="1" customWidth="1"/>
    <col min="38" max="38" width="11.5" style="1" customWidth="1"/>
    <col min="39" max="40" width="9.125" style="1" customWidth="1"/>
    <col min="41" max="43" width="12" style="1" customWidth="1"/>
    <col min="44" max="44" width="15.5" style="1" customWidth="1"/>
    <col min="45" max="45" width="9.125" style="1" customWidth="1"/>
    <col min="46" max="46" width="10.75" style="1" customWidth="1"/>
    <col min="47" max="47" width="15.25" style="1" customWidth="1"/>
    <col min="48" max="50" width="9.125" style="1" customWidth="1"/>
    <col min="51" max="51" width="16.125" style="1" customWidth="1"/>
    <col min="52" max="53" width="9.125" style="1" customWidth="1"/>
    <col min="54" max="54" width="16.25" style="1" customWidth="1"/>
    <col min="55" max="55" width="9.125" style="1" customWidth="1"/>
    <col min="56" max="56" width="11.75" style="1" customWidth="1"/>
    <col min="57" max="57" width="15.25" style="1" customWidth="1"/>
    <col min="58" max="63" width="9" style="1" hidden="1" customWidth="1"/>
    <col min="64" max="64" width="9.625" style="1" hidden="1" customWidth="1"/>
    <col min="65" max="67" width="9" style="1" hidden="1" customWidth="1"/>
    <col min="68" max="68" width="9" style="1"/>
    <col min="69" max="70" width="0" style="1" hidden="1" customWidth="1"/>
    <col min="71" max="16384" width="9" style="1"/>
  </cols>
  <sheetData>
    <row r="1" spans="1:70" ht="49.5" customHeight="1" x14ac:dyDescent="0.25">
      <c r="A1" s="428"/>
      <c r="B1" s="428"/>
      <c r="C1" s="1105" t="s">
        <v>1233</v>
      </c>
      <c r="D1" s="1105"/>
      <c r="E1" s="1105"/>
      <c r="F1" s="1105"/>
      <c r="G1" s="1105"/>
      <c r="H1" s="1105"/>
      <c r="I1" s="1105"/>
      <c r="J1" s="1105"/>
      <c r="K1" s="1105"/>
      <c r="L1" s="1105"/>
      <c r="M1" s="1105"/>
      <c r="N1" s="1105"/>
      <c r="O1" s="1105"/>
      <c r="P1" s="1105"/>
      <c r="Q1" s="1105"/>
      <c r="R1" s="1105"/>
      <c r="S1" s="1105"/>
      <c r="T1" s="1105"/>
      <c r="U1" s="1105"/>
      <c r="V1" s="1105"/>
      <c r="W1" s="1105" t="s">
        <v>1233</v>
      </c>
      <c r="X1" s="1105"/>
      <c r="Y1" s="1105"/>
      <c r="Z1" s="1105"/>
      <c r="AA1" s="1105"/>
      <c r="AB1" s="1105"/>
      <c r="AC1" s="1105"/>
      <c r="AD1" s="1105"/>
      <c r="AE1" s="1105"/>
      <c r="AF1" s="1105"/>
      <c r="AG1" s="1105"/>
      <c r="AH1" s="1105"/>
      <c r="AI1" s="1105"/>
      <c r="AJ1" s="1105"/>
      <c r="AK1" s="1105"/>
      <c r="AL1" s="1105"/>
      <c r="AM1" s="1105"/>
      <c r="AN1" s="1105"/>
      <c r="AO1" s="1105"/>
      <c r="AP1" s="1105" t="s">
        <v>1233</v>
      </c>
      <c r="AQ1" s="1105"/>
      <c r="AR1" s="1105"/>
      <c r="AS1" s="1105"/>
      <c r="AT1" s="1105"/>
      <c r="AU1" s="1105"/>
      <c r="AV1" s="1105"/>
      <c r="AW1" s="1105"/>
      <c r="AX1" s="1105"/>
      <c r="AY1" s="1105"/>
      <c r="AZ1" s="1105"/>
      <c r="BA1" s="1105"/>
      <c r="BB1" s="1105"/>
      <c r="BC1" s="1105"/>
      <c r="BD1" s="1105"/>
      <c r="BE1" s="1105"/>
      <c r="BF1" s="1105"/>
      <c r="BG1" s="1105"/>
      <c r="BH1" s="1105"/>
    </row>
    <row r="2" spans="1:70" ht="24.75" customHeight="1" x14ac:dyDescent="0.25">
      <c r="A2" s="429"/>
      <c r="B2" s="429"/>
      <c r="C2" s="1106" t="s">
        <v>1339</v>
      </c>
      <c r="D2" s="1106"/>
      <c r="E2" s="1106"/>
      <c r="F2" s="1106"/>
      <c r="G2" s="1106"/>
      <c r="H2" s="1106"/>
      <c r="I2" s="1106"/>
      <c r="J2" s="1106"/>
      <c r="K2" s="1106"/>
      <c r="L2" s="1106"/>
      <c r="M2" s="1106"/>
      <c r="N2" s="1106"/>
      <c r="O2" s="1106"/>
      <c r="P2" s="1106"/>
      <c r="Q2" s="1106"/>
      <c r="R2" s="1106"/>
      <c r="S2" s="1106"/>
      <c r="T2" s="1106"/>
      <c r="U2" s="1106"/>
      <c r="V2" s="1106"/>
      <c r="W2" s="1106" t="str">
        <f>C2</f>
        <v>(Kèm theo Nghị quyết số          /NQ-HĐND ngày        tháng 12 năm 2023 của HĐND tỉnh Bắc Kạn)</v>
      </c>
      <c r="X2" s="1106"/>
      <c r="Y2" s="1106"/>
      <c r="Z2" s="1106"/>
      <c r="AA2" s="1106"/>
      <c r="AB2" s="1106"/>
      <c r="AC2" s="1106"/>
      <c r="AD2" s="1106"/>
      <c r="AE2" s="1106"/>
      <c r="AF2" s="1106"/>
      <c r="AG2" s="1106"/>
      <c r="AH2" s="1106"/>
      <c r="AI2" s="1106"/>
      <c r="AJ2" s="1106"/>
      <c r="AK2" s="1106"/>
      <c r="AL2" s="1106"/>
      <c r="AM2" s="1106"/>
      <c r="AN2" s="1106"/>
      <c r="AO2" s="1106"/>
      <c r="AP2" s="1106" t="s">
        <v>1392</v>
      </c>
      <c r="AQ2" s="1106"/>
      <c r="AR2" s="1106"/>
      <c r="AS2" s="1106"/>
      <c r="AT2" s="1106"/>
      <c r="AU2" s="1106"/>
      <c r="AV2" s="1106"/>
      <c r="AW2" s="1106"/>
      <c r="AX2" s="1106"/>
      <c r="AY2" s="1106"/>
      <c r="AZ2" s="1106"/>
      <c r="BA2" s="1106"/>
      <c r="BB2" s="1106"/>
      <c r="BC2" s="1106"/>
      <c r="BD2" s="1106"/>
      <c r="BE2" s="1106"/>
    </row>
    <row r="4" spans="1:70" ht="21" customHeight="1" x14ac:dyDescent="0.25">
      <c r="S4" s="1107" t="s">
        <v>456</v>
      </c>
      <c r="T4" s="1107"/>
      <c r="U4" s="1107"/>
      <c r="V4" s="1107"/>
      <c r="AL4" s="1107" t="s">
        <v>456</v>
      </c>
      <c r="AM4" s="1107"/>
      <c r="AN4" s="1107"/>
      <c r="AO4" s="1107"/>
      <c r="AY4" s="430"/>
      <c r="AZ4" s="430"/>
      <c r="BA4" s="430"/>
      <c r="BB4" s="430"/>
      <c r="BC4" s="1107" t="s">
        <v>456</v>
      </c>
      <c r="BD4" s="1107"/>
      <c r="BE4" s="1107"/>
      <c r="BF4" s="1107"/>
    </row>
    <row r="5" spans="1:70" s="399" customFormat="1" ht="27.75" customHeight="1" x14ac:dyDescent="0.25">
      <c r="A5" s="1108" t="s">
        <v>1</v>
      </c>
      <c r="B5" s="1108" t="s">
        <v>272</v>
      </c>
      <c r="C5" s="1108" t="s">
        <v>1234</v>
      </c>
      <c r="D5" s="1108"/>
      <c r="E5" s="1108"/>
      <c r="F5" s="1113" t="s">
        <v>273</v>
      </c>
      <c r="G5" s="1114"/>
      <c r="H5" s="1114"/>
      <c r="I5" s="1114"/>
      <c r="J5" s="1114"/>
      <c r="K5" s="1114"/>
      <c r="L5" s="1115"/>
      <c r="M5" s="1108" t="s">
        <v>274</v>
      </c>
      <c r="N5" s="1108"/>
      <c r="O5" s="1108"/>
      <c r="P5" s="1108"/>
      <c r="Q5" s="1108"/>
      <c r="R5" s="1108"/>
      <c r="S5" s="1108"/>
      <c r="T5" s="1108" t="s">
        <v>275</v>
      </c>
      <c r="U5" s="1108"/>
      <c r="V5" s="1108"/>
      <c r="W5" s="1108" t="s">
        <v>276</v>
      </c>
      <c r="X5" s="1108"/>
      <c r="Y5" s="1108"/>
      <c r="Z5" s="1108"/>
      <c r="AA5" s="1108"/>
      <c r="AB5" s="1108"/>
      <c r="AC5" s="1108"/>
      <c r="AD5" s="1108"/>
      <c r="AE5" s="1108"/>
      <c r="AF5" s="1108"/>
      <c r="AG5" s="1108"/>
      <c r="AH5" s="1108"/>
      <c r="AI5" s="1108"/>
      <c r="AJ5" s="1108" t="s">
        <v>184</v>
      </c>
      <c r="AK5" s="1108"/>
      <c r="AL5" s="1108"/>
      <c r="AM5" s="1108" t="s">
        <v>277</v>
      </c>
      <c r="AN5" s="1108"/>
      <c r="AO5" s="1108"/>
      <c r="AP5" s="1108" t="s">
        <v>194</v>
      </c>
      <c r="AQ5" s="1108"/>
      <c r="AR5" s="1108"/>
      <c r="AS5" s="1108" t="s">
        <v>278</v>
      </c>
      <c r="AT5" s="1108"/>
      <c r="AU5" s="1108"/>
      <c r="AV5" s="1108" t="s">
        <v>279</v>
      </c>
      <c r="AW5" s="1108"/>
      <c r="AX5" s="1108"/>
      <c r="AY5" s="1108"/>
      <c r="AZ5" s="1108"/>
      <c r="BA5" s="1108"/>
      <c r="BB5" s="1108"/>
      <c r="BC5" s="1108"/>
      <c r="BD5" s="1108"/>
      <c r="BE5" s="1108"/>
    </row>
    <row r="6" spans="1:70" s="399" customFormat="1" ht="27.75" customHeight="1" x14ac:dyDescent="0.25">
      <c r="A6" s="1108"/>
      <c r="B6" s="1108"/>
      <c r="C6" s="1108"/>
      <c r="D6" s="1108"/>
      <c r="E6" s="1108"/>
      <c r="F6" s="1113" t="s">
        <v>239</v>
      </c>
      <c r="G6" s="1114"/>
      <c r="H6" s="1114"/>
      <c r="I6" s="1114"/>
      <c r="J6" s="1114"/>
      <c r="K6" s="1114"/>
      <c r="L6" s="1115"/>
      <c r="M6" s="1113" t="s">
        <v>239</v>
      </c>
      <c r="N6" s="1114"/>
      <c r="O6" s="1114"/>
      <c r="P6" s="1114"/>
      <c r="Q6" s="1114"/>
      <c r="R6" s="1114"/>
      <c r="S6" s="1115"/>
      <c r="T6" s="1113" t="s">
        <v>239</v>
      </c>
      <c r="U6" s="1114"/>
      <c r="V6" s="1115"/>
      <c r="W6" s="1113" t="s">
        <v>1235</v>
      </c>
      <c r="X6" s="1114"/>
      <c r="Y6" s="1114"/>
      <c r="Z6" s="1114"/>
      <c r="AA6" s="1114"/>
      <c r="AB6" s="1114"/>
      <c r="AC6" s="1114"/>
      <c r="AD6" s="1114"/>
      <c r="AE6" s="1114"/>
      <c r="AF6" s="1114"/>
      <c r="AG6" s="1114"/>
      <c r="AH6" s="1114"/>
      <c r="AI6" s="1115"/>
      <c r="AJ6" s="1113" t="s">
        <v>285</v>
      </c>
      <c r="AK6" s="1114"/>
      <c r="AL6" s="1115"/>
      <c r="AM6" s="1113" t="s">
        <v>270</v>
      </c>
      <c r="AN6" s="1114"/>
      <c r="AO6" s="1115"/>
      <c r="AP6" s="1113" t="s">
        <v>1236</v>
      </c>
      <c r="AQ6" s="1114"/>
      <c r="AR6" s="1115"/>
      <c r="AS6" s="1113" t="s">
        <v>1236</v>
      </c>
      <c r="AT6" s="1114"/>
      <c r="AU6" s="1115"/>
      <c r="AV6" s="1110" t="s">
        <v>284</v>
      </c>
      <c r="AW6" s="1113" t="s">
        <v>285</v>
      </c>
      <c r="AX6" s="1114"/>
      <c r="AY6" s="1114"/>
      <c r="AZ6" s="1114"/>
      <c r="BA6" s="1114"/>
      <c r="BB6" s="1115"/>
      <c r="BC6" s="1113" t="s">
        <v>239</v>
      </c>
      <c r="BD6" s="1114"/>
      <c r="BE6" s="1115"/>
    </row>
    <row r="7" spans="1:70" s="399" customFormat="1" ht="27.75" customHeight="1" x14ac:dyDescent="0.25">
      <c r="A7" s="1108"/>
      <c r="B7" s="1108"/>
      <c r="C7" s="1108"/>
      <c r="D7" s="1108"/>
      <c r="E7" s="1108"/>
      <c r="F7" s="1110" t="s">
        <v>280</v>
      </c>
      <c r="G7" s="1113" t="s">
        <v>1237</v>
      </c>
      <c r="H7" s="1114"/>
      <c r="I7" s="1115"/>
      <c r="J7" s="1113" t="s">
        <v>1238</v>
      </c>
      <c r="K7" s="1114"/>
      <c r="L7" s="1115"/>
      <c r="M7" s="1110" t="s">
        <v>281</v>
      </c>
      <c r="N7" s="1108" t="s">
        <v>170</v>
      </c>
      <c r="O7" s="1108"/>
      <c r="P7" s="1108"/>
      <c r="Q7" s="1108" t="s">
        <v>201</v>
      </c>
      <c r="R7" s="1108"/>
      <c r="S7" s="1108"/>
      <c r="T7" s="1108" t="s">
        <v>286</v>
      </c>
      <c r="U7" s="1108" t="s">
        <v>170</v>
      </c>
      <c r="V7" s="1108"/>
      <c r="W7" s="1108" t="s">
        <v>282</v>
      </c>
      <c r="X7" s="1108" t="s">
        <v>170</v>
      </c>
      <c r="Y7" s="1108"/>
      <c r="Z7" s="1108"/>
      <c r="AA7" s="1108" t="s">
        <v>201</v>
      </c>
      <c r="AB7" s="1108"/>
      <c r="AC7" s="1108"/>
      <c r="AD7" s="1108" t="s">
        <v>174</v>
      </c>
      <c r="AE7" s="1108"/>
      <c r="AF7" s="1108"/>
      <c r="AG7" s="1108" t="s">
        <v>179</v>
      </c>
      <c r="AH7" s="1108"/>
      <c r="AI7" s="1108"/>
      <c r="AJ7" s="1108" t="s">
        <v>288</v>
      </c>
      <c r="AK7" s="1108" t="s">
        <v>240</v>
      </c>
      <c r="AL7" s="1108"/>
      <c r="AM7" s="1108" t="s">
        <v>289</v>
      </c>
      <c r="AN7" s="1108" t="s">
        <v>240</v>
      </c>
      <c r="AO7" s="1108"/>
      <c r="AP7" s="1108" t="s">
        <v>283</v>
      </c>
      <c r="AQ7" s="1108" t="s">
        <v>240</v>
      </c>
      <c r="AR7" s="1108"/>
      <c r="AS7" s="1108" t="s">
        <v>290</v>
      </c>
      <c r="AT7" s="1108" t="s">
        <v>201</v>
      </c>
      <c r="AU7" s="1108"/>
      <c r="AV7" s="1111"/>
      <c r="AW7" s="1108" t="s">
        <v>170</v>
      </c>
      <c r="AX7" s="1108"/>
      <c r="AY7" s="1108"/>
      <c r="AZ7" s="1108" t="s">
        <v>201</v>
      </c>
      <c r="BA7" s="1108"/>
      <c r="BB7" s="1108"/>
      <c r="BC7" s="1108" t="s">
        <v>174</v>
      </c>
      <c r="BD7" s="1108"/>
      <c r="BE7" s="1108"/>
    </row>
    <row r="8" spans="1:70" s="399" customFormat="1" ht="27.75" customHeight="1" x14ac:dyDescent="0.25">
      <c r="A8" s="1108"/>
      <c r="B8" s="1108"/>
      <c r="C8" s="1108" t="s">
        <v>33</v>
      </c>
      <c r="D8" s="1108" t="s">
        <v>240</v>
      </c>
      <c r="E8" s="1108"/>
      <c r="F8" s="1111"/>
      <c r="G8" s="1110" t="s">
        <v>33</v>
      </c>
      <c r="H8" s="1108" t="s">
        <v>240</v>
      </c>
      <c r="I8" s="1108"/>
      <c r="J8" s="1110" t="s">
        <v>33</v>
      </c>
      <c r="K8" s="1108" t="s">
        <v>240</v>
      </c>
      <c r="L8" s="1108"/>
      <c r="M8" s="1111"/>
      <c r="N8" s="1108" t="s">
        <v>33</v>
      </c>
      <c r="O8" s="1108" t="s">
        <v>240</v>
      </c>
      <c r="P8" s="1108"/>
      <c r="Q8" s="1108" t="s">
        <v>33</v>
      </c>
      <c r="R8" s="1108" t="s">
        <v>240</v>
      </c>
      <c r="S8" s="1108"/>
      <c r="T8" s="1108"/>
      <c r="U8" s="1108" t="s">
        <v>240</v>
      </c>
      <c r="V8" s="1108"/>
      <c r="W8" s="1108"/>
      <c r="X8" s="1108" t="s">
        <v>287</v>
      </c>
      <c r="Y8" s="1108" t="s">
        <v>240</v>
      </c>
      <c r="Z8" s="1108"/>
      <c r="AA8" s="1108" t="s">
        <v>287</v>
      </c>
      <c r="AB8" s="1108" t="s">
        <v>240</v>
      </c>
      <c r="AC8" s="1108"/>
      <c r="AD8" s="1108" t="s">
        <v>287</v>
      </c>
      <c r="AE8" s="1108" t="s">
        <v>240</v>
      </c>
      <c r="AF8" s="1108"/>
      <c r="AG8" s="1108" t="s">
        <v>287</v>
      </c>
      <c r="AH8" s="1108" t="s">
        <v>240</v>
      </c>
      <c r="AI8" s="1108"/>
      <c r="AJ8" s="1108"/>
      <c r="AK8" s="1108"/>
      <c r="AL8" s="1108"/>
      <c r="AM8" s="1108"/>
      <c r="AN8" s="1108"/>
      <c r="AO8" s="1108"/>
      <c r="AP8" s="1108"/>
      <c r="AQ8" s="1108"/>
      <c r="AR8" s="1108"/>
      <c r="AS8" s="1108"/>
      <c r="AT8" s="1108" t="s">
        <v>240</v>
      </c>
      <c r="AU8" s="1108"/>
      <c r="AV8" s="1111"/>
      <c r="AW8" s="1108" t="s">
        <v>33</v>
      </c>
      <c r="AX8" s="1108" t="s">
        <v>240</v>
      </c>
      <c r="AY8" s="1108"/>
      <c r="AZ8" s="1108" t="s">
        <v>33</v>
      </c>
      <c r="BA8" s="1108" t="s">
        <v>240</v>
      </c>
      <c r="BB8" s="1108"/>
      <c r="BC8" s="1108" t="s">
        <v>33</v>
      </c>
      <c r="BD8" s="1108" t="s">
        <v>240</v>
      </c>
      <c r="BE8" s="1108"/>
    </row>
    <row r="9" spans="1:70" ht="47.25" customHeight="1" x14ac:dyDescent="0.25">
      <c r="A9" s="1108"/>
      <c r="B9" s="1108"/>
      <c r="C9" s="1108"/>
      <c r="D9" s="425" t="s">
        <v>218</v>
      </c>
      <c r="E9" s="425" t="s">
        <v>291</v>
      </c>
      <c r="F9" s="1112"/>
      <c r="G9" s="1112"/>
      <c r="H9" s="425" t="s">
        <v>218</v>
      </c>
      <c r="I9" s="425" t="s">
        <v>291</v>
      </c>
      <c r="J9" s="1112"/>
      <c r="K9" s="425" t="s">
        <v>218</v>
      </c>
      <c r="L9" s="425" t="s">
        <v>291</v>
      </c>
      <c r="M9" s="1112"/>
      <c r="N9" s="1108"/>
      <c r="O9" s="425" t="s">
        <v>218</v>
      </c>
      <c r="P9" s="425" t="s">
        <v>291</v>
      </c>
      <c r="Q9" s="1108"/>
      <c r="R9" s="425" t="s">
        <v>218</v>
      </c>
      <c r="S9" s="425" t="s">
        <v>291</v>
      </c>
      <c r="T9" s="1108"/>
      <c r="U9" s="425" t="s">
        <v>218</v>
      </c>
      <c r="V9" s="425" t="s">
        <v>291</v>
      </c>
      <c r="W9" s="1108"/>
      <c r="X9" s="1108"/>
      <c r="Y9" s="425" t="s">
        <v>218</v>
      </c>
      <c r="Z9" s="425" t="s">
        <v>291</v>
      </c>
      <c r="AA9" s="1108"/>
      <c r="AB9" s="425" t="s">
        <v>218</v>
      </c>
      <c r="AC9" s="425" t="s">
        <v>291</v>
      </c>
      <c r="AD9" s="1108"/>
      <c r="AE9" s="425" t="s">
        <v>218</v>
      </c>
      <c r="AF9" s="425" t="s">
        <v>291</v>
      </c>
      <c r="AG9" s="1108"/>
      <c r="AH9" s="425" t="s">
        <v>218</v>
      </c>
      <c r="AI9" s="425" t="s">
        <v>291</v>
      </c>
      <c r="AJ9" s="1108"/>
      <c r="AK9" s="425" t="s">
        <v>218</v>
      </c>
      <c r="AL9" s="425" t="s">
        <v>291</v>
      </c>
      <c r="AM9" s="1108"/>
      <c r="AN9" s="425" t="s">
        <v>218</v>
      </c>
      <c r="AO9" s="425" t="s">
        <v>291</v>
      </c>
      <c r="AP9" s="1108"/>
      <c r="AQ9" s="425" t="s">
        <v>218</v>
      </c>
      <c r="AR9" s="425" t="s">
        <v>291</v>
      </c>
      <c r="AS9" s="1108"/>
      <c r="AT9" s="425" t="s">
        <v>218</v>
      </c>
      <c r="AU9" s="425" t="s">
        <v>291</v>
      </c>
      <c r="AV9" s="1112"/>
      <c r="AW9" s="1108"/>
      <c r="AX9" s="425" t="s">
        <v>218</v>
      </c>
      <c r="AY9" s="425" t="s">
        <v>291</v>
      </c>
      <c r="AZ9" s="1108"/>
      <c r="BA9" s="425" t="s">
        <v>218</v>
      </c>
      <c r="BB9" s="425" t="s">
        <v>291</v>
      </c>
      <c r="BC9" s="1108"/>
      <c r="BD9" s="425" t="s">
        <v>218</v>
      </c>
      <c r="BE9" s="425" t="s">
        <v>291</v>
      </c>
    </row>
    <row r="10" spans="1:70" s="2" customFormat="1" ht="20.25" customHeight="1" x14ac:dyDescent="0.25">
      <c r="A10" s="400"/>
      <c r="B10" s="400" t="s">
        <v>6</v>
      </c>
      <c r="C10" s="726">
        <v>373538</v>
      </c>
      <c r="D10" s="726">
        <v>355750</v>
      </c>
      <c r="E10" s="726">
        <v>17788</v>
      </c>
      <c r="F10" s="726">
        <v>5817</v>
      </c>
      <c r="G10" s="726">
        <v>1852</v>
      </c>
      <c r="H10" s="726">
        <v>1763</v>
      </c>
      <c r="I10" s="726">
        <v>89</v>
      </c>
      <c r="J10" s="726">
        <v>3965</v>
      </c>
      <c r="K10" s="726">
        <v>3778</v>
      </c>
      <c r="L10" s="726">
        <v>187</v>
      </c>
      <c r="M10" s="726">
        <v>203534</v>
      </c>
      <c r="N10" s="726">
        <v>105131</v>
      </c>
      <c r="O10" s="726">
        <v>105131</v>
      </c>
      <c r="P10" s="726">
        <v>0</v>
      </c>
      <c r="Q10" s="726">
        <v>98403</v>
      </c>
      <c r="R10" s="726">
        <v>88711</v>
      </c>
      <c r="S10" s="726">
        <v>9692</v>
      </c>
      <c r="T10" s="726">
        <v>19817</v>
      </c>
      <c r="U10" s="726">
        <v>18873</v>
      </c>
      <c r="V10" s="726">
        <v>944</v>
      </c>
      <c r="W10" s="726">
        <v>76035</v>
      </c>
      <c r="X10" s="726">
        <v>15572</v>
      </c>
      <c r="Y10" s="726">
        <v>14398</v>
      </c>
      <c r="Z10" s="726">
        <v>1174</v>
      </c>
      <c r="AA10" s="726">
        <v>12785</v>
      </c>
      <c r="AB10" s="726">
        <v>12785</v>
      </c>
      <c r="AC10" s="726">
        <v>0</v>
      </c>
      <c r="AD10" s="726">
        <v>32447</v>
      </c>
      <c r="AE10" s="726">
        <v>30000</v>
      </c>
      <c r="AF10" s="726">
        <v>2447</v>
      </c>
      <c r="AG10" s="726">
        <v>15231</v>
      </c>
      <c r="AH10" s="726">
        <v>15231</v>
      </c>
      <c r="AI10" s="726">
        <v>0</v>
      </c>
      <c r="AJ10" s="726">
        <v>11798</v>
      </c>
      <c r="AK10" s="726">
        <v>11235</v>
      </c>
      <c r="AL10" s="726">
        <v>563</v>
      </c>
      <c r="AM10" s="726">
        <v>10957</v>
      </c>
      <c r="AN10" s="726">
        <v>10435</v>
      </c>
      <c r="AO10" s="726">
        <v>522</v>
      </c>
      <c r="AP10" s="726">
        <v>28558</v>
      </c>
      <c r="AQ10" s="726">
        <v>27198</v>
      </c>
      <c r="AR10" s="726">
        <v>1360</v>
      </c>
      <c r="AS10" s="726">
        <v>4152</v>
      </c>
      <c r="AT10" s="726">
        <v>3955</v>
      </c>
      <c r="AU10" s="726">
        <v>197</v>
      </c>
      <c r="AV10" s="726">
        <v>12870</v>
      </c>
      <c r="AW10" s="726">
        <v>8968</v>
      </c>
      <c r="AX10" s="726">
        <v>8489</v>
      </c>
      <c r="AY10" s="726">
        <v>479</v>
      </c>
      <c r="AZ10" s="726">
        <v>1416</v>
      </c>
      <c r="BA10" s="726">
        <v>1416</v>
      </c>
      <c r="BB10" s="726">
        <v>0</v>
      </c>
      <c r="BC10" s="726">
        <v>2486</v>
      </c>
      <c r="BD10" s="726">
        <v>2352</v>
      </c>
      <c r="BE10" s="726">
        <v>134</v>
      </c>
      <c r="BF10" s="1109" t="s">
        <v>292</v>
      </c>
      <c r="BG10" s="1104"/>
      <c r="BH10" s="1104" t="s">
        <v>293</v>
      </c>
      <c r="BI10" s="1104"/>
      <c r="BJ10" s="1104" t="s">
        <v>294</v>
      </c>
      <c r="BK10" s="1104"/>
      <c r="BL10" s="1104" t="s">
        <v>295</v>
      </c>
      <c r="BM10" s="1104"/>
      <c r="BN10" s="1104" t="s">
        <v>296</v>
      </c>
      <c r="BO10" s="1104"/>
      <c r="BQ10" s="99" t="e">
        <f>#REF!+P10+V10+#REF!+#REF!+BE10</f>
        <v>#REF!</v>
      </c>
      <c r="BR10" s="99">
        <f t="shared" ref="BR10:BR45" si="0">I10+AR10</f>
        <v>1449</v>
      </c>
    </row>
    <row r="11" spans="1:70" s="2" customFormat="1" ht="20.25" customHeight="1" x14ac:dyDescent="0.25">
      <c r="A11" s="237" t="s">
        <v>46</v>
      </c>
      <c r="B11" s="401" t="s">
        <v>241</v>
      </c>
      <c r="C11" s="727">
        <v>55295</v>
      </c>
      <c r="D11" s="727">
        <v>52659</v>
      </c>
      <c r="E11" s="727">
        <v>2636</v>
      </c>
      <c r="F11" s="727">
        <v>0</v>
      </c>
      <c r="G11" s="727">
        <v>0</v>
      </c>
      <c r="H11" s="727">
        <v>0</v>
      </c>
      <c r="I11" s="727">
        <v>0</v>
      </c>
      <c r="J11" s="727">
        <v>0</v>
      </c>
      <c r="K11" s="727">
        <v>0</v>
      </c>
      <c r="L11" s="727">
        <v>0</v>
      </c>
      <c r="M11" s="727">
        <v>11402</v>
      </c>
      <c r="N11" s="727">
        <v>1025</v>
      </c>
      <c r="O11" s="727">
        <v>1025</v>
      </c>
      <c r="P11" s="727">
        <v>0</v>
      </c>
      <c r="Q11" s="727">
        <v>10377</v>
      </c>
      <c r="R11" s="727">
        <v>9355</v>
      </c>
      <c r="S11" s="727">
        <v>1022</v>
      </c>
      <c r="T11" s="727">
        <v>0</v>
      </c>
      <c r="U11" s="727">
        <v>0</v>
      </c>
      <c r="V11" s="727">
        <v>0</v>
      </c>
      <c r="W11" s="727">
        <v>13826</v>
      </c>
      <c r="X11" s="727">
        <v>1893</v>
      </c>
      <c r="Y11" s="727">
        <v>1751</v>
      </c>
      <c r="Z11" s="727">
        <v>142</v>
      </c>
      <c r="AA11" s="727">
        <v>10360</v>
      </c>
      <c r="AB11" s="727">
        <v>10360</v>
      </c>
      <c r="AC11" s="727">
        <v>0</v>
      </c>
      <c r="AD11" s="727">
        <v>811</v>
      </c>
      <c r="AE11" s="727">
        <v>750</v>
      </c>
      <c r="AF11" s="727">
        <v>61</v>
      </c>
      <c r="AG11" s="727">
        <v>762</v>
      </c>
      <c r="AH11" s="727">
        <v>762</v>
      </c>
      <c r="AI11" s="727">
        <v>0</v>
      </c>
      <c r="AJ11" s="727">
        <v>8324</v>
      </c>
      <c r="AK11" s="727">
        <v>7928</v>
      </c>
      <c r="AL11" s="727">
        <v>396</v>
      </c>
      <c r="AM11" s="727">
        <v>10957</v>
      </c>
      <c r="AN11" s="727">
        <v>10435</v>
      </c>
      <c r="AO11" s="727">
        <v>522</v>
      </c>
      <c r="AP11" s="727">
        <v>3426</v>
      </c>
      <c r="AQ11" s="727">
        <v>3264</v>
      </c>
      <c r="AR11" s="727">
        <v>162</v>
      </c>
      <c r="AS11" s="727">
        <v>831</v>
      </c>
      <c r="AT11" s="727">
        <v>791</v>
      </c>
      <c r="AU11" s="727">
        <v>40</v>
      </c>
      <c r="AV11" s="727">
        <v>6529</v>
      </c>
      <c r="AW11" s="727">
        <v>4484</v>
      </c>
      <c r="AX11" s="727">
        <v>4244</v>
      </c>
      <c r="AY11" s="727">
        <v>240</v>
      </c>
      <c r="AZ11" s="727">
        <v>949</v>
      </c>
      <c r="BA11" s="727">
        <v>949</v>
      </c>
      <c r="BB11" s="727">
        <v>0</v>
      </c>
      <c r="BC11" s="727">
        <v>1096</v>
      </c>
      <c r="BD11" s="727">
        <v>1045</v>
      </c>
      <c r="BE11" s="727">
        <v>51</v>
      </c>
      <c r="BF11" s="402" t="s">
        <v>297</v>
      </c>
      <c r="BG11" s="402" t="s">
        <v>298</v>
      </c>
      <c r="BH11" s="402" t="s">
        <v>297</v>
      </c>
      <c r="BI11" s="402" t="s">
        <v>298</v>
      </c>
      <c r="BJ11" s="402" t="s">
        <v>297</v>
      </c>
      <c r="BK11" s="402" t="s">
        <v>298</v>
      </c>
      <c r="BL11" s="402" t="s">
        <v>297</v>
      </c>
      <c r="BM11" s="402" t="s">
        <v>298</v>
      </c>
      <c r="BN11" s="402" t="s">
        <v>297</v>
      </c>
      <c r="BO11" s="402" t="s">
        <v>298</v>
      </c>
      <c r="BQ11" s="403" t="e">
        <f>#REF!+P11+V11+#REF!+#REF!+BE11</f>
        <v>#REF!</v>
      </c>
      <c r="BR11" s="403">
        <f t="shared" si="0"/>
        <v>162</v>
      </c>
    </row>
    <row r="12" spans="1:70" ht="20.25" customHeight="1" x14ac:dyDescent="0.25">
      <c r="A12" s="404">
        <v>1</v>
      </c>
      <c r="B12" s="405" t="s">
        <v>130</v>
      </c>
      <c r="C12" s="406">
        <v>4661</v>
      </c>
      <c r="D12" s="728">
        <v>4455</v>
      </c>
      <c r="E12" s="728">
        <v>206</v>
      </c>
      <c r="F12" s="728">
        <v>0</v>
      </c>
      <c r="G12" s="406">
        <v>0</v>
      </c>
      <c r="H12" s="406"/>
      <c r="I12" s="406"/>
      <c r="J12" s="406">
        <v>0</v>
      </c>
      <c r="K12" s="406"/>
      <c r="L12" s="406"/>
      <c r="M12" s="406">
        <v>0</v>
      </c>
      <c r="N12" s="406">
        <v>0</v>
      </c>
      <c r="O12" s="406"/>
      <c r="P12" s="406"/>
      <c r="Q12" s="406">
        <v>0</v>
      </c>
      <c r="R12" s="406"/>
      <c r="S12" s="406"/>
      <c r="T12" s="406">
        <v>0</v>
      </c>
      <c r="U12" s="406"/>
      <c r="V12" s="406"/>
      <c r="W12" s="406">
        <v>762</v>
      </c>
      <c r="X12" s="406">
        <v>0</v>
      </c>
      <c r="Y12" s="406"/>
      <c r="Z12" s="406"/>
      <c r="AA12" s="406">
        <v>0</v>
      </c>
      <c r="AB12" s="406"/>
      <c r="AC12" s="406"/>
      <c r="AD12" s="406">
        <v>0</v>
      </c>
      <c r="AE12" s="406"/>
      <c r="AF12" s="406"/>
      <c r="AG12" s="406">
        <v>762</v>
      </c>
      <c r="AH12" s="406">
        <v>762</v>
      </c>
      <c r="AI12" s="406"/>
      <c r="AJ12" s="406">
        <v>0</v>
      </c>
      <c r="AK12" s="406"/>
      <c r="AL12" s="406"/>
      <c r="AM12" s="406">
        <v>0</v>
      </c>
      <c r="AN12" s="406"/>
      <c r="AO12" s="406"/>
      <c r="AP12" s="406">
        <v>0</v>
      </c>
      <c r="AQ12" s="406"/>
      <c r="AR12" s="406"/>
      <c r="AS12" s="406">
        <v>499</v>
      </c>
      <c r="AT12" s="406">
        <v>475</v>
      </c>
      <c r="AU12" s="406">
        <v>24</v>
      </c>
      <c r="AV12" s="406">
        <v>3400</v>
      </c>
      <c r="AW12" s="406">
        <v>3139</v>
      </c>
      <c r="AX12" s="406">
        <v>2971</v>
      </c>
      <c r="AY12" s="406">
        <v>168</v>
      </c>
      <c r="AZ12" s="406">
        <v>0</v>
      </c>
      <c r="BA12" s="406"/>
      <c r="BB12" s="406"/>
      <c r="BC12" s="406">
        <v>261</v>
      </c>
      <c r="BD12" s="406">
        <v>247</v>
      </c>
      <c r="BE12" s="406">
        <v>14</v>
      </c>
      <c r="BF12" s="403" t="e">
        <f>Y12+#REF!+AE12+AH12</f>
        <v>#REF!</v>
      </c>
      <c r="BG12" s="403" t="e">
        <f>Z12+#REF!+AF12+AI12</f>
        <v>#REF!</v>
      </c>
      <c r="BH12" s="403">
        <f t="shared" ref="BH12:BI33" si="1">R12+AN12</f>
        <v>0</v>
      </c>
      <c r="BI12" s="403">
        <f t="shared" si="1"/>
        <v>0</v>
      </c>
      <c r="BJ12" s="407" t="e">
        <f>AK12+AX12+#REF!</f>
        <v>#REF!</v>
      </c>
      <c r="BK12" s="407" t="e">
        <f>AL12+AY12+#REF!</f>
        <v>#REF!</v>
      </c>
      <c r="BL12" s="407" t="e">
        <f>#REF!+O12+#REF!+BD12+U12+#REF!</f>
        <v>#REF!</v>
      </c>
      <c r="BM12" s="407" t="e">
        <f>#REF!+P12+#REF!+BE12+V12+#REF!</f>
        <v>#REF!</v>
      </c>
      <c r="BN12" s="407">
        <f t="shared" ref="BN12:BO33" si="2">H12+AQ12</f>
        <v>0</v>
      </c>
      <c r="BO12" s="407">
        <f t="shared" si="2"/>
        <v>0</v>
      </c>
      <c r="BQ12" s="403" t="e">
        <f>#REF!+P12+V12+#REF!+#REF!+BE12</f>
        <v>#REF!</v>
      </c>
      <c r="BR12" s="403">
        <f t="shared" si="0"/>
        <v>0</v>
      </c>
    </row>
    <row r="13" spans="1:70" ht="20.25" customHeight="1" x14ac:dyDescent="0.25">
      <c r="A13" s="404">
        <v>2</v>
      </c>
      <c r="B13" s="405" t="s">
        <v>219</v>
      </c>
      <c r="C13" s="406">
        <v>733</v>
      </c>
      <c r="D13" s="728">
        <v>732</v>
      </c>
      <c r="E13" s="728">
        <v>1</v>
      </c>
      <c r="F13" s="728">
        <v>0</v>
      </c>
      <c r="G13" s="406">
        <v>0</v>
      </c>
      <c r="H13" s="406"/>
      <c r="I13" s="406"/>
      <c r="J13" s="406">
        <v>0</v>
      </c>
      <c r="K13" s="406"/>
      <c r="L13" s="406"/>
      <c r="M13" s="406">
        <v>0</v>
      </c>
      <c r="N13" s="406">
        <v>0</v>
      </c>
      <c r="O13" s="406"/>
      <c r="P13" s="406"/>
      <c r="Q13" s="406">
        <v>0</v>
      </c>
      <c r="R13" s="406"/>
      <c r="S13" s="406"/>
      <c r="T13" s="406">
        <v>0</v>
      </c>
      <c r="U13" s="406"/>
      <c r="V13" s="406"/>
      <c r="W13" s="406">
        <v>0</v>
      </c>
      <c r="X13" s="406">
        <v>0</v>
      </c>
      <c r="Y13" s="406"/>
      <c r="Z13" s="406"/>
      <c r="AA13" s="406">
        <v>0</v>
      </c>
      <c r="AB13" s="406"/>
      <c r="AC13" s="406"/>
      <c r="AD13" s="406">
        <v>0</v>
      </c>
      <c r="AE13" s="406"/>
      <c r="AF13" s="406"/>
      <c r="AG13" s="406">
        <v>0</v>
      </c>
      <c r="AH13" s="406"/>
      <c r="AI13" s="406"/>
      <c r="AJ13" s="406">
        <v>0</v>
      </c>
      <c r="AK13" s="406"/>
      <c r="AL13" s="406"/>
      <c r="AM13" s="406">
        <v>0</v>
      </c>
      <c r="AN13" s="406"/>
      <c r="AO13" s="406"/>
      <c r="AP13" s="406">
        <v>0</v>
      </c>
      <c r="AQ13" s="406"/>
      <c r="AR13" s="406"/>
      <c r="AS13" s="406">
        <v>0</v>
      </c>
      <c r="AT13" s="406"/>
      <c r="AU13" s="406"/>
      <c r="AV13" s="406">
        <v>733</v>
      </c>
      <c r="AW13" s="406">
        <v>0</v>
      </c>
      <c r="AX13" s="406"/>
      <c r="AY13" s="406"/>
      <c r="AZ13" s="406">
        <v>708</v>
      </c>
      <c r="BA13" s="406">
        <v>708</v>
      </c>
      <c r="BB13" s="406"/>
      <c r="BC13" s="406">
        <v>25</v>
      </c>
      <c r="BD13" s="406">
        <v>24</v>
      </c>
      <c r="BE13" s="406">
        <v>1</v>
      </c>
      <c r="BF13" s="403" t="e">
        <f>Y13+#REF!+AE13+AH13</f>
        <v>#REF!</v>
      </c>
      <c r="BG13" s="403" t="e">
        <f>Z13+#REF!+AF13+AI13</f>
        <v>#REF!</v>
      </c>
      <c r="BH13" s="403">
        <f t="shared" si="1"/>
        <v>0</v>
      </c>
      <c r="BI13" s="403">
        <f t="shared" si="1"/>
        <v>0</v>
      </c>
      <c r="BJ13" s="407" t="e">
        <f>AK13+AX13+#REF!</f>
        <v>#REF!</v>
      </c>
      <c r="BK13" s="407" t="e">
        <f>AL13+AY13+#REF!</f>
        <v>#REF!</v>
      </c>
      <c r="BL13" s="407" t="e">
        <f>#REF!+O13+#REF!+BD13+U13+#REF!</f>
        <v>#REF!</v>
      </c>
      <c r="BM13" s="407" t="e">
        <f>#REF!+P13+#REF!+BE13+V13+#REF!</f>
        <v>#REF!</v>
      </c>
      <c r="BN13" s="407">
        <f t="shared" si="2"/>
        <v>0</v>
      </c>
      <c r="BO13" s="407">
        <f t="shared" si="2"/>
        <v>0</v>
      </c>
      <c r="BQ13" s="403" t="e">
        <f>#REF!+P13+V13+#REF!+#REF!+BE13</f>
        <v>#REF!</v>
      </c>
      <c r="BR13" s="403">
        <f t="shared" si="0"/>
        <v>0</v>
      </c>
    </row>
    <row r="14" spans="1:70" ht="20.25" customHeight="1" x14ac:dyDescent="0.25">
      <c r="A14" s="404">
        <v>3</v>
      </c>
      <c r="B14" s="405" t="s">
        <v>220</v>
      </c>
      <c r="C14" s="406">
        <v>10439</v>
      </c>
      <c r="D14" s="728">
        <v>9414</v>
      </c>
      <c r="E14" s="728">
        <v>1025</v>
      </c>
      <c r="F14" s="728">
        <v>0</v>
      </c>
      <c r="G14" s="406">
        <v>0</v>
      </c>
      <c r="H14" s="406"/>
      <c r="I14" s="406"/>
      <c r="J14" s="406">
        <v>0</v>
      </c>
      <c r="K14" s="406"/>
      <c r="L14" s="406"/>
      <c r="M14" s="406">
        <v>10377</v>
      </c>
      <c r="N14" s="406">
        <v>0</v>
      </c>
      <c r="O14" s="406"/>
      <c r="P14" s="406"/>
      <c r="Q14" s="406">
        <v>10377</v>
      </c>
      <c r="R14" s="406">
        <v>9355</v>
      </c>
      <c r="S14" s="406">
        <v>1022</v>
      </c>
      <c r="T14" s="406">
        <v>0</v>
      </c>
      <c r="U14" s="406"/>
      <c r="V14" s="406"/>
      <c r="W14" s="406">
        <v>0</v>
      </c>
      <c r="X14" s="406">
        <v>0</v>
      </c>
      <c r="Y14" s="406"/>
      <c r="Z14" s="406"/>
      <c r="AA14" s="406">
        <v>0</v>
      </c>
      <c r="AB14" s="406"/>
      <c r="AC14" s="406"/>
      <c r="AD14" s="406">
        <v>0</v>
      </c>
      <c r="AE14" s="406"/>
      <c r="AF14" s="406"/>
      <c r="AG14" s="406">
        <v>0</v>
      </c>
      <c r="AH14" s="406"/>
      <c r="AI14" s="406"/>
      <c r="AJ14" s="406">
        <v>0</v>
      </c>
      <c r="AK14" s="406"/>
      <c r="AL14" s="406"/>
      <c r="AM14" s="406">
        <v>0</v>
      </c>
      <c r="AN14" s="406"/>
      <c r="AO14" s="406"/>
      <c r="AP14" s="406">
        <v>0</v>
      </c>
      <c r="AQ14" s="406"/>
      <c r="AR14" s="406"/>
      <c r="AS14" s="406">
        <v>0</v>
      </c>
      <c r="AT14" s="406"/>
      <c r="AU14" s="406"/>
      <c r="AV14" s="406">
        <v>62</v>
      </c>
      <c r="AW14" s="406">
        <v>0</v>
      </c>
      <c r="AX14" s="406"/>
      <c r="AY14" s="406"/>
      <c r="AZ14" s="406">
        <v>0</v>
      </c>
      <c r="BA14" s="406"/>
      <c r="BB14" s="406"/>
      <c r="BC14" s="406">
        <v>62</v>
      </c>
      <c r="BD14" s="406">
        <v>59</v>
      </c>
      <c r="BE14" s="406">
        <v>3</v>
      </c>
      <c r="BF14" s="403" t="e">
        <f>Y14+#REF!+AE14+AH14</f>
        <v>#REF!</v>
      </c>
      <c r="BG14" s="403" t="e">
        <f>Z14+#REF!+AF14+AI14</f>
        <v>#REF!</v>
      </c>
      <c r="BH14" s="403">
        <f t="shared" si="1"/>
        <v>9355</v>
      </c>
      <c r="BI14" s="403">
        <f t="shared" si="1"/>
        <v>1022</v>
      </c>
      <c r="BJ14" s="407" t="e">
        <f>AK14+AX14+#REF!</f>
        <v>#REF!</v>
      </c>
      <c r="BK14" s="407" t="e">
        <f>AL14+AY14+#REF!</f>
        <v>#REF!</v>
      </c>
      <c r="BL14" s="407" t="e">
        <f>#REF!+O14+#REF!+BD14+U14+#REF!</f>
        <v>#REF!</v>
      </c>
      <c r="BM14" s="407" t="e">
        <f>#REF!+P14+#REF!+BE14+V14+#REF!</f>
        <v>#REF!</v>
      </c>
      <c r="BN14" s="407">
        <f t="shared" si="2"/>
        <v>0</v>
      </c>
      <c r="BO14" s="407">
        <f t="shared" si="2"/>
        <v>0</v>
      </c>
      <c r="BQ14" s="403" t="e">
        <f>#REF!+P14+V14+#REF!+#REF!+BE14</f>
        <v>#REF!</v>
      </c>
      <c r="BR14" s="403">
        <f t="shared" si="0"/>
        <v>0</v>
      </c>
    </row>
    <row r="15" spans="1:70" ht="20.25" customHeight="1" x14ac:dyDescent="0.25">
      <c r="A15" s="404">
        <v>4</v>
      </c>
      <c r="B15" s="405" t="s">
        <v>221</v>
      </c>
      <c r="C15" s="406">
        <v>11816</v>
      </c>
      <c r="D15" s="728">
        <v>11673</v>
      </c>
      <c r="E15" s="728">
        <v>143</v>
      </c>
      <c r="F15" s="728">
        <v>0</v>
      </c>
      <c r="G15" s="406">
        <v>0</v>
      </c>
      <c r="H15" s="406"/>
      <c r="I15" s="406"/>
      <c r="J15" s="406">
        <v>0</v>
      </c>
      <c r="K15" s="406"/>
      <c r="L15" s="406"/>
      <c r="M15" s="406">
        <v>0</v>
      </c>
      <c r="N15" s="406">
        <v>0</v>
      </c>
      <c r="O15" s="406"/>
      <c r="P15" s="406"/>
      <c r="Q15" s="406">
        <v>0</v>
      </c>
      <c r="R15" s="406"/>
      <c r="S15" s="406"/>
      <c r="T15" s="406">
        <v>0</v>
      </c>
      <c r="U15" s="406"/>
      <c r="V15" s="406"/>
      <c r="W15" s="406">
        <v>11791</v>
      </c>
      <c r="X15" s="406">
        <v>1893</v>
      </c>
      <c r="Y15" s="406">
        <v>1751</v>
      </c>
      <c r="Z15" s="406">
        <v>142</v>
      </c>
      <c r="AA15" s="406">
        <v>9898</v>
      </c>
      <c r="AB15" s="406">
        <v>9898</v>
      </c>
      <c r="AC15" s="406"/>
      <c r="AD15" s="406">
        <v>0</v>
      </c>
      <c r="AE15" s="406"/>
      <c r="AF15" s="406"/>
      <c r="AG15" s="406">
        <v>0</v>
      </c>
      <c r="AH15" s="406"/>
      <c r="AI15" s="406"/>
      <c r="AJ15" s="406">
        <v>0</v>
      </c>
      <c r="AK15" s="406"/>
      <c r="AL15" s="406"/>
      <c r="AM15" s="406">
        <v>0</v>
      </c>
      <c r="AN15" s="406"/>
      <c r="AO15" s="406"/>
      <c r="AP15" s="406">
        <v>0</v>
      </c>
      <c r="AQ15" s="406"/>
      <c r="AR15" s="406"/>
      <c r="AS15" s="406">
        <v>0</v>
      </c>
      <c r="AT15" s="406"/>
      <c r="AU15" s="406"/>
      <c r="AV15" s="406">
        <v>25</v>
      </c>
      <c r="AW15" s="406">
        <v>0</v>
      </c>
      <c r="AX15" s="406"/>
      <c r="AY15" s="406"/>
      <c r="AZ15" s="406">
        <v>0</v>
      </c>
      <c r="BA15" s="406"/>
      <c r="BB15" s="406"/>
      <c r="BC15" s="406">
        <v>25</v>
      </c>
      <c r="BD15" s="406">
        <v>24</v>
      </c>
      <c r="BE15" s="406">
        <v>1</v>
      </c>
      <c r="BF15" s="403" t="e">
        <f>Y15+#REF!+AE15+AH15</f>
        <v>#REF!</v>
      </c>
      <c r="BG15" s="403" t="e">
        <f>Z15+#REF!+AF15+AI15</f>
        <v>#REF!</v>
      </c>
      <c r="BH15" s="403">
        <f t="shared" si="1"/>
        <v>0</v>
      </c>
      <c r="BI15" s="403">
        <f t="shared" si="1"/>
        <v>0</v>
      </c>
      <c r="BJ15" s="407" t="e">
        <f>AK15+AX15+#REF!</f>
        <v>#REF!</v>
      </c>
      <c r="BK15" s="407" t="e">
        <f>AL15+AY15+#REF!</f>
        <v>#REF!</v>
      </c>
      <c r="BL15" s="407" t="e">
        <f>#REF!+O15+#REF!+BD15+U15+#REF!</f>
        <v>#REF!</v>
      </c>
      <c r="BM15" s="407" t="e">
        <f>#REF!+P15+#REF!+BE15+V15+#REF!</f>
        <v>#REF!</v>
      </c>
      <c r="BN15" s="407">
        <f t="shared" si="2"/>
        <v>0</v>
      </c>
      <c r="BO15" s="407">
        <f t="shared" si="2"/>
        <v>0</v>
      </c>
      <c r="BQ15" s="403" t="e">
        <f>#REF!+P15+V15+#REF!+#REF!+BE15</f>
        <v>#REF!</v>
      </c>
      <c r="BR15" s="403">
        <f t="shared" si="0"/>
        <v>0</v>
      </c>
    </row>
    <row r="16" spans="1:70" ht="20.25" customHeight="1" x14ac:dyDescent="0.25">
      <c r="A16" s="404">
        <v>5</v>
      </c>
      <c r="B16" s="405" t="s">
        <v>222</v>
      </c>
      <c r="C16" s="406">
        <v>25</v>
      </c>
      <c r="D16" s="728">
        <v>24</v>
      </c>
      <c r="E16" s="728">
        <v>1</v>
      </c>
      <c r="F16" s="728">
        <v>0</v>
      </c>
      <c r="G16" s="406">
        <v>0</v>
      </c>
      <c r="H16" s="406"/>
      <c r="I16" s="406"/>
      <c r="J16" s="406">
        <v>0</v>
      </c>
      <c r="K16" s="406"/>
      <c r="L16" s="406"/>
      <c r="M16" s="406">
        <v>0</v>
      </c>
      <c r="N16" s="406">
        <v>0</v>
      </c>
      <c r="O16" s="406"/>
      <c r="P16" s="406"/>
      <c r="Q16" s="406">
        <v>0</v>
      </c>
      <c r="R16" s="406"/>
      <c r="S16" s="406"/>
      <c r="T16" s="406">
        <v>0</v>
      </c>
      <c r="U16" s="406"/>
      <c r="V16" s="406"/>
      <c r="W16" s="406">
        <v>0</v>
      </c>
      <c r="X16" s="406">
        <v>0</v>
      </c>
      <c r="Y16" s="406"/>
      <c r="Z16" s="406"/>
      <c r="AA16" s="406">
        <v>0</v>
      </c>
      <c r="AB16" s="406"/>
      <c r="AC16" s="406"/>
      <c r="AD16" s="406">
        <v>0</v>
      </c>
      <c r="AE16" s="406"/>
      <c r="AF16" s="406"/>
      <c r="AG16" s="406">
        <v>0</v>
      </c>
      <c r="AH16" s="406"/>
      <c r="AI16" s="406"/>
      <c r="AJ16" s="406">
        <v>0</v>
      </c>
      <c r="AK16" s="406"/>
      <c r="AL16" s="406"/>
      <c r="AM16" s="406">
        <v>0</v>
      </c>
      <c r="AN16" s="406"/>
      <c r="AO16" s="406"/>
      <c r="AP16" s="406">
        <v>0</v>
      </c>
      <c r="AQ16" s="406"/>
      <c r="AR16" s="406"/>
      <c r="AS16" s="406">
        <v>0</v>
      </c>
      <c r="AT16" s="406"/>
      <c r="AU16" s="406"/>
      <c r="AV16" s="406">
        <v>25</v>
      </c>
      <c r="AW16" s="406">
        <v>0</v>
      </c>
      <c r="AX16" s="406"/>
      <c r="AY16" s="406"/>
      <c r="AZ16" s="406">
        <v>0</v>
      </c>
      <c r="BA16" s="406"/>
      <c r="BB16" s="406"/>
      <c r="BC16" s="406">
        <v>25</v>
      </c>
      <c r="BD16" s="406">
        <v>24</v>
      </c>
      <c r="BE16" s="406">
        <v>1</v>
      </c>
      <c r="BF16" s="403" t="e">
        <f>Y16+#REF!+AE16+AH16</f>
        <v>#REF!</v>
      </c>
      <c r="BG16" s="403" t="e">
        <f>Z16+#REF!+AF16+AI16</f>
        <v>#REF!</v>
      </c>
      <c r="BH16" s="403">
        <f t="shared" si="1"/>
        <v>0</v>
      </c>
      <c r="BI16" s="403">
        <f t="shared" si="1"/>
        <v>0</v>
      </c>
      <c r="BJ16" s="407" t="e">
        <f>AK16+AX16+#REF!</f>
        <v>#REF!</v>
      </c>
      <c r="BK16" s="407" t="e">
        <f>AL16+AY16+#REF!</f>
        <v>#REF!</v>
      </c>
      <c r="BL16" s="407" t="e">
        <f>#REF!+O16+#REF!+BD16+U16+#REF!</f>
        <v>#REF!</v>
      </c>
      <c r="BM16" s="407" t="e">
        <f>#REF!+P16+#REF!+BE16+V16+#REF!</f>
        <v>#REF!</v>
      </c>
      <c r="BN16" s="407">
        <f t="shared" si="2"/>
        <v>0</v>
      </c>
      <c r="BO16" s="407">
        <f t="shared" si="2"/>
        <v>0</v>
      </c>
      <c r="BQ16" s="403" t="e">
        <f>#REF!+P16+V16+#REF!+#REF!+BE16</f>
        <v>#REF!</v>
      </c>
      <c r="BR16" s="403">
        <f t="shared" si="0"/>
        <v>0</v>
      </c>
    </row>
    <row r="17" spans="1:70" ht="20.25" customHeight="1" x14ac:dyDescent="0.25">
      <c r="A17" s="404">
        <v>6</v>
      </c>
      <c r="B17" s="405" t="s">
        <v>92</v>
      </c>
      <c r="C17" s="406">
        <v>836</v>
      </c>
      <c r="D17" s="728">
        <v>774</v>
      </c>
      <c r="E17" s="728">
        <v>62</v>
      </c>
      <c r="F17" s="728">
        <v>0</v>
      </c>
      <c r="G17" s="406">
        <v>0</v>
      </c>
      <c r="H17" s="406"/>
      <c r="I17" s="406"/>
      <c r="J17" s="406">
        <v>0</v>
      </c>
      <c r="K17" s="406"/>
      <c r="L17" s="406"/>
      <c r="M17" s="406">
        <v>0</v>
      </c>
      <c r="N17" s="406">
        <v>0</v>
      </c>
      <c r="O17" s="406"/>
      <c r="P17" s="406"/>
      <c r="Q17" s="406">
        <v>0</v>
      </c>
      <c r="R17" s="406"/>
      <c r="S17" s="406"/>
      <c r="T17" s="406">
        <v>0</v>
      </c>
      <c r="U17" s="406"/>
      <c r="V17" s="406"/>
      <c r="W17" s="406">
        <v>811</v>
      </c>
      <c r="X17" s="406">
        <v>0</v>
      </c>
      <c r="Y17" s="406"/>
      <c r="Z17" s="406"/>
      <c r="AA17" s="406">
        <v>0</v>
      </c>
      <c r="AB17" s="406"/>
      <c r="AC17" s="406"/>
      <c r="AD17" s="406">
        <v>811</v>
      </c>
      <c r="AE17" s="406">
        <v>750</v>
      </c>
      <c r="AF17" s="406">
        <v>61</v>
      </c>
      <c r="AG17" s="406">
        <v>0</v>
      </c>
      <c r="AH17" s="406"/>
      <c r="AI17" s="406"/>
      <c r="AJ17" s="406">
        <v>0</v>
      </c>
      <c r="AK17" s="406"/>
      <c r="AL17" s="406"/>
      <c r="AM17" s="406">
        <v>0</v>
      </c>
      <c r="AN17" s="406"/>
      <c r="AO17" s="406"/>
      <c r="AP17" s="406">
        <v>0</v>
      </c>
      <c r="AQ17" s="406"/>
      <c r="AR17" s="406"/>
      <c r="AS17" s="406">
        <v>0</v>
      </c>
      <c r="AT17" s="406"/>
      <c r="AU17" s="406"/>
      <c r="AV17" s="406">
        <v>25</v>
      </c>
      <c r="AW17" s="406">
        <v>0</v>
      </c>
      <c r="AX17" s="406"/>
      <c r="AY17" s="406"/>
      <c r="AZ17" s="406">
        <v>0</v>
      </c>
      <c r="BA17" s="406"/>
      <c r="BB17" s="406"/>
      <c r="BC17" s="406">
        <v>25</v>
      </c>
      <c r="BD17" s="406">
        <v>24</v>
      </c>
      <c r="BE17" s="406">
        <v>1</v>
      </c>
      <c r="BF17" s="403" t="e">
        <f>Y17+#REF!+AE17+AH17</f>
        <v>#REF!</v>
      </c>
      <c r="BG17" s="403" t="e">
        <f>Z17+#REF!+AF17+AI17</f>
        <v>#REF!</v>
      </c>
      <c r="BH17" s="403">
        <f t="shared" si="1"/>
        <v>0</v>
      </c>
      <c r="BI17" s="403">
        <f t="shared" si="1"/>
        <v>0</v>
      </c>
      <c r="BJ17" s="407" t="e">
        <f>AK17+AX17+#REF!</f>
        <v>#REF!</v>
      </c>
      <c r="BK17" s="407" t="e">
        <f>AL17+AY17+#REF!</f>
        <v>#REF!</v>
      </c>
      <c r="BL17" s="407" t="e">
        <f>#REF!+O17+#REF!+BD17+U17+#REF!</f>
        <v>#REF!</v>
      </c>
      <c r="BM17" s="407" t="e">
        <f>#REF!+P17+#REF!+BE17+V17+#REF!</f>
        <v>#REF!</v>
      </c>
      <c r="BN17" s="407">
        <f t="shared" si="2"/>
        <v>0</v>
      </c>
      <c r="BO17" s="407">
        <f t="shared" si="2"/>
        <v>0</v>
      </c>
      <c r="BQ17" s="403" t="e">
        <f>#REF!+P17+V17+#REF!+#REF!+BE17</f>
        <v>#REF!</v>
      </c>
      <c r="BR17" s="403">
        <f t="shared" si="0"/>
        <v>0</v>
      </c>
    </row>
    <row r="18" spans="1:70" ht="20.25" customHeight="1" x14ac:dyDescent="0.25">
      <c r="A18" s="404">
        <v>7</v>
      </c>
      <c r="B18" s="405" t="s">
        <v>182</v>
      </c>
      <c r="C18" s="406">
        <v>8349</v>
      </c>
      <c r="D18" s="728">
        <v>7952</v>
      </c>
      <c r="E18" s="728">
        <v>397</v>
      </c>
      <c r="F18" s="728">
        <v>0</v>
      </c>
      <c r="G18" s="406">
        <v>0</v>
      </c>
      <c r="H18" s="406"/>
      <c r="I18" s="406"/>
      <c r="J18" s="406">
        <v>0</v>
      </c>
      <c r="K18" s="406"/>
      <c r="L18" s="406"/>
      <c r="M18" s="406">
        <v>0</v>
      </c>
      <c r="N18" s="406">
        <v>0</v>
      </c>
      <c r="O18" s="406"/>
      <c r="P18" s="406"/>
      <c r="Q18" s="406">
        <v>0</v>
      </c>
      <c r="R18" s="406"/>
      <c r="S18" s="406"/>
      <c r="T18" s="406">
        <v>0</v>
      </c>
      <c r="U18" s="406"/>
      <c r="V18" s="406"/>
      <c r="W18" s="406">
        <v>0</v>
      </c>
      <c r="X18" s="406">
        <v>0</v>
      </c>
      <c r="Y18" s="406"/>
      <c r="Z18" s="406"/>
      <c r="AA18" s="406">
        <v>0</v>
      </c>
      <c r="AB18" s="406"/>
      <c r="AC18" s="406"/>
      <c r="AD18" s="406">
        <v>0</v>
      </c>
      <c r="AE18" s="406"/>
      <c r="AF18" s="406"/>
      <c r="AG18" s="406">
        <v>0</v>
      </c>
      <c r="AH18" s="406"/>
      <c r="AI18" s="406"/>
      <c r="AJ18" s="406">
        <v>8324</v>
      </c>
      <c r="AK18" s="406">
        <v>7928</v>
      </c>
      <c r="AL18" s="406">
        <v>396</v>
      </c>
      <c r="AM18" s="406">
        <v>0</v>
      </c>
      <c r="AN18" s="406"/>
      <c r="AO18" s="406"/>
      <c r="AP18" s="406">
        <v>0</v>
      </c>
      <c r="AQ18" s="406"/>
      <c r="AR18" s="406"/>
      <c r="AS18" s="406">
        <v>0</v>
      </c>
      <c r="AT18" s="406"/>
      <c r="AU18" s="406"/>
      <c r="AV18" s="406">
        <v>25</v>
      </c>
      <c r="AW18" s="406">
        <v>0</v>
      </c>
      <c r="AX18" s="406"/>
      <c r="AY18" s="406"/>
      <c r="AZ18" s="406">
        <v>0</v>
      </c>
      <c r="BA18" s="406"/>
      <c r="BB18" s="406"/>
      <c r="BC18" s="406">
        <v>25</v>
      </c>
      <c r="BD18" s="406">
        <v>24</v>
      </c>
      <c r="BE18" s="406">
        <v>1</v>
      </c>
      <c r="BF18" s="403" t="e">
        <f>Y18+#REF!+AE18+AH18</f>
        <v>#REF!</v>
      </c>
      <c r="BG18" s="403" t="e">
        <f>Z18+#REF!+AF18+AI18</f>
        <v>#REF!</v>
      </c>
      <c r="BH18" s="403">
        <f t="shared" si="1"/>
        <v>0</v>
      </c>
      <c r="BI18" s="403">
        <f t="shared" si="1"/>
        <v>0</v>
      </c>
      <c r="BJ18" s="407" t="e">
        <f>AK18+AX18+#REF!</f>
        <v>#REF!</v>
      </c>
      <c r="BK18" s="407" t="e">
        <f>AL18+AY18+#REF!</f>
        <v>#REF!</v>
      </c>
      <c r="BL18" s="407" t="e">
        <f>#REF!+O18+#REF!+BD18+U18+#REF!</f>
        <v>#REF!</v>
      </c>
      <c r="BM18" s="407" t="e">
        <f>#REF!+P18+#REF!+BE18+V18+#REF!</f>
        <v>#REF!</v>
      </c>
      <c r="BN18" s="407">
        <f t="shared" si="2"/>
        <v>0</v>
      </c>
      <c r="BO18" s="407">
        <f t="shared" si="2"/>
        <v>0</v>
      </c>
      <c r="BQ18" s="403" t="e">
        <f>#REF!+P18+V18+#REF!+#REF!+BE18</f>
        <v>#REF!</v>
      </c>
      <c r="BR18" s="403">
        <f t="shared" si="0"/>
        <v>0</v>
      </c>
    </row>
    <row r="19" spans="1:70" ht="20.25" customHeight="1" x14ac:dyDescent="0.25">
      <c r="A19" s="404">
        <v>8</v>
      </c>
      <c r="B19" s="405" t="s">
        <v>117</v>
      </c>
      <c r="C19" s="406">
        <v>11314</v>
      </c>
      <c r="D19" s="728">
        <v>10775</v>
      </c>
      <c r="E19" s="728">
        <v>539</v>
      </c>
      <c r="F19" s="728">
        <v>0</v>
      </c>
      <c r="G19" s="406">
        <v>0</v>
      </c>
      <c r="H19" s="406"/>
      <c r="I19" s="406"/>
      <c r="J19" s="406">
        <v>0</v>
      </c>
      <c r="K19" s="406"/>
      <c r="L19" s="406"/>
      <c r="M19" s="406">
        <v>0</v>
      </c>
      <c r="N19" s="406">
        <v>0</v>
      </c>
      <c r="O19" s="406"/>
      <c r="P19" s="406"/>
      <c r="Q19" s="406">
        <v>0</v>
      </c>
      <c r="R19" s="406"/>
      <c r="S19" s="406"/>
      <c r="T19" s="406">
        <v>0</v>
      </c>
      <c r="U19" s="406"/>
      <c r="V19" s="406"/>
      <c r="W19" s="406">
        <v>0</v>
      </c>
      <c r="X19" s="406">
        <v>0</v>
      </c>
      <c r="Y19" s="406"/>
      <c r="Z19" s="406"/>
      <c r="AA19" s="406">
        <v>0</v>
      </c>
      <c r="AB19" s="406"/>
      <c r="AC19" s="406"/>
      <c r="AD19" s="406">
        <v>0</v>
      </c>
      <c r="AE19" s="406"/>
      <c r="AF19" s="406"/>
      <c r="AG19" s="406">
        <v>0</v>
      </c>
      <c r="AH19" s="406"/>
      <c r="AI19" s="406"/>
      <c r="AJ19" s="406">
        <v>0</v>
      </c>
      <c r="AK19" s="406"/>
      <c r="AL19" s="406"/>
      <c r="AM19" s="406">
        <v>10957</v>
      </c>
      <c r="AN19" s="406">
        <v>10435</v>
      </c>
      <c r="AO19" s="406">
        <v>522</v>
      </c>
      <c r="AP19" s="406">
        <v>0</v>
      </c>
      <c r="AQ19" s="406"/>
      <c r="AR19" s="406"/>
      <c r="AS19" s="406">
        <v>332</v>
      </c>
      <c r="AT19" s="406">
        <v>316</v>
      </c>
      <c r="AU19" s="406">
        <v>16</v>
      </c>
      <c r="AV19" s="406">
        <v>25</v>
      </c>
      <c r="AW19" s="406">
        <v>0</v>
      </c>
      <c r="AX19" s="406"/>
      <c r="AY19" s="406"/>
      <c r="AZ19" s="406">
        <v>0</v>
      </c>
      <c r="BA19" s="406"/>
      <c r="BB19" s="406"/>
      <c r="BC19" s="406">
        <v>25</v>
      </c>
      <c r="BD19" s="406">
        <v>24</v>
      </c>
      <c r="BE19" s="406">
        <v>1</v>
      </c>
      <c r="BF19" s="403" t="e">
        <f>Y19+#REF!+AE19+AH19</f>
        <v>#REF!</v>
      </c>
      <c r="BG19" s="403" t="e">
        <f>Z19+#REF!+AF19+AI19</f>
        <v>#REF!</v>
      </c>
      <c r="BH19" s="403">
        <f t="shared" si="1"/>
        <v>10435</v>
      </c>
      <c r="BI19" s="403">
        <f t="shared" si="1"/>
        <v>522</v>
      </c>
      <c r="BJ19" s="407" t="e">
        <f>AK19+AX19+#REF!</f>
        <v>#REF!</v>
      </c>
      <c r="BK19" s="407" t="e">
        <f>AL19+AY19+#REF!</f>
        <v>#REF!</v>
      </c>
      <c r="BL19" s="407" t="e">
        <f>#REF!+O19+#REF!+BD19+U19+#REF!</f>
        <v>#REF!</v>
      </c>
      <c r="BM19" s="407" t="e">
        <f>#REF!+P19+#REF!+BE19+V19+#REF!</f>
        <v>#REF!</v>
      </c>
      <c r="BN19" s="407">
        <f t="shared" si="2"/>
        <v>0</v>
      </c>
      <c r="BO19" s="407">
        <f t="shared" si="2"/>
        <v>0</v>
      </c>
      <c r="BQ19" s="403" t="e">
        <f>#REF!+P19+V19+#REF!+#REF!+BE19</f>
        <v>#REF!</v>
      </c>
      <c r="BR19" s="403">
        <f t="shared" si="0"/>
        <v>0</v>
      </c>
    </row>
    <row r="20" spans="1:70" ht="20.25" customHeight="1" x14ac:dyDescent="0.25">
      <c r="A20" s="404">
        <v>9</v>
      </c>
      <c r="B20" s="405" t="s">
        <v>1377</v>
      </c>
      <c r="C20" s="406">
        <v>3451</v>
      </c>
      <c r="D20" s="728">
        <v>3288</v>
      </c>
      <c r="E20" s="728">
        <v>163</v>
      </c>
      <c r="F20" s="728">
        <v>0</v>
      </c>
      <c r="G20" s="406">
        <v>0</v>
      </c>
      <c r="H20" s="406"/>
      <c r="I20" s="406"/>
      <c r="J20" s="406">
        <v>0</v>
      </c>
      <c r="K20" s="406"/>
      <c r="L20" s="406"/>
      <c r="M20" s="406">
        <v>0</v>
      </c>
      <c r="N20" s="406">
        <v>0</v>
      </c>
      <c r="O20" s="406"/>
      <c r="P20" s="406"/>
      <c r="Q20" s="406">
        <v>0</v>
      </c>
      <c r="R20" s="406"/>
      <c r="S20" s="406"/>
      <c r="T20" s="406">
        <v>0</v>
      </c>
      <c r="U20" s="406"/>
      <c r="V20" s="406"/>
      <c r="W20" s="406">
        <v>0</v>
      </c>
      <c r="X20" s="406">
        <v>0</v>
      </c>
      <c r="Y20" s="406"/>
      <c r="Z20" s="406"/>
      <c r="AA20" s="406">
        <v>0</v>
      </c>
      <c r="AB20" s="406"/>
      <c r="AC20" s="406"/>
      <c r="AD20" s="406">
        <v>0</v>
      </c>
      <c r="AE20" s="406"/>
      <c r="AF20" s="406"/>
      <c r="AG20" s="406">
        <v>0</v>
      </c>
      <c r="AH20" s="406"/>
      <c r="AI20" s="406"/>
      <c r="AJ20" s="406">
        <v>0</v>
      </c>
      <c r="AK20" s="406"/>
      <c r="AL20" s="406"/>
      <c r="AM20" s="406">
        <v>0</v>
      </c>
      <c r="AN20" s="406"/>
      <c r="AO20" s="406"/>
      <c r="AP20" s="406">
        <v>3426</v>
      </c>
      <c r="AQ20" s="406">
        <v>3264</v>
      </c>
      <c r="AR20" s="406">
        <v>162</v>
      </c>
      <c r="AS20" s="406">
        <v>0</v>
      </c>
      <c r="AT20" s="406"/>
      <c r="AU20" s="406"/>
      <c r="AV20" s="406">
        <v>25</v>
      </c>
      <c r="AW20" s="406">
        <v>0</v>
      </c>
      <c r="AX20" s="406"/>
      <c r="AY20" s="406"/>
      <c r="AZ20" s="406">
        <v>0</v>
      </c>
      <c r="BA20" s="406"/>
      <c r="BB20" s="406"/>
      <c r="BC20" s="406">
        <v>25</v>
      </c>
      <c r="BD20" s="406">
        <v>24</v>
      </c>
      <c r="BE20" s="406">
        <v>1</v>
      </c>
      <c r="BF20" s="403" t="e">
        <f>Y20+#REF!+AE20+AH20</f>
        <v>#REF!</v>
      </c>
      <c r="BG20" s="403" t="e">
        <f>Z20+#REF!+AF20+AI20</f>
        <v>#REF!</v>
      </c>
      <c r="BH20" s="403">
        <f t="shared" si="1"/>
        <v>0</v>
      </c>
      <c r="BI20" s="403">
        <f t="shared" si="1"/>
        <v>0</v>
      </c>
      <c r="BJ20" s="407" t="e">
        <f>AK20+AX20+#REF!</f>
        <v>#REF!</v>
      </c>
      <c r="BK20" s="407" t="e">
        <f>AL20+AY20+#REF!</f>
        <v>#REF!</v>
      </c>
      <c r="BL20" s="407" t="e">
        <f>#REF!+O20+#REF!+BD20+U20+#REF!</f>
        <v>#REF!</v>
      </c>
      <c r="BM20" s="407" t="e">
        <f>#REF!+P20+#REF!+BE20+V20+#REF!</f>
        <v>#REF!</v>
      </c>
      <c r="BN20" s="407">
        <f t="shared" si="2"/>
        <v>3264</v>
      </c>
      <c r="BO20" s="407">
        <f t="shared" si="2"/>
        <v>162</v>
      </c>
      <c r="BQ20" s="403" t="e">
        <f>#REF!+P20+V20+#REF!+#REF!+BE20</f>
        <v>#REF!</v>
      </c>
      <c r="BR20" s="403">
        <f t="shared" si="0"/>
        <v>162</v>
      </c>
    </row>
    <row r="21" spans="1:70" ht="20.25" customHeight="1" x14ac:dyDescent="0.25">
      <c r="A21" s="404">
        <v>10</v>
      </c>
      <c r="B21" s="405" t="s">
        <v>223</v>
      </c>
      <c r="C21" s="406">
        <v>25</v>
      </c>
      <c r="D21" s="728">
        <v>24</v>
      </c>
      <c r="E21" s="728">
        <v>1</v>
      </c>
      <c r="F21" s="728">
        <v>0</v>
      </c>
      <c r="G21" s="406">
        <v>0</v>
      </c>
      <c r="H21" s="406"/>
      <c r="I21" s="406"/>
      <c r="J21" s="406">
        <v>0</v>
      </c>
      <c r="K21" s="406"/>
      <c r="L21" s="406"/>
      <c r="M21" s="406">
        <v>0</v>
      </c>
      <c r="N21" s="406">
        <v>0</v>
      </c>
      <c r="O21" s="406"/>
      <c r="P21" s="406"/>
      <c r="Q21" s="406">
        <v>0</v>
      </c>
      <c r="R21" s="406"/>
      <c r="S21" s="406"/>
      <c r="T21" s="406">
        <v>0</v>
      </c>
      <c r="U21" s="406"/>
      <c r="V21" s="406"/>
      <c r="W21" s="406">
        <v>0</v>
      </c>
      <c r="X21" s="406">
        <v>0</v>
      </c>
      <c r="Y21" s="406"/>
      <c r="Z21" s="406"/>
      <c r="AA21" s="406">
        <v>0</v>
      </c>
      <c r="AB21" s="406"/>
      <c r="AC21" s="406"/>
      <c r="AD21" s="406">
        <v>0</v>
      </c>
      <c r="AE21" s="406"/>
      <c r="AF21" s="406"/>
      <c r="AG21" s="406">
        <v>0</v>
      </c>
      <c r="AH21" s="406"/>
      <c r="AI21" s="406"/>
      <c r="AJ21" s="406">
        <v>0</v>
      </c>
      <c r="AK21" s="406"/>
      <c r="AL21" s="406"/>
      <c r="AM21" s="406">
        <v>0</v>
      </c>
      <c r="AN21" s="406"/>
      <c r="AO21" s="406"/>
      <c r="AP21" s="406">
        <v>0</v>
      </c>
      <c r="AQ21" s="406"/>
      <c r="AR21" s="406"/>
      <c r="AS21" s="406">
        <v>0</v>
      </c>
      <c r="AT21" s="406"/>
      <c r="AU21" s="406"/>
      <c r="AV21" s="406">
        <v>25</v>
      </c>
      <c r="AW21" s="406">
        <v>0</v>
      </c>
      <c r="AX21" s="406"/>
      <c r="AY21" s="406"/>
      <c r="AZ21" s="406">
        <v>0</v>
      </c>
      <c r="BA21" s="406"/>
      <c r="BB21" s="406"/>
      <c r="BC21" s="406">
        <v>25</v>
      </c>
      <c r="BD21" s="406">
        <v>24</v>
      </c>
      <c r="BE21" s="406">
        <v>1</v>
      </c>
      <c r="BF21" s="403" t="e">
        <f>Y21+#REF!+AE21+AH21</f>
        <v>#REF!</v>
      </c>
      <c r="BG21" s="403" t="e">
        <f>Z21+#REF!+AF21+AI21</f>
        <v>#REF!</v>
      </c>
      <c r="BH21" s="403">
        <f t="shared" si="1"/>
        <v>0</v>
      </c>
      <c r="BI21" s="403">
        <f t="shared" si="1"/>
        <v>0</v>
      </c>
      <c r="BJ21" s="407" t="e">
        <f>AK21+AX21+#REF!</f>
        <v>#REF!</v>
      </c>
      <c r="BK21" s="407" t="e">
        <f>AL21+AY21+#REF!</f>
        <v>#REF!</v>
      </c>
      <c r="BL21" s="407" t="e">
        <f>#REF!+O21+#REF!+BD21+U21+#REF!</f>
        <v>#REF!</v>
      </c>
      <c r="BM21" s="407" t="e">
        <f>#REF!+P21+#REF!+BE21+V21+#REF!</f>
        <v>#REF!</v>
      </c>
      <c r="BN21" s="407">
        <f t="shared" si="2"/>
        <v>0</v>
      </c>
      <c r="BO21" s="407">
        <f t="shared" si="2"/>
        <v>0</v>
      </c>
      <c r="BQ21" s="403" t="e">
        <f>#REF!+P21+V21+#REF!+#REF!+BE21</f>
        <v>#REF!</v>
      </c>
      <c r="BR21" s="403">
        <f t="shared" si="0"/>
        <v>0</v>
      </c>
    </row>
    <row r="22" spans="1:70" ht="20.25" customHeight="1" x14ac:dyDescent="0.25">
      <c r="A22" s="404">
        <v>11</v>
      </c>
      <c r="B22" s="405" t="s">
        <v>224</v>
      </c>
      <c r="C22" s="406">
        <v>248</v>
      </c>
      <c r="D22" s="728">
        <v>235</v>
      </c>
      <c r="E22" s="728">
        <v>13</v>
      </c>
      <c r="F22" s="728">
        <v>0</v>
      </c>
      <c r="G22" s="406">
        <v>0</v>
      </c>
      <c r="H22" s="406"/>
      <c r="I22" s="406"/>
      <c r="J22" s="406">
        <v>0</v>
      </c>
      <c r="K22" s="406"/>
      <c r="L22" s="406"/>
      <c r="M22" s="406">
        <v>0</v>
      </c>
      <c r="N22" s="406">
        <v>0</v>
      </c>
      <c r="O22" s="406"/>
      <c r="P22" s="406"/>
      <c r="Q22" s="406">
        <v>0</v>
      </c>
      <c r="R22" s="406"/>
      <c r="S22" s="406"/>
      <c r="T22" s="406">
        <v>0</v>
      </c>
      <c r="U22" s="406"/>
      <c r="V22" s="406"/>
      <c r="W22" s="406">
        <v>0</v>
      </c>
      <c r="X22" s="406">
        <v>0</v>
      </c>
      <c r="Y22" s="406"/>
      <c r="Z22" s="406"/>
      <c r="AA22" s="406">
        <v>0</v>
      </c>
      <c r="AB22" s="406"/>
      <c r="AC22" s="406"/>
      <c r="AD22" s="406">
        <v>0</v>
      </c>
      <c r="AE22" s="406"/>
      <c r="AF22" s="406"/>
      <c r="AG22" s="406">
        <v>0</v>
      </c>
      <c r="AH22" s="406"/>
      <c r="AI22" s="406"/>
      <c r="AJ22" s="406">
        <v>0</v>
      </c>
      <c r="AK22" s="406"/>
      <c r="AL22" s="406"/>
      <c r="AM22" s="406">
        <v>0</v>
      </c>
      <c r="AN22" s="406"/>
      <c r="AO22" s="406"/>
      <c r="AP22" s="406">
        <v>0</v>
      </c>
      <c r="AQ22" s="406"/>
      <c r="AR22" s="406"/>
      <c r="AS22" s="406">
        <v>0</v>
      </c>
      <c r="AT22" s="406"/>
      <c r="AU22" s="406"/>
      <c r="AV22" s="406">
        <v>248</v>
      </c>
      <c r="AW22" s="406">
        <v>0</v>
      </c>
      <c r="AX22" s="406"/>
      <c r="AY22" s="406"/>
      <c r="AZ22" s="406">
        <v>0</v>
      </c>
      <c r="BA22" s="406"/>
      <c r="BB22" s="406"/>
      <c r="BC22" s="406">
        <v>248</v>
      </c>
      <c r="BD22" s="406">
        <v>235</v>
      </c>
      <c r="BE22" s="406">
        <v>13</v>
      </c>
      <c r="BF22" s="403" t="e">
        <f>Y22+#REF!+AE22+AH22</f>
        <v>#REF!</v>
      </c>
      <c r="BG22" s="403" t="e">
        <f>Z22+#REF!+AF22+AI22</f>
        <v>#REF!</v>
      </c>
      <c r="BH22" s="403">
        <f t="shared" si="1"/>
        <v>0</v>
      </c>
      <c r="BI22" s="403">
        <f t="shared" si="1"/>
        <v>0</v>
      </c>
      <c r="BJ22" s="407" t="e">
        <f>AK22+AX22+#REF!</f>
        <v>#REF!</v>
      </c>
      <c r="BK22" s="407" t="e">
        <f>AL22+AY22+#REF!</f>
        <v>#REF!</v>
      </c>
      <c r="BL22" s="407" t="e">
        <f>#REF!+O22+#REF!+BD22+U22+#REF!</f>
        <v>#REF!</v>
      </c>
      <c r="BM22" s="407" t="e">
        <f>#REF!+P22+#REF!+BE22+V22+#REF!</f>
        <v>#REF!</v>
      </c>
      <c r="BN22" s="407">
        <f t="shared" si="2"/>
        <v>0</v>
      </c>
      <c r="BO22" s="407">
        <f t="shared" si="2"/>
        <v>0</v>
      </c>
      <c r="BQ22" s="403" t="e">
        <f>#REF!+P22+V22+#REF!+#REF!+BE22</f>
        <v>#REF!</v>
      </c>
      <c r="BR22" s="403">
        <f t="shared" si="0"/>
        <v>0</v>
      </c>
    </row>
    <row r="23" spans="1:70" ht="20.25" customHeight="1" x14ac:dyDescent="0.25">
      <c r="A23" s="404">
        <v>12</v>
      </c>
      <c r="B23" s="405" t="s">
        <v>225</v>
      </c>
      <c r="C23" s="406">
        <v>25</v>
      </c>
      <c r="D23" s="728">
        <v>24</v>
      </c>
      <c r="E23" s="728">
        <v>1</v>
      </c>
      <c r="F23" s="728">
        <v>0</v>
      </c>
      <c r="G23" s="406">
        <v>0</v>
      </c>
      <c r="H23" s="406"/>
      <c r="I23" s="406"/>
      <c r="J23" s="406">
        <v>0</v>
      </c>
      <c r="K23" s="406"/>
      <c r="L23" s="406"/>
      <c r="M23" s="406">
        <v>0</v>
      </c>
      <c r="N23" s="406">
        <v>0</v>
      </c>
      <c r="O23" s="406"/>
      <c r="P23" s="406"/>
      <c r="Q23" s="406">
        <v>0</v>
      </c>
      <c r="R23" s="406"/>
      <c r="S23" s="406"/>
      <c r="T23" s="406">
        <v>0</v>
      </c>
      <c r="U23" s="406"/>
      <c r="V23" s="406"/>
      <c r="W23" s="406">
        <v>0</v>
      </c>
      <c r="X23" s="406">
        <v>0</v>
      </c>
      <c r="Y23" s="406"/>
      <c r="Z23" s="406"/>
      <c r="AA23" s="406">
        <v>0</v>
      </c>
      <c r="AB23" s="406"/>
      <c r="AC23" s="406"/>
      <c r="AD23" s="406">
        <v>0</v>
      </c>
      <c r="AE23" s="406"/>
      <c r="AF23" s="406"/>
      <c r="AG23" s="406">
        <v>0</v>
      </c>
      <c r="AH23" s="406"/>
      <c r="AI23" s="406"/>
      <c r="AJ23" s="406">
        <v>0</v>
      </c>
      <c r="AK23" s="406"/>
      <c r="AL23" s="406"/>
      <c r="AM23" s="406">
        <v>0</v>
      </c>
      <c r="AN23" s="406"/>
      <c r="AO23" s="406"/>
      <c r="AP23" s="406">
        <v>0</v>
      </c>
      <c r="AQ23" s="406"/>
      <c r="AR23" s="406"/>
      <c r="AS23" s="406">
        <v>0</v>
      </c>
      <c r="AT23" s="406"/>
      <c r="AU23" s="406"/>
      <c r="AV23" s="406">
        <v>25</v>
      </c>
      <c r="AW23" s="406">
        <v>0</v>
      </c>
      <c r="AX23" s="406"/>
      <c r="AY23" s="406"/>
      <c r="AZ23" s="406">
        <v>0</v>
      </c>
      <c r="BA23" s="406"/>
      <c r="BB23" s="406"/>
      <c r="BC23" s="406">
        <v>25</v>
      </c>
      <c r="BD23" s="406">
        <v>24</v>
      </c>
      <c r="BE23" s="406">
        <v>1</v>
      </c>
      <c r="BF23" s="403" t="e">
        <f>Y23+#REF!+AE23+AH23</f>
        <v>#REF!</v>
      </c>
      <c r="BG23" s="403" t="e">
        <f>Z23+#REF!+AF23+AI23</f>
        <v>#REF!</v>
      </c>
      <c r="BH23" s="403">
        <f t="shared" si="1"/>
        <v>0</v>
      </c>
      <c r="BI23" s="403">
        <f t="shared" si="1"/>
        <v>0</v>
      </c>
      <c r="BJ23" s="407" t="e">
        <f>AK23+AX23+#REF!</f>
        <v>#REF!</v>
      </c>
      <c r="BK23" s="407" t="e">
        <f>AL23+AY23+#REF!</f>
        <v>#REF!</v>
      </c>
      <c r="BL23" s="407" t="e">
        <f>#REF!+O23+#REF!+BD23+U23+#REF!</f>
        <v>#REF!</v>
      </c>
      <c r="BM23" s="407" t="e">
        <f>#REF!+P23+#REF!+BE23+V23+#REF!</f>
        <v>#REF!</v>
      </c>
      <c r="BN23" s="407">
        <f t="shared" si="2"/>
        <v>0</v>
      </c>
      <c r="BO23" s="407">
        <f t="shared" si="2"/>
        <v>0</v>
      </c>
      <c r="BQ23" s="403" t="e">
        <f>#REF!+P23+V23+#REF!+#REF!+BE23</f>
        <v>#REF!</v>
      </c>
      <c r="BR23" s="403">
        <f t="shared" si="0"/>
        <v>0</v>
      </c>
    </row>
    <row r="24" spans="1:70" ht="20.25" customHeight="1" x14ac:dyDescent="0.25">
      <c r="A24" s="404">
        <v>13</v>
      </c>
      <c r="B24" s="405" t="s">
        <v>144</v>
      </c>
      <c r="C24" s="406">
        <v>25</v>
      </c>
      <c r="D24" s="728">
        <v>24</v>
      </c>
      <c r="E24" s="728">
        <v>1</v>
      </c>
      <c r="F24" s="728">
        <v>0</v>
      </c>
      <c r="G24" s="406">
        <v>0</v>
      </c>
      <c r="H24" s="406"/>
      <c r="I24" s="406"/>
      <c r="J24" s="406">
        <v>0</v>
      </c>
      <c r="K24" s="406"/>
      <c r="L24" s="406"/>
      <c r="M24" s="406">
        <v>0</v>
      </c>
      <c r="N24" s="406">
        <v>0</v>
      </c>
      <c r="O24" s="406"/>
      <c r="P24" s="406"/>
      <c r="Q24" s="406">
        <v>0</v>
      </c>
      <c r="R24" s="406"/>
      <c r="S24" s="406"/>
      <c r="T24" s="406">
        <v>0</v>
      </c>
      <c r="U24" s="406"/>
      <c r="V24" s="406"/>
      <c r="W24" s="406">
        <v>0</v>
      </c>
      <c r="X24" s="406">
        <v>0</v>
      </c>
      <c r="Y24" s="406"/>
      <c r="Z24" s="406"/>
      <c r="AA24" s="406">
        <v>0</v>
      </c>
      <c r="AB24" s="406"/>
      <c r="AC24" s="406"/>
      <c r="AD24" s="406">
        <v>0</v>
      </c>
      <c r="AE24" s="406"/>
      <c r="AF24" s="406"/>
      <c r="AG24" s="406">
        <v>0</v>
      </c>
      <c r="AH24" s="406"/>
      <c r="AI24" s="406"/>
      <c r="AJ24" s="406">
        <v>0</v>
      </c>
      <c r="AK24" s="406"/>
      <c r="AL24" s="406"/>
      <c r="AM24" s="406">
        <v>0</v>
      </c>
      <c r="AN24" s="406"/>
      <c r="AO24" s="406"/>
      <c r="AP24" s="406">
        <v>0</v>
      </c>
      <c r="AQ24" s="406"/>
      <c r="AR24" s="406"/>
      <c r="AS24" s="406">
        <v>0</v>
      </c>
      <c r="AT24" s="406"/>
      <c r="AU24" s="406"/>
      <c r="AV24" s="406">
        <v>25</v>
      </c>
      <c r="AW24" s="406">
        <v>0</v>
      </c>
      <c r="AX24" s="406"/>
      <c r="AY24" s="406"/>
      <c r="AZ24" s="406">
        <v>0</v>
      </c>
      <c r="BA24" s="406"/>
      <c r="BB24" s="406"/>
      <c r="BC24" s="406">
        <v>25</v>
      </c>
      <c r="BD24" s="406">
        <v>24</v>
      </c>
      <c r="BE24" s="406">
        <v>1</v>
      </c>
      <c r="BF24" s="403" t="e">
        <f>Y24+#REF!+AE24+AH24</f>
        <v>#REF!</v>
      </c>
      <c r="BG24" s="403" t="e">
        <f>Z24+#REF!+AF24+AI24</f>
        <v>#REF!</v>
      </c>
      <c r="BH24" s="403">
        <f t="shared" si="1"/>
        <v>0</v>
      </c>
      <c r="BI24" s="403">
        <f t="shared" si="1"/>
        <v>0</v>
      </c>
      <c r="BJ24" s="407" t="e">
        <f>AK24+AX24+#REF!</f>
        <v>#REF!</v>
      </c>
      <c r="BK24" s="407" t="e">
        <f>AL24+AY24+#REF!</f>
        <v>#REF!</v>
      </c>
      <c r="BL24" s="407" t="e">
        <f>#REF!+O24+#REF!+BD24+U24+#REF!</f>
        <v>#REF!</v>
      </c>
      <c r="BM24" s="407" t="e">
        <f>#REF!+P24+#REF!+BE24+V24+#REF!</f>
        <v>#REF!</v>
      </c>
      <c r="BN24" s="407">
        <f t="shared" si="2"/>
        <v>0</v>
      </c>
      <c r="BO24" s="407">
        <f t="shared" si="2"/>
        <v>0</v>
      </c>
      <c r="BQ24" s="403" t="e">
        <f>#REF!+P24+V24+#REF!+#REF!+BE24</f>
        <v>#REF!</v>
      </c>
      <c r="BR24" s="403">
        <f t="shared" si="0"/>
        <v>0</v>
      </c>
    </row>
    <row r="25" spans="1:70" ht="20.25" customHeight="1" x14ac:dyDescent="0.25">
      <c r="A25" s="404">
        <v>14</v>
      </c>
      <c r="B25" s="405" t="s">
        <v>453</v>
      </c>
      <c r="C25" s="406">
        <v>25</v>
      </c>
      <c r="D25" s="728">
        <v>24</v>
      </c>
      <c r="E25" s="728">
        <v>1</v>
      </c>
      <c r="F25" s="728">
        <v>0</v>
      </c>
      <c r="G25" s="406">
        <v>0</v>
      </c>
      <c r="H25" s="406"/>
      <c r="I25" s="406"/>
      <c r="J25" s="406">
        <v>0</v>
      </c>
      <c r="K25" s="406"/>
      <c r="L25" s="406"/>
      <c r="M25" s="406">
        <v>0</v>
      </c>
      <c r="N25" s="406">
        <v>0</v>
      </c>
      <c r="O25" s="406"/>
      <c r="P25" s="406"/>
      <c r="Q25" s="406">
        <v>0</v>
      </c>
      <c r="R25" s="406"/>
      <c r="S25" s="406"/>
      <c r="T25" s="406">
        <v>0</v>
      </c>
      <c r="U25" s="406"/>
      <c r="V25" s="406"/>
      <c r="W25" s="406">
        <v>0</v>
      </c>
      <c r="X25" s="406">
        <v>0</v>
      </c>
      <c r="Y25" s="406"/>
      <c r="Z25" s="406"/>
      <c r="AA25" s="406">
        <v>0</v>
      </c>
      <c r="AB25" s="406"/>
      <c r="AC25" s="406"/>
      <c r="AD25" s="406">
        <v>0</v>
      </c>
      <c r="AE25" s="406"/>
      <c r="AF25" s="406"/>
      <c r="AG25" s="406">
        <v>0</v>
      </c>
      <c r="AH25" s="406"/>
      <c r="AI25" s="406"/>
      <c r="AJ25" s="406">
        <v>0</v>
      </c>
      <c r="AK25" s="406"/>
      <c r="AL25" s="406"/>
      <c r="AM25" s="406">
        <v>0</v>
      </c>
      <c r="AN25" s="406"/>
      <c r="AO25" s="406"/>
      <c r="AP25" s="406">
        <v>0</v>
      </c>
      <c r="AQ25" s="406"/>
      <c r="AR25" s="406"/>
      <c r="AS25" s="406">
        <v>0</v>
      </c>
      <c r="AT25" s="406"/>
      <c r="AU25" s="406"/>
      <c r="AV25" s="406">
        <v>25</v>
      </c>
      <c r="AW25" s="406">
        <v>0</v>
      </c>
      <c r="AX25" s="406"/>
      <c r="AY25" s="406"/>
      <c r="AZ25" s="406">
        <v>0</v>
      </c>
      <c r="BA25" s="406"/>
      <c r="BB25" s="406"/>
      <c r="BC25" s="406">
        <v>25</v>
      </c>
      <c r="BD25" s="406">
        <v>24</v>
      </c>
      <c r="BE25" s="406">
        <v>1</v>
      </c>
      <c r="BF25" s="403" t="e">
        <f>Y25+#REF!+AE25+AH25</f>
        <v>#REF!</v>
      </c>
      <c r="BG25" s="403" t="e">
        <f>Z25+#REF!+AF25+AI25</f>
        <v>#REF!</v>
      </c>
      <c r="BH25" s="403">
        <f t="shared" si="1"/>
        <v>0</v>
      </c>
      <c r="BI25" s="403">
        <f t="shared" si="1"/>
        <v>0</v>
      </c>
      <c r="BJ25" s="407" t="e">
        <f>AK25+AX25+#REF!</f>
        <v>#REF!</v>
      </c>
      <c r="BK25" s="407" t="e">
        <f>AL25+AY25+#REF!</f>
        <v>#REF!</v>
      </c>
      <c r="BL25" s="407" t="e">
        <f>#REF!+O25+#REF!+BD25+U25+#REF!</f>
        <v>#REF!</v>
      </c>
      <c r="BM25" s="407" t="e">
        <f>#REF!+P25+#REF!+BE25+V25+#REF!</f>
        <v>#REF!</v>
      </c>
      <c r="BN25" s="407">
        <f t="shared" si="2"/>
        <v>0</v>
      </c>
      <c r="BO25" s="407">
        <f t="shared" si="2"/>
        <v>0</v>
      </c>
      <c r="BQ25" s="403" t="e">
        <f>#REF!+P25+V25+#REF!+#REF!+BE25</f>
        <v>#REF!</v>
      </c>
      <c r="BR25" s="403">
        <f t="shared" si="0"/>
        <v>0</v>
      </c>
    </row>
    <row r="26" spans="1:70" ht="20.25" customHeight="1" x14ac:dyDescent="0.25">
      <c r="A26" s="404">
        <v>15</v>
      </c>
      <c r="B26" s="405" t="s">
        <v>1378</v>
      </c>
      <c r="C26" s="406">
        <v>25</v>
      </c>
      <c r="D26" s="728">
        <v>24</v>
      </c>
      <c r="E26" s="728">
        <v>1</v>
      </c>
      <c r="F26" s="728">
        <v>0</v>
      </c>
      <c r="G26" s="406">
        <v>0</v>
      </c>
      <c r="H26" s="406"/>
      <c r="I26" s="406"/>
      <c r="J26" s="406">
        <v>0</v>
      </c>
      <c r="K26" s="406"/>
      <c r="L26" s="406"/>
      <c r="M26" s="406">
        <v>0</v>
      </c>
      <c r="N26" s="406">
        <v>0</v>
      </c>
      <c r="O26" s="406"/>
      <c r="P26" s="406"/>
      <c r="Q26" s="406">
        <v>0</v>
      </c>
      <c r="R26" s="406"/>
      <c r="S26" s="406"/>
      <c r="T26" s="406">
        <v>0</v>
      </c>
      <c r="U26" s="406"/>
      <c r="V26" s="406"/>
      <c r="W26" s="406">
        <v>0</v>
      </c>
      <c r="X26" s="406">
        <v>0</v>
      </c>
      <c r="Y26" s="406"/>
      <c r="Z26" s="406"/>
      <c r="AA26" s="406">
        <v>0</v>
      </c>
      <c r="AB26" s="406"/>
      <c r="AC26" s="406"/>
      <c r="AD26" s="406">
        <v>0</v>
      </c>
      <c r="AE26" s="406"/>
      <c r="AF26" s="406"/>
      <c r="AG26" s="406">
        <v>0</v>
      </c>
      <c r="AH26" s="406"/>
      <c r="AI26" s="406"/>
      <c r="AJ26" s="406">
        <v>0</v>
      </c>
      <c r="AK26" s="406"/>
      <c r="AL26" s="406"/>
      <c r="AM26" s="406">
        <v>0</v>
      </c>
      <c r="AN26" s="406"/>
      <c r="AO26" s="406"/>
      <c r="AP26" s="406">
        <v>0</v>
      </c>
      <c r="AQ26" s="406"/>
      <c r="AR26" s="406"/>
      <c r="AS26" s="406">
        <v>0</v>
      </c>
      <c r="AT26" s="406"/>
      <c r="AU26" s="406"/>
      <c r="AV26" s="406">
        <v>25</v>
      </c>
      <c r="AW26" s="406">
        <v>0</v>
      </c>
      <c r="AX26" s="406"/>
      <c r="AY26" s="406"/>
      <c r="AZ26" s="406">
        <v>0</v>
      </c>
      <c r="BA26" s="406"/>
      <c r="BB26" s="406"/>
      <c r="BC26" s="406">
        <v>25</v>
      </c>
      <c r="BD26" s="406">
        <v>24</v>
      </c>
      <c r="BE26" s="406">
        <v>1</v>
      </c>
      <c r="BF26" s="403" t="e">
        <f>Y26+#REF!+AE26+AH26</f>
        <v>#REF!</v>
      </c>
      <c r="BG26" s="403" t="e">
        <f>Z26+#REF!+AF26+AI26</f>
        <v>#REF!</v>
      </c>
      <c r="BH26" s="403">
        <f t="shared" si="1"/>
        <v>0</v>
      </c>
      <c r="BI26" s="403">
        <f t="shared" si="1"/>
        <v>0</v>
      </c>
      <c r="BJ26" s="407" t="e">
        <f>AK26+AX26+#REF!</f>
        <v>#REF!</v>
      </c>
      <c r="BK26" s="407" t="e">
        <f>AL26+AY26+#REF!</f>
        <v>#REF!</v>
      </c>
      <c r="BL26" s="407" t="e">
        <f>#REF!+O26+#REF!+BD26+U26+#REF!</f>
        <v>#REF!</v>
      </c>
      <c r="BM26" s="407" t="e">
        <f>#REF!+P26+#REF!+BE26+V26+#REF!</f>
        <v>#REF!</v>
      </c>
      <c r="BN26" s="407">
        <f t="shared" si="2"/>
        <v>0</v>
      </c>
      <c r="BO26" s="407">
        <f t="shared" si="2"/>
        <v>0</v>
      </c>
      <c r="BQ26" s="403" t="e">
        <f>#REF!+P26+V26+#REF!+#REF!+BE26</f>
        <v>#REF!</v>
      </c>
      <c r="BR26" s="403">
        <f t="shared" si="0"/>
        <v>0</v>
      </c>
    </row>
    <row r="27" spans="1:70" ht="20.25" customHeight="1" x14ac:dyDescent="0.25">
      <c r="A27" s="404">
        <v>16</v>
      </c>
      <c r="B27" s="405" t="s">
        <v>1379</v>
      </c>
      <c r="C27" s="406">
        <v>25</v>
      </c>
      <c r="D27" s="728">
        <v>24</v>
      </c>
      <c r="E27" s="728">
        <v>1</v>
      </c>
      <c r="F27" s="728">
        <v>0</v>
      </c>
      <c r="G27" s="406">
        <v>0</v>
      </c>
      <c r="H27" s="406"/>
      <c r="I27" s="406"/>
      <c r="J27" s="406">
        <v>0</v>
      </c>
      <c r="K27" s="406"/>
      <c r="L27" s="406"/>
      <c r="M27" s="406">
        <v>0</v>
      </c>
      <c r="N27" s="406">
        <v>0</v>
      </c>
      <c r="O27" s="406"/>
      <c r="P27" s="406"/>
      <c r="Q27" s="406">
        <v>0</v>
      </c>
      <c r="R27" s="406"/>
      <c r="S27" s="406"/>
      <c r="T27" s="406">
        <v>0</v>
      </c>
      <c r="U27" s="406"/>
      <c r="V27" s="406"/>
      <c r="W27" s="406">
        <v>0</v>
      </c>
      <c r="X27" s="406">
        <v>0</v>
      </c>
      <c r="Y27" s="406"/>
      <c r="Z27" s="406"/>
      <c r="AA27" s="406">
        <v>0</v>
      </c>
      <c r="AB27" s="406"/>
      <c r="AC27" s="406"/>
      <c r="AD27" s="406">
        <v>0</v>
      </c>
      <c r="AE27" s="406"/>
      <c r="AF27" s="406"/>
      <c r="AG27" s="406">
        <v>0</v>
      </c>
      <c r="AH27" s="406"/>
      <c r="AI27" s="406"/>
      <c r="AJ27" s="406">
        <v>0</v>
      </c>
      <c r="AK27" s="406"/>
      <c r="AL27" s="406"/>
      <c r="AM27" s="406">
        <v>0</v>
      </c>
      <c r="AN27" s="406"/>
      <c r="AO27" s="406"/>
      <c r="AP27" s="406">
        <v>0</v>
      </c>
      <c r="AQ27" s="406"/>
      <c r="AR27" s="406"/>
      <c r="AS27" s="406">
        <v>0</v>
      </c>
      <c r="AT27" s="406"/>
      <c r="AU27" s="406"/>
      <c r="AV27" s="406">
        <v>25</v>
      </c>
      <c r="AW27" s="406">
        <v>0</v>
      </c>
      <c r="AX27" s="406"/>
      <c r="AY27" s="406"/>
      <c r="AZ27" s="406">
        <v>0</v>
      </c>
      <c r="BA27" s="406"/>
      <c r="BB27" s="406"/>
      <c r="BC27" s="406">
        <v>25</v>
      </c>
      <c r="BD27" s="406">
        <v>24</v>
      </c>
      <c r="BE27" s="406">
        <v>1</v>
      </c>
      <c r="BF27" s="403" t="e">
        <f>Y27+#REF!+AE27+AH27</f>
        <v>#REF!</v>
      </c>
      <c r="BG27" s="403" t="e">
        <f>Z27+#REF!+AF27+AI27</f>
        <v>#REF!</v>
      </c>
      <c r="BH27" s="403">
        <f t="shared" si="1"/>
        <v>0</v>
      </c>
      <c r="BI27" s="403">
        <f t="shared" si="1"/>
        <v>0</v>
      </c>
      <c r="BJ27" s="407" t="e">
        <f>AK27+AX27+#REF!</f>
        <v>#REF!</v>
      </c>
      <c r="BK27" s="407" t="e">
        <f>AL27+AY27+#REF!</f>
        <v>#REF!</v>
      </c>
      <c r="BL27" s="407" t="e">
        <f>#REF!+O27+#REF!+BD27+U27+#REF!</f>
        <v>#REF!</v>
      </c>
      <c r="BM27" s="407" t="e">
        <f>#REF!+P27+#REF!+BE27+V27+#REF!</f>
        <v>#REF!</v>
      </c>
      <c r="BN27" s="407">
        <f t="shared" si="2"/>
        <v>0</v>
      </c>
      <c r="BO27" s="407">
        <f t="shared" si="2"/>
        <v>0</v>
      </c>
      <c r="BQ27" s="403" t="e">
        <f>#REF!+P27+V27+#REF!+#REF!+BE27</f>
        <v>#REF!</v>
      </c>
      <c r="BR27" s="403">
        <f t="shared" si="0"/>
        <v>0</v>
      </c>
    </row>
    <row r="28" spans="1:70" ht="20.25" customHeight="1" x14ac:dyDescent="0.25">
      <c r="A28" s="404">
        <v>17</v>
      </c>
      <c r="B28" s="405" t="s">
        <v>89</v>
      </c>
      <c r="C28" s="406">
        <v>487</v>
      </c>
      <c r="D28" s="728">
        <v>486</v>
      </c>
      <c r="E28" s="728">
        <v>1</v>
      </c>
      <c r="F28" s="728">
        <v>0</v>
      </c>
      <c r="G28" s="406">
        <v>0</v>
      </c>
      <c r="H28" s="406"/>
      <c r="I28" s="406"/>
      <c r="J28" s="406">
        <v>0</v>
      </c>
      <c r="K28" s="406"/>
      <c r="L28" s="406"/>
      <c r="M28" s="406">
        <v>0</v>
      </c>
      <c r="N28" s="406">
        <v>0</v>
      </c>
      <c r="O28" s="406"/>
      <c r="P28" s="406"/>
      <c r="Q28" s="406">
        <v>0</v>
      </c>
      <c r="R28" s="406"/>
      <c r="S28" s="406"/>
      <c r="T28" s="406">
        <v>0</v>
      </c>
      <c r="U28" s="406"/>
      <c r="V28" s="406"/>
      <c r="W28" s="406">
        <v>462</v>
      </c>
      <c r="X28" s="406">
        <v>0</v>
      </c>
      <c r="Y28" s="406"/>
      <c r="Z28" s="406"/>
      <c r="AA28" s="406">
        <v>462</v>
      </c>
      <c r="AB28" s="406">
        <v>462</v>
      </c>
      <c r="AC28" s="406"/>
      <c r="AD28" s="406">
        <v>0</v>
      </c>
      <c r="AE28" s="406"/>
      <c r="AF28" s="406"/>
      <c r="AG28" s="406">
        <v>0</v>
      </c>
      <c r="AH28" s="406"/>
      <c r="AI28" s="406"/>
      <c r="AJ28" s="406">
        <v>0</v>
      </c>
      <c r="AK28" s="406"/>
      <c r="AL28" s="406"/>
      <c r="AM28" s="406">
        <v>0</v>
      </c>
      <c r="AN28" s="406"/>
      <c r="AO28" s="406"/>
      <c r="AP28" s="406">
        <v>0</v>
      </c>
      <c r="AQ28" s="406"/>
      <c r="AR28" s="406"/>
      <c r="AS28" s="406">
        <v>0</v>
      </c>
      <c r="AT28" s="406"/>
      <c r="AU28" s="406"/>
      <c r="AV28" s="406">
        <v>25</v>
      </c>
      <c r="AW28" s="406">
        <v>0</v>
      </c>
      <c r="AX28" s="406"/>
      <c r="AY28" s="406"/>
      <c r="AZ28" s="406">
        <v>0</v>
      </c>
      <c r="BA28" s="406"/>
      <c r="BB28" s="406"/>
      <c r="BC28" s="406">
        <v>25</v>
      </c>
      <c r="BD28" s="406">
        <v>24</v>
      </c>
      <c r="BE28" s="406">
        <v>1</v>
      </c>
      <c r="BF28" s="403" t="e">
        <f>Y28+#REF!+AE28+AH28</f>
        <v>#REF!</v>
      </c>
      <c r="BG28" s="403" t="e">
        <f>Z28+#REF!+AF28+AI28</f>
        <v>#REF!</v>
      </c>
      <c r="BH28" s="403">
        <f t="shared" si="1"/>
        <v>0</v>
      </c>
      <c r="BI28" s="403">
        <f t="shared" si="1"/>
        <v>0</v>
      </c>
      <c r="BJ28" s="407" t="e">
        <f>AK28+AX28+#REF!</f>
        <v>#REF!</v>
      </c>
      <c r="BK28" s="407" t="e">
        <f>AL28+AY28+#REF!</f>
        <v>#REF!</v>
      </c>
      <c r="BL28" s="407" t="e">
        <f>#REF!+O28+#REF!+BD28+U28+#REF!</f>
        <v>#REF!</v>
      </c>
      <c r="BM28" s="407" t="e">
        <f>#REF!+P28+#REF!+BE28+V28+#REF!</f>
        <v>#REF!</v>
      </c>
      <c r="BN28" s="407">
        <f t="shared" si="2"/>
        <v>0</v>
      </c>
      <c r="BO28" s="407">
        <f t="shared" si="2"/>
        <v>0</v>
      </c>
      <c r="BQ28" s="403" t="e">
        <f>#REF!+P28+V28+#REF!+#REF!+BE28</f>
        <v>#REF!</v>
      </c>
      <c r="BR28" s="403">
        <f t="shared" si="0"/>
        <v>0</v>
      </c>
    </row>
    <row r="29" spans="1:70" ht="20.25" customHeight="1" x14ac:dyDescent="0.25">
      <c r="A29" s="404">
        <v>18</v>
      </c>
      <c r="B29" s="405" t="s">
        <v>229</v>
      </c>
      <c r="C29" s="406">
        <v>25</v>
      </c>
      <c r="D29" s="728">
        <v>24</v>
      </c>
      <c r="E29" s="728">
        <v>1</v>
      </c>
      <c r="F29" s="728">
        <v>0</v>
      </c>
      <c r="G29" s="406">
        <v>0</v>
      </c>
      <c r="H29" s="406"/>
      <c r="I29" s="406"/>
      <c r="J29" s="406">
        <v>0</v>
      </c>
      <c r="K29" s="406"/>
      <c r="L29" s="406"/>
      <c r="M29" s="406">
        <v>0</v>
      </c>
      <c r="N29" s="406">
        <v>0</v>
      </c>
      <c r="O29" s="406"/>
      <c r="P29" s="406"/>
      <c r="Q29" s="406">
        <v>0</v>
      </c>
      <c r="R29" s="406"/>
      <c r="S29" s="406"/>
      <c r="T29" s="406">
        <v>0</v>
      </c>
      <c r="U29" s="406"/>
      <c r="V29" s="406"/>
      <c r="W29" s="406">
        <v>0</v>
      </c>
      <c r="X29" s="406">
        <v>0</v>
      </c>
      <c r="Y29" s="406"/>
      <c r="Z29" s="406"/>
      <c r="AA29" s="406">
        <v>0</v>
      </c>
      <c r="AB29" s="406"/>
      <c r="AC29" s="406"/>
      <c r="AD29" s="406">
        <v>0</v>
      </c>
      <c r="AE29" s="406"/>
      <c r="AF29" s="406"/>
      <c r="AG29" s="406">
        <v>0</v>
      </c>
      <c r="AH29" s="406"/>
      <c r="AI29" s="406"/>
      <c r="AJ29" s="406">
        <v>0</v>
      </c>
      <c r="AK29" s="406"/>
      <c r="AL29" s="406"/>
      <c r="AM29" s="406">
        <v>0</v>
      </c>
      <c r="AN29" s="406"/>
      <c r="AO29" s="406"/>
      <c r="AP29" s="406">
        <v>0</v>
      </c>
      <c r="AQ29" s="406"/>
      <c r="AR29" s="406"/>
      <c r="AS29" s="406">
        <v>0</v>
      </c>
      <c r="AT29" s="406"/>
      <c r="AU29" s="406"/>
      <c r="AV29" s="406">
        <v>25</v>
      </c>
      <c r="AW29" s="406">
        <v>0</v>
      </c>
      <c r="AX29" s="406"/>
      <c r="AY29" s="406"/>
      <c r="AZ29" s="406">
        <v>0</v>
      </c>
      <c r="BA29" s="406"/>
      <c r="BB29" s="406"/>
      <c r="BC29" s="406">
        <v>25</v>
      </c>
      <c r="BD29" s="406">
        <v>24</v>
      </c>
      <c r="BE29" s="406">
        <v>1</v>
      </c>
      <c r="BF29" s="403" t="e">
        <f>Y29+#REF!+AE29+AH29</f>
        <v>#REF!</v>
      </c>
      <c r="BG29" s="403" t="e">
        <f>Z29+#REF!+AF29+AI29</f>
        <v>#REF!</v>
      </c>
      <c r="BH29" s="403">
        <f t="shared" si="1"/>
        <v>0</v>
      </c>
      <c r="BI29" s="403">
        <f t="shared" si="1"/>
        <v>0</v>
      </c>
      <c r="BJ29" s="407" t="e">
        <f>AK29+AX29+#REF!</f>
        <v>#REF!</v>
      </c>
      <c r="BK29" s="407" t="e">
        <f>AL29+AY29+#REF!</f>
        <v>#REF!</v>
      </c>
      <c r="BL29" s="407" t="e">
        <f>#REF!+O29+#REF!+BD29+U29+#REF!</f>
        <v>#REF!</v>
      </c>
      <c r="BM29" s="407" t="e">
        <f>#REF!+P29+#REF!+BE29+V29+#REF!</f>
        <v>#REF!</v>
      </c>
      <c r="BN29" s="407">
        <f t="shared" si="2"/>
        <v>0</v>
      </c>
      <c r="BO29" s="407">
        <f t="shared" si="2"/>
        <v>0</v>
      </c>
      <c r="BQ29" s="403" t="e">
        <f>#REF!+P29+V29+#REF!+#REF!+BE29</f>
        <v>#REF!</v>
      </c>
      <c r="BR29" s="403">
        <f t="shared" si="0"/>
        <v>0</v>
      </c>
    </row>
    <row r="30" spans="1:70" ht="20.25" customHeight="1" x14ac:dyDescent="0.25">
      <c r="A30" s="404">
        <v>19</v>
      </c>
      <c r="B30" s="405" t="s">
        <v>248</v>
      </c>
      <c r="C30" s="406">
        <v>25</v>
      </c>
      <c r="D30" s="728">
        <v>24</v>
      </c>
      <c r="E30" s="728">
        <v>1</v>
      </c>
      <c r="F30" s="728">
        <v>0</v>
      </c>
      <c r="G30" s="406">
        <v>0</v>
      </c>
      <c r="H30" s="406"/>
      <c r="I30" s="406"/>
      <c r="J30" s="406">
        <v>0</v>
      </c>
      <c r="K30" s="406"/>
      <c r="L30" s="406"/>
      <c r="M30" s="406">
        <v>0</v>
      </c>
      <c r="N30" s="406">
        <v>0</v>
      </c>
      <c r="O30" s="406"/>
      <c r="P30" s="406"/>
      <c r="Q30" s="406">
        <v>0</v>
      </c>
      <c r="R30" s="406"/>
      <c r="S30" s="406"/>
      <c r="T30" s="406">
        <v>0</v>
      </c>
      <c r="U30" s="406"/>
      <c r="V30" s="406"/>
      <c r="W30" s="406">
        <v>0</v>
      </c>
      <c r="X30" s="406">
        <v>0</v>
      </c>
      <c r="Y30" s="406"/>
      <c r="Z30" s="406"/>
      <c r="AA30" s="406">
        <v>0</v>
      </c>
      <c r="AB30" s="406"/>
      <c r="AC30" s="406"/>
      <c r="AD30" s="406">
        <v>0</v>
      </c>
      <c r="AE30" s="406"/>
      <c r="AF30" s="406"/>
      <c r="AG30" s="406">
        <v>0</v>
      </c>
      <c r="AH30" s="406"/>
      <c r="AI30" s="406"/>
      <c r="AJ30" s="406">
        <v>0</v>
      </c>
      <c r="AK30" s="406"/>
      <c r="AL30" s="406"/>
      <c r="AM30" s="406">
        <v>0</v>
      </c>
      <c r="AN30" s="406"/>
      <c r="AO30" s="406"/>
      <c r="AP30" s="406">
        <v>0</v>
      </c>
      <c r="AQ30" s="406"/>
      <c r="AR30" s="406"/>
      <c r="AS30" s="406">
        <v>0</v>
      </c>
      <c r="AT30" s="406"/>
      <c r="AU30" s="406"/>
      <c r="AV30" s="406">
        <v>25</v>
      </c>
      <c r="AW30" s="406">
        <v>0</v>
      </c>
      <c r="AX30" s="406"/>
      <c r="AY30" s="406"/>
      <c r="AZ30" s="406">
        <v>0</v>
      </c>
      <c r="BA30" s="406"/>
      <c r="BB30" s="406"/>
      <c r="BC30" s="406">
        <v>25</v>
      </c>
      <c r="BD30" s="406">
        <v>24</v>
      </c>
      <c r="BE30" s="406">
        <v>1</v>
      </c>
      <c r="BF30" s="403" t="e">
        <f>Y30+#REF!+AE30+AH30</f>
        <v>#REF!</v>
      </c>
      <c r="BG30" s="403" t="e">
        <f>Z30+#REF!+AF30+AI30</f>
        <v>#REF!</v>
      </c>
      <c r="BH30" s="403">
        <f t="shared" si="1"/>
        <v>0</v>
      </c>
      <c r="BI30" s="403">
        <f t="shared" si="1"/>
        <v>0</v>
      </c>
      <c r="BJ30" s="407" t="e">
        <f>AK30+AX30+#REF!</f>
        <v>#REF!</v>
      </c>
      <c r="BK30" s="407" t="e">
        <f>AL30+AY30+#REF!</f>
        <v>#REF!</v>
      </c>
      <c r="BL30" s="407" t="e">
        <f>#REF!+O30+#REF!+BD30+U30+#REF!</f>
        <v>#REF!</v>
      </c>
      <c r="BM30" s="407" t="e">
        <f>#REF!+P30+#REF!+BE30+V30+#REF!</f>
        <v>#REF!</v>
      </c>
      <c r="BN30" s="407">
        <f t="shared" si="2"/>
        <v>0</v>
      </c>
      <c r="BO30" s="407">
        <f t="shared" si="2"/>
        <v>0</v>
      </c>
      <c r="BQ30" s="403" t="e">
        <f>#REF!+P30+V30+#REF!+#REF!+BE30</f>
        <v>#REF!</v>
      </c>
      <c r="BR30" s="403">
        <f t="shared" si="0"/>
        <v>0</v>
      </c>
    </row>
    <row r="31" spans="1:70" ht="20.25" customHeight="1" x14ac:dyDescent="0.25">
      <c r="A31" s="404">
        <v>20</v>
      </c>
      <c r="B31" s="405" t="s">
        <v>131</v>
      </c>
      <c r="C31" s="406">
        <v>1370</v>
      </c>
      <c r="D31" s="728">
        <v>1297</v>
      </c>
      <c r="E31" s="728">
        <v>73</v>
      </c>
      <c r="F31" s="728">
        <v>0</v>
      </c>
      <c r="G31" s="406">
        <v>0</v>
      </c>
      <c r="H31" s="406"/>
      <c r="I31" s="406"/>
      <c r="J31" s="406">
        <v>0</v>
      </c>
      <c r="K31" s="406"/>
      <c r="L31" s="406"/>
      <c r="M31" s="406">
        <v>0</v>
      </c>
      <c r="N31" s="406">
        <v>0</v>
      </c>
      <c r="O31" s="406"/>
      <c r="P31" s="406"/>
      <c r="Q31" s="406">
        <v>0</v>
      </c>
      <c r="R31" s="406"/>
      <c r="S31" s="406"/>
      <c r="T31" s="406">
        <v>0</v>
      </c>
      <c r="U31" s="406"/>
      <c r="V31" s="406"/>
      <c r="W31" s="406">
        <v>0</v>
      </c>
      <c r="X31" s="406">
        <v>0</v>
      </c>
      <c r="Y31" s="406"/>
      <c r="Z31" s="406"/>
      <c r="AA31" s="406">
        <v>0</v>
      </c>
      <c r="AB31" s="406"/>
      <c r="AC31" s="406"/>
      <c r="AD31" s="406">
        <v>0</v>
      </c>
      <c r="AE31" s="406"/>
      <c r="AF31" s="406"/>
      <c r="AG31" s="406">
        <v>0</v>
      </c>
      <c r="AH31" s="406"/>
      <c r="AI31" s="406"/>
      <c r="AJ31" s="406">
        <v>0</v>
      </c>
      <c r="AK31" s="406"/>
      <c r="AL31" s="406"/>
      <c r="AM31" s="406">
        <v>0</v>
      </c>
      <c r="AN31" s="406"/>
      <c r="AO31" s="406"/>
      <c r="AP31" s="406">
        <v>0</v>
      </c>
      <c r="AQ31" s="406"/>
      <c r="AR31" s="406"/>
      <c r="AS31" s="406">
        <v>0</v>
      </c>
      <c r="AT31" s="406"/>
      <c r="AU31" s="406"/>
      <c r="AV31" s="406">
        <v>1370</v>
      </c>
      <c r="AW31" s="406">
        <v>1345</v>
      </c>
      <c r="AX31" s="406">
        <v>1273</v>
      </c>
      <c r="AY31" s="406">
        <v>72</v>
      </c>
      <c r="AZ31" s="406">
        <v>0</v>
      </c>
      <c r="BA31" s="406"/>
      <c r="BB31" s="406"/>
      <c r="BC31" s="406">
        <v>25</v>
      </c>
      <c r="BD31" s="406">
        <v>24</v>
      </c>
      <c r="BE31" s="406">
        <v>1</v>
      </c>
      <c r="BF31" s="403" t="e">
        <f>Y31+#REF!+AE31+AH31</f>
        <v>#REF!</v>
      </c>
      <c r="BG31" s="403" t="e">
        <f>Z31+#REF!+AF31+AI31</f>
        <v>#REF!</v>
      </c>
      <c r="BH31" s="403">
        <f t="shared" si="1"/>
        <v>0</v>
      </c>
      <c r="BI31" s="403">
        <f t="shared" si="1"/>
        <v>0</v>
      </c>
      <c r="BJ31" s="407" t="e">
        <f>AK31+AX31+#REF!</f>
        <v>#REF!</v>
      </c>
      <c r="BK31" s="407" t="e">
        <f>AL31+AY31+#REF!</f>
        <v>#REF!</v>
      </c>
      <c r="BL31" s="407" t="e">
        <f>#REF!+O31+#REF!+BD31+U31+#REF!</f>
        <v>#REF!</v>
      </c>
      <c r="BM31" s="407" t="e">
        <f>#REF!+P31+#REF!+BE31+V31+#REF!</f>
        <v>#REF!</v>
      </c>
      <c r="BN31" s="407">
        <f t="shared" si="2"/>
        <v>0</v>
      </c>
      <c r="BO31" s="407">
        <f t="shared" si="2"/>
        <v>0</v>
      </c>
      <c r="BQ31" s="403" t="e">
        <f>#REF!+P31+V31+#REF!+#REF!+BE31</f>
        <v>#REF!</v>
      </c>
      <c r="BR31" s="403">
        <f t="shared" si="0"/>
        <v>0</v>
      </c>
    </row>
    <row r="32" spans="1:70" ht="20.25" customHeight="1" x14ac:dyDescent="0.25">
      <c r="A32" s="404">
        <v>21</v>
      </c>
      <c r="B32" s="405" t="s">
        <v>230</v>
      </c>
      <c r="C32" s="406">
        <v>266</v>
      </c>
      <c r="D32" s="728">
        <v>265</v>
      </c>
      <c r="E32" s="728">
        <v>1</v>
      </c>
      <c r="F32" s="728">
        <v>0</v>
      </c>
      <c r="G32" s="406">
        <v>0</v>
      </c>
      <c r="H32" s="406"/>
      <c r="I32" s="406"/>
      <c r="J32" s="406">
        <v>0</v>
      </c>
      <c r="K32" s="406"/>
      <c r="L32" s="406"/>
      <c r="M32" s="406">
        <v>0</v>
      </c>
      <c r="N32" s="406">
        <v>0</v>
      </c>
      <c r="O32" s="406"/>
      <c r="P32" s="406"/>
      <c r="Q32" s="406">
        <v>0</v>
      </c>
      <c r="R32" s="406"/>
      <c r="S32" s="406"/>
      <c r="T32" s="406">
        <v>0</v>
      </c>
      <c r="U32" s="406"/>
      <c r="V32" s="406"/>
      <c r="W32" s="406">
        <v>0</v>
      </c>
      <c r="X32" s="406">
        <v>0</v>
      </c>
      <c r="Y32" s="406"/>
      <c r="Z32" s="406"/>
      <c r="AA32" s="406">
        <v>0</v>
      </c>
      <c r="AB32" s="406"/>
      <c r="AC32" s="406"/>
      <c r="AD32" s="406">
        <v>0</v>
      </c>
      <c r="AE32" s="406"/>
      <c r="AF32" s="406"/>
      <c r="AG32" s="406">
        <v>0</v>
      </c>
      <c r="AH32" s="406"/>
      <c r="AI32" s="406"/>
      <c r="AJ32" s="406">
        <v>0</v>
      </c>
      <c r="AK32" s="406"/>
      <c r="AL32" s="406"/>
      <c r="AM32" s="406">
        <v>0</v>
      </c>
      <c r="AN32" s="406"/>
      <c r="AO32" s="406"/>
      <c r="AP32" s="406">
        <v>0</v>
      </c>
      <c r="AQ32" s="406"/>
      <c r="AR32" s="406"/>
      <c r="AS32" s="406">
        <v>0</v>
      </c>
      <c r="AT32" s="406"/>
      <c r="AU32" s="406"/>
      <c r="AV32" s="406">
        <v>266</v>
      </c>
      <c r="AW32" s="406">
        <v>0</v>
      </c>
      <c r="AX32" s="406"/>
      <c r="AY32" s="406"/>
      <c r="AZ32" s="406">
        <v>241</v>
      </c>
      <c r="BA32" s="406">
        <v>241</v>
      </c>
      <c r="BB32" s="406"/>
      <c r="BC32" s="406">
        <v>25</v>
      </c>
      <c r="BD32" s="406">
        <v>24</v>
      </c>
      <c r="BE32" s="406">
        <v>1</v>
      </c>
      <c r="BF32" s="403" t="e">
        <f>Y32+#REF!+AE32+AH32</f>
        <v>#REF!</v>
      </c>
      <c r="BG32" s="403" t="e">
        <f>Z32+#REF!+AF32+AI32</f>
        <v>#REF!</v>
      </c>
      <c r="BH32" s="403">
        <f t="shared" si="1"/>
        <v>0</v>
      </c>
      <c r="BI32" s="403">
        <f t="shared" si="1"/>
        <v>0</v>
      </c>
      <c r="BJ32" s="407" t="e">
        <f>AK32+AX32+#REF!</f>
        <v>#REF!</v>
      </c>
      <c r="BK32" s="407" t="e">
        <f>AL32+AY32+#REF!</f>
        <v>#REF!</v>
      </c>
      <c r="BL32" s="407" t="e">
        <f>#REF!+O32+#REF!+BD32+U32+#REF!</f>
        <v>#REF!</v>
      </c>
      <c r="BM32" s="407" t="e">
        <f>#REF!+P32+#REF!+BE32+V32+#REF!</f>
        <v>#REF!</v>
      </c>
      <c r="BN32" s="407">
        <f t="shared" si="2"/>
        <v>0</v>
      </c>
      <c r="BO32" s="407">
        <f t="shared" si="2"/>
        <v>0</v>
      </c>
      <c r="BQ32" s="403" t="e">
        <f>#REF!+P32+V32+#REF!+#REF!+BE32</f>
        <v>#REF!</v>
      </c>
      <c r="BR32" s="403">
        <f t="shared" si="0"/>
        <v>0</v>
      </c>
    </row>
    <row r="33" spans="1:70" ht="20.25" customHeight="1" x14ac:dyDescent="0.25">
      <c r="A33" s="404">
        <v>22</v>
      </c>
      <c r="B33" s="405" t="s">
        <v>231</v>
      </c>
      <c r="C33" s="406">
        <v>25</v>
      </c>
      <c r="D33" s="728">
        <v>24</v>
      </c>
      <c r="E33" s="728">
        <v>1</v>
      </c>
      <c r="F33" s="728">
        <v>0</v>
      </c>
      <c r="G33" s="406">
        <v>0</v>
      </c>
      <c r="H33" s="406"/>
      <c r="I33" s="406"/>
      <c r="J33" s="406">
        <v>0</v>
      </c>
      <c r="K33" s="406"/>
      <c r="L33" s="406"/>
      <c r="M33" s="406">
        <v>0</v>
      </c>
      <c r="N33" s="406">
        <v>0</v>
      </c>
      <c r="O33" s="406"/>
      <c r="P33" s="406"/>
      <c r="Q33" s="406">
        <v>0</v>
      </c>
      <c r="R33" s="406"/>
      <c r="S33" s="406"/>
      <c r="T33" s="406">
        <v>0</v>
      </c>
      <c r="U33" s="406"/>
      <c r="V33" s="406"/>
      <c r="W33" s="406">
        <v>0</v>
      </c>
      <c r="X33" s="406">
        <v>0</v>
      </c>
      <c r="Y33" s="406"/>
      <c r="Z33" s="406"/>
      <c r="AA33" s="406">
        <v>0</v>
      </c>
      <c r="AB33" s="406"/>
      <c r="AC33" s="406"/>
      <c r="AD33" s="406">
        <v>0</v>
      </c>
      <c r="AE33" s="406"/>
      <c r="AF33" s="406"/>
      <c r="AG33" s="406">
        <v>0</v>
      </c>
      <c r="AH33" s="406"/>
      <c r="AI33" s="406"/>
      <c r="AJ33" s="406">
        <v>0</v>
      </c>
      <c r="AK33" s="406"/>
      <c r="AL33" s="406"/>
      <c r="AM33" s="406">
        <v>0</v>
      </c>
      <c r="AN33" s="406"/>
      <c r="AO33" s="406"/>
      <c r="AP33" s="406">
        <v>0</v>
      </c>
      <c r="AQ33" s="406"/>
      <c r="AR33" s="406"/>
      <c r="AS33" s="406">
        <v>0</v>
      </c>
      <c r="AT33" s="406"/>
      <c r="AU33" s="406"/>
      <c r="AV33" s="406">
        <v>25</v>
      </c>
      <c r="AW33" s="406">
        <v>0</v>
      </c>
      <c r="AX33" s="406"/>
      <c r="AY33" s="406"/>
      <c r="AZ33" s="406">
        <v>0</v>
      </c>
      <c r="BA33" s="406"/>
      <c r="BB33" s="406"/>
      <c r="BC33" s="406">
        <v>25</v>
      </c>
      <c r="BD33" s="406">
        <v>24</v>
      </c>
      <c r="BE33" s="406">
        <v>1</v>
      </c>
      <c r="BF33" s="403" t="e">
        <f>Y33+#REF!+AE33+AH33</f>
        <v>#REF!</v>
      </c>
      <c r="BG33" s="403" t="e">
        <f>Z33+#REF!+AF33+AI33</f>
        <v>#REF!</v>
      </c>
      <c r="BH33" s="403">
        <f t="shared" si="1"/>
        <v>0</v>
      </c>
      <c r="BI33" s="403">
        <f t="shared" si="1"/>
        <v>0</v>
      </c>
      <c r="BJ33" s="407" t="e">
        <f>AK33+AX33+#REF!</f>
        <v>#REF!</v>
      </c>
      <c r="BK33" s="407" t="e">
        <f>AL33+AY33+#REF!</f>
        <v>#REF!</v>
      </c>
      <c r="BL33" s="407" t="e">
        <f>#REF!+O33+#REF!+BD33+U33+#REF!</f>
        <v>#REF!</v>
      </c>
      <c r="BM33" s="407" t="e">
        <f>#REF!+P33+#REF!+BE33+V33+#REF!</f>
        <v>#REF!</v>
      </c>
      <c r="BN33" s="407">
        <f t="shared" si="2"/>
        <v>0</v>
      </c>
      <c r="BO33" s="407">
        <f t="shared" si="2"/>
        <v>0</v>
      </c>
      <c r="BQ33" s="403" t="e">
        <f>#REF!+P33+V33+#REF!+#REF!+BE33</f>
        <v>#REF!</v>
      </c>
      <c r="BR33" s="403">
        <f t="shared" si="0"/>
        <v>0</v>
      </c>
    </row>
    <row r="34" spans="1:70" ht="20.25" customHeight="1" x14ac:dyDescent="0.25">
      <c r="A34" s="404">
        <v>23</v>
      </c>
      <c r="B34" s="405" t="s">
        <v>143</v>
      </c>
      <c r="C34" s="406">
        <v>25</v>
      </c>
      <c r="D34" s="728">
        <v>24</v>
      </c>
      <c r="E34" s="728">
        <v>1</v>
      </c>
      <c r="F34" s="728">
        <v>0</v>
      </c>
      <c r="G34" s="406">
        <v>0</v>
      </c>
      <c r="H34" s="406"/>
      <c r="I34" s="406"/>
      <c r="J34" s="406">
        <v>0</v>
      </c>
      <c r="K34" s="406"/>
      <c r="L34" s="406"/>
      <c r="M34" s="406">
        <v>0</v>
      </c>
      <c r="N34" s="406">
        <v>0</v>
      </c>
      <c r="O34" s="406"/>
      <c r="P34" s="406"/>
      <c r="Q34" s="406">
        <v>0</v>
      </c>
      <c r="R34" s="406"/>
      <c r="S34" s="406"/>
      <c r="T34" s="406">
        <v>0</v>
      </c>
      <c r="U34" s="406"/>
      <c r="V34" s="406"/>
      <c r="W34" s="406">
        <v>0</v>
      </c>
      <c r="X34" s="406">
        <v>0</v>
      </c>
      <c r="Y34" s="406"/>
      <c r="Z34" s="406"/>
      <c r="AA34" s="406">
        <v>0</v>
      </c>
      <c r="AB34" s="406"/>
      <c r="AC34" s="406"/>
      <c r="AD34" s="406">
        <v>0</v>
      </c>
      <c r="AE34" s="406"/>
      <c r="AF34" s="406"/>
      <c r="AG34" s="406">
        <v>0</v>
      </c>
      <c r="AH34" s="406"/>
      <c r="AI34" s="406"/>
      <c r="AJ34" s="406">
        <v>0</v>
      </c>
      <c r="AK34" s="406"/>
      <c r="AL34" s="406"/>
      <c r="AM34" s="406">
        <v>0</v>
      </c>
      <c r="AN34" s="406"/>
      <c r="AO34" s="406"/>
      <c r="AP34" s="406">
        <v>0</v>
      </c>
      <c r="AQ34" s="406"/>
      <c r="AR34" s="406"/>
      <c r="AS34" s="406">
        <v>0</v>
      </c>
      <c r="AT34" s="406"/>
      <c r="AU34" s="406"/>
      <c r="AV34" s="406">
        <v>25</v>
      </c>
      <c r="AW34" s="406">
        <v>0</v>
      </c>
      <c r="AX34" s="406"/>
      <c r="AY34" s="406"/>
      <c r="AZ34" s="406">
        <v>0</v>
      </c>
      <c r="BA34" s="406"/>
      <c r="BB34" s="406"/>
      <c r="BC34" s="406">
        <v>25</v>
      </c>
      <c r="BD34" s="406">
        <v>24</v>
      </c>
      <c r="BE34" s="406">
        <v>1</v>
      </c>
      <c r="BF34" s="406">
        <f>'[6]B17-TDA3,DA10'!F76</f>
        <v>26.806891173857064</v>
      </c>
      <c r="BG34" s="406">
        <f>'[6]B17-TDA3,DA10'!G76</f>
        <v>0</v>
      </c>
      <c r="BH34" s="406">
        <f>'[6]B17-TDA3,DA10'!H76</f>
        <v>0</v>
      </c>
      <c r="BI34" s="406">
        <f>'[6]B17-TDA3,DA10'!I76</f>
        <v>0</v>
      </c>
      <c r="BJ34" s="406">
        <f>'[6]B17-TDA3,DA10'!J76</f>
        <v>0</v>
      </c>
      <c r="BK34" s="406">
        <f>'[6]B17-TDA3,DA10'!K76</f>
        <v>0</v>
      </c>
      <c r="BL34" s="406">
        <f>'[6]B17-TDA3,DA10'!L76</f>
        <v>0</v>
      </c>
      <c r="BM34" s="406">
        <f>'[6]B17-TDA3,DA10'!M76</f>
        <v>0</v>
      </c>
      <c r="BN34" s="406">
        <f>'[6]B17-TDA3,DA10'!N76</f>
        <v>0</v>
      </c>
      <c r="BO34" s="406">
        <f>'[6]B17-TDA3,DA10'!O76</f>
        <v>0</v>
      </c>
      <c r="BQ34" s="403" t="e">
        <f>#REF!+P34+V34+#REF!+#REF!+BE34</f>
        <v>#REF!</v>
      </c>
      <c r="BR34" s="403">
        <f t="shared" si="0"/>
        <v>0</v>
      </c>
    </row>
    <row r="35" spans="1:70" ht="20.25" customHeight="1" x14ac:dyDescent="0.25">
      <c r="A35" s="404">
        <v>24</v>
      </c>
      <c r="B35" s="405" t="s">
        <v>249</v>
      </c>
      <c r="C35" s="406">
        <v>25</v>
      </c>
      <c r="D35" s="728">
        <v>24</v>
      </c>
      <c r="E35" s="728">
        <v>1</v>
      </c>
      <c r="F35" s="728">
        <v>0</v>
      </c>
      <c r="G35" s="406">
        <v>0</v>
      </c>
      <c r="H35" s="406"/>
      <c r="I35" s="406"/>
      <c r="J35" s="406">
        <v>0</v>
      </c>
      <c r="K35" s="406"/>
      <c r="L35" s="406"/>
      <c r="M35" s="406">
        <v>0</v>
      </c>
      <c r="N35" s="406">
        <v>0</v>
      </c>
      <c r="O35" s="406"/>
      <c r="P35" s="406"/>
      <c r="Q35" s="406">
        <v>0</v>
      </c>
      <c r="R35" s="406"/>
      <c r="S35" s="406"/>
      <c r="T35" s="406">
        <v>0</v>
      </c>
      <c r="U35" s="406"/>
      <c r="V35" s="406"/>
      <c r="W35" s="406">
        <v>0</v>
      </c>
      <c r="X35" s="406">
        <v>0</v>
      </c>
      <c r="Y35" s="406"/>
      <c r="Z35" s="406"/>
      <c r="AA35" s="406">
        <v>0</v>
      </c>
      <c r="AB35" s="406"/>
      <c r="AC35" s="406"/>
      <c r="AD35" s="406">
        <v>0</v>
      </c>
      <c r="AE35" s="406"/>
      <c r="AF35" s="406"/>
      <c r="AG35" s="406">
        <v>0</v>
      </c>
      <c r="AH35" s="406"/>
      <c r="AI35" s="406"/>
      <c r="AJ35" s="406">
        <v>0</v>
      </c>
      <c r="AK35" s="406"/>
      <c r="AL35" s="406"/>
      <c r="AM35" s="406">
        <v>0</v>
      </c>
      <c r="AN35" s="406"/>
      <c r="AO35" s="406"/>
      <c r="AP35" s="406">
        <v>0</v>
      </c>
      <c r="AQ35" s="406"/>
      <c r="AR35" s="406"/>
      <c r="AS35" s="406">
        <v>0</v>
      </c>
      <c r="AT35" s="406"/>
      <c r="AU35" s="406"/>
      <c r="AV35" s="406">
        <v>25</v>
      </c>
      <c r="AW35" s="406">
        <v>0</v>
      </c>
      <c r="AX35" s="406"/>
      <c r="AY35" s="406"/>
      <c r="AZ35" s="406">
        <v>0</v>
      </c>
      <c r="BA35" s="406"/>
      <c r="BB35" s="406"/>
      <c r="BC35" s="406">
        <v>25</v>
      </c>
      <c r="BD35" s="406">
        <v>24</v>
      </c>
      <c r="BE35" s="406">
        <v>1</v>
      </c>
      <c r="BF35" s="406">
        <f>'[6]B17-TDA3,DA10'!F77</f>
        <v>26.806891173857064</v>
      </c>
      <c r="BG35" s="406">
        <f>'[6]B17-TDA3,DA10'!G77</f>
        <v>0</v>
      </c>
      <c r="BH35" s="406">
        <f>'[6]B17-TDA3,DA10'!H77</f>
        <v>0</v>
      </c>
      <c r="BI35" s="406">
        <f>'[6]B17-TDA3,DA10'!I77</f>
        <v>0</v>
      </c>
      <c r="BJ35" s="406">
        <f>'[6]B17-TDA3,DA10'!J77</f>
        <v>0</v>
      </c>
      <c r="BK35" s="406">
        <f>'[6]B17-TDA3,DA10'!K77</f>
        <v>0</v>
      </c>
      <c r="BL35" s="406">
        <f>'[6]B17-TDA3,DA10'!L77</f>
        <v>0</v>
      </c>
      <c r="BM35" s="406">
        <f>'[6]B17-TDA3,DA10'!M77</f>
        <v>0</v>
      </c>
      <c r="BN35" s="406">
        <f>'[6]B17-TDA3,DA10'!N77</f>
        <v>0</v>
      </c>
      <c r="BO35" s="406">
        <f>'[6]B17-TDA3,DA10'!O77</f>
        <v>0</v>
      </c>
      <c r="BQ35" s="403" t="e">
        <f>#REF!+P35+V35+#REF!+#REF!+BE35</f>
        <v>#REF!</v>
      </c>
      <c r="BR35" s="403">
        <f t="shared" si="0"/>
        <v>0</v>
      </c>
    </row>
    <row r="36" spans="1:70" ht="20.25" customHeight="1" x14ac:dyDescent="0.25">
      <c r="A36" s="404">
        <v>25</v>
      </c>
      <c r="B36" s="405" t="s">
        <v>315</v>
      </c>
      <c r="C36" s="406">
        <v>1025</v>
      </c>
      <c r="D36" s="728">
        <v>1025</v>
      </c>
      <c r="E36" s="728">
        <v>0</v>
      </c>
      <c r="F36" s="728">
        <v>0</v>
      </c>
      <c r="G36" s="406">
        <v>0</v>
      </c>
      <c r="H36" s="406"/>
      <c r="I36" s="406"/>
      <c r="J36" s="406">
        <v>0</v>
      </c>
      <c r="K36" s="406"/>
      <c r="L36" s="406"/>
      <c r="M36" s="406">
        <v>1025</v>
      </c>
      <c r="N36" s="406">
        <v>1025</v>
      </c>
      <c r="O36" s="406">
        <v>1025</v>
      </c>
      <c r="P36" s="406"/>
      <c r="Q36" s="406">
        <v>0</v>
      </c>
      <c r="R36" s="406"/>
      <c r="S36" s="406"/>
      <c r="T36" s="406">
        <v>0</v>
      </c>
      <c r="U36" s="406"/>
      <c r="V36" s="406"/>
      <c r="W36" s="406">
        <v>0</v>
      </c>
      <c r="X36" s="406">
        <v>0</v>
      </c>
      <c r="Y36" s="406"/>
      <c r="Z36" s="406"/>
      <c r="AA36" s="406">
        <v>0</v>
      </c>
      <c r="AB36" s="406"/>
      <c r="AC36" s="406"/>
      <c r="AD36" s="406">
        <v>0</v>
      </c>
      <c r="AE36" s="406"/>
      <c r="AF36" s="406"/>
      <c r="AG36" s="406">
        <v>0</v>
      </c>
      <c r="AH36" s="406"/>
      <c r="AI36" s="406"/>
      <c r="AJ36" s="406">
        <v>0</v>
      </c>
      <c r="AK36" s="406"/>
      <c r="AL36" s="406"/>
      <c r="AM36" s="406">
        <v>0</v>
      </c>
      <c r="AN36" s="406"/>
      <c r="AO36" s="406"/>
      <c r="AP36" s="406">
        <v>0</v>
      </c>
      <c r="AQ36" s="406"/>
      <c r="AR36" s="406"/>
      <c r="AS36" s="406">
        <v>0</v>
      </c>
      <c r="AT36" s="406"/>
      <c r="AU36" s="406"/>
      <c r="AV36" s="406">
        <v>0</v>
      </c>
      <c r="AW36" s="406">
        <v>0</v>
      </c>
      <c r="AX36" s="406"/>
      <c r="AY36" s="406"/>
      <c r="AZ36" s="406">
        <v>0</v>
      </c>
      <c r="BA36" s="406"/>
      <c r="BB36" s="406"/>
      <c r="BC36" s="406">
        <v>0</v>
      </c>
      <c r="BD36" s="406"/>
      <c r="BE36" s="406"/>
      <c r="BF36" s="403" t="e">
        <f>Y36+#REF!+AE36+AH36</f>
        <v>#REF!</v>
      </c>
      <c r="BG36" s="403" t="e">
        <f>Z36+#REF!+AF36+AI36</f>
        <v>#REF!</v>
      </c>
      <c r="BH36" s="403">
        <f>R36+AN36</f>
        <v>0</v>
      </c>
      <c r="BI36" s="403">
        <f>S36+AO36</f>
        <v>0</v>
      </c>
      <c r="BJ36" s="407" t="e">
        <f>AK36+AX36+#REF!</f>
        <v>#REF!</v>
      </c>
      <c r="BK36" s="407" t="e">
        <f>AL36+AY36+#REF!</f>
        <v>#REF!</v>
      </c>
      <c r="BL36" s="407" t="e">
        <f>#REF!+O36+#REF!+BD36+U36+#REF!</f>
        <v>#REF!</v>
      </c>
      <c r="BM36" s="407" t="e">
        <f>#REF!+P36+#REF!+BE36+V36+#REF!</f>
        <v>#REF!</v>
      </c>
      <c r="BN36" s="407">
        <f>H36+AQ36</f>
        <v>0</v>
      </c>
      <c r="BO36" s="407">
        <f>I36+AR36</f>
        <v>0</v>
      </c>
      <c r="BQ36" s="403" t="e">
        <f>#REF!+P36+V36+#REF!+#REF!+BE36</f>
        <v>#REF!</v>
      </c>
      <c r="BR36" s="403">
        <f t="shared" si="0"/>
        <v>0</v>
      </c>
    </row>
    <row r="37" spans="1:70" s="2" customFormat="1" ht="20.25" customHeight="1" x14ac:dyDescent="0.25">
      <c r="A37" s="729" t="s">
        <v>31</v>
      </c>
      <c r="B37" s="730" t="s">
        <v>242</v>
      </c>
      <c r="C37" s="731">
        <v>318243</v>
      </c>
      <c r="D37" s="731">
        <v>303091</v>
      </c>
      <c r="E37" s="731">
        <v>15152</v>
      </c>
      <c r="F37" s="731">
        <v>5817</v>
      </c>
      <c r="G37" s="731">
        <v>1852</v>
      </c>
      <c r="H37" s="731">
        <v>1763</v>
      </c>
      <c r="I37" s="731">
        <v>89</v>
      </c>
      <c r="J37" s="731">
        <v>3965</v>
      </c>
      <c r="K37" s="731">
        <v>3778</v>
      </c>
      <c r="L37" s="731">
        <v>187</v>
      </c>
      <c r="M37" s="731">
        <v>192132</v>
      </c>
      <c r="N37" s="731">
        <v>104106</v>
      </c>
      <c r="O37" s="731">
        <v>104106</v>
      </c>
      <c r="P37" s="731">
        <v>0</v>
      </c>
      <c r="Q37" s="731">
        <v>88026</v>
      </c>
      <c r="R37" s="731">
        <v>79356</v>
      </c>
      <c r="S37" s="731">
        <v>8670</v>
      </c>
      <c r="T37" s="731">
        <v>19817</v>
      </c>
      <c r="U37" s="731">
        <v>18873</v>
      </c>
      <c r="V37" s="731">
        <v>944</v>
      </c>
      <c r="W37" s="731">
        <v>62209</v>
      </c>
      <c r="X37" s="731">
        <v>13679</v>
      </c>
      <c r="Y37" s="731">
        <v>12647</v>
      </c>
      <c r="Z37" s="731">
        <v>1032</v>
      </c>
      <c r="AA37" s="731">
        <v>2425</v>
      </c>
      <c r="AB37" s="731">
        <v>2425</v>
      </c>
      <c r="AC37" s="731">
        <v>0</v>
      </c>
      <c r="AD37" s="731">
        <v>31636</v>
      </c>
      <c r="AE37" s="731">
        <v>29250</v>
      </c>
      <c r="AF37" s="731">
        <v>2386</v>
      </c>
      <c r="AG37" s="731">
        <v>14469</v>
      </c>
      <c r="AH37" s="731">
        <v>14469</v>
      </c>
      <c r="AI37" s="731">
        <v>0</v>
      </c>
      <c r="AJ37" s="731">
        <v>3474</v>
      </c>
      <c r="AK37" s="731">
        <v>3307</v>
      </c>
      <c r="AL37" s="731">
        <v>167</v>
      </c>
      <c r="AM37" s="731">
        <v>0</v>
      </c>
      <c r="AN37" s="731">
        <v>0</v>
      </c>
      <c r="AO37" s="731">
        <v>0</v>
      </c>
      <c r="AP37" s="731">
        <v>25132</v>
      </c>
      <c r="AQ37" s="731">
        <v>23934</v>
      </c>
      <c r="AR37" s="731">
        <v>1198</v>
      </c>
      <c r="AS37" s="731">
        <v>3321</v>
      </c>
      <c r="AT37" s="731">
        <v>3164</v>
      </c>
      <c r="AU37" s="731">
        <v>157</v>
      </c>
      <c r="AV37" s="731">
        <v>6341</v>
      </c>
      <c r="AW37" s="731">
        <v>4484</v>
      </c>
      <c r="AX37" s="731">
        <v>4245</v>
      </c>
      <c r="AY37" s="731">
        <v>239</v>
      </c>
      <c r="AZ37" s="731">
        <v>467</v>
      </c>
      <c r="BA37" s="731">
        <v>467</v>
      </c>
      <c r="BB37" s="731">
        <v>0</v>
      </c>
      <c r="BC37" s="731">
        <v>1390</v>
      </c>
      <c r="BD37" s="731">
        <v>1307</v>
      </c>
      <c r="BE37" s="731">
        <v>83</v>
      </c>
      <c r="BF37" s="403"/>
      <c r="BG37" s="403"/>
      <c r="BH37" s="403"/>
      <c r="BI37" s="403"/>
      <c r="BJ37" s="407"/>
      <c r="BK37" s="407"/>
      <c r="BL37" s="407"/>
      <c r="BM37" s="407"/>
      <c r="BN37" s="407"/>
      <c r="BO37" s="407"/>
      <c r="BQ37" s="99" t="e">
        <f>#REF!+P37+V37+#REF!+#REF!+BE37</f>
        <v>#REF!</v>
      </c>
      <c r="BR37" s="99">
        <f t="shared" si="0"/>
        <v>1287</v>
      </c>
    </row>
    <row r="38" spans="1:70" ht="20.25" customHeight="1" x14ac:dyDescent="0.25">
      <c r="A38" s="404">
        <v>1</v>
      </c>
      <c r="B38" s="3" t="s">
        <v>38</v>
      </c>
      <c r="C38" s="406">
        <v>42675</v>
      </c>
      <c r="D38" s="728">
        <v>40642</v>
      </c>
      <c r="E38" s="728">
        <v>2033</v>
      </c>
      <c r="F38" s="728">
        <v>926</v>
      </c>
      <c r="G38" s="406">
        <v>629</v>
      </c>
      <c r="H38" s="732">
        <v>599</v>
      </c>
      <c r="I38" s="732">
        <v>30</v>
      </c>
      <c r="J38" s="406">
        <v>297</v>
      </c>
      <c r="K38" s="732">
        <v>283</v>
      </c>
      <c r="L38" s="732">
        <v>14</v>
      </c>
      <c r="M38" s="406">
        <v>28028</v>
      </c>
      <c r="N38" s="406">
        <v>14810</v>
      </c>
      <c r="O38" s="406">
        <v>14810</v>
      </c>
      <c r="P38" s="406"/>
      <c r="Q38" s="406">
        <v>13218</v>
      </c>
      <c r="R38" s="406">
        <v>11916</v>
      </c>
      <c r="S38" s="406">
        <v>1302</v>
      </c>
      <c r="T38" s="406">
        <v>2375</v>
      </c>
      <c r="U38" s="406">
        <v>2262</v>
      </c>
      <c r="V38" s="406">
        <v>113</v>
      </c>
      <c r="W38" s="406">
        <v>6670</v>
      </c>
      <c r="X38" s="406">
        <v>673</v>
      </c>
      <c r="Y38" s="406">
        <v>622</v>
      </c>
      <c r="Z38" s="406">
        <v>51</v>
      </c>
      <c r="AA38" s="406">
        <v>314</v>
      </c>
      <c r="AB38" s="406">
        <v>314</v>
      </c>
      <c r="AC38" s="406"/>
      <c r="AD38" s="406">
        <v>3954</v>
      </c>
      <c r="AE38" s="406">
        <v>3656</v>
      </c>
      <c r="AF38" s="406">
        <v>298</v>
      </c>
      <c r="AG38" s="406">
        <v>1729</v>
      </c>
      <c r="AH38" s="406">
        <v>1729</v>
      </c>
      <c r="AI38" s="406"/>
      <c r="AJ38" s="406">
        <v>426</v>
      </c>
      <c r="AK38" s="406">
        <v>406</v>
      </c>
      <c r="AL38" s="406">
        <v>20</v>
      </c>
      <c r="AM38" s="406">
        <v>0</v>
      </c>
      <c r="AN38" s="406"/>
      <c r="AO38" s="406"/>
      <c r="AP38" s="406">
        <v>3079</v>
      </c>
      <c r="AQ38" s="406">
        <v>2932</v>
      </c>
      <c r="AR38" s="406">
        <v>147</v>
      </c>
      <c r="AS38" s="406">
        <v>360</v>
      </c>
      <c r="AT38" s="406">
        <v>343</v>
      </c>
      <c r="AU38" s="406">
        <v>17</v>
      </c>
      <c r="AV38" s="406">
        <v>811</v>
      </c>
      <c r="AW38" s="406">
        <v>581</v>
      </c>
      <c r="AX38" s="406">
        <v>550</v>
      </c>
      <c r="AY38" s="406">
        <v>31</v>
      </c>
      <c r="AZ38" s="406">
        <v>57</v>
      </c>
      <c r="BA38" s="406">
        <v>57</v>
      </c>
      <c r="BB38" s="406"/>
      <c r="BC38" s="406">
        <v>173</v>
      </c>
      <c r="BD38" s="406">
        <v>163</v>
      </c>
      <c r="BE38" s="406">
        <v>10</v>
      </c>
      <c r="BF38" s="406">
        <f>'[6]B17-TDA3,DA10'!F79</f>
        <v>182.56152894924205</v>
      </c>
      <c r="BG38" s="406">
        <f>'[6]B17-TDA3,DA10'!G79</f>
        <v>0</v>
      </c>
      <c r="BH38" s="406">
        <f>'[6]B17-TDA3,DA10'!H79</f>
        <v>0</v>
      </c>
      <c r="BI38" s="406">
        <f>'[6]B17-TDA3,DA10'!I79</f>
        <v>0</v>
      </c>
      <c r="BJ38" s="406">
        <f>'[6]B17-TDA3,DA10'!J79</f>
        <v>0</v>
      </c>
      <c r="BK38" s="406">
        <f>'[6]B17-TDA3,DA10'!K79</f>
        <v>0</v>
      </c>
      <c r="BL38" s="406">
        <f>'[6]B17-TDA3,DA10'!L79</f>
        <v>0</v>
      </c>
      <c r="BM38" s="406">
        <f>'[6]B17-TDA3,DA10'!M79</f>
        <v>0</v>
      </c>
      <c r="BN38" s="406">
        <f>'[6]B17-TDA3,DA10'!N79</f>
        <v>0</v>
      </c>
      <c r="BO38" s="406">
        <f>'[6]B17-TDA3,DA10'!O79</f>
        <v>0</v>
      </c>
      <c r="BQ38" s="403" t="e">
        <f>#REF!+P38+V38+#REF!+#REF!+BE38</f>
        <v>#REF!</v>
      </c>
      <c r="BR38" s="403">
        <f t="shared" si="0"/>
        <v>177</v>
      </c>
    </row>
    <row r="39" spans="1:70" ht="20.25" customHeight="1" x14ac:dyDescent="0.25">
      <c r="A39" s="404">
        <v>2</v>
      </c>
      <c r="B39" s="3" t="s">
        <v>39</v>
      </c>
      <c r="C39" s="406">
        <v>39419</v>
      </c>
      <c r="D39" s="728">
        <v>37193</v>
      </c>
      <c r="E39" s="728">
        <v>2226</v>
      </c>
      <c r="F39" s="728">
        <v>485</v>
      </c>
      <c r="G39" s="406">
        <v>245</v>
      </c>
      <c r="H39" s="732">
        <v>233</v>
      </c>
      <c r="I39" s="732">
        <v>12</v>
      </c>
      <c r="J39" s="406">
        <v>240</v>
      </c>
      <c r="K39" s="732">
        <v>229</v>
      </c>
      <c r="L39" s="732">
        <v>11</v>
      </c>
      <c r="M39" s="406">
        <v>21149</v>
      </c>
      <c r="N39" s="406">
        <v>7839</v>
      </c>
      <c r="O39" s="406">
        <v>7839</v>
      </c>
      <c r="P39" s="406"/>
      <c r="Q39" s="406">
        <v>13310</v>
      </c>
      <c r="R39" s="406">
        <v>11999</v>
      </c>
      <c r="S39" s="406">
        <v>1311</v>
      </c>
      <c r="T39" s="406">
        <v>3050</v>
      </c>
      <c r="U39" s="406">
        <v>2905</v>
      </c>
      <c r="V39" s="406">
        <v>145</v>
      </c>
      <c r="W39" s="406">
        <v>8707</v>
      </c>
      <c r="X39" s="406">
        <v>2110</v>
      </c>
      <c r="Y39" s="406">
        <v>1951</v>
      </c>
      <c r="Z39" s="406">
        <v>159</v>
      </c>
      <c r="AA39" s="406">
        <v>448</v>
      </c>
      <c r="AB39" s="406">
        <v>448</v>
      </c>
      <c r="AC39" s="406"/>
      <c r="AD39" s="406">
        <v>3954</v>
      </c>
      <c r="AE39" s="406">
        <v>3656</v>
      </c>
      <c r="AF39" s="406">
        <v>298</v>
      </c>
      <c r="AG39" s="406">
        <v>2195</v>
      </c>
      <c r="AH39" s="406">
        <v>2195</v>
      </c>
      <c r="AI39" s="406"/>
      <c r="AJ39" s="406">
        <v>458</v>
      </c>
      <c r="AK39" s="406">
        <v>436</v>
      </c>
      <c r="AL39" s="406">
        <v>22</v>
      </c>
      <c r="AM39" s="406">
        <v>0</v>
      </c>
      <c r="AN39" s="406"/>
      <c r="AO39" s="406"/>
      <c r="AP39" s="406">
        <v>3959</v>
      </c>
      <c r="AQ39" s="406">
        <v>3770</v>
      </c>
      <c r="AR39" s="406">
        <v>189</v>
      </c>
      <c r="AS39" s="406">
        <v>530</v>
      </c>
      <c r="AT39" s="406">
        <v>505</v>
      </c>
      <c r="AU39" s="406">
        <v>25</v>
      </c>
      <c r="AV39" s="406">
        <v>1081</v>
      </c>
      <c r="AW39" s="406">
        <v>830</v>
      </c>
      <c r="AX39" s="406">
        <v>786</v>
      </c>
      <c r="AY39" s="406">
        <v>44</v>
      </c>
      <c r="AZ39" s="406">
        <v>57</v>
      </c>
      <c r="BA39" s="406">
        <v>57</v>
      </c>
      <c r="BB39" s="406"/>
      <c r="BC39" s="406">
        <v>194</v>
      </c>
      <c r="BD39" s="406">
        <v>184</v>
      </c>
      <c r="BE39" s="406">
        <v>10</v>
      </c>
      <c r="BF39" s="406">
        <f>'[6]B17-TDA3,DA10'!F80</f>
        <v>184.80154770935542</v>
      </c>
      <c r="BG39" s="406">
        <f>'[6]B17-TDA3,DA10'!G80</f>
        <v>0</v>
      </c>
      <c r="BH39" s="406">
        <f>'[6]B17-TDA3,DA10'!H80</f>
        <v>0</v>
      </c>
      <c r="BI39" s="406">
        <f>'[6]B17-TDA3,DA10'!I80</f>
        <v>0</v>
      </c>
      <c r="BJ39" s="406">
        <f>'[6]B17-TDA3,DA10'!J80</f>
        <v>0</v>
      </c>
      <c r="BK39" s="406">
        <f>'[6]B17-TDA3,DA10'!K80</f>
        <v>0</v>
      </c>
      <c r="BL39" s="406">
        <f>'[6]B17-TDA3,DA10'!L80</f>
        <v>0</v>
      </c>
      <c r="BM39" s="406">
        <f>'[6]B17-TDA3,DA10'!M80</f>
        <v>0</v>
      </c>
      <c r="BN39" s="406">
        <f>'[6]B17-TDA3,DA10'!N80</f>
        <v>0</v>
      </c>
      <c r="BO39" s="406">
        <f>'[6]B17-TDA3,DA10'!O80</f>
        <v>0</v>
      </c>
      <c r="BQ39" s="403" t="e">
        <f>#REF!+P39+V39+#REF!+#REF!+BE39</f>
        <v>#REF!</v>
      </c>
      <c r="BR39" s="403">
        <f t="shared" si="0"/>
        <v>201</v>
      </c>
    </row>
    <row r="40" spans="1:70" ht="20.25" customHeight="1" x14ac:dyDescent="0.25">
      <c r="A40" s="404">
        <v>3</v>
      </c>
      <c r="B40" s="3" t="s">
        <v>40</v>
      </c>
      <c r="C40" s="406">
        <v>46039</v>
      </c>
      <c r="D40" s="728">
        <v>44481</v>
      </c>
      <c r="E40" s="728">
        <v>1558</v>
      </c>
      <c r="F40" s="728">
        <v>324</v>
      </c>
      <c r="G40" s="406">
        <v>0</v>
      </c>
      <c r="H40" s="732">
        <v>0</v>
      </c>
      <c r="I40" s="732">
        <v>0</v>
      </c>
      <c r="J40" s="406">
        <v>324</v>
      </c>
      <c r="K40" s="732">
        <v>309</v>
      </c>
      <c r="L40" s="732">
        <v>15</v>
      </c>
      <c r="M40" s="406">
        <v>30058</v>
      </c>
      <c r="N40" s="406">
        <v>23008</v>
      </c>
      <c r="O40" s="406">
        <v>23008</v>
      </c>
      <c r="P40" s="406"/>
      <c r="Q40" s="406">
        <v>7050</v>
      </c>
      <c r="R40" s="406">
        <v>6355</v>
      </c>
      <c r="S40" s="406">
        <v>695</v>
      </c>
      <c r="T40" s="406">
        <v>2241</v>
      </c>
      <c r="U40" s="406">
        <v>2134</v>
      </c>
      <c r="V40" s="406">
        <v>107</v>
      </c>
      <c r="W40" s="406">
        <v>8798</v>
      </c>
      <c r="X40" s="406">
        <v>2850</v>
      </c>
      <c r="Y40" s="406">
        <v>2635</v>
      </c>
      <c r="Z40" s="406">
        <v>215</v>
      </c>
      <c r="AA40" s="406">
        <v>225</v>
      </c>
      <c r="AB40" s="406">
        <v>225</v>
      </c>
      <c r="AC40" s="406"/>
      <c r="AD40" s="406">
        <v>3956</v>
      </c>
      <c r="AE40" s="406">
        <v>3657</v>
      </c>
      <c r="AF40" s="406">
        <v>299</v>
      </c>
      <c r="AG40" s="406">
        <v>1767</v>
      </c>
      <c r="AH40" s="406">
        <v>1767</v>
      </c>
      <c r="AI40" s="406"/>
      <c r="AJ40" s="406">
        <v>526</v>
      </c>
      <c r="AK40" s="406">
        <v>501</v>
      </c>
      <c r="AL40" s="406">
        <v>25</v>
      </c>
      <c r="AM40" s="406">
        <v>0</v>
      </c>
      <c r="AN40" s="406"/>
      <c r="AO40" s="406"/>
      <c r="AP40" s="406">
        <v>2890</v>
      </c>
      <c r="AQ40" s="406">
        <v>2752</v>
      </c>
      <c r="AR40" s="406">
        <v>138</v>
      </c>
      <c r="AS40" s="406">
        <v>546</v>
      </c>
      <c r="AT40" s="406">
        <v>520</v>
      </c>
      <c r="AU40" s="406">
        <v>26</v>
      </c>
      <c r="AV40" s="406">
        <v>656</v>
      </c>
      <c r="AW40" s="406">
        <v>416</v>
      </c>
      <c r="AX40" s="406">
        <v>394</v>
      </c>
      <c r="AY40" s="406">
        <v>22</v>
      </c>
      <c r="AZ40" s="406">
        <v>63</v>
      </c>
      <c r="BA40" s="406">
        <v>63</v>
      </c>
      <c r="BB40" s="406"/>
      <c r="BC40" s="406">
        <v>177</v>
      </c>
      <c r="BD40" s="406">
        <v>161</v>
      </c>
      <c r="BE40" s="406">
        <v>16</v>
      </c>
      <c r="BF40" s="406">
        <f>'[6]B17-TDA3,DA10'!F81</f>
        <v>201.97502487022481</v>
      </c>
      <c r="BG40" s="406">
        <f>'[6]B17-TDA3,DA10'!G81</f>
        <v>0</v>
      </c>
      <c r="BH40" s="406">
        <f>'[6]B17-TDA3,DA10'!H81</f>
        <v>0</v>
      </c>
      <c r="BI40" s="406">
        <f>'[6]B17-TDA3,DA10'!I81</f>
        <v>0</v>
      </c>
      <c r="BJ40" s="406">
        <f>'[6]B17-TDA3,DA10'!J81</f>
        <v>0</v>
      </c>
      <c r="BK40" s="406">
        <f>'[6]B17-TDA3,DA10'!K81</f>
        <v>0</v>
      </c>
      <c r="BL40" s="406">
        <f>'[6]B17-TDA3,DA10'!L81</f>
        <v>0</v>
      </c>
      <c r="BM40" s="406">
        <f>'[6]B17-TDA3,DA10'!M81</f>
        <v>0</v>
      </c>
      <c r="BN40" s="406">
        <f>'[6]B17-TDA3,DA10'!N81</f>
        <v>0</v>
      </c>
      <c r="BO40" s="406">
        <f>'[6]B17-TDA3,DA10'!O81</f>
        <v>0</v>
      </c>
      <c r="BQ40" s="403" t="e">
        <f>#REF!+P40+V40+#REF!+#REF!+BE40</f>
        <v>#REF!</v>
      </c>
      <c r="BR40" s="403">
        <f t="shared" si="0"/>
        <v>138</v>
      </c>
    </row>
    <row r="41" spans="1:70" ht="20.25" customHeight="1" x14ac:dyDescent="0.25">
      <c r="A41" s="404">
        <v>4</v>
      </c>
      <c r="B41" s="3" t="s">
        <v>41</v>
      </c>
      <c r="C41" s="406">
        <v>41624</v>
      </c>
      <c r="D41" s="728">
        <v>39444</v>
      </c>
      <c r="E41" s="728">
        <v>2180</v>
      </c>
      <c r="F41" s="728">
        <v>223</v>
      </c>
      <c r="G41" s="406">
        <v>0</v>
      </c>
      <c r="H41" s="732">
        <v>0</v>
      </c>
      <c r="I41" s="732">
        <v>0</v>
      </c>
      <c r="J41" s="406">
        <v>223</v>
      </c>
      <c r="K41" s="732">
        <v>212</v>
      </c>
      <c r="L41" s="732">
        <v>11</v>
      </c>
      <c r="M41" s="406">
        <v>28169</v>
      </c>
      <c r="N41" s="406">
        <v>12698</v>
      </c>
      <c r="O41" s="406">
        <v>12698</v>
      </c>
      <c r="P41" s="406"/>
      <c r="Q41" s="406">
        <v>15471</v>
      </c>
      <c r="R41" s="406">
        <v>13947</v>
      </c>
      <c r="S41" s="406">
        <v>1524</v>
      </c>
      <c r="T41" s="406">
        <v>2571</v>
      </c>
      <c r="U41" s="406">
        <v>2449</v>
      </c>
      <c r="V41" s="406">
        <v>122</v>
      </c>
      <c r="W41" s="406">
        <v>6030</v>
      </c>
      <c r="X41" s="406">
        <v>14</v>
      </c>
      <c r="Y41" s="406">
        <v>13</v>
      </c>
      <c r="Z41" s="406">
        <v>1</v>
      </c>
      <c r="AA41" s="406">
        <v>314</v>
      </c>
      <c r="AB41" s="406">
        <v>314</v>
      </c>
      <c r="AC41" s="406"/>
      <c r="AD41" s="406">
        <v>3954</v>
      </c>
      <c r="AE41" s="406">
        <v>3656</v>
      </c>
      <c r="AF41" s="406">
        <v>298</v>
      </c>
      <c r="AG41" s="406">
        <v>1748</v>
      </c>
      <c r="AH41" s="406">
        <v>1748</v>
      </c>
      <c r="AI41" s="406"/>
      <c r="AJ41" s="406">
        <v>432</v>
      </c>
      <c r="AK41" s="406">
        <v>411</v>
      </c>
      <c r="AL41" s="406">
        <v>21</v>
      </c>
      <c r="AM41" s="406">
        <v>0</v>
      </c>
      <c r="AN41" s="406"/>
      <c r="AO41" s="406"/>
      <c r="AP41" s="406">
        <v>3142</v>
      </c>
      <c r="AQ41" s="406">
        <v>2992</v>
      </c>
      <c r="AR41" s="406">
        <v>150</v>
      </c>
      <c r="AS41" s="406">
        <v>246</v>
      </c>
      <c r="AT41" s="406">
        <v>234</v>
      </c>
      <c r="AU41" s="406">
        <v>12</v>
      </c>
      <c r="AV41" s="406">
        <v>811</v>
      </c>
      <c r="AW41" s="406">
        <v>581</v>
      </c>
      <c r="AX41" s="406">
        <v>550</v>
      </c>
      <c r="AY41" s="406">
        <v>31</v>
      </c>
      <c r="AZ41" s="406">
        <v>57</v>
      </c>
      <c r="BA41" s="406">
        <v>57</v>
      </c>
      <c r="BB41" s="406"/>
      <c r="BC41" s="406">
        <v>173</v>
      </c>
      <c r="BD41" s="406">
        <v>163</v>
      </c>
      <c r="BE41" s="406">
        <v>10</v>
      </c>
      <c r="BF41" s="406">
        <f>'[6]B17-TDA3,DA10'!F82</f>
        <v>182.93486540926094</v>
      </c>
      <c r="BG41" s="406">
        <f>'[6]B17-TDA3,DA10'!G82</f>
        <v>0</v>
      </c>
      <c r="BH41" s="406">
        <f>'[6]B17-TDA3,DA10'!H82</f>
        <v>0</v>
      </c>
      <c r="BI41" s="406">
        <f>'[6]B17-TDA3,DA10'!I82</f>
        <v>0</v>
      </c>
      <c r="BJ41" s="406">
        <f>'[6]B17-TDA3,DA10'!J82</f>
        <v>0</v>
      </c>
      <c r="BK41" s="406">
        <f>'[6]B17-TDA3,DA10'!K82</f>
        <v>0</v>
      </c>
      <c r="BL41" s="406">
        <f>'[6]B17-TDA3,DA10'!L82</f>
        <v>0</v>
      </c>
      <c r="BM41" s="406">
        <f>'[6]B17-TDA3,DA10'!M82</f>
        <v>0</v>
      </c>
      <c r="BN41" s="406">
        <f>'[6]B17-TDA3,DA10'!N82</f>
        <v>0</v>
      </c>
      <c r="BO41" s="406">
        <f>'[6]B17-TDA3,DA10'!O82</f>
        <v>0</v>
      </c>
      <c r="BQ41" s="403" t="e">
        <f>#REF!+P41+V41+#REF!+#REF!+BE41</f>
        <v>#REF!</v>
      </c>
      <c r="BR41" s="403">
        <f t="shared" si="0"/>
        <v>150</v>
      </c>
    </row>
    <row r="42" spans="1:70" ht="20.25" customHeight="1" x14ac:dyDescent="0.25">
      <c r="A42" s="404">
        <v>5</v>
      </c>
      <c r="B42" s="3" t="s">
        <v>42</v>
      </c>
      <c r="C42" s="406">
        <v>47758</v>
      </c>
      <c r="D42" s="728">
        <v>45427</v>
      </c>
      <c r="E42" s="728">
        <v>2331</v>
      </c>
      <c r="F42" s="728">
        <v>1084</v>
      </c>
      <c r="G42" s="406">
        <v>61</v>
      </c>
      <c r="H42" s="732">
        <v>58</v>
      </c>
      <c r="I42" s="732">
        <v>3</v>
      </c>
      <c r="J42" s="406">
        <v>1023</v>
      </c>
      <c r="K42" s="732">
        <v>975</v>
      </c>
      <c r="L42" s="732">
        <v>48</v>
      </c>
      <c r="M42" s="406">
        <v>26558</v>
      </c>
      <c r="N42" s="406">
        <v>13261</v>
      </c>
      <c r="O42" s="406">
        <v>13261</v>
      </c>
      <c r="P42" s="406"/>
      <c r="Q42" s="406">
        <v>13297</v>
      </c>
      <c r="R42" s="406">
        <v>11988</v>
      </c>
      <c r="S42" s="406">
        <v>1309</v>
      </c>
      <c r="T42" s="406">
        <v>4003</v>
      </c>
      <c r="U42" s="406">
        <v>3812</v>
      </c>
      <c r="V42" s="406">
        <v>191</v>
      </c>
      <c r="W42" s="406">
        <v>9209</v>
      </c>
      <c r="X42" s="406">
        <v>2018</v>
      </c>
      <c r="Y42" s="406">
        <v>1866</v>
      </c>
      <c r="Z42" s="406">
        <v>152</v>
      </c>
      <c r="AA42" s="406">
        <v>382</v>
      </c>
      <c r="AB42" s="406">
        <v>382</v>
      </c>
      <c r="AC42" s="406"/>
      <c r="AD42" s="406">
        <v>3954</v>
      </c>
      <c r="AE42" s="406">
        <v>3656</v>
      </c>
      <c r="AF42" s="406">
        <v>298</v>
      </c>
      <c r="AG42" s="406">
        <v>2855</v>
      </c>
      <c r="AH42" s="406">
        <v>2855</v>
      </c>
      <c r="AI42" s="406"/>
      <c r="AJ42" s="406">
        <v>542</v>
      </c>
      <c r="AK42" s="406">
        <v>516</v>
      </c>
      <c r="AL42" s="406">
        <v>26</v>
      </c>
      <c r="AM42" s="406">
        <v>0</v>
      </c>
      <c r="AN42" s="406"/>
      <c r="AO42" s="406"/>
      <c r="AP42" s="406">
        <v>4837</v>
      </c>
      <c r="AQ42" s="406">
        <v>4607</v>
      </c>
      <c r="AR42" s="406">
        <v>230</v>
      </c>
      <c r="AS42" s="406">
        <v>470</v>
      </c>
      <c r="AT42" s="406">
        <v>448</v>
      </c>
      <c r="AU42" s="406">
        <v>22</v>
      </c>
      <c r="AV42" s="406">
        <v>1055</v>
      </c>
      <c r="AW42" s="406">
        <v>706</v>
      </c>
      <c r="AX42" s="406">
        <v>668</v>
      </c>
      <c r="AY42" s="406">
        <v>38</v>
      </c>
      <c r="AZ42" s="406">
        <v>92</v>
      </c>
      <c r="BA42" s="406">
        <v>92</v>
      </c>
      <c r="BB42" s="406"/>
      <c r="BC42" s="406">
        <v>257</v>
      </c>
      <c r="BD42" s="406">
        <v>243</v>
      </c>
      <c r="BE42" s="406">
        <v>14</v>
      </c>
      <c r="BF42" s="406">
        <f>'[6]B17-TDA3,DA10'!F83</f>
        <v>295.30913987494978</v>
      </c>
      <c r="BG42" s="406">
        <f>'[6]B17-TDA3,DA10'!G83</f>
        <v>0</v>
      </c>
      <c r="BH42" s="406">
        <f>'[6]B17-TDA3,DA10'!H83</f>
        <v>0</v>
      </c>
      <c r="BI42" s="406">
        <f>'[6]B17-TDA3,DA10'!I83</f>
        <v>0</v>
      </c>
      <c r="BJ42" s="406">
        <f>'[6]B17-TDA3,DA10'!J83</f>
        <v>0</v>
      </c>
      <c r="BK42" s="406">
        <f>'[6]B17-TDA3,DA10'!K83</f>
        <v>0</v>
      </c>
      <c r="BL42" s="406">
        <f>'[6]B17-TDA3,DA10'!L83</f>
        <v>0</v>
      </c>
      <c r="BM42" s="406">
        <f>'[6]B17-TDA3,DA10'!M83</f>
        <v>0</v>
      </c>
      <c r="BN42" s="406">
        <f>'[6]B17-TDA3,DA10'!N83</f>
        <v>0</v>
      </c>
      <c r="BO42" s="406">
        <f>'[6]B17-TDA3,DA10'!O83</f>
        <v>0</v>
      </c>
      <c r="BQ42" s="403" t="e">
        <f>#REF!+P42+V42+#REF!+#REF!+BE42</f>
        <v>#REF!</v>
      </c>
      <c r="BR42" s="403">
        <f t="shared" si="0"/>
        <v>233</v>
      </c>
    </row>
    <row r="43" spans="1:70" ht="20.25" customHeight="1" x14ac:dyDescent="0.25">
      <c r="A43" s="404">
        <v>6</v>
      </c>
      <c r="B43" s="3" t="s">
        <v>43</v>
      </c>
      <c r="C43" s="406">
        <v>52391</v>
      </c>
      <c r="D43" s="728">
        <v>50499</v>
      </c>
      <c r="E43" s="728">
        <v>1892</v>
      </c>
      <c r="F43" s="728">
        <v>2019</v>
      </c>
      <c r="G43" s="406">
        <v>401</v>
      </c>
      <c r="H43" s="732">
        <v>382</v>
      </c>
      <c r="I43" s="732">
        <v>19</v>
      </c>
      <c r="J43" s="406">
        <v>1618</v>
      </c>
      <c r="K43" s="732">
        <v>1541</v>
      </c>
      <c r="L43" s="732">
        <v>77</v>
      </c>
      <c r="M43" s="406">
        <v>33216</v>
      </c>
      <c r="N43" s="406">
        <v>24396</v>
      </c>
      <c r="O43" s="406">
        <v>24396</v>
      </c>
      <c r="P43" s="406"/>
      <c r="Q43" s="406">
        <v>8820</v>
      </c>
      <c r="R43" s="406">
        <v>7951</v>
      </c>
      <c r="S43" s="406">
        <v>869</v>
      </c>
      <c r="T43" s="406">
        <v>2430</v>
      </c>
      <c r="U43" s="406">
        <v>2314</v>
      </c>
      <c r="V43" s="406">
        <v>116</v>
      </c>
      <c r="W43" s="406">
        <v>9782</v>
      </c>
      <c r="X43" s="406">
        <v>3659</v>
      </c>
      <c r="Y43" s="406">
        <v>3383</v>
      </c>
      <c r="Z43" s="406">
        <v>276</v>
      </c>
      <c r="AA43" s="406">
        <v>225</v>
      </c>
      <c r="AB43" s="406">
        <v>225</v>
      </c>
      <c r="AC43" s="406"/>
      <c r="AD43" s="406">
        <v>3956</v>
      </c>
      <c r="AE43" s="406">
        <v>3657</v>
      </c>
      <c r="AF43" s="406">
        <v>299</v>
      </c>
      <c r="AG43" s="406">
        <v>1942</v>
      </c>
      <c r="AH43" s="406">
        <v>1942</v>
      </c>
      <c r="AI43" s="406"/>
      <c r="AJ43" s="406">
        <v>495</v>
      </c>
      <c r="AK43" s="406">
        <v>471</v>
      </c>
      <c r="AL43" s="406">
        <v>24</v>
      </c>
      <c r="AM43" s="406">
        <v>0</v>
      </c>
      <c r="AN43" s="406"/>
      <c r="AO43" s="406"/>
      <c r="AP43" s="406">
        <v>3142</v>
      </c>
      <c r="AQ43" s="406">
        <v>2992</v>
      </c>
      <c r="AR43" s="406">
        <v>150</v>
      </c>
      <c r="AS43" s="406">
        <v>638</v>
      </c>
      <c r="AT43" s="406">
        <v>608</v>
      </c>
      <c r="AU43" s="406">
        <v>30</v>
      </c>
      <c r="AV43" s="406">
        <v>669</v>
      </c>
      <c r="AW43" s="406">
        <v>415</v>
      </c>
      <c r="AX43" s="406">
        <v>393</v>
      </c>
      <c r="AY43" s="406">
        <v>22</v>
      </c>
      <c r="AZ43" s="406">
        <v>70</v>
      </c>
      <c r="BA43" s="406">
        <v>70</v>
      </c>
      <c r="BB43" s="406"/>
      <c r="BC43" s="406">
        <v>184</v>
      </c>
      <c r="BD43" s="406">
        <v>174</v>
      </c>
      <c r="BE43" s="406">
        <v>10</v>
      </c>
      <c r="BF43" s="406">
        <f>'[6]B17-TDA3,DA10'!F84</f>
        <v>224.0018760113399</v>
      </c>
      <c r="BG43" s="406">
        <f>'[6]B17-TDA3,DA10'!G84</f>
        <v>0</v>
      </c>
      <c r="BH43" s="406">
        <f>'[6]B17-TDA3,DA10'!H84</f>
        <v>0</v>
      </c>
      <c r="BI43" s="406">
        <f>'[6]B17-TDA3,DA10'!I84</f>
        <v>0</v>
      </c>
      <c r="BJ43" s="406">
        <f>'[6]B17-TDA3,DA10'!J84</f>
        <v>0</v>
      </c>
      <c r="BK43" s="406">
        <f>'[6]B17-TDA3,DA10'!K84</f>
        <v>0</v>
      </c>
      <c r="BL43" s="406">
        <f>'[6]B17-TDA3,DA10'!L84</f>
        <v>0</v>
      </c>
      <c r="BM43" s="406">
        <f>'[6]B17-TDA3,DA10'!M84</f>
        <v>0</v>
      </c>
      <c r="BN43" s="406">
        <f>'[6]B17-TDA3,DA10'!N84</f>
        <v>0</v>
      </c>
      <c r="BO43" s="406">
        <f>'[6]B17-TDA3,DA10'!O84</f>
        <v>0</v>
      </c>
      <c r="BQ43" s="403" t="e">
        <f>#REF!+P43+V43+#REF!+#REF!+BE43</f>
        <v>#REF!</v>
      </c>
      <c r="BR43" s="403">
        <f t="shared" si="0"/>
        <v>169</v>
      </c>
    </row>
    <row r="44" spans="1:70" ht="20.25" customHeight="1" x14ac:dyDescent="0.25">
      <c r="A44" s="404">
        <v>7</v>
      </c>
      <c r="B44" s="3" t="s">
        <v>44</v>
      </c>
      <c r="C44" s="406">
        <v>43459</v>
      </c>
      <c r="D44" s="728">
        <v>40868</v>
      </c>
      <c r="E44" s="728">
        <v>2591</v>
      </c>
      <c r="F44" s="728">
        <v>749</v>
      </c>
      <c r="G44" s="406">
        <v>516</v>
      </c>
      <c r="H44" s="732">
        <v>491</v>
      </c>
      <c r="I44" s="732">
        <v>25</v>
      </c>
      <c r="J44" s="406">
        <v>233</v>
      </c>
      <c r="K44" s="732">
        <v>222</v>
      </c>
      <c r="L44" s="732">
        <v>11</v>
      </c>
      <c r="M44" s="406">
        <v>24831</v>
      </c>
      <c r="N44" s="406">
        <v>8094</v>
      </c>
      <c r="O44" s="406">
        <v>8094</v>
      </c>
      <c r="P44" s="406"/>
      <c r="Q44" s="406">
        <v>16737</v>
      </c>
      <c r="R44" s="406">
        <v>15089</v>
      </c>
      <c r="S44" s="406">
        <v>1648</v>
      </c>
      <c r="T44" s="406">
        <v>3099</v>
      </c>
      <c r="U44" s="406">
        <v>2951</v>
      </c>
      <c r="V44" s="406">
        <v>148</v>
      </c>
      <c r="W44" s="406">
        <v>8860</v>
      </c>
      <c r="X44" s="406">
        <v>2355</v>
      </c>
      <c r="Y44" s="406">
        <v>2177</v>
      </c>
      <c r="Z44" s="406">
        <v>178</v>
      </c>
      <c r="AA44" s="406">
        <v>337</v>
      </c>
      <c r="AB44" s="406">
        <v>337</v>
      </c>
      <c r="AC44" s="406"/>
      <c r="AD44" s="406">
        <v>3954</v>
      </c>
      <c r="AE44" s="406">
        <v>3656</v>
      </c>
      <c r="AF44" s="406">
        <v>298</v>
      </c>
      <c r="AG44" s="406">
        <v>2214</v>
      </c>
      <c r="AH44" s="406">
        <v>2214</v>
      </c>
      <c r="AI44" s="406"/>
      <c r="AJ44" s="406">
        <v>537</v>
      </c>
      <c r="AK44" s="406">
        <v>511</v>
      </c>
      <c r="AL44" s="406">
        <v>26</v>
      </c>
      <c r="AM44" s="406">
        <v>0</v>
      </c>
      <c r="AN44" s="406"/>
      <c r="AO44" s="406"/>
      <c r="AP44" s="406">
        <v>4020</v>
      </c>
      <c r="AQ44" s="406">
        <v>3829</v>
      </c>
      <c r="AR44" s="406">
        <v>191</v>
      </c>
      <c r="AS44" s="406">
        <v>467</v>
      </c>
      <c r="AT44" s="406">
        <v>445</v>
      </c>
      <c r="AU44" s="406">
        <v>22</v>
      </c>
      <c r="AV44" s="406">
        <v>896</v>
      </c>
      <c r="AW44" s="406">
        <v>623</v>
      </c>
      <c r="AX44" s="406">
        <v>590</v>
      </c>
      <c r="AY44" s="406">
        <v>33</v>
      </c>
      <c r="AZ44" s="406">
        <v>71</v>
      </c>
      <c r="BA44" s="406">
        <v>71</v>
      </c>
      <c r="BB44" s="406"/>
      <c r="BC44" s="406">
        <v>202</v>
      </c>
      <c r="BD44" s="406">
        <v>191</v>
      </c>
      <c r="BE44" s="406">
        <v>11</v>
      </c>
      <c r="BF44" s="406">
        <f>'[6]B17-TDA3,DA10'!F85</f>
        <v>229.22858645160451</v>
      </c>
      <c r="BG44" s="406">
        <f>'[6]B17-TDA3,DA10'!G85</f>
        <v>0</v>
      </c>
      <c r="BH44" s="406">
        <f>'[6]B17-TDA3,DA10'!H85</f>
        <v>0</v>
      </c>
      <c r="BI44" s="406">
        <f>'[6]B17-TDA3,DA10'!I85</f>
        <v>0</v>
      </c>
      <c r="BJ44" s="406">
        <f>'[6]B17-TDA3,DA10'!J85</f>
        <v>0</v>
      </c>
      <c r="BK44" s="406">
        <f>'[6]B17-TDA3,DA10'!K85</f>
        <v>0</v>
      </c>
      <c r="BL44" s="406">
        <f>'[6]B17-TDA3,DA10'!L85</f>
        <v>0</v>
      </c>
      <c r="BM44" s="406">
        <f>'[6]B17-TDA3,DA10'!M85</f>
        <v>0</v>
      </c>
      <c r="BN44" s="406">
        <f>'[6]B17-TDA3,DA10'!N85</f>
        <v>0</v>
      </c>
      <c r="BO44" s="406">
        <f>'[6]B17-TDA3,DA10'!O85</f>
        <v>0</v>
      </c>
      <c r="BQ44" s="403" t="e">
        <f>#REF!+P44+V44+#REF!+#REF!+BE44</f>
        <v>#REF!</v>
      </c>
      <c r="BR44" s="403">
        <f t="shared" si="0"/>
        <v>216</v>
      </c>
    </row>
    <row r="45" spans="1:70" ht="20.25" customHeight="1" x14ac:dyDescent="0.25">
      <c r="A45" s="408">
        <v>8</v>
      </c>
      <c r="B45" s="409" t="s">
        <v>45</v>
      </c>
      <c r="C45" s="410">
        <v>4878</v>
      </c>
      <c r="D45" s="733">
        <v>4537</v>
      </c>
      <c r="E45" s="733">
        <v>341</v>
      </c>
      <c r="F45" s="733">
        <v>7</v>
      </c>
      <c r="G45" s="410">
        <v>0</v>
      </c>
      <c r="H45" s="734">
        <v>0</v>
      </c>
      <c r="I45" s="734">
        <v>0</v>
      </c>
      <c r="J45" s="410">
        <v>7</v>
      </c>
      <c r="K45" s="734">
        <v>7</v>
      </c>
      <c r="L45" s="734">
        <v>0</v>
      </c>
      <c r="M45" s="410">
        <v>123</v>
      </c>
      <c r="N45" s="410">
        <v>0</v>
      </c>
      <c r="O45" s="410"/>
      <c r="P45" s="410"/>
      <c r="Q45" s="410">
        <v>123</v>
      </c>
      <c r="R45" s="410">
        <v>111</v>
      </c>
      <c r="S45" s="410">
        <v>12</v>
      </c>
      <c r="T45" s="410">
        <v>48</v>
      </c>
      <c r="U45" s="410">
        <v>46</v>
      </c>
      <c r="V45" s="410">
        <v>2</v>
      </c>
      <c r="W45" s="410">
        <v>4153</v>
      </c>
      <c r="X45" s="410">
        <v>0</v>
      </c>
      <c r="Y45" s="410">
        <v>0</v>
      </c>
      <c r="Z45" s="410">
        <v>0</v>
      </c>
      <c r="AA45" s="410">
        <v>180</v>
      </c>
      <c r="AB45" s="410">
        <v>180</v>
      </c>
      <c r="AC45" s="410"/>
      <c r="AD45" s="410">
        <v>3954</v>
      </c>
      <c r="AE45" s="410">
        <v>3656</v>
      </c>
      <c r="AF45" s="410">
        <v>298</v>
      </c>
      <c r="AG45" s="410">
        <v>19</v>
      </c>
      <c r="AH45" s="410">
        <v>19</v>
      </c>
      <c r="AI45" s="410"/>
      <c r="AJ45" s="410">
        <v>58</v>
      </c>
      <c r="AK45" s="410">
        <v>55</v>
      </c>
      <c r="AL45" s="410">
        <v>3</v>
      </c>
      <c r="AM45" s="410">
        <v>0</v>
      </c>
      <c r="AN45" s="410"/>
      <c r="AO45" s="410"/>
      <c r="AP45" s="410">
        <v>63</v>
      </c>
      <c r="AQ45" s="410">
        <v>60</v>
      </c>
      <c r="AR45" s="410">
        <v>3</v>
      </c>
      <c r="AS45" s="410">
        <v>64</v>
      </c>
      <c r="AT45" s="410">
        <v>61</v>
      </c>
      <c r="AU45" s="410">
        <v>3</v>
      </c>
      <c r="AV45" s="410">
        <v>362</v>
      </c>
      <c r="AW45" s="410">
        <v>332</v>
      </c>
      <c r="AX45" s="410">
        <v>314</v>
      </c>
      <c r="AY45" s="410">
        <v>18</v>
      </c>
      <c r="AZ45" s="410">
        <v>0</v>
      </c>
      <c r="BA45" s="410">
        <v>0</v>
      </c>
      <c r="BB45" s="410"/>
      <c r="BC45" s="410">
        <v>30</v>
      </c>
      <c r="BD45" s="410">
        <v>28</v>
      </c>
      <c r="BE45" s="410">
        <v>2</v>
      </c>
      <c r="BF45" s="410">
        <f>'[6]B17-TDA3,DA10'!F86</f>
        <v>0</v>
      </c>
      <c r="BG45" s="410">
        <f>'[6]B17-TDA3,DA10'!G86</f>
        <v>0</v>
      </c>
      <c r="BH45" s="410">
        <f>'[6]B17-TDA3,DA10'!H86</f>
        <v>0</v>
      </c>
      <c r="BI45" s="410">
        <f>'[6]B17-TDA3,DA10'!I86</f>
        <v>0</v>
      </c>
      <c r="BJ45" s="410">
        <f>'[6]B17-TDA3,DA10'!J86</f>
        <v>0</v>
      </c>
      <c r="BK45" s="410">
        <f>'[6]B17-TDA3,DA10'!K86</f>
        <v>0</v>
      </c>
      <c r="BL45" s="410">
        <f>'[6]B17-TDA3,DA10'!L86</f>
        <v>0</v>
      </c>
      <c r="BM45" s="410">
        <f>'[6]B17-TDA3,DA10'!M86</f>
        <v>0</v>
      </c>
      <c r="BN45" s="410">
        <f>'[6]B17-TDA3,DA10'!N86</f>
        <v>0</v>
      </c>
      <c r="BO45" s="410">
        <f>'[6]B17-TDA3,DA10'!O86</f>
        <v>0</v>
      </c>
      <c r="BQ45" s="403" t="e">
        <f>#REF!+P45+V45+#REF!+#REF!+BE45</f>
        <v>#REF!</v>
      </c>
      <c r="BR45" s="403">
        <f t="shared" si="0"/>
        <v>3</v>
      </c>
    </row>
    <row r="47" spans="1:70" x14ac:dyDescent="0.25">
      <c r="AM47" s="403"/>
      <c r="AN47" s="403"/>
      <c r="AO47" s="403"/>
    </row>
    <row r="48" spans="1:70" x14ac:dyDescent="0.25">
      <c r="T48" s="403"/>
      <c r="U48" s="403"/>
      <c r="V48" s="403"/>
      <c r="W48" s="411"/>
      <c r="X48" s="99"/>
      <c r="Y48" s="99"/>
      <c r="Z48" s="99"/>
      <c r="AA48" s="412"/>
      <c r="AB48" s="403"/>
      <c r="AC48" s="403"/>
      <c r="AD48" s="412"/>
      <c r="AE48" s="403"/>
      <c r="AF48" s="403"/>
      <c r="AM48" s="403"/>
      <c r="AN48" s="403"/>
      <c r="AO48" s="403"/>
      <c r="AW48" s="99"/>
      <c r="AX48" s="99"/>
      <c r="AY48" s="99"/>
      <c r="AZ48" s="99"/>
      <c r="BA48" s="99"/>
      <c r="BB48" s="99"/>
      <c r="BC48" s="99"/>
      <c r="BD48" s="99"/>
      <c r="BE48" s="99"/>
    </row>
    <row r="49" spans="20:57" x14ac:dyDescent="0.25">
      <c r="T49" s="403"/>
      <c r="U49" s="403"/>
      <c r="V49" s="403"/>
      <c r="W49" s="411"/>
      <c r="X49" s="403"/>
      <c r="Y49" s="403"/>
      <c r="Z49" s="403"/>
      <c r="AA49" s="412"/>
      <c r="AB49" s="403"/>
      <c r="AC49" s="403"/>
      <c r="AD49" s="412"/>
      <c r="AE49" s="403"/>
      <c r="AF49" s="403"/>
      <c r="AM49" s="403"/>
      <c r="AN49" s="403"/>
      <c r="AO49" s="403"/>
      <c r="AW49" s="403"/>
      <c r="AX49" s="403"/>
      <c r="AY49" s="403"/>
      <c r="AZ49" s="403"/>
      <c r="BA49" s="403"/>
      <c r="BB49" s="403"/>
      <c r="BC49" s="403"/>
      <c r="BD49" s="403"/>
      <c r="BE49" s="403"/>
    </row>
    <row r="50" spans="20:57" x14ac:dyDescent="0.25">
      <c r="T50" s="403"/>
      <c r="U50" s="403"/>
      <c r="V50" s="403"/>
      <c r="W50" s="411"/>
      <c r="X50" s="403"/>
      <c r="Y50" s="403"/>
      <c r="Z50" s="403"/>
      <c r="AA50" s="412"/>
      <c r="AB50" s="403"/>
      <c r="AC50" s="403"/>
      <c r="AD50" s="412"/>
      <c r="AE50" s="403"/>
      <c r="AF50" s="403"/>
      <c r="AM50" s="403"/>
      <c r="AN50" s="403"/>
      <c r="AO50" s="403"/>
      <c r="AW50" s="403"/>
      <c r="AX50" s="403"/>
      <c r="AY50" s="403"/>
      <c r="AZ50" s="403"/>
      <c r="BA50" s="403"/>
      <c r="BB50" s="403"/>
      <c r="BC50" s="403"/>
      <c r="BD50" s="403"/>
      <c r="BE50" s="403"/>
    </row>
    <row r="51" spans="20:57" x14ac:dyDescent="0.25">
      <c r="T51" s="403"/>
      <c r="U51" s="403"/>
      <c r="V51" s="403"/>
      <c r="W51" s="411"/>
      <c r="X51" s="403"/>
      <c r="Y51" s="403"/>
      <c r="Z51" s="403"/>
      <c r="AA51" s="412"/>
      <c r="AB51" s="403"/>
      <c r="AC51" s="403"/>
      <c r="AD51" s="412"/>
      <c r="AE51" s="403"/>
      <c r="AF51" s="403"/>
      <c r="AM51" s="403"/>
      <c r="AN51" s="403"/>
      <c r="AO51" s="403"/>
      <c r="AW51" s="403"/>
      <c r="AX51" s="403"/>
      <c r="AY51" s="403"/>
      <c r="AZ51" s="403"/>
      <c r="BA51" s="403"/>
      <c r="BB51" s="403"/>
      <c r="BC51" s="403"/>
      <c r="BD51" s="403"/>
      <c r="BE51" s="403"/>
    </row>
  </sheetData>
  <mergeCells count="87">
    <mergeCell ref="AD8:AD9"/>
    <mergeCell ref="AE8:AF8"/>
    <mergeCell ref="AB8:AC8"/>
    <mergeCell ref="AL4:AO4"/>
    <mergeCell ref="AM6:AO6"/>
    <mergeCell ref="AG7:AI7"/>
    <mergeCell ref="AD7:AF7"/>
    <mergeCell ref="AH8:AI8"/>
    <mergeCell ref="AK7:AL8"/>
    <mergeCell ref="AM7:AM9"/>
    <mergeCell ref="AN7:AO8"/>
    <mergeCell ref="AV5:BE5"/>
    <mergeCell ref="AP6:AR6"/>
    <mergeCell ref="AM5:AO5"/>
    <mergeCell ref="AP5:AR5"/>
    <mergeCell ref="AS5:AU5"/>
    <mergeCell ref="AP7:AP9"/>
    <mergeCell ref="AS6:AU6"/>
    <mergeCell ref="AV6:AV9"/>
    <mergeCell ref="AW6:BB6"/>
    <mergeCell ref="BC6:BE6"/>
    <mergeCell ref="AT8:AU8"/>
    <mergeCell ref="F6:L6"/>
    <mergeCell ref="M6:S6"/>
    <mergeCell ref="W6:AI6"/>
    <mergeCell ref="AJ6:AL6"/>
    <mergeCell ref="T5:V5"/>
    <mergeCell ref="W5:AI5"/>
    <mergeCell ref="AJ5:AL5"/>
    <mergeCell ref="T6:V6"/>
    <mergeCell ref="A5:A9"/>
    <mergeCell ref="B5:B9"/>
    <mergeCell ref="C5:E7"/>
    <mergeCell ref="F5:L5"/>
    <mergeCell ref="M5:S5"/>
    <mergeCell ref="C8:C9"/>
    <mergeCell ref="D8:E8"/>
    <mergeCell ref="G8:G9"/>
    <mergeCell ref="H8:I8"/>
    <mergeCell ref="J8:J9"/>
    <mergeCell ref="F7:F9"/>
    <mergeCell ref="G7:I7"/>
    <mergeCell ref="K8:L8"/>
    <mergeCell ref="N8:N9"/>
    <mergeCell ref="O8:P8"/>
    <mergeCell ref="Q8:Q9"/>
    <mergeCell ref="R8:S8"/>
    <mergeCell ref="M7:M9"/>
    <mergeCell ref="N7:P7"/>
    <mergeCell ref="Q7:S7"/>
    <mergeCell ref="J7:L7"/>
    <mergeCell ref="U7:V7"/>
    <mergeCell ref="T7:T9"/>
    <mergeCell ref="W7:W9"/>
    <mergeCell ref="X7:Z7"/>
    <mergeCell ref="AA7:AC7"/>
    <mergeCell ref="U8:V8"/>
    <mergeCell ref="X8:X9"/>
    <mergeCell ref="Y8:Z8"/>
    <mergeCell ref="AA8:AA9"/>
    <mergeCell ref="BL10:BM10"/>
    <mergeCell ref="AW8:AW9"/>
    <mergeCell ref="AX8:AY8"/>
    <mergeCell ref="BC7:BE7"/>
    <mergeCell ref="AQ7:AR8"/>
    <mergeCell ref="AS7:AS9"/>
    <mergeCell ref="AT7:AU7"/>
    <mergeCell ref="AW7:AY7"/>
    <mergeCell ref="AZ7:BB7"/>
    <mergeCell ref="AZ8:AZ9"/>
    <mergeCell ref="BA8:BB8"/>
    <mergeCell ref="BN10:BO10"/>
    <mergeCell ref="C1:V1"/>
    <mergeCell ref="W1:AO1"/>
    <mergeCell ref="AP1:BH1"/>
    <mergeCell ref="C2:V2"/>
    <mergeCell ref="W2:AO2"/>
    <mergeCell ref="AP2:BE2"/>
    <mergeCell ref="S4:V4"/>
    <mergeCell ref="BC4:BF4"/>
    <mergeCell ref="BC8:BC9"/>
    <mergeCell ref="BD8:BE8"/>
    <mergeCell ref="BF10:BG10"/>
    <mergeCell ref="BH10:BI10"/>
    <mergeCell ref="BJ10:BK10"/>
    <mergeCell ref="AG8:AG9"/>
    <mergeCell ref="AJ7:AJ9"/>
  </mergeCells>
  <pageMargins left="0.78740157480314965" right="0.39370078740157483" top="0.78740157480314965" bottom="0.78740157480314965" header="0.31496062992125984" footer="0.31496062992125984"/>
  <pageSetup paperSize="9" scale="50" firstPageNumber="83" orientation="landscape" useFirstPageNumber="1" r:id="rId1"/>
  <headerFooter>
    <oddHeader>&amp;C&amp;P&amp;RPhụ biểu số 5B</oddHeader>
  </headerFooter>
  <colBreaks count="2" manualBreakCount="2">
    <brk id="22" max="1048575" man="1"/>
    <brk id="4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49cf939c33962b5e</MaTinBai>
    <_dlc_DocId xmlns="ae4e42cd-c673-4541-a17d-d353a4125f5e">DDYPFUVZ5X6F-6-6412</_dlc_DocId>
    <_dlc_DocIdUrl xmlns="ae4e42cd-c673-4541-a17d-d353a4125f5e">
      <Url>https://dbdc.backan.gov.vn/_layouts/15/DocIdRedir.aspx?ID=DDYPFUVZ5X6F-6-6412</Url>
      <Description>DDYPFUVZ5X6F-6-6412</Description>
    </_dlc_DocIdUrl>
  </documentManagement>
</p:properties>
</file>

<file path=customXml/itemProps1.xml><?xml version="1.0" encoding="utf-8"?>
<ds:datastoreItem xmlns:ds="http://schemas.openxmlformats.org/officeDocument/2006/customXml" ds:itemID="{350BBA0C-1043-4438-84C2-4769547EA45B}"/>
</file>

<file path=customXml/itemProps2.xml><?xml version="1.0" encoding="utf-8"?>
<ds:datastoreItem xmlns:ds="http://schemas.openxmlformats.org/officeDocument/2006/customXml" ds:itemID="{EE4E9071-8151-44E3-86EA-46E14B79CCDB}"/>
</file>

<file path=customXml/itemProps3.xml><?xml version="1.0" encoding="utf-8"?>
<ds:datastoreItem xmlns:ds="http://schemas.openxmlformats.org/officeDocument/2006/customXml" ds:itemID="{D5790FDE-3295-4BC0-A55C-2EDC1EE1A092}"/>
</file>

<file path=customXml/itemProps4.xml><?xml version="1.0" encoding="utf-8"?>
<ds:datastoreItem xmlns:ds="http://schemas.openxmlformats.org/officeDocument/2006/customXml" ds:itemID="{CDA3F521-731D-40DA-B7B6-529B7837EA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16</vt:i4>
      </vt:variant>
    </vt:vector>
  </HeadingPairs>
  <TitlesOfParts>
    <vt:vector size="46" baseType="lpstr">
      <vt:lpstr>B1-TH DA</vt:lpstr>
      <vt:lpstr>1 Điều hành</vt:lpstr>
      <vt:lpstr>2 Nhiệm vụ</vt:lpstr>
      <vt:lpstr>3 Bảo trì</vt:lpstr>
      <vt:lpstr>4 NĐ 35</vt:lpstr>
      <vt:lpstr>5 CĐ số</vt:lpstr>
      <vt:lpstr>6 ô tô</vt:lpstr>
      <vt:lpstr>5a DTTS</vt:lpstr>
      <vt:lpstr>5b DTTS</vt:lpstr>
      <vt:lpstr>6A GNBV</vt:lpstr>
      <vt:lpstr>6B GNBV</vt:lpstr>
      <vt:lpstr>7a NTM</vt:lpstr>
      <vt:lpstr>7b NTM</vt:lpstr>
      <vt:lpstr>B3-DA1</vt:lpstr>
      <vt:lpstr>B4-TDA1,DA3</vt:lpstr>
      <vt:lpstr>B5-TDA2,DA3</vt:lpstr>
      <vt:lpstr>B6-DA4</vt:lpstr>
      <vt:lpstr>B7-TDA1,DA5</vt:lpstr>
      <vt:lpstr>B7-TDA2,DA5</vt:lpstr>
      <vt:lpstr>B8-TDA3,DA5</vt:lpstr>
      <vt:lpstr>B9-TDA4,DA5</vt:lpstr>
      <vt:lpstr>B10-DA6</vt:lpstr>
      <vt:lpstr>B11-DA7</vt:lpstr>
      <vt:lpstr>B12-DA8</vt:lpstr>
      <vt:lpstr>B13-TDA1,DA9</vt:lpstr>
      <vt:lpstr>B14-TDA2,DA9</vt:lpstr>
      <vt:lpstr>B15-TDA1,DA10</vt:lpstr>
      <vt:lpstr>B16-TDA2,DA10</vt:lpstr>
      <vt:lpstr>B17-TDA3,DA10</vt:lpstr>
      <vt:lpstr>8</vt:lpstr>
      <vt:lpstr>'B10-DA6'!Print_Area</vt:lpstr>
      <vt:lpstr>'B11-DA7'!Print_Area</vt:lpstr>
      <vt:lpstr>'B13-TDA1,DA9'!Print_Area</vt:lpstr>
      <vt:lpstr>'B15-TDA1,DA10'!Print_Area</vt:lpstr>
      <vt:lpstr>'2 Nhiệm vụ'!Print_Titles</vt:lpstr>
      <vt:lpstr>'5 CĐ số'!Print_Titles</vt:lpstr>
      <vt:lpstr>'5a DTTS'!Print_Titles</vt:lpstr>
      <vt:lpstr>'5b DTTS'!Print_Titles</vt:lpstr>
      <vt:lpstr>'6A GNBV'!Print_Titles</vt:lpstr>
      <vt:lpstr>'6B GNBV'!Print_Titles</vt:lpstr>
      <vt:lpstr>'7b NTM'!Print_Titles</vt:lpstr>
      <vt:lpstr>'B10-DA6'!Print_Titles</vt:lpstr>
      <vt:lpstr>'B1-TH DA'!Print_Titles</vt:lpstr>
      <vt:lpstr>'B3-DA1'!Print_Titles</vt:lpstr>
      <vt:lpstr>'B4-TDA1,DA3'!Print_Titles</vt:lpstr>
      <vt:lpstr>'B6-DA4'!Print_Titles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 SON PC</dc:creator>
  <cp:lastModifiedBy>LANHM</cp:lastModifiedBy>
  <cp:lastPrinted>2023-11-27T07:11:07Z</cp:lastPrinted>
  <dcterms:created xsi:type="dcterms:W3CDTF">2022-10-21T02:05:10Z</dcterms:created>
  <dcterms:modified xsi:type="dcterms:W3CDTF">2023-12-06T05:39:08Z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4e78a019-99d7-4f23-818d-c2b799920c43</vt:lpwstr>
  </property>
</Properties>
</file>